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D:\ORFEI - 2020\AVANCES DE PROYECTOS DE INVERSIÓN - 2020\EUGENIA - PI EPSIRULINA - 02-06-2020\"/>
    </mc:Choice>
  </mc:AlternateContent>
  <xr:revisionPtr revIDLastSave="0" documentId="13_ncr:1_{C0633B74-C2C3-4044-A9EE-B21C3C332B36}" xr6:coauthVersionLast="45" xr6:coauthVersionMax="45" xr10:uidLastSave="{00000000-0000-0000-0000-000000000000}"/>
  <bookViews>
    <workbookView xWindow="-120" yWindow="-120" windowWidth="29040" windowHeight="15840" tabRatio="894" firstSheet="18" activeTab="33" xr2:uid="{00000000-000D-0000-FFFF-FFFF00000000}"/>
  </bookViews>
  <sheets>
    <sheet name="2007 QUINQUENALES" sheetId="4" state="hidden" r:id="rId1"/>
    <sheet name="1993 QUINQUENALES" sheetId="5" state="hidden" r:id="rId2"/>
    <sheet name="HOR_EVA" sheetId="49" r:id="rId3"/>
    <sheet name="TC" sheetId="39" r:id="rId4"/>
    <sheet name="DATA" sheetId="23" r:id="rId5"/>
    <sheet name="POB TOTAL" sheetId="40" r:id="rId6"/>
    <sheet name="DEM REFER" sheetId="42" r:id="rId7"/>
    <sheet name="DEM POT" sheetId="47" r:id="rId8"/>
    <sheet name="DEM EFEC" sheetId="48" r:id="rId9"/>
    <sheet name="ACT ECON" sheetId="41" r:id="rId10"/>
    <sheet name="DEM - DESN" sheetId="50" r:id="rId11"/>
    <sheet name="OFE" sheetId="51" r:id="rId12"/>
    <sheet name="BRECHA" sheetId="52" r:id="rId13"/>
    <sheet name="ANÁ TEC" sheetId="53" r:id="rId14"/>
    <sheet name="COSTOS - INFRA." sheetId="54" r:id="rId15"/>
    <sheet name="COSTOS - EQUIP." sheetId="55" r:id="rId16"/>
    <sheet name="EQUI. PLANTA PILOTO" sheetId="75" r:id="rId17"/>
    <sheet name="COSTOS - CAPACI - 3,4 Y 5." sheetId="56" r:id="rId18"/>
    <sheet name="COSTOS DE MIT. AMB." sheetId="57" r:id="rId19"/>
    <sheet name="COSTOS DE GESTIÓN DE Py" sheetId="58" r:id="rId20"/>
    <sheet name="COSTOS - E.T." sheetId="59" r:id="rId21"/>
    <sheet name="G.G." sheetId="60" r:id="rId22"/>
    <sheet name="C. SUP." sheetId="61" r:id="rId23"/>
    <sheet name="C. LIQU." sheetId="62" r:id="rId24"/>
    <sheet name="M.O.EH" sheetId="71" r:id="rId25"/>
    <sheet name="RES COST" sheetId="63" r:id="rId26"/>
    <sheet name="PERS - O&amp;M" sheetId="74" r:id="rId27"/>
    <sheet name="O&amp;M" sheetId="64" r:id="rId28"/>
    <sheet name="RES. O&amp;M" sheetId="65" r:id="rId29"/>
    <sheet name="C.I." sheetId="66" r:id="rId30"/>
    <sheet name="C. PRODUC." sheetId="67" r:id="rId31"/>
    <sheet name="BENEFICIOS" sheetId="68" r:id="rId32"/>
    <sheet name="B.I." sheetId="69" r:id="rId33"/>
    <sheet name="EVAL. PP.PS y SENSIB." sheetId="70" r:id="rId34"/>
  </sheets>
  <externalReferences>
    <externalReference r:id="rId35"/>
    <externalReference r:id="rId36"/>
    <externalReference r:id="rId37"/>
    <externalReference r:id="rId38"/>
  </externalReferences>
  <definedNames>
    <definedName name="A" localSheetId="8">#REF!</definedName>
    <definedName name="A" localSheetId="7">#REF!</definedName>
    <definedName name="A">#REF!</definedName>
    <definedName name="AAAA" localSheetId="8">#REF!</definedName>
    <definedName name="AAAA" localSheetId="7">#REF!</definedName>
    <definedName name="AAAA">#REF!</definedName>
    <definedName name="ABCDE" localSheetId="8">#REF!</definedName>
    <definedName name="ABCDE" localSheetId="7">#REF!</definedName>
    <definedName name="ABCDE">#REF!</definedName>
    <definedName name="ABCDEFG" localSheetId="8">#REF!</definedName>
    <definedName name="ABCDEFG" localSheetId="7">#REF!</definedName>
    <definedName name="ABCDEFG">#REF!</definedName>
    <definedName name="_xlnm.Print_Area" localSheetId="9">'ACT ECON'!$A$1:$V$153</definedName>
    <definedName name="_xlnm.Print_Area" localSheetId="13">'ANÁ TEC'!$B$3:$L$49</definedName>
    <definedName name="_xlnm.Print_Area" localSheetId="32">'B.I.'!$B$3:$Z$33</definedName>
    <definedName name="_xlnm.Print_Area" localSheetId="31">BENEFICIOS!$B$3:$Z$109</definedName>
    <definedName name="_xlnm.Print_Area" localSheetId="12">BRECHA!$B$3:$U$275</definedName>
    <definedName name="_xlnm.Print_Area" localSheetId="23">'C. LIQU.'!$C$3:$I$130</definedName>
    <definedName name="_xlnm.Print_Area" localSheetId="30">'C. PRODUC.'!$B$3:$N$116</definedName>
    <definedName name="_xlnm.Print_Area" localSheetId="22">'C. SUP.'!$B$3:$H$156</definedName>
    <definedName name="_xlnm.Print_Area" localSheetId="29">'C.I.'!$B$2:$Z$37</definedName>
    <definedName name="_xlnm.Print_Area" localSheetId="17">'COSTOS - CAPACI - 3,4 Y 5.'!$B$3:$K$669</definedName>
    <definedName name="_xlnm.Print_Area" localSheetId="20">'COSTOS - E.T.'!$B$1:$J$236</definedName>
    <definedName name="_xlnm.Print_Area" localSheetId="15">'COSTOS - EQUIP.'!$B$2:$J$417</definedName>
    <definedName name="_xlnm.Print_Area" localSheetId="14">'COSTOS - INFRA.'!$B$4:$I$120</definedName>
    <definedName name="_xlnm.Print_Area" localSheetId="19">'COSTOS DE GESTIÓN DE Py'!$B$2:$G$43</definedName>
    <definedName name="_xlnm.Print_Area" localSheetId="18">'COSTOS DE MIT. AMB.'!$B$2:$H$65</definedName>
    <definedName name="_xlnm.Print_Area" localSheetId="4">DATA!$A$1:$H$101</definedName>
    <definedName name="_xlnm.Print_Area" localSheetId="10">'DEM - DESN'!$B$2:$T$388</definedName>
    <definedName name="_xlnm.Print_Area" localSheetId="8">'DEM EFEC'!$A$3:$X$175</definedName>
    <definedName name="_xlnm.Print_Area" localSheetId="7">'DEM POT'!$A$1:$X$183</definedName>
    <definedName name="_xlnm.Print_Area" localSheetId="6">'DEM REFER'!$A$1:$V$182</definedName>
    <definedName name="_xlnm.Print_Area" localSheetId="16">'EQUI. PLANTA PILOTO'!$B$1:$AC$101</definedName>
    <definedName name="_xlnm.Print_Area" localSheetId="33">'EVAL. PP.PS y SENSIB.'!$C$3:$AH$244</definedName>
    <definedName name="_xlnm.Print_Area" localSheetId="21">'G.G.'!$B$1:$I$192</definedName>
    <definedName name="_xlnm.Print_Area" localSheetId="2">HOR_EVA!$A$1:$AQ$39</definedName>
    <definedName name="_xlnm.Print_Area" localSheetId="27">'O&amp;M'!$B$3:$AQ$211</definedName>
    <definedName name="_xlnm.Print_Area" localSheetId="11">OFE!$B$3:$U$276</definedName>
    <definedName name="_xlnm.Print_Area" localSheetId="26">'PERS - O&amp;M'!$A$1:$Z$58</definedName>
    <definedName name="_xlnm.Print_Area" localSheetId="5">'POB TOTAL'!$A$1:$X$50</definedName>
    <definedName name="_xlnm.Print_Area" localSheetId="25">'RES COST'!$A$1:$O$72</definedName>
    <definedName name="_xlnm.Print_Area" localSheetId="28">'RES. O&amp;M'!$A$1:$AG$97</definedName>
    <definedName name="_xlnm.Print_Area" localSheetId="3">TC!$A$1:$I$47</definedName>
    <definedName name="_xlnm.Database" localSheetId="8">#REF!</definedName>
    <definedName name="_xlnm.Database" localSheetId="7">#REF!</definedName>
    <definedName name="_xlnm.Database" localSheetId="6">#REF!</definedName>
    <definedName name="_xlnm.Database" localSheetId="5">#REF!</definedName>
    <definedName name="_xlnm.Database" localSheetId="3">#REF!</definedName>
    <definedName name="_xlnm.Database">#REF!</definedName>
    <definedName name="DD" localSheetId="8">#REF!</definedName>
    <definedName name="DD" localSheetId="7">#REF!</definedName>
    <definedName name="DD" localSheetId="6">#REF!</definedName>
    <definedName name="DD">#REF!</definedName>
    <definedName name="hbugiuvhv" localSheetId="8">#REF!</definedName>
    <definedName name="hbugiuvhv" localSheetId="7">#REF!</definedName>
    <definedName name="hbugiuvhv">#REF!</definedName>
    <definedName name="KKKK" localSheetId="8">#REF!</definedName>
    <definedName name="KKKK" localSheetId="7">#REF!</definedName>
    <definedName name="KKKK">#REF!</definedName>
    <definedName name="OOPP">#REF!</definedName>
    <definedName name="OOPPQQ">#REF!</definedName>
    <definedName name="prov" localSheetId="8">#REF!</definedName>
    <definedName name="prov" localSheetId="7">#REF!</definedName>
    <definedName name="prov" localSheetId="6">#REF!</definedName>
    <definedName name="prov" localSheetId="5">#REF!</definedName>
    <definedName name="prov" localSheetId="3">#REF!</definedName>
    <definedName name="prov">#REF!</definedName>
    <definedName name="PROY1" localSheetId="8">#REF!</definedName>
    <definedName name="PROY1" localSheetId="7">#REF!</definedName>
    <definedName name="PROY1" localSheetId="6">#REF!</definedName>
    <definedName name="PROY1" localSheetId="5">#REF!</definedName>
    <definedName name="PROY1" localSheetId="3">#REF!</definedName>
    <definedName name="PROY1">#REF!</definedName>
    <definedName name="SUSTENTO" localSheetId="8">#REF!</definedName>
    <definedName name="SUSTENTO" localSheetId="7">#REF!</definedName>
    <definedName name="SUSTENTO" localSheetId="6">#REF!</definedName>
    <definedName name="SUSTENTO" localSheetId="5">#REF!</definedName>
    <definedName name="SUSTENTO" localSheetId="3">#REF!</definedName>
    <definedName name="SUSTENTO">#REF!</definedName>
    <definedName name="todito" localSheetId="8">#REF!</definedName>
    <definedName name="todito" localSheetId="7">#REF!</definedName>
    <definedName name="todito" localSheetId="6">#REF!</definedName>
    <definedName name="todito" localSheetId="5">#REF!</definedName>
    <definedName name="todito" localSheetId="3">#REF!</definedName>
    <definedName name="todito">#REF!</definedName>
    <definedName name="wwww" localSheetId="8">#REF!</definedName>
    <definedName name="wwww" localSheetId="7">#REF!</definedName>
    <definedName name="wwww" localSheetId="6">#REF!</definedName>
    <definedName name="wwww" localSheetId="5">#REF!</definedName>
    <definedName name="wwww" localSheetId="3">#REF!</definedName>
    <definedName name="wwww">#REF!</definedName>
    <definedName name="XXCV" localSheetId="8">#REF!</definedName>
    <definedName name="XXCV">#REF!</definedName>
    <definedName name="XXX" localSheetId="8">#REF!</definedName>
    <definedName name="XXX" localSheetId="7">#REF!</definedName>
    <definedName name="XXX" localSheetId="6">#REF!</definedName>
    <definedName name="XXX">#REF!</definedName>
    <definedName name="xxxxx" localSheetId="8">#REF!</definedName>
    <definedName name="xxxxx" localSheetId="7">#REF!</definedName>
    <definedName name="xxxxx">#REF!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70" l="1"/>
  <c r="E10" i="70"/>
  <c r="W23" i="70"/>
  <c r="W10" i="70"/>
  <c r="H72" i="70" l="1"/>
  <c r="F74" i="70"/>
  <c r="W49" i="70" l="1"/>
  <c r="D57" i="70" l="1"/>
  <c r="E52" i="70"/>
  <c r="E56" i="70" s="1"/>
  <c r="D43" i="71" l="1"/>
  <c r="D44" i="71"/>
  <c r="D45" i="71"/>
  <c r="D46" i="71"/>
  <c r="J35" i="71"/>
  <c r="J36" i="71"/>
  <c r="J37" i="71"/>
  <c r="J34" i="71"/>
  <c r="N35" i="71"/>
  <c r="N34" i="71"/>
  <c r="N25" i="71"/>
  <c r="N26" i="71"/>
  <c r="N27" i="71"/>
  <c r="N28" i="71"/>
  <c r="N29" i="71"/>
  <c r="N30" i="71"/>
  <c r="N31" i="71"/>
  <c r="F41" i="63"/>
  <c r="G41" i="63"/>
  <c r="O31" i="71" s="1"/>
  <c r="N24" i="71"/>
  <c r="M25" i="71"/>
  <c r="M26" i="71"/>
  <c r="M27" i="71"/>
  <c r="M28" i="71"/>
  <c r="M29" i="71"/>
  <c r="M30" i="71"/>
  <c r="M24" i="71"/>
  <c r="F42" i="63"/>
  <c r="D42" i="63"/>
  <c r="E42" i="63"/>
  <c r="C42" i="63"/>
  <c r="D47" i="71" l="1"/>
  <c r="E86" i="75"/>
  <c r="F86" i="75" s="1"/>
  <c r="E91" i="75" s="1"/>
  <c r="E85" i="75"/>
  <c r="E84" i="75"/>
  <c r="E83" i="75"/>
  <c r="F84" i="75"/>
  <c r="E92" i="75" s="1"/>
  <c r="Z26" i="75"/>
  <c r="Z20" i="75"/>
  <c r="Z19" i="75"/>
  <c r="Z18" i="75"/>
  <c r="Z17" i="75"/>
  <c r="Z16" i="75"/>
  <c r="Z15" i="75"/>
  <c r="Z14" i="75"/>
  <c r="Z13" i="75"/>
  <c r="Z12" i="75"/>
  <c r="Z11" i="75"/>
  <c r="Z10" i="75"/>
  <c r="Z9" i="75"/>
  <c r="Z8" i="75"/>
  <c r="Z22" i="75" s="1"/>
  <c r="R59" i="75"/>
  <c r="Q60" i="75" s="1"/>
  <c r="O66" i="75" s="1"/>
  <c r="R22" i="75"/>
  <c r="Q59" i="75"/>
  <c r="Q58" i="75"/>
  <c r="Q57" i="75"/>
  <c r="Q56" i="75"/>
  <c r="Q55" i="75"/>
  <c r="Q54" i="75"/>
  <c r="Q53" i="75"/>
  <c r="Q52" i="75"/>
  <c r="Q51" i="75"/>
  <c r="Q50" i="75"/>
  <c r="Q49" i="75"/>
  <c r="Q48" i="75"/>
  <c r="Q47" i="75"/>
  <c r="Q46" i="75"/>
  <c r="Q45" i="75"/>
  <c r="Q44" i="75"/>
  <c r="Q43" i="75"/>
  <c r="Q42" i="75"/>
  <c r="Q41" i="75"/>
  <c r="Q40" i="75"/>
  <c r="Q39" i="75"/>
  <c r="Q38" i="75"/>
  <c r="Q37" i="75"/>
  <c r="Q36" i="75"/>
  <c r="Q35" i="75"/>
  <c r="Q34" i="75"/>
  <c r="Q33" i="75"/>
  <c r="Q32" i="75"/>
  <c r="Q31" i="75"/>
  <c r="Q30" i="75"/>
  <c r="Q29" i="75"/>
  <c r="Q28" i="75"/>
  <c r="Q27" i="75"/>
  <c r="Q26" i="75"/>
  <c r="Q25" i="75"/>
  <c r="Q22" i="75"/>
  <c r="Q21" i="75"/>
  <c r="Q20" i="75"/>
  <c r="Q19" i="75"/>
  <c r="Q18" i="75"/>
  <c r="Q17" i="75"/>
  <c r="Q16" i="75"/>
  <c r="Q15" i="75"/>
  <c r="Q14" i="75"/>
  <c r="Q13" i="75"/>
  <c r="Q12" i="75"/>
  <c r="Q11" i="75"/>
  <c r="Q10" i="75"/>
  <c r="H73" i="75"/>
  <c r="H66" i="75"/>
  <c r="H46" i="75"/>
  <c r="H45" i="75"/>
  <c r="H44" i="75"/>
  <c r="H43" i="75"/>
  <c r="H42" i="75"/>
  <c r="H41" i="75"/>
  <c r="H40" i="75"/>
  <c r="H39" i="75"/>
  <c r="H38" i="75"/>
  <c r="H37" i="75"/>
  <c r="H36" i="75"/>
  <c r="H35" i="75"/>
  <c r="H34" i="75"/>
  <c r="H33" i="75"/>
  <c r="H32" i="75"/>
  <c r="H31" i="75"/>
  <c r="H30" i="75"/>
  <c r="H29" i="75"/>
  <c r="H28" i="75"/>
  <c r="H27" i="75"/>
  <c r="H26" i="75"/>
  <c r="H25" i="75"/>
  <c r="H24" i="75"/>
  <c r="H23" i="75"/>
  <c r="H47" i="75" s="1"/>
  <c r="H72" i="75" s="1"/>
  <c r="H16" i="75"/>
  <c r="H15" i="75"/>
  <c r="H14" i="75"/>
  <c r="H17" i="75" s="1"/>
  <c r="H71" i="75" s="1"/>
  <c r="H13" i="75"/>
  <c r="H12" i="75"/>
  <c r="H11" i="75"/>
  <c r="E87" i="75" l="1"/>
  <c r="E93" i="75"/>
  <c r="O67" i="75"/>
  <c r="H74" i="75"/>
  <c r="C38" i="55"/>
  <c r="G31" i="55"/>
  <c r="F38" i="55" s="1"/>
  <c r="G29" i="55"/>
  <c r="G30" i="55"/>
  <c r="G28" i="55"/>
  <c r="H42" i="54"/>
  <c r="H99" i="52"/>
  <c r="H100" i="52"/>
  <c r="H98" i="52"/>
  <c r="G99" i="52"/>
  <c r="G100" i="52"/>
  <c r="G98" i="52"/>
  <c r="F99" i="52"/>
  <c r="F100" i="52"/>
  <c r="F98" i="52"/>
  <c r="G73" i="52"/>
  <c r="H73" i="52" s="1"/>
  <c r="F73" i="52"/>
  <c r="G38" i="55" l="1"/>
  <c r="X54" i="70"/>
  <c r="Y54" i="70"/>
  <c r="Z54" i="70"/>
  <c r="AA54" i="70"/>
  <c r="AB54" i="70"/>
  <c r="AC54" i="70"/>
  <c r="AD54" i="70"/>
  <c r="AE54" i="70"/>
  <c r="AF54" i="70"/>
  <c r="W54" i="70"/>
  <c r="X53" i="70"/>
  <c r="Y53" i="70"/>
  <c r="Z53" i="70"/>
  <c r="AA53" i="70"/>
  <c r="AB53" i="70"/>
  <c r="AC53" i="70"/>
  <c r="AD53" i="70"/>
  <c r="AE53" i="70"/>
  <c r="AF53" i="70"/>
  <c r="W53" i="70"/>
  <c r="W56" i="70" s="1"/>
  <c r="X52" i="70"/>
  <c r="Y52" i="70"/>
  <c r="Z52" i="70"/>
  <c r="AA52" i="70"/>
  <c r="AA56" i="70" s="1"/>
  <c r="AB52" i="70"/>
  <c r="AC52" i="70"/>
  <c r="AD52" i="70"/>
  <c r="AE52" i="70"/>
  <c r="AF52" i="70"/>
  <c r="W52" i="70"/>
  <c r="AE55" i="70"/>
  <c r="AD55" i="70"/>
  <c r="AC55" i="70"/>
  <c r="AB55" i="70"/>
  <c r="AA55" i="70"/>
  <c r="Z55" i="70"/>
  <c r="Y55" i="70"/>
  <c r="X55" i="70"/>
  <c r="W55" i="70"/>
  <c r="AD56" i="70"/>
  <c r="AB56" i="70"/>
  <c r="Z56" i="70"/>
  <c r="F55" i="70"/>
  <c r="G55" i="70"/>
  <c r="H55" i="70"/>
  <c r="I55" i="70"/>
  <c r="J55" i="70"/>
  <c r="K55" i="70"/>
  <c r="L55" i="70"/>
  <c r="L56" i="70" s="1"/>
  <c r="M55" i="70"/>
  <c r="E55" i="70"/>
  <c r="M56" i="70"/>
  <c r="E17" i="66"/>
  <c r="F17" i="66"/>
  <c r="G17" i="66"/>
  <c r="H17" i="66"/>
  <c r="I17" i="66"/>
  <c r="J17" i="66"/>
  <c r="K17" i="66"/>
  <c r="L17" i="66"/>
  <c r="M17" i="66"/>
  <c r="D17" i="66"/>
  <c r="F52" i="70"/>
  <c r="G52" i="70"/>
  <c r="H52" i="70"/>
  <c r="H56" i="70" s="1"/>
  <c r="I52" i="70"/>
  <c r="I56" i="70" s="1"/>
  <c r="J52" i="70"/>
  <c r="J56" i="70" s="1"/>
  <c r="K52" i="70"/>
  <c r="L52" i="70"/>
  <c r="M52" i="70"/>
  <c r="N52" i="70"/>
  <c r="F53" i="70"/>
  <c r="G53" i="70"/>
  <c r="H53" i="70"/>
  <c r="I53" i="70"/>
  <c r="J53" i="70"/>
  <c r="K53" i="70"/>
  <c r="L53" i="70"/>
  <c r="M53" i="70"/>
  <c r="N53" i="70"/>
  <c r="E53" i="70"/>
  <c r="F54" i="70"/>
  <c r="G54" i="70"/>
  <c r="H54" i="70"/>
  <c r="I54" i="70"/>
  <c r="J54" i="70"/>
  <c r="K54" i="70"/>
  <c r="L54" i="70"/>
  <c r="M54" i="70"/>
  <c r="N54" i="70"/>
  <c r="E54" i="70"/>
  <c r="Z21" i="66"/>
  <c r="R22" i="66"/>
  <c r="S22" i="66"/>
  <c r="T22" i="66"/>
  <c r="U22" i="66"/>
  <c r="V22" i="66"/>
  <c r="W22" i="66"/>
  <c r="X22" i="66"/>
  <c r="Y22" i="66"/>
  <c r="Z22" i="66"/>
  <c r="Q22" i="66"/>
  <c r="R21" i="66"/>
  <c r="S21" i="66"/>
  <c r="T21" i="66"/>
  <c r="U21" i="66"/>
  <c r="V21" i="66"/>
  <c r="W21" i="66"/>
  <c r="X21" i="66"/>
  <c r="Y21" i="66"/>
  <c r="Q21" i="66"/>
  <c r="R20" i="66"/>
  <c r="S20" i="66"/>
  <c r="T20" i="66"/>
  <c r="U20" i="66"/>
  <c r="V20" i="66"/>
  <c r="W20" i="66"/>
  <c r="X20" i="66"/>
  <c r="Y20" i="66"/>
  <c r="Z20" i="66"/>
  <c r="Q20" i="66"/>
  <c r="Y56" i="70" l="1"/>
  <c r="AC56" i="70"/>
  <c r="AE56" i="70"/>
  <c r="X56" i="70"/>
  <c r="G56" i="70"/>
  <c r="K56" i="70"/>
  <c r="F56" i="70"/>
  <c r="R39" i="74" l="1"/>
  <c r="S39" i="74"/>
  <c r="T39" i="74"/>
  <c r="U39" i="74"/>
  <c r="V39" i="74"/>
  <c r="W39" i="74"/>
  <c r="X39" i="74"/>
  <c r="Y39" i="74"/>
  <c r="Z39" i="74"/>
  <c r="Q39" i="74"/>
  <c r="E39" i="74"/>
  <c r="F39" i="74"/>
  <c r="G39" i="74"/>
  <c r="H39" i="74"/>
  <c r="I39" i="74"/>
  <c r="J39" i="74"/>
  <c r="K39" i="74"/>
  <c r="L39" i="74"/>
  <c r="M39" i="74"/>
  <c r="D39" i="74"/>
  <c r="D42" i="74"/>
  <c r="F8" i="74"/>
  <c r="D25" i="74" l="1"/>
  <c r="F53" i="63" l="1"/>
  <c r="D57" i="57"/>
  <c r="D56" i="57"/>
  <c r="D55" i="57"/>
  <c r="D54" i="57"/>
  <c r="D53" i="57"/>
  <c r="D52" i="57"/>
  <c r="D51" i="57"/>
  <c r="D50" i="57"/>
  <c r="G39" i="57"/>
  <c r="G37" i="57"/>
  <c r="G36" i="57"/>
  <c r="G35" i="57"/>
  <c r="G34" i="57" s="1"/>
  <c r="G33" i="57"/>
  <c r="G32" i="57" s="1"/>
  <c r="G31" i="57"/>
  <c r="G30" i="57" s="1"/>
  <c r="G29" i="57"/>
  <c r="G28" i="57"/>
  <c r="G27" i="57"/>
  <c r="G26" i="57" s="1"/>
  <c r="G24" i="57"/>
  <c r="G23" i="57"/>
  <c r="G21" i="57"/>
  <c r="G20" i="57"/>
  <c r="G19" i="57"/>
  <c r="G18" i="57"/>
  <c r="G17" i="57"/>
  <c r="G16" i="57"/>
  <c r="G14" i="57"/>
  <c r="G13" i="57"/>
  <c r="G11" i="57"/>
  <c r="G10" i="57"/>
  <c r="G9" i="57"/>
  <c r="G8" i="57"/>
  <c r="G15" i="57" l="1"/>
  <c r="G7" i="57"/>
  <c r="G25" i="57"/>
  <c r="G12" i="57"/>
  <c r="G22" i="57"/>
  <c r="D38" i="57" l="1"/>
  <c r="G41" i="57" l="1"/>
  <c r="G40" i="57"/>
  <c r="G42" i="57" l="1"/>
  <c r="G43" i="57" s="1"/>
  <c r="G44" i="57" s="1"/>
  <c r="G45" i="57" s="1"/>
  <c r="G46" i="57" s="1"/>
  <c r="E30" i="50" l="1"/>
  <c r="C40" i="70" l="1"/>
  <c r="X25" i="65"/>
  <c r="Y25" i="65"/>
  <c r="Z25" i="65"/>
  <c r="AA25" i="65"/>
  <c r="AB25" i="65"/>
  <c r="AC25" i="65"/>
  <c r="AD25" i="65"/>
  <c r="AE25" i="65"/>
  <c r="AF25" i="65"/>
  <c r="W25" i="65"/>
  <c r="X24" i="65"/>
  <c r="Y24" i="65"/>
  <c r="Z24" i="65"/>
  <c r="AA24" i="65"/>
  <c r="AB24" i="65"/>
  <c r="AC24" i="65"/>
  <c r="AD24" i="65"/>
  <c r="AE24" i="65"/>
  <c r="AF24" i="65"/>
  <c r="W24" i="65"/>
  <c r="X13" i="65"/>
  <c r="Y13" i="65"/>
  <c r="Z13" i="65"/>
  <c r="AA13" i="65"/>
  <c r="AB13" i="65"/>
  <c r="AC13" i="65"/>
  <c r="AD13" i="65"/>
  <c r="AE13" i="65"/>
  <c r="AF13" i="65"/>
  <c r="W13" i="65"/>
  <c r="S36" i="74"/>
  <c r="T36" i="74" s="1"/>
  <c r="U36" i="74" s="1"/>
  <c r="V36" i="74" s="1"/>
  <c r="W36" i="74" s="1"/>
  <c r="X36" i="74" s="1"/>
  <c r="Y36" i="74" s="1"/>
  <c r="Z36" i="74" s="1"/>
  <c r="R36" i="74"/>
  <c r="Q36" i="74"/>
  <c r="Q35" i="74" s="1"/>
  <c r="S31" i="74"/>
  <c r="T31" i="74" s="1"/>
  <c r="U31" i="74" s="1"/>
  <c r="V31" i="74" s="1"/>
  <c r="W31" i="74" s="1"/>
  <c r="X31" i="74" s="1"/>
  <c r="Y31" i="74" s="1"/>
  <c r="Z31" i="74" s="1"/>
  <c r="S32" i="74"/>
  <c r="T32" i="74" s="1"/>
  <c r="U32" i="74" s="1"/>
  <c r="V32" i="74" s="1"/>
  <c r="W32" i="74" s="1"/>
  <c r="X32" i="74" s="1"/>
  <c r="Y32" i="74" s="1"/>
  <c r="Z32" i="74" s="1"/>
  <c r="S33" i="74"/>
  <c r="T33" i="74" s="1"/>
  <c r="U33" i="74" s="1"/>
  <c r="V33" i="74" s="1"/>
  <c r="W33" i="74" s="1"/>
  <c r="X33" i="74" s="1"/>
  <c r="Y33" i="74" s="1"/>
  <c r="Z33" i="74" s="1"/>
  <c r="S34" i="74"/>
  <c r="T34" i="74" s="1"/>
  <c r="U34" i="74" s="1"/>
  <c r="V34" i="74" s="1"/>
  <c r="W34" i="74" s="1"/>
  <c r="X34" i="74" s="1"/>
  <c r="Y34" i="74" s="1"/>
  <c r="Z34" i="74" s="1"/>
  <c r="R32" i="74"/>
  <c r="R33" i="74"/>
  <c r="R34" i="74"/>
  <c r="R31" i="74"/>
  <c r="Q33" i="74"/>
  <c r="Q31" i="74"/>
  <c r="S28" i="74"/>
  <c r="T28" i="74"/>
  <c r="U28" i="74"/>
  <c r="V28" i="74" s="1"/>
  <c r="W28" i="74" s="1"/>
  <c r="X28" i="74" s="1"/>
  <c r="Y28" i="74" s="1"/>
  <c r="Z28" i="74" s="1"/>
  <c r="R28" i="74"/>
  <c r="H13" i="74"/>
  <c r="Q28" i="74"/>
  <c r="S24" i="74"/>
  <c r="T24" i="74" s="1"/>
  <c r="U24" i="74" s="1"/>
  <c r="V24" i="74" s="1"/>
  <c r="W24" i="74" s="1"/>
  <c r="X24" i="74" s="1"/>
  <c r="Y24" i="74" s="1"/>
  <c r="Z24" i="74" s="1"/>
  <c r="S25" i="74"/>
  <c r="T25" i="74" s="1"/>
  <c r="U25" i="74" s="1"/>
  <c r="V25" i="74" s="1"/>
  <c r="W25" i="74" s="1"/>
  <c r="X25" i="74" s="1"/>
  <c r="Y25" i="74" s="1"/>
  <c r="Z25" i="74" s="1"/>
  <c r="S26" i="74"/>
  <c r="T26" i="74" s="1"/>
  <c r="U26" i="74" s="1"/>
  <c r="V26" i="74" s="1"/>
  <c r="W26" i="74" s="1"/>
  <c r="X26" i="74" s="1"/>
  <c r="Y26" i="74" s="1"/>
  <c r="Z26" i="74" s="1"/>
  <c r="R24" i="74"/>
  <c r="R25" i="74"/>
  <c r="R26" i="74"/>
  <c r="Q25" i="74"/>
  <c r="T17" i="74"/>
  <c r="U11" i="74"/>
  <c r="H12" i="74"/>
  <c r="H10" i="74" s="1"/>
  <c r="H14" i="74"/>
  <c r="H15" i="74"/>
  <c r="H11" i="74"/>
  <c r="H8" i="74"/>
  <c r="H7" i="74"/>
  <c r="H13" i="65"/>
  <c r="I13" i="65"/>
  <c r="J13" i="65"/>
  <c r="K13" i="65"/>
  <c r="L13" i="65"/>
  <c r="M13" i="65"/>
  <c r="N13" i="65"/>
  <c r="O13" i="65"/>
  <c r="P13" i="65"/>
  <c r="G13" i="65"/>
  <c r="D12" i="65"/>
  <c r="E32" i="74"/>
  <c r="F32" i="74" s="1"/>
  <c r="G32" i="74" s="1"/>
  <c r="H32" i="74" s="1"/>
  <c r="I32" i="74" s="1"/>
  <c r="J32" i="74" s="1"/>
  <c r="K32" i="74" s="1"/>
  <c r="L32" i="74" s="1"/>
  <c r="M32" i="74" s="1"/>
  <c r="E34" i="74"/>
  <c r="F34" i="74" s="1"/>
  <c r="G34" i="74" s="1"/>
  <c r="H34" i="74" s="1"/>
  <c r="I34" i="74" s="1"/>
  <c r="J34" i="74" s="1"/>
  <c r="K34" i="74" s="1"/>
  <c r="L34" i="74" s="1"/>
  <c r="M34" i="74" s="1"/>
  <c r="S8" i="74"/>
  <c r="U8" i="74" s="1"/>
  <c r="F6" i="74"/>
  <c r="F5" i="74" s="1"/>
  <c r="E24" i="74"/>
  <c r="F24" i="74" s="1"/>
  <c r="G24" i="74" s="1"/>
  <c r="H24" i="74" s="1"/>
  <c r="I24" i="74" s="1"/>
  <c r="J24" i="74" s="1"/>
  <c r="K24" i="74" s="1"/>
  <c r="L24" i="74" s="1"/>
  <c r="M24" i="74" s="1"/>
  <c r="E26" i="74"/>
  <c r="F26" i="74" s="1"/>
  <c r="G26" i="74" s="1"/>
  <c r="H26" i="74" s="1"/>
  <c r="I26" i="74" s="1"/>
  <c r="J26" i="74" s="1"/>
  <c r="K26" i="74" s="1"/>
  <c r="L26" i="74" s="1"/>
  <c r="M26" i="74" s="1"/>
  <c r="S16" i="74"/>
  <c r="U16" i="74" s="1"/>
  <c r="S15" i="74"/>
  <c r="U15" i="74" s="1"/>
  <c r="F15" i="74"/>
  <c r="S14" i="74"/>
  <c r="U14" i="74" s="1"/>
  <c r="F14" i="74"/>
  <c r="F13" i="74" s="1"/>
  <c r="D28" i="74" s="1"/>
  <c r="R13" i="74"/>
  <c r="E13" i="74"/>
  <c r="V12" i="74"/>
  <c r="S12" i="74"/>
  <c r="U12" i="74" s="1"/>
  <c r="F12" i="74"/>
  <c r="V11" i="74"/>
  <c r="S11" i="74"/>
  <c r="F11" i="74"/>
  <c r="F10" i="74" s="1"/>
  <c r="E25" i="74" s="1"/>
  <c r="F25" i="74" s="1"/>
  <c r="G25" i="74" s="1"/>
  <c r="H25" i="74" s="1"/>
  <c r="I25" i="74" s="1"/>
  <c r="J25" i="74" s="1"/>
  <c r="K25" i="74" s="1"/>
  <c r="L25" i="74" s="1"/>
  <c r="M25" i="74" s="1"/>
  <c r="R10" i="74"/>
  <c r="E10" i="74"/>
  <c r="V9" i="74"/>
  <c r="S9" i="74"/>
  <c r="U9" i="74" s="1"/>
  <c r="O9" i="74"/>
  <c r="F9" i="74"/>
  <c r="V8" i="74"/>
  <c r="O8" i="74"/>
  <c r="V7" i="74"/>
  <c r="S7" i="74"/>
  <c r="U7" i="74" s="1"/>
  <c r="O7" i="74"/>
  <c r="F7" i="74"/>
  <c r="R6" i="74"/>
  <c r="E6" i="74"/>
  <c r="W5" i="74"/>
  <c r="E5" i="74"/>
  <c r="E16" i="74" s="1"/>
  <c r="C41" i="70"/>
  <c r="C44" i="70"/>
  <c r="C42" i="70"/>
  <c r="C45" i="70"/>
  <c r="H6" i="74" l="1"/>
  <c r="Q23" i="74" s="1"/>
  <c r="R23" i="74" s="1"/>
  <c r="S23" i="74" s="1"/>
  <c r="T23" i="74" s="1"/>
  <c r="U23" i="74" s="1"/>
  <c r="V23" i="74" s="1"/>
  <c r="W23" i="74" s="1"/>
  <c r="X23" i="74" s="1"/>
  <c r="Y23" i="74" s="1"/>
  <c r="Z23" i="74" s="1"/>
  <c r="Q30" i="74"/>
  <c r="Q37" i="74" s="1"/>
  <c r="R30" i="74"/>
  <c r="R27" i="74"/>
  <c r="Q27" i="74"/>
  <c r="U10" i="74"/>
  <c r="U13" i="74"/>
  <c r="U6" i="74"/>
  <c r="S13" i="74"/>
  <c r="D36" i="74" s="1"/>
  <c r="D35" i="74" s="1"/>
  <c r="G25" i="65" s="1"/>
  <c r="S10" i="74"/>
  <c r="D33" i="74" s="1"/>
  <c r="E33" i="74" s="1"/>
  <c r="F33" i="74" s="1"/>
  <c r="G33" i="74" s="1"/>
  <c r="H33" i="74" s="1"/>
  <c r="I33" i="74" s="1"/>
  <c r="J33" i="74" s="1"/>
  <c r="K33" i="74" s="1"/>
  <c r="L33" i="74" s="1"/>
  <c r="M33" i="74" s="1"/>
  <c r="E36" i="74"/>
  <c r="S6" i="74"/>
  <c r="E28" i="74"/>
  <c r="D27" i="74"/>
  <c r="F16" i="74"/>
  <c r="D23" i="74"/>
  <c r="R5" i="74"/>
  <c r="R17" i="74" s="1"/>
  <c r="H5" i="74" l="1"/>
  <c r="H16" i="74" s="1"/>
  <c r="Q22" i="74"/>
  <c r="R35" i="74"/>
  <c r="R37" i="74" s="1"/>
  <c r="R22" i="74"/>
  <c r="X12" i="65" s="1"/>
  <c r="S35" i="74"/>
  <c r="S27" i="74"/>
  <c r="S30" i="74"/>
  <c r="U5" i="74"/>
  <c r="U17" i="74" s="1"/>
  <c r="S5" i="74"/>
  <c r="S17" i="74" s="1"/>
  <c r="D31" i="74"/>
  <c r="E35" i="74"/>
  <c r="H25" i="65" s="1"/>
  <c r="F36" i="74"/>
  <c r="E27" i="74"/>
  <c r="F28" i="74"/>
  <c r="D22" i="74"/>
  <c r="G12" i="65" s="1"/>
  <c r="E23" i="74"/>
  <c r="F23" i="74" s="1"/>
  <c r="G23" i="74" s="1"/>
  <c r="H23" i="74" s="1"/>
  <c r="I23" i="74" s="1"/>
  <c r="J23" i="74" s="1"/>
  <c r="K23" i="74" s="1"/>
  <c r="L23" i="74" s="1"/>
  <c r="M23" i="74" s="1"/>
  <c r="W12" i="65" l="1"/>
  <c r="Q29" i="74"/>
  <c r="T30" i="74"/>
  <c r="T27" i="74"/>
  <c r="T35" i="74"/>
  <c r="R29" i="74"/>
  <c r="S22" i="74"/>
  <c r="Y12" i="65" s="1"/>
  <c r="S37" i="74"/>
  <c r="G36" i="74"/>
  <c r="F35" i="74"/>
  <c r="I25" i="65" s="1"/>
  <c r="E22" i="74"/>
  <c r="H12" i="65" s="1"/>
  <c r="D29" i="74"/>
  <c r="E31" i="74"/>
  <c r="D30" i="74"/>
  <c r="G28" i="74"/>
  <c r="F27" i="74"/>
  <c r="U35" i="74" l="1"/>
  <c r="T22" i="74"/>
  <c r="Z12" i="65" s="1"/>
  <c r="S29" i="74"/>
  <c r="U27" i="74"/>
  <c r="T37" i="74"/>
  <c r="U30" i="74"/>
  <c r="D37" i="74"/>
  <c r="G24" i="65"/>
  <c r="F31" i="74"/>
  <c r="E30" i="74"/>
  <c r="H24" i="65" s="1"/>
  <c r="H36" i="74"/>
  <c r="G35" i="74"/>
  <c r="J25" i="65" s="1"/>
  <c r="F22" i="74"/>
  <c r="I12" i="65" s="1"/>
  <c r="E29" i="74"/>
  <c r="G27" i="74"/>
  <c r="H28" i="74"/>
  <c r="V30" i="74" l="1"/>
  <c r="V27" i="74"/>
  <c r="U22" i="74"/>
  <c r="AA12" i="65" s="1"/>
  <c r="T29" i="74"/>
  <c r="U37" i="74"/>
  <c r="V35" i="74"/>
  <c r="G22" i="74"/>
  <c r="J12" i="65" s="1"/>
  <c r="F29" i="74"/>
  <c r="I36" i="74"/>
  <c r="H35" i="74"/>
  <c r="K25" i="65" s="1"/>
  <c r="E37" i="74"/>
  <c r="G31" i="74"/>
  <c r="F30" i="74"/>
  <c r="I24" i="65" s="1"/>
  <c r="I28" i="74"/>
  <c r="H27" i="74"/>
  <c r="V22" i="74" l="1"/>
  <c r="AB12" i="65" s="1"/>
  <c r="U29" i="74"/>
  <c r="W35" i="74"/>
  <c r="W27" i="74"/>
  <c r="W30" i="74"/>
  <c r="W37" i="74" s="1"/>
  <c r="V37" i="74"/>
  <c r="G30" i="74"/>
  <c r="J24" i="65" s="1"/>
  <c r="H31" i="74"/>
  <c r="J36" i="74"/>
  <c r="I35" i="74"/>
  <c r="L25" i="65" s="1"/>
  <c r="F37" i="74"/>
  <c r="H22" i="74"/>
  <c r="K12" i="65" s="1"/>
  <c r="G29" i="74"/>
  <c r="J28" i="74"/>
  <c r="I27" i="74"/>
  <c r="X30" i="74" l="1"/>
  <c r="X27" i="74"/>
  <c r="X35" i="74"/>
  <c r="W22" i="74"/>
  <c r="AC12" i="65" s="1"/>
  <c r="V29" i="74"/>
  <c r="I22" i="74"/>
  <c r="L12" i="65" s="1"/>
  <c r="H29" i="74"/>
  <c r="K36" i="74"/>
  <c r="J35" i="74"/>
  <c r="M25" i="65" s="1"/>
  <c r="H30" i="74"/>
  <c r="K24" i="65" s="1"/>
  <c r="I31" i="74"/>
  <c r="G37" i="74"/>
  <c r="J27" i="74"/>
  <c r="K28" i="74"/>
  <c r="Z35" i="74" l="1"/>
  <c r="Y35" i="74"/>
  <c r="Z27" i="74"/>
  <c r="Y27" i="74"/>
  <c r="W29" i="74"/>
  <c r="X22" i="74"/>
  <c r="AD12" i="65" s="1"/>
  <c r="Y30" i="74"/>
  <c r="Y37" i="74" s="1"/>
  <c r="Z30" i="74"/>
  <c r="Z37" i="74" s="1"/>
  <c r="X37" i="74"/>
  <c r="I30" i="74"/>
  <c r="L24" i="65" s="1"/>
  <c r="J31" i="74"/>
  <c r="H37" i="74"/>
  <c r="K35" i="74"/>
  <c r="N25" i="65" s="1"/>
  <c r="L36" i="74"/>
  <c r="J22" i="74"/>
  <c r="M12" i="65" s="1"/>
  <c r="I29" i="74"/>
  <c r="K27" i="74"/>
  <c r="L28" i="74"/>
  <c r="X29" i="74" l="1"/>
  <c r="Y22" i="74"/>
  <c r="AE12" i="65" s="1"/>
  <c r="K22" i="74"/>
  <c r="N12" i="65" s="1"/>
  <c r="J29" i="74"/>
  <c r="L35" i="74"/>
  <c r="O25" i="65" s="1"/>
  <c r="M36" i="74"/>
  <c r="M35" i="74" s="1"/>
  <c r="P25" i="65" s="1"/>
  <c r="J30" i="74"/>
  <c r="M24" i="65" s="1"/>
  <c r="K31" i="74"/>
  <c r="I37" i="74"/>
  <c r="L27" i="74"/>
  <c r="M28" i="74"/>
  <c r="M27" i="74" s="1"/>
  <c r="Y29" i="74" l="1"/>
  <c r="Z22" i="74"/>
  <c r="K30" i="74"/>
  <c r="N24" i="65" s="1"/>
  <c r="L31" i="74"/>
  <c r="J37" i="74"/>
  <c r="L22" i="74"/>
  <c r="O12" i="65" s="1"/>
  <c r="K29" i="74"/>
  <c r="Z29" i="74" l="1"/>
  <c r="AF12" i="65"/>
  <c r="M22" i="74"/>
  <c r="L29" i="74"/>
  <c r="L30" i="74"/>
  <c r="O24" i="65" s="1"/>
  <c r="M31" i="74"/>
  <c r="K37" i="74"/>
  <c r="M29" i="74" l="1"/>
  <c r="P12" i="65"/>
  <c r="M30" i="74"/>
  <c r="L37" i="74"/>
  <c r="M37" i="74" l="1"/>
  <c r="P24" i="65"/>
  <c r="F99" i="61" l="1"/>
  <c r="G120" i="61"/>
  <c r="G42" i="59" l="1"/>
  <c r="D654" i="56" l="1"/>
  <c r="D653" i="56"/>
  <c r="D570" i="56"/>
  <c r="C570" i="56"/>
  <c r="D569" i="56"/>
  <c r="C569" i="56"/>
  <c r="I556" i="56"/>
  <c r="I555" i="56"/>
  <c r="I551" i="56"/>
  <c r="I562" i="56"/>
  <c r="I561" i="56"/>
  <c r="I559" i="56"/>
  <c r="I558" i="56"/>
  <c r="I553" i="56"/>
  <c r="I552" i="56"/>
  <c r="F547" i="56"/>
  <c r="F548" i="56" s="1"/>
  <c r="I546" i="56"/>
  <c r="I545" i="56"/>
  <c r="I544" i="56"/>
  <c r="I543" i="56"/>
  <c r="I542" i="56"/>
  <c r="I541" i="56"/>
  <c r="I539" i="56"/>
  <c r="I538" i="56"/>
  <c r="H536" i="56"/>
  <c r="I536" i="56" s="1"/>
  <c r="I535" i="56"/>
  <c r="I526" i="56"/>
  <c r="I525" i="56"/>
  <c r="I523" i="56"/>
  <c r="I522" i="56"/>
  <c r="I520" i="56"/>
  <c r="I519" i="56"/>
  <c r="F515" i="56"/>
  <c r="F516" i="56" s="1"/>
  <c r="I514" i="56"/>
  <c r="I513" i="56"/>
  <c r="I512" i="56"/>
  <c r="I511" i="56"/>
  <c r="I510" i="56"/>
  <c r="I509" i="56"/>
  <c r="I507" i="56"/>
  <c r="I506" i="56"/>
  <c r="H504" i="56"/>
  <c r="I504" i="56" s="1"/>
  <c r="I503" i="56"/>
  <c r="D332" i="56"/>
  <c r="D331" i="56"/>
  <c r="D330" i="56"/>
  <c r="C332" i="56"/>
  <c r="C331" i="56"/>
  <c r="C330" i="56"/>
  <c r="I322" i="56"/>
  <c r="I321" i="56"/>
  <c r="I320" i="56"/>
  <c r="D225" i="56"/>
  <c r="C396" i="55"/>
  <c r="C399" i="55"/>
  <c r="C37" i="55"/>
  <c r="G23" i="55"/>
  <c r="F37" i="55" s="1"/>
  <c r="G37" i="55" s="1"/>
  <c r="G12" i="55"/>
  <c r="G13" i="55"/>
  <c r="G14" i="55"/>
  <c r="G15" i="55"/>
  <c r="G16" i="55"/>
  <c r="G17" i="55"/>
  <c r="G18" i="55"/>
  <c r="G19" i="55"/>
  <c r="G20" i="55"/>
  <c r="G21" i="55"/>
  <c r="G22" i="55"/>
  <c r="G11" i="55"/>
  <c r="F396" i="55" l="1"/>
  <c r="G396" i="55" s="1"/>
  <c r="G39" i="55"/>
  <c r="I502" i="56"/>
  <c r="I323" i="56"/>
  <c r="G332" i="56" s="1"/>
  <c r="H332" i="56" s="1"/>
  <c r="I557" i="56"/>
  <c r="I550" i="56"/>
  <c r="I521" i="56"/>
  <c r="I554" i="56"/>
  <c r="I534" i="56"/>
  <c r="I505" i="56"/>
  <c r="I518" i="56"/>
  <c r="I537" i="56"/>
  <c r="I524" i="56"/>
  <c r="I560" i="56"/>
  <c r="F549" i="56"/>
  <c r="I549" i="56" s="1"/>
  <c r="I548" i="56"/>
  <c r="I547" i="56"/>
  <c r="F517" i="56"/>
  <c r="I517" i="56" s="1"/>
  <c r="I516" i="56"/>
  <c r="I515" i="56"/>
  <c r="I508" i="56" l="1"/>
  <c r="I527" i="56"/>
  <c r="I540" i="56"/>
  <c r="I563" i="56" s="1"/>
  <c r="G570" i="56" l="1"/>
  <c r="F13" i="52" l="1"/>
  <c r="E13" i="52"/>
  <c r="T30" i="50" l="1"/>
  <c r="E49" i="70" s="1"/>
  <c r="S30" i="50"/>
  <c r="T13" i="52" s="1"/>
  <c r="R30" i="50"/>
  <c r="S13" i="52" s="1"/>
  <c r="Q30" i="50"/>
  <c r="R13" i="52" s="1"/>
  <c r="P30" i="50"/>
  <c r="Q13" i="52" s="1"/>
  <c r="O30" i="50"/>
  <c r="P13" i="52" s="1"/>
  <c r="N30" i="50"/>
  <c r="O13" i="52" s="1"/>
  <c r="M30" i="50"/>
  <c r="N13" i="52" s="1"/>
  <c r="L30" i="50"/>
  <c r="M13" i="52" s="1"/>
  <c r="K30" i="50"/>
  <c r="J30" i="50"/>
  <c r="K13" i="52" s="1"/>
  <c r="I30" i="50"/>
  <c r="J13" i="52" s="1"/>
  <c r="H30" i="50"/>
  <c r="I13" i="52" s="1"/>
  <c r="G30" i="50"/>
  <c r="H13" i="52" s="1"/>
  <c r="F30" i="50"/>
  <c r="G13" i="52" s="1"/>
  <c r="U30" i="50" l="1"/>
  <c r="D48" i="70" s="1"/>
  <c r="L13" i="52"/>
  <c r="E72" i="70"/>
  <c r="U13" i="52"/>
  <c r="H46" i="54"/>
  <c r="H44" i="54"/>
  <c r="F72" i="70" l="1"/>
  <c r="E69" i="70"/>
  <c r="V48" i="70"/>
  <c r="J42" i="54"/>
  <c r="F69" i="70" l="1"/>
  <c r="H11" i="54"/>
  <c r="D24" i="50" l="1"/>
  <c r="I18" i="40"/>
  <c r="D25" i="50" l="1"/>
  <c r="D27" i="50" s="1"/>
  <c r="D29" i="50" s="1"/>
  <c r="D31" i="50" s="1"/>
  <c r="D32" i="50"/>
  <c r="D33" i="50" s="1"/>
  <c r="I32" i="40"/>
  <c r="E14" i="50"/>
  <c r="D26" i="50" s="1"/>
  <c r="D14" i="50"/>
  <c r="F17" i="50" s="1"/>
  <c r="F13" i="50"/>
  <c r="G13" i="50" s="1"/>
  <c r="G7" i="40"/>
  <c r="H7" i="40"/>
  <c r="I19" i="40"/>
  <c r="G24" i="50" l="1"/>
  <c r="Q24" i="50"/>
  <c r="S24" i="50"/>
  <c r="K24" i="50"/>
  <c r="T24" i="50"/>
  <c r="N24" i="50"/>
  <c r="I24" i="50"/>
  <c r="L24" i="50"/>
  <c r="P24" i="50"/>
  <c r="R24" i="50"/>
  <c r="F24" i="50"/>
  <c r="O24" i="50"/>
  <c r="M24" i="50"/>
  <c r="E24" i="50"/>
  <c r="J24" i="50"/>
  <c r="H24" i="50"/>
  <c r="F14" i="50"/>
  <c r="G14" i="50" s="1"/>
  <c r="G26" i="50" s="1"/>
  <c r="I25" i="50" l="1"/>
  <c r="I27" i="50" s="1"/>
  <c r="I29" i="50" s="1"/>
  <c r="I31" i="50" s="1"/>
  <c r="I32" i="50"/>
  <c r="I33" i="50" s="1"/>
  <c r="E25" i="50"/>
  <c r="E27" i="50" s="1"/>
  <c r="E29" i="50" s="1"/>
  <c r="E31" i="50" s="1"/>
  <c r="E32" i="50"/>
  <c r="E33" i="50" s="1"/>
  <c r="N25" i="50"/>
  <c r="N27" i="50" s="1"/>
  <c r="N29" i="50" s="1"/>
  <c r="N31" i="50" s="1"/>
  <c r="N32" i="50"/>
  <c r="N33" i="50" s="1"/>
  <c r="T25" i="50"/>
  <c r="T27" i="50" s="1"/>
  <c r="T29" i="50" s="1"/>
  <c r="T31" i="50" s="1"/>
  <c r="T32" i="50"/>
  <c r="T33" i="50" s="1"/>
  <c r="H25" i="50"/>
  <c r="H27" i="50" s="1"/>
  <c r="H29" i="50" s="1"/>
  <c r="H31" i="50" s="1"/>
  <c r="H32" i="50"/>
  <c r="H33" i="50" s="1"/>
  <c r="K25" i="50"/>
  <c r="K27" i="50" s="1"/>
  <c r="K29" i="50" s="1"/>
  <c r="K31" i="50" s="1"/>
  <c r="K32" i="50"/>
  <c r="K33" i="50" s="1"/>
  <c r="J25" i="50"/>
  <c r="J27" i="50" s="1"/>
  <c r="J29" i="50" s="1"/>
  <c r="J31" i="50" s="1"/>
  <c r="J32" i="50"/>
  <c r="J33" i="50" s="1"/>
  <c r="M25" i="50"/>
  <c r="M27" i="50" s="1"/>
  <c r="M29" i="50" s="1"/>
  <c r="M31" i="50" s="1"/>
  <c r="M32" i="50"/>
  <c r="M33" i="50" s="1"/>
  <c r="F25" i="50"/>
  <c r="F27" i="50" s="1"/>
  <c r="F29" i="50" s="1"/>
  <c r="F31" i="50" s="1"/>
  <c r="F32" i="50"/>
  <c r="F33" i="50" s="1"/>
  <c r="S25" i="50"/>
  <c r="S27" i="50" s="1"/>
  <c r="S29" i="50" s="1"/>
  <c r="S31" i="50" s="1"/>
  <c r="S32" i="50"/>
  <c r="S33" i="50" s="1"/>
  <c r="L25" i="50"/>
  <c r="L27" i="50" s="1"/>
  <c r="L29" i="50" s="1"/>
  <c r="L31" i="50" s="1"/>
  <c r="L32" i="50"/>
  <c r="L33" i="50" s="1"/>
  <c r="O25" i="50"/>
  <c r="O27" i="50" s="1"/>
  <c r="O29" i="50" s="1"/>
  <c r="O31" i="50" s="1"/>
  <c r="O32" i="50"/>
  <c r="O33" i="50" s="1"/>
  <c r="R25" i="50"/>
  <c r="R27" i="50" s="1"/>
  <c r="R29" i="50" s="1"/>
  <c r="R31" i="50" s="1"/>
  <c r="R32" i="50"/>
  <c r="R33" i="50" s="1"/>
  <c r="Q25" i="50"/>
  <c r="Q27" i="50" s="1"/>
  <c r="Q29" i="50" s="1"/>
  <c r="Q31" i="50" s="1"/>
  <c r="Q32" i="50"/>
  <c r="Q33" i="50" s="1"/>
  <c r="P25" i="50"/>
  <c r="P27" i="50" s="1"/>
  <c r="P29" i="50" s="1"/>
  <c r="P31" i="50" s="1"/>
  <c r="P32" i="50"/>
  <c r="P33" i="50" s="1"/>
  <c r="G25" i="50"/>
  <c r="G27" i="50" s="1"/>
  <c r="G29" i="50" s="1"/>
  <c r="G31" i="50" s="1"/>
  <c r="G32" i="50"/>
  <c r="G33" i="50" s="1"/>
  <c r="R26" i="50"/>
  <c r="L26" i="50"/>
  <c r="I26" i="50"/>
  <c r="T26" i="50"/>
  <c r="N26" i="50"/>
  <c r="Q26" i="50"/>
  <c r="E26" i="50"/>
  <c r="P26" i="50"/>
  <c r="S26" i="50"/>
  <c r="H26" i="50"/>
  <c r="K26" i="50"/>
  <c r="J26" i="50"/>
  <c r="O26" i="50"/>
  <c r="M26" i="50"/>
  <c r="F26" i="50"/>
  <c r="G274" i="52"/>
  <c r="G273" i="52"/>
  <c r="F274" i="52"/>
  <c r="F273" i="52"/>
  <c r="G268" i="52"/>
  <c r="G269" i="52"/>
  <c r="G270" i="52"/>
  <c r="G271" i="52"/>
  <c r="G267" i="52"/>
  <c r="F268" i="52"/>
  <c r="F269" i="52"/>
  <c r="F270" i="52"/>
  <c r="F271" i="52"/>
  <c r="F267" i="52"/>
  <c r="G260" i="52"/>
  <c r="G261" i="52"/>
  <c r="G259" i="52"/>
  <c r="G257" i="52"/>
  <c r="G255" i="52"/>
  <c r="F260" i="52"/>
  <c r="F261" i="52"/>
  <c r="F259" i="52"/>
  <c r="F257" i="52"/>
  <c r="F255" i="52"/>
  <c r="H268" i="52" l="1"/>
  <c r="H267" i="52"/>
  <c r="H271" i="52"/>
  <c r="H269" i="52"/>
  <c r="H274" i="52"/>
  <c r="H270" i="52"/>
  <c r="H261" i="52"/>
  <c r="H260" i="52"/>
  <c r="G243" i="52"/>
  <c r="G244" i="52"/>
  <c r="G245" i="52"/>
  <c r="G246" i="52"/>
  <c r="G247" i="52"/>
  <c r="G242" i="52"/>
  <c r="F243" i="52"/>
  <c r="F244" i="52"/>
  <c r="F245" i="52"/>
  <c r="F246" i="52"/>
  <c r="F247" i="52"/>
  <c r="F242" i="52"/>
  <c r="G239" i="52"/>
  <c r="G240" i="52"/>
  <c r="G238" i="52"/>
  <c r="F239" i="52"/>
  <c r="F240" i="52"/>
  <c r="F238" i="52"/>
  <c r="G234" i="52"/>
  <c r="G235" i="52"/>
  <c r="G236" i="52"/>
  <c r="G233" i="52"/>
  <c r="F234" i="52"/>
  <c r="F235" i="52"/>
  <c r="F236" i="52"/>
  <c r="F233" i="52"/>
  <c r="G230" i="52"/>
  <c r="G231" i="52"/>
  <c r="G229" i="52"/>
  <c r="F230" i="52"/>
  <c r="F231" i="52"/>
  <c r="F229" i="52"/>
  <c r="G223" i="52"/>
  <c r="G224" i="52"/>
  <c r="G225" i="52"/>
  <c r="G226" i="52"/>
  <c r="G227" i="52"/>
  <c r="G222" i="52"/>
  <c r="F223" i="52"/>
  <c r="F224" i="52"/>
  <c r="F225" i="52"/>
  <c r="F226" i="52"/>
  <c r="F227" i="52"/>
  <c r="F222" i="52"/>
  <c r="G216" i="52"/>
  <c r="G217" i="52"/>
  <c r="G218" i="52"/>
  <c r="G219" i="52"/>
  <c r="G220" i="52"/>
  <c r="G215" i="52"/>
  <c r="F216" i="52"/>
  <c r="F217" i="52"/>
  <c r="F218" i="52"/>
  <c r="F219" i="52"/>
  <c r="F220" i="52"/>
  <c r="F215" i="52"/>
  <c r="G208" i="52"/>
  <c r="G209" i="52"/>
  <c r="G210" i="52"/>
  <c r="G211" i="52"/>
  <c r="G212" i="52"/>
  <c r="G213" i="52"/>
  <c r="G207" i="52"/>
  <c r="F208" i="52"/>
  <c r="F209" i="52"/>
  <c r="F210" i="52"/>
  <c r="F211" i="52"/>
  <c r="F212" i="52"/>
  <c r="F213" i="52"/>
  <c r="F207" i="52"/>
  <c r="G200" i="52"/>
  <c r="G201" i="52"/>
  <c r="G202" i="52"/>
  <c r="G203" i="52"/>
  <c r="G204" i="52"/>
  <c r="G199" i="52"/>
  <c r="G195" i="52"/>
  <c r="G196" i="52"/>
  <c r="G197" i="52"/>
  <c r="G194" i="52"/>
  <c r="F195" i="52"/>
  <c r="F196" i="52"/>
  <c r="F197" i="52"/>
  <c r="F194" i="52"/>
  <c r="F200" i="52"/>
  <c r="F201" i="52"/>
  <c r="F202" i="52"/>
  <c r="F203" i="52"/>
  <c r="F204" i="52"/>
  <c r="F199" i="52"/>
  <c r="G190" i="52"/>
  <c r="G191" i="52"/>
  <c r="G189" i="52"/>
  <c r="F190" i="52"/>
  <c r="F191" i="52"/>
  <c r="F189" i="52"/>
  <c r="G186" i="52"/>
  <c r="G187" i="52"/>
  <c r="G185" i="52"/>
  <c r="F186" i="52"/>
  <c r="F187" i="52"/>
  <c r="F185" i="52"/>
  <c r="G180" i="52"/>
  <c r="G181" i="52"/>
  <c r="G182" i="52"/>
  <c r="G183" i="52"/>
  <c r="G179" i="52"/>
  <c r="F180" i="52"/>
  <c r="F181" i="52"/>
  <c r="F182" i="52"/>
  <c r="F183" i="52"/>
  <c r="F179" i="52"/>
  <c r="G166" i="52"/>
  <c r="G167" i="52"/>
  <c r="G168" i="52"/>
  <c r="G169" i="52"/>
  <c r="G170" i="52"/>
  <c r="G171" i="52"/>
  <c r="G172" i="52"/>
  <c r="G173" i="52"/>
  <c r="G174" i="52"/>
  <c r="G175" i="52"/>
  <c r="G176" i="52"/>
  <c r="G177" i="52"/>
  <c r="G165" i="52"/>
  <c r="F166" i="52"/>
  <c r="F167" i="52"/>
  <c r="F168" i="52"/>
  <c r="F169" i="52"/>
  <c r="F170" i="52"/>
  <c r="F171" i="52"/>
  <c r="F172" i="52"/>
  <c r="F173" i="52"/>
  <c r="F174" i="52"/>
  <c r="F175" i="52"/>
  <c r="F176" i="52"/>
  <c r="F177" i="52"/>
  <c r="F165" i="52"/>
  <c r="G149" i="52"/>
  <c r="G150" i="52"/>
  <c r="G151" i="52"/>
  <c r="G152" i="52"/>
  <c r="G153" i="52"/>
  <c r="G154" i="52"/>
  <c r="G155" i="52"/>
  <c r="G156" i="52"/>
  <c r="G157" i="52"/>
  <c r="G158" i="52"/>
  <c r="G159" i="52"/>
  <c r="G160" i="52"/>
  <c r="G161" i="52"/>
  <c r="G162" i="52"/>
  <c r="G163" i="52"/>
  <c r="G148" i="52"/>
  <c r="F149" i="52"/>
  <c r="H149" i="52" s="1"/>
  <c r="F150" i="52"/>
  <c r="F151" i="52"/>
  <c r="F152" i="52"/>
  <c r="F153" i="52"/>
  <c r="F154" i="52"/>
  <c r="F155" i="52"/>
  <c r="F156" i="52"/>
  <c r="F157" i="52"/>
  <c r="F158" i="52"/>
  <c r="F159" i="52"/>
  <c r="F160" i="52"/>
  <c r="F161" i="52"/>
  <c r="F162" i="52"/>
  <c r="F163" i="52"/>
  <c r="F148" i="52"/>
  <c r="H148" i="52" s="1"/>
  <c r="G143" i="52"/>
  <c r="G144" i="52"/>
  <c r="G145" i="52"/>
  <c r="G146" i="52"/>
  <c r="G142" i="52"/>
  <c r="F143" i="52"/>
  <c r="F144" i="52"/>
  <c r="F145" i="52"/>
  <c r="F146" i="52"/>
  <c r="F142" i="52"/>
  <c r="G123" i="52"/>
  <c r="G124" i="52"/>
  <c r="G125" i="52"/>
  <c r="G126" i="52"/>
  <c r="G127" i="52"/>
  <c r="G128" i="52"/>
  <c r="G129" i="52"/>
  <c r="G130" i="52"/>
  <c r="G131" i="52"/>
  <c r="G132" i="52"/>
  <c r="G133" i="52"/>
  <c r="G134" i="52"/>
  <c r="G135" i="52"/>
  <c r="G136" i="52"/>
  <c r="G137" i="52"/>
  <c r="G138" i="52"/>
  <c r="G139" i="52"/>
  <c r="G122" i="52"/>
  <c r="F123" i="52"/>
  <c r="F124" i="52"/>
  <c r="F125" i="52"/>
  <c r="F126" i="52"/>
  <c r="F127" i="52"/>
  <c r="F128" i="52"/>
  <c r="F129" i="52"/>
  <c r="F130" i="52"/>
  <c r="F131" i="52"/>
  <c r="F132" i="52"/>
  <c r="F133" i="52"/>
  <c r="F134" i="52"/>
  <c r="F135" i="52"/>
  <c r="F136" i="52"/>
  <c r="F137" i="52"/>
  <c r="F138" i="52"/>
  <c r="F139" i="52"/>
  <c r="F122" i="52"/>
  <c r="G109" i="52"/>
  <c r="G110" i="52"/>
  <c r="G111" i="52"/>
  <c r="G112" i="52"/>
  <c r="G113" i="52"/>
  <c r="G114" i="52"/>
  <c r="G115" i="52"/>
  <c r="G116" i="52"/>
  <c r="G117" i="52"/>
  <c r="G118" i="52"/>
  <c r="G119" i="52"/>
  <c r="G120" i="52"/>
  <c r="G108" i="52"/>
  <c r="F109" i="52"/>
  <c r="F110" i="52"/>
  <c r="F111" i="52"/>
  <c r="F112" i="52"/>
  <c r="F113" i="52"/>
  <c r="F114" i="52"/>
  <c r="F115" i="52"/>
  <c r="F116" i="52"/>
  <c r="F117" i="52"/>
  <c r="F118" i="52"/>
  <c r="F119" i="52"/>
  <c r="F120" i="52"/>
  <c r="F108" i="52"/>
  <c r="G104" i="52"/>
  <c r="G105" i="52"/>
  <c r="G106" i="52"/>
  <c r="G103" i="52"/>
  <c r="F104" i="52"/>
  <c r="F105" i="52"/>
  <c r="F106" i="52"/>
  <c r="F103" i="52"/>
  <c r="G86" i="52"/>
  <c r="G87" i="52"/>
  <c r="G88" i="52"/>
  <c r="G89" i="52"/>
  <c r="G90" i="52"/>
  <c r="G91" i="52"/>
  <c r="G92" i="52"/>
  <c r="G93" i="52"/>
  <c r="G94" i="52"/>
  <c r="G95" i="52"/>
  <c r="G96" i="52"/>
  <c r="G85" i="52"/>
  <c r="F86" i="52"/>
  <c r="F87" i="52"/>
  <c r="F88" i="52"/>
  <c r="F89" i="52"/>
  <c r="F90" i="52"/>
  <c r="F91" i="52"/>
  <c r="F92" i="52"/>
  <c r="F93" i="52"/>
  <c r="F94" i="52"/>
  <c r="F95" i="52"/>
  <c r="F96" i="52"/>
  <c r="F85" i="52"/>
  <c r="H120" i="52" l="1"/>
  <c r="H112" i="52"/>
  <c r="H134" i="52"/>
  <c r="H126" i="52"/>
  <c r="H113" i="52"/>
  <c r="H137" i="52"/>
  <c r="H89" i="52"/>
  <c r="H88" i="52"/>
  <c r="H96" i="52"/>
  <c r="H173" i="52"/>
  <c r="H87" i="52"/>
  <c r="H119" i="52"/>
  <c r="H86" i="52"/>
  <c r="H175" i="52"/>
  <c r="H167" i="52"/>
  <c r="H183" i="52"/>
  <c r="H136" i="52"/>
  <c r="H128" i="52"/>
  <c r="H135" i="52"/>
  <c r="H127" i="52"/>
  <c r="H179" i="52"/>
  <c r="H144" i="52"/>
  <c r="H226" i="52"/>
  <c r="H159" i="52"/>
  <c r="H146" i="52"/>
  <c r="H213" i="52"/>
  <c r="H240" i="52"/>
  <c r="H242" i="52"/>
  <c r="H185" i="52"/>
  <c r="H197" i="52"/>
  <c r="H216" i="52"/>
  <c r="H117" i="52"/>
  <c r="H109" i="52"/>
  <c r="H169" i="52"/>
  <c r="H186" i="52"/>
  <c r="H154" i="52"/>
  <c r="H181" i="52"/>
  <c r="H123" i="52"/>
  <c r="H133" i="52"/>
  <c r="H125" i="52"/>
  <c r="H180" i="52"/>
  <c r="H129" i="52"/>
  <c r="H218" i="52"/>
  <c r="H151" i="52"/>
  <c r="H104" i="52"/>
  <c r="H118" i="52"/>
  <c r="H172" i="52"/>
  <c r="H94" i="52"/>
  <c r="H103" i="52"/>
  <c r="H156" i="52"/>
  <c r="H231" i="52"/>
  <c r="H246" i="52"/>
  <c r="H92" i="52"/>
  <c r="H106" i="52"/>
  <c r="H230" i="52"/>
  <c r="H203" i="52"/>
  <c r="H209" i="52"/>
  <c r="H111" i="52"/>
  <c r="H142" i="52"/>
  <c r="H161" i="52"/>
  <c r="H208" i="52"/>
  <c r="H220" i="52"/>
  <c r="H223" i="52"/>
  <c r="H160" i="52"/>
  <c r="H152" i="52"/>
  <c r="H204" i="52"/>
  <c r="H210" i="52"/>
  <c r="H227" i="52"/>
  <c r="H238" i="52"/>
  <c r="H110" i="52"/>
  <c r="H165" i="52"/>
  <c r="H202" i="52"/>
  <c r="H215" i="52"/>
  <c r="H236" i="52"/>
  <c r="H239" i="52"/>
  <c r="H247" i="52"/>
  <c r="H145" i="52"/>
  <c r="H157" i="52"/>
  <c r="H201" i="52"/>
  <c r="H224" i="52"/>
  <c r="H235" i="52"/>
  <c r="H116" i="52"/>
  <c r="H171" i="52"/>
  <c r="H176" i="52"/>
  <c r="H168" i="52"/>
  <c r="H200" i="52"/>
  <c r="H219" i="52"/>
  <c r="H225" i="52"/>
  <c r="H234" i="52"/>
  <c r="H245" i="52"/>
  <c r="H91" i="52"/>
  <c r="H95" i="52"/>
  <c r="H105" i="52"/>
  <c r="H115" i="52"/>
  <c r="H143" i="52"/>
  <c r="H244" i="52"/>
  <c r="H114" i="52"/>
  <c r="H162" i="52"/>
  <c r="H174" i="52"/>
  <c r="H166" i="52"/>
  <c r="H212" i="52"/>
  <c r="H217" i="52"/>
  <c r="H243" i="52"/>
  <c r="H93" i="52"/>
  <c r="H182" i="52"/>
  <c r="H211" i="52"/>
  <c r="H90" i="52"/>
  <c r="H153" i="52"/>
  <c r="H177" i="52"/>
  <c r="H122" i="52"/>
  <c r="H132" i="52"/>
  <c r="H124" i="52"/>
  <c r="H170" i="52"/>
  <c r="H139" i="52"/>
  <c r="H131" i="52"/>
  <c r="H158" i="52"/>
  <c r="H150" i="52"/>
  <c r="H195" i="52"/>
  <c r="H108" i="52"/>
  <c r="H85" i="52"/>
  <c r="H163" i="52"/>
  <c r="H155" i="52"/>
  <c r="H196" i="52"/>
  <c r="H138" i="52"/>
  <c r="H130" i="52"/>
  <c r="D13" i="58" l="1"/>
  <c r="D12" i="58"/>
  <c r="G35" i="61"/>
  <c r="E36" i="61"/>
  <c r="G36" i="61" s="1"/>
  <c r="E37" i="61"/>
  <c r="E63" i="61" s="1"/>
  <c r="E64" i="61"/>
  <c r="E32" i="61"/>
  <c r="G33" i="61"/>
  <c r="E34" i="61"/>
  <c r="E48" i="61" s="1"/>
  <c r="G48" i="61" s="1"/>
  <c r="F49" i="61"/>
  <c r="D49" i="61"/>
  <c r="E49" i="61"/>
  <c r="G49" i="61"/>
  <c r="F50" i="61"/>
  <c r="D50" i="61"/>
  <c r="F51" i="61"/>
  <c r="D51" i="61"/>
  <c r="F52" i="61"/>
  <c r="D52" i="61"/>
  <c r="D46" i="61"/>
  <c r="F46" i="61"/>
  <c r="D47" i="61"/>
  <c r="F47" i="61"/>
  <c r="D48" i="61"/>
  <c r="F48" i="61"/>
  <c r="F61" i="61"/>
  <c r="D61" i="61"/>
  <c r="G61" i="61" s="1"/>
  <c r="E61" i="61"/>
  <c r="F62" i="61"/>
  <c r="D62" i="61"/>
  <c r="F63" i="61"/>
  <c r="D63" i="61"/>
  <c r="F64" i="61"/>
  <c r="D64" i="61"/>
  <c r="D58" i="61"/>
  <c r="F58" i="61"/>
  <c r="D59" i="61"/>
  <c r="F59" i="61"/>
  <c r="D60" i="61"/>
  <c r="E60" i="61"/>
  <c r="G60" i="61" s="1"/>
  <c r="F60" i="61"/>
  <c r="F75" i="61"/>
  <c r="D75" i="61"/>
  <c r="E75" i="61"/>
  <c r="G75" i="61" s="1"/>
  <c r="F76" i="61"/>
  <c r="D76" i="61"/>
  <c r="F77" i="61"/>
  <c r="D77" i="61"/>
  <c r="F78" i="61"/>
  <c r="D78" i="61"/>
  <c r="E78" i="61"/>
  <c r="D72" i="61"/>
  <c r="F72" i="61"/>
  <c r="D73" i="61"/>
  <c r="F73" i="61"/>
  <c r="D74" i="61"/>
  <c r="F74" i="61"/>
  <c r="F87" i="61"/>
  <c r="D87" i="61"/>
  <c r="G87" i="61" s="1"/>
  <c r="E87" i="61"/>
  <c r="F88" i="61"/>
  <c r="D88" i="61"/>
  <c r="F89" i="61"/>
  <c r="D89" i="61"/>
  <c r="F90" i="61"/>
  <c r="D90" i="61"/>
  <c r="G90" i="61" s="1"/>
  <c r="E90" i="61"/>
  <c r="D84" i="61"/>
  <c r="F84" i="61"/>
  <c r="D85" i="61"/>
  <c r="F85" i="61"/>
  <c r="D86" i="61"/>
  <c r="F86" i="61"/>
  <c r="F101" i="61"/>
  <c r="D101" i="61"/>
  <c r="G101" i="61" s="1"/>
  <c r="E101" i="61"/>
  <c r="F102" i="61"/>
  <c r="D102" i="61"/>
  <c r="F103" i="61"/>
  <c r="D103" i="61"/>
  <c r="F104" i="61"/>
  <c r="D104" i="61"/>
  <c r="G104" i="61" s="1"/>
  <c r="E104" i="61"/>
  <c r="D98" i="61"/>
  <c r="F98" i="61"/>
  <c r="D99" i="61"/>
  <c r="E99" i="61"/>
  <c r="G99" i="61" s="1"/>
  <c r="D100" i="61"/>
  <c r="E100" i="61"/>
  <c r="G100" i="61" s="1"/>
  <c r="F100" i="61"/>
  <c r="G146" i="61"/>
  <c r="G147" i="61"/>
  <c r="G148" i="61"/>
  <c r="G113" i="61"/>
  <c r="G114" i="61"/>
  <c r="G121" i="61"/>
  <c r="G122" i="61"/>
  <c r="G123" i="61"/>
  <c r="G124" i="61"/>
  <c r="G125" i="61"/>
  <c r="G126" i="61"/>
  <c r="G127" i="61"/>
  <c r="G128" i="61"/>
  <c r="G129" i="61"/>
  <c r="G130" i="61"/>
  <c r="G131" i="61"/>
  <c r="G132" i="61"/>
  <c r="G133" i="61"/>
  <c r="G134" i="61"/>
  <c r="G135" i="61"/>
  <c r="G136" i="61"/>
  <c r="G137" i="61"/>
  <c r="G138" i="61"/>
  <c r="G139" i="61"/>
  <c r="H117" i="61" s="1"/>
  <c r="B386" i="55"/>
  <c r="B385" i="55"/>
  <c r="B384" i="55"/>
  <c r="B383" i="55"/>
  <c r="B382" i="55"/>
  <c r="B381" i="55"/>
  <c r="B277" i="55"/>
  <c r="B276" i="55"/>
  <c r="B275" i="55"/>
  <c r="B101" i="55"/>
  <c r="B100" i="55"/>
  <c r="B99" i="55"/>
  <c r="E122" i="64"/>
  <c r="G122" i="64"/>
  <c r="H122" i="64" s="1"/>
  <c r="L122" i="64" s="1"/>
  <c r="E123" i="64"/>
  <c r="H123" i="64" s="1"/>
  <c r="L123" i="64" s="1"/>
  <c r="G123" i="64"/>
  <c r="E124" i="64"/>
  <c r="H124" i="64" s="1"/>
  <c r="L124" i="64" s="1"/>
  <c r="G124" i="64"/>
  <c r="E125" i="64"/>
  <c r="H125" i="64" s="1"/>
  <c r="L125" i="64" s="1"/>
  <c r="G125" i="64"/>
  <c r="E126" i="64"/>
  <c r="G126" i="64"/>
  <c r="H126" i="64" s="1"/>
  <c r="L126" i="64" s="1"/>
  <c r="E127" i="64"/>
  <c r="H127" i="64" s="1"/>
  <c r="L127" i="64" s="1"/>
  <c r="G127" i="64"/>
  <c r="E128" i="64"/>
  <c r="G128" i="64"/>
  <c r="E129" i="64"/>
  <c r="H129" i="64" s="1"/>
  <c r="L129" i="64" s="1"/>
  <c r="G129" i="64"/>
  <c r="E130" i="64"/>
  <c r="G130" i="64"/>
  <c r="H130" i="64" s="1"/>
  <c r="L130" i="64" s="1"/>
  <c r="E131" i="64"/>
  <c r="H131" i="64" s="1"/>
  <c r="L131" i="64" s="1"/>
  <c r="G131" i="64"/>
  <c r="E133" i="64"/>
  <c r="H133" i="64" s="1"/>
  <c r="G133" i="64"/>
  <c r="E134" i="64"/>
  <c r="H134" i="64" s="1"/>
  <c r="G134" i="64"/>
  <c r="E135" i="64"/>
  <c r="G135" i="64"/>
  <c r="H135" i="64"/>
  <c r="E136" i="64"/>
  <c r="G136" i="64"/>
  <c r="H136" i="64" s="1"/>
  <c r="L136" i="64" s="1"/>
  <c r="M136" i="64" s="1"/>
  <c r="N136" i="64" s="1"/>
  <c r="O136" i="64" s="1"/>
  <c r="P136" i="64" s="1"/>
  <c r="Q136" i="64" s="1"/>
  <c r="R136" i="64" s="1"/>
  <c r="S136" i="64" s="1"/>
  <c r="T136" i="64" s="1"/>
  <c r="U136" i="64" s="1"/>
  <c r="E137" i="64"/>
  <c r="G137" i="64"/>
  <c r="E138" i="64"/>
  <c r="G138" i="64"/>
  <c r="E139" i="64"/>
  <c r="H139" i="64" s="1"/>
  <c r="L139" i="64" s="1"/>
  <c r="M139" i="64" s="1"/>
  <c r="N139" i="64" s="1"/>
  <c r="O139" i="64" s="1"/>
  <c r="P139" i="64" s="1"/>
  <c r="Q139" i="64" s="1"/>
  <c r="R139" i="64" s="1"/>
  <c r="S139" i="64" s="1"/>
  <c r="T139" i="64" s="1"/>
  <c r="U139" i="64" s="1"/>
  <c r="G139" i="64"/>
  <c r="E143" i="64"/>
  <c r="G143" i="64"/>
  <c r="E144" i="64"/>
  <c r="G144" i="64"/>
  <c r="E145" i="64"/>
  <c r="G145" i="64"/>
  <c r="E147" i="64"/>
  <c r="H147" i="64" s="1"/>
  <c r="G147" i="64"/>
  <c r="E148" i="64"/>
  <c r="G148" i="64"/>
  <c r="H148" i="64" s="1"/>
  <c r="L148" i="64" s="1"/>
  <c r="M148" i="64" s="1"/>
  <c r="N148" i="64" s="1"/>
  <c r="O148" i="64" s="1"/>
  <c r="P148" i="64" s="1"/>
  <c r="Q148" i="64" s="1"/>
  <c r="R148" i="64" s="1"/>
  <c r="S148" i="64" s="1"/>
  <c r="T148" i="64" s="1"/>
  <c r="U148" i="64" s="1"/>
  <c r="E149" i="64"/>
  <c r="H149" i="64" s="1"/>
  <c r="L149" i="64" s="1"/>
  <c r="M149" i="64" s="1"/>
  <c r="N149" i="64" s="1"/>
  <c r="O149" i="64" s="1"/>
  <c r="P149" i="64" s="1"/>
  <c r="Q149" i="64" s="1"/>
  <c r="R149" i="64" s="1"/>
  <c r="S149" i="64" s="1"/>
  <c r="T149" i="64" s="1"/>
  <c r="U149" i="64" s="1"/>
  <c r="G149" i="64"/>
  <c r="E150" i="64"/>
  <c r="H150" i="64" s="1"/>
  <c r="L150" i="64" s="1"/>
  <c r="M150" i="64" s="1"/>
  <c r="N150" i="64" s="1"/>
  <c r="O150" i="64" s="1"/>
  <c r="P150" i="64" s="1"/>
  <c r="Q150" i="64" s="1"/>
  <c r="R150" i="64" s="1"/>
  <c r="S150" i="64" s="1"/>
  <c r="T150" i="64" s="1"/>
  <c r="U150" i="64" s="1"/>
  <c r="G150" i="64"/>
  <c r="E151" i="64"/>
  <c r="G151" i="64"/>
  <c r="H151" i="64" s="1"/>
  <c r="L151" i="64" s="1"/>
  <c r="M151" i="64" s="1"/>
  <c r="N151" i="64" s="1"/>
  <c r="O151" i="64" s="1"/>
  <c r="P151" i="64" s="1"/>
  <c r="Q151" i="64" s="1"/>
  <c r="R151" i="64" s="1"/>
  <c r="S151" i="64" s="1"/>
  <c r="T151" i="64" s="1"/>
  <c r="U151" i="64" s="1"/>
  <c r="E152" i="64"/>
  <c r="G152" i="64"/>
  <c r="H152" i="64" s="1"/>
  <c r="L152" i="64" s="1"/>
  <c r="M152" i="64" s="1"/>
  <c r="N152" i="64" s="1"/>
  <c r="O152" i="64" s="1"/>
  <c r="P152" i="64" s="1"/>
  <c r="Q152" i="64" s="1"/>
  <c r="R152" i="64" s="1"/>
  <c r="S152" i="64" s="1"/>
  <c r="T152" i="64" s="1"/>
  <c r="U152" i="64" s="1"/>
  <c r="E153" i="64"/>
  <c r="G153" i="64"/>
  <c r="E154" i="64"/>
  <c r="H154" i="64" s="1"/>
  <c r="L154" i="64" s="1"/>
  <c r="M154" i="64" s="1"/>
  <c r="N154" i="64" s="1"/>
  <c r="O154" i="64" s="1"/>
  <c r="P154" i="64" s="1"/>
  <c r="Q154" i="64" s="1"/>
  <c r="R154" i="64" s="1"/>
  <c r="S154" i="64" s="1"/>
  <c r="T154" i="64" s="1"/>
  <c r="U154" i="64" s="1"/>
  <c r="G154" i="64"/>
  <c r="E157" i="64"/>
  <c r="G157" i="64"/>
  <c r="E158" i="64"/>
  <c r="G158" i="64"/>
  <c r="E159" i="64"/>
  <c r="H159" i="64" s="1"/>
  <c r="L159" i="64" s="1"/>
  <c r="G159" i="64"/>
  <c r="E161" i="64"/>
  <c r="H161" i="64" s="1"/>
  <c r="G161" i="64"/>
  <c r="H163" i="64"/>
  <c r="L163" i="64" s="1"/>
  <c r="H164" i="64"/>
  <c r="L164" i="64" s="1"/>
  <c r="H165" i="64"/>
  <c r="L165" i="64" s="1"/>
  <c r="H166" i="64"/>
  <c r="L166" i="64" s="1"/>
  <c r="M166" i="64" s="1"/>
  <c r="N166" i="64" s="1"/>
  <c r="O166" i="64" s="1"/>
  <c r="P166" i="64" s="1"/>
  <c r="Q166" i="64" s="1"/>
  <c r="R166" i="64" s="1"/>
  <c r="S166" i="64" s="1"/>
  <c r="T166" i="64" s="1"/>
  <c r="U166" i="64" s="1"/>
  <c r="H167" i="64"/>
  <c r="L167" i="64" s="1"/>
  <c r="H170" i="64"/>
  <c r="L170" i="64" s="1"/>
  <c r="H171" i="64"/>
  <c r="L171" i="64"/>
  <c r="H172" i="64"/>
  <c r="L172" i="64" s="1"/>
  <c r="H173" i="64"/>
  <c r="L173" i="64" s="1"/>
  <c r="M173" i="64" s="1"/>
  <c r="N173" i="64" s="1"/>
  <c r="O173" i="64" s="1"/>
  <c r="P173" i="64" s="1"/>
  <c r="Q173" i="64" s="1"/>
  <c r="R173" i="64" s="1"/>
  <c r="S173" i="64" s="1"/>
  <c r="T173" i="64" s="1"/>
  <c r="U173" i="64" s="1"/>
  <c r="H174" i="64"/>
  <c r="L174" i="64" s="1"/>
  <c r="H175" i="64"/>
  <c r="L175" i="64" s="1"/>
  <c r="M175" i="64" s="1"/>
  <c r="N175" i="64" s="1"/>
  <c r="O175" i="64" s="1"/>
  <c r="P175" i="64" s="1"/>
  <c r="Q175" i="64" s="1"/>
  <c r="R175" i="64" s="1"/>
  <c r="S175" i="64" s="1"/>
  <c r="T175" i="64" s="1"/>
  <c r="U175" i="64" s="1"/>
  <c r="H176" i="64"/>
  <c r="L176" i="64" s="1"/>
  <c r="H177" i="64"/>
  <c r="L177" i="64" s="1"/>
  <c r="M177" i="64" s="1"/>
  <c r="N177" i="64" s="1"/>
  <c r="O177" i="64" s="1"/>
  <c r="P177" i="64" s="1"/>
  <c r="Q177" i="64" s="1"/>
  <c r="R177" i="64" s="1"/>
  <c r="S177" i="64" s="1"/>
  <c r="T177" i="64" s="1"/>
  <c r="U177" i="64" s="1"/>
  <c r="H178" i="64"/>
  <c r="L178" i="64" s="1"/>
  <c r="H179" i="64"/>
  <c r="L179" i="64" s="1"/>
  <c r="M179" i="64" s="1"/>
  <c r="N179" i="64" s="1"/>
  <c r="O179" i="64" s="1"/>
  <c r="P179" i="64" s="1"/>
  <c r="Q179" i="64" s="1"/>
  <c r="R179" i="64" s="1"/>
  <c r="S179" i="64" s="1"/>
  <c r="T179" i="64" s="1"/>
  <c r="U179" i="64" s="1"/>
  <c r="H180" i="64"/>
  <c r="L180" i="64" s="1"/>
  <c r="H181" i="64"/>
  <c r="L181" i="64" s="1"/>
  <c r="M181" i="64" s="1"/>
  <c r="N181" i="64" s="1"/>
  <c r="O181" i="64" s="1"/>
  <c r="P181" i="64" s="1"/>
  <c r="Q181" i="64" s="1"/>
  <c r="R181" i="64" s="1"/>
  <c r="S181" i="64" s="1"/>
  <c r="T181" i="64" s="1"/>
  <c r="U181" i="64" s="1"/>
  <c r="H182" i="64"/>
  <c r="L182" i="64" s="1"/>
  <c r="H183" i="64"/>
  <c r="L183" i="64" s="1"/>
  <c r="M183" i="64" s="1"/>
  <c r="N183" i="64" s="1"/>
  <c r="O183" i="64" s="1"/>
  <c r="P183" i="64" s="1"/>
  <c r="Q183" i="64" s="1"/>
  <c r="R183" i="64" s="1"/>
  <c r="S183" i="64" s="1"/>
  <c r="T183" i="64" s="1"/>
  <c r="U183" i="64" s="1"/>
  <c r="H185" i="64"/>
  <c r="L185" i="64" s="1"/>
  <c r="L184" i="64" s="1"/>
  <c r="H186" i="64"/>
  <c r="L186" i="64" s="1"/>
  <c r="H188" i="64"/>
  <c r="L188" i="64" s="1"/>
  <c r="M188" i="64" s="1"/>
  <c r="H189" i="64"/>
  <c r="L189" i="64" s="1"/>
  <c r="L192" i="64"/>
  <c r="G26" i="65"/>
  <c r="L99" i="64"/>
  <c r="L103" i="64"/>
  <c r="K106" i="64"/>
  <c r="G14" i="65"/>
  <c r="D89" i="68"/>
  <c r="D90" i="68"/>
  <c r="D88" i="68" s="1"/>
  <c r="D92" i="68"/>
  <c r="D93" i="68"/>
  <c r="D91" i="68"/>
  <c r="F30" i="47"/>
  <c r="H30" i="47" s="1"/>
  <c r="I30" i="47" s="1"/>
  <c r="J30" i="47" s="1"/>
  <c r="G30" i="48" s="1"/>
  <c r="I30" i="48" s="1"/>
  <c r="J30" i="48" s="1"/>
  <c r="G30" i="47"/>
  <c r="I19" i="47"/>
  <c r="J19" i="47"/>
  <c r="H30" i="48"/>
  <c r="G19" i="48"/>
  <c r="E19" i="48"/>
  <c r="H19" i="48"/>
  <c r="I19" i="48" s="1"/>
  <c r="F31" i="47"/>
  <c r="G31" i="47"/>
  <c r="H31" i="48"/>
  <c r="F32" i="47"/>
  <c r="H32" i="47" s="1"/>
  <c r="I32" i="47" s="1"/>
  <c r="J32" i="47" s="1"/>
  <c r="G32" i="48" s="1"/>
  <c r="I32" i="48" s="1"/>
  <c r="J32" i="48" s="1"/>
  <c r="G32" i="47"/>
  <c r="H32" i="48"/>
  <c r="F33" i="47"/>
  <c r="G33" i="47"/>
  <c r="H33" i="47"/>
  <c r="I33" i="47"/>
  <c r="J33" i="47" s="1"/>
  <c r="G33" i="48" s="1"/>
  <c r="H33" i="48"/>
  <c r="I33" i="48"/>
  <c r="J33" i="48" s="1"/>
  <c r="F34" i="47"/>
  <c r="G34" i="47"/>
  <c r="H34" i="47"/>
  <c r="I34" i="47" s="1"/>
  <c r="J34" i="47" s="1"/>
  <c r="G34" i="48" s="1"/>
  <c r="H34" i="48"/>
  <c r="F35" i="47"/>
  <c r="H35" i="47" s="1"/>
  <c r="I35" i="47" s="1"/>
  <c r="J35" i="47" s="1"/>
  <c r="G35" i="47"/>
  <c r="G35" i="48"/>
  <c r="I35" i="48" s="1"/>
  <c r="J35" i="48" s="1"/>
  <c r="H35" i="48"/>
  <c r="F36" i="47"/>
  <c r="H36" i="47" s="1"/>
  <c r="I36" i="47" s="1"/>
  <c r="J36" i="47" s="1"/>
  <c r="G36" i="48" s="1"/>
  <c r="I36" i="48" s="1"/>
  <c r="J36" i="48" s="1"/>
  <c r="G36" i="47"/>
  <c r="H36" i="48"/>
  <c r="F37" i="47"/>
  <c r="G37" i="47"/>
  <c r="H37" i="47"/>
  <c r="I37" i="47"/>
  <c r="J37" i="47" s="1"/>
  <c r="G37" i="48" s="1"/>
  <c r="I37" i="48" s="1"/>
  <c r="J37" i="48" s="1"/>
  <c r="H37" i="48"/>
  <c r="F38" i="47"/>
  <c r="G38" i="47"/>
  <c r="H38" i="47"/>
  <c r="I38" i="47" s="1"/>
  <c r="J38" i="47" s="1"/>
  <c r="G38" i="48" s="1"/>
  <c r="I38" i="48" s="1"/>
  <c r="J38" i="48" s="1"/>
  <c r="H38" i="48"/>
  <c r="F39" i="47"/>
  <c r="G39" i="47"/>
  <c r="H39" i="48"/>
  <c r="F40" i="47"/>
  <c r="H40" i="47" s="1"/>
  <c r="I40" i="47" s="1"/>
  <c r="J40" i="47" s="1"/>
  <c r="G40" i="48" s="1"/>
  <c r="I40" i="48" s="1"/>
  <c r="J40" i="48" s="1"/>
  <c r="G40" i="47"/>
  <c r="H40" i="48"/>
  <c r="F41" i="47"/>
  <c r="G41" i="47"/>
  <c r="H41" i="47"/>
  <c r="I41" i="47"/>
  <c r="J41" i="47" s="1"/>
  <c r="G41" i="48" s="1"/>
  <c r="I41" i="48" s="1"/>
  <c r="J41" i="48" s="1"/>
  <c r="H41" i="48"/>
  <c r="F42" i="47"/>
  <c r="G42" i="47"/>
  <c r="H42" i="47"/>
  <c r="I42" i="47" s="1"/>
  <c r="J42" i="47" s="1"/>
  <c r="G42" i="48" s="1"/>
  <c r="I42" i="48" s="1"/>
  <c r="J42" i="48" s="1"/>
  <c r="H42" i="48"/>
  <c r="F43" i="47"/>
  <c r="H43" i="47" s="1"/>
  <c r="I43" i="47" s="1"/>
  <c r="J43" i="47" s="1"/>
  <c r="G43" i="48" s="1"/>
  <c r="I43" i="48" s="1"/>
  <c r="J43" i="48" s="1"/>
  <c r="G43" i="47"/>
  <c r="H43" i="48"/>
  <c r="F44" i="47"/>
  <c r="H44" i="47" s="1"/>
  <c r="I44" i="47" s="1"/>
  <c r="G44" i="47"/>
  <c r="J44" i="47"/>
  <c r="G44" i="48" s="1"/>
  <c r="I44" i="48" s="1"/>
  <c r="J44" i="48" s="1"/>
  <c r="H44" i="48"/>
  <c r="F45" i="47"/>
  <c r="G45" i="47"/>
  <c r="H45" i="47"/>
  <c r="I45" i="47"/>
  <c r="J45" i="47" s="1"/>
  <c r="G45" i="48" s="1"/>
  <c r="I45" i="48" s="1"/>
  <c r="H45" i="48"/>
  <c r="F46" i="47"/>
  <c r="G46" i="47"/>
  <c r="H46" i="47"/>
  <c r="I46" i="47" s="1"/>
  <c r="J46" i="47" s="1"/>
  <c r="G46" i="48" s="1"/>
  <c r="I46" i="48" s="1"/>
  <c r="H46" i="48"/>
  <c r="F47" i="47"/>
  <c r="G47" i="47"/>
  <c r="H47" i="48"/>
  <c r="F48" i="47"/>
  <c r="H48" i="47" s="1"/>
  <c r="I48" i="47" s="1"/>
  <c r="J48" i="47" s="1"/>
  <c r="G48" i="48" s="1"/>
  <c r="I48" i="48" s="1"/>
  <c r="J48" i="48" s="1"/>
  <c r="G48" i="47"/>
  <c r="H48" i="48"/>
  <c r="F49" i="47"/>
  <c r="G49" i="47"/>
  <c r="H49" i="47"/>
  <c r="I49" i="47"/>
  <c r="J49" i="47" s="1"/>
  <c r="G49" i="48" s="1"/>
  <c r="H49" i="48"/>
  <c r="I49" i="48"/>
  <c r="J49" i="48" s="1"/>
  <c r="F50" i="47"/>
  <c r="G50" i="47"/>
  <c r="H50" i="47"/>
  <c r="I50" i="47" s="1"/>
  <c r="J50" i="47" s="1"/>
  <c r="G50" i="48" s="1"/>
  <c r="I50" i="48" s="1"/>
  <c r="J50" i="48" s="1"/>
  <c r="H50" i="48"/>
  <c r="F51" i="47"/>
  <c r="H51" i="47" s="1"/>
  <c r="I51" i="47" s="1"/>
  <c r="J51" i="47" s="1"/>
  <c r="G51" i="48" s="1"/>
  <c r="I51" i="48" s="1"/>
  <c r="J51" i="48" s="1"/>
  <c r="G51" i="47"/>
  <c r="H51" i="48"/>
  <c r="F52" i="47"/>
  <c r="H52" i="47" s="1"/>
  <c r="I52" i="47" s="1"/>
  <c r="G52" i="47"/>
  <c r="J52" i="47"/>
  <c r="G52" i="48" s="1"/>
  <c r="I52" i="48" s="1"/>
  <c r="J52" i="48" s="1"/>
  <c r="H52" i="48"/>
  <c r="F53" i="47"/>
  <c r="G53" i="47"/>
  <c r="H53" i="47"/>
  <c r="I53" i="47"/>
  <c r="J53" i="47" s="1"/>
  <c r="G53" i="48" s="1"/>
  <c r="I53" i="48" s="1"/>
  <c r="J53" i="48" s="1"/>
  <c r="H53" i="48"/>
  <c r="F54" i="47"/>
  <c r="G54" i="47"/>
  <c r="H54" i="47"/>
  <c r="I54" i="47" s="1"/>
  <c r="J54" i="47" s="1"/>
  <c r="G54" i="48" s="1"/>
  <c r="I54" i="48" s="1"/>
  <c r="J54" i="48" s="1"/>
  <c r="H54" i="48"/>
  <c r="F55" i="47"/>
  <c r="G55" i="47"/>
  <c r="H55" i="48"/>
  <c r="F56" i="47"/>
  <c r="H56" i="47" s="1"/>
  <c r="I56" i="47" s="1"/>
  <c r="G56" i="47"/>
  <c r="J56" i="47"/>
  <c r="G56" i="48" s="1"/>
  <c r="I56" i="48" s="1"/>
  <c r="J56" i="48" s="1"/>
  <c r="H56" i="48"/>
  <c r="F57" i="47"/>
  <c r="G57" i="47"/>
  <c r="H57" i="47"/>
  <c r="I57" i="47"/>
  <c r="J57" i="47" s="1"/>
  <c r="G57" i="48" s="1"/>
  <c r="H57" i="48"/>
  <c r="I57" i="48"/>
  <c r="J57" i="48" s="1"/>
  <c r="F58" i="47"/>
  <c r="G58" i="47"/>
  <c r="H58" i="47"/>
  <c r="I58" i="47" s="1"/>
  <c r="J58" i="47" s="1"/>
  <c r="G58" i="48" s="1"/>
  <c r="H58" i="48"/>
  <c r="F59" i="47"/>
  <c r="H59" i="47" s="1"/>
  <c r="I59" i="47" s="1"/>
  <c r="J59" i="47" s="1"/>
  <c r="G59" i="47"/>
  <c r="G59" i="48"/>
  <c r="I59" i="48" s="1"/>
  <c r="J59" i="48" s="1"/>
  <c r="H59" i="48"/>
  <c r="F60" i="47"/>
  <c r="H60" i="47" s="1"/>
  <c r="I60" i="47" s="1"/>
  <c r="J60" i="47" s="1"/>
  <c r="G60" i="48" s="1"/>
  <c r="I60" i="48" s="1"/>
  <c r="J60" i="48" s="1"/>
  <c r="G60" i="47"/>
  <c r="H60" i="48"/>
  <c r="F61" i="47"/>
  <c r="G61" i="47"/>
  <c r="H61" i="47"/>
  <c r="I61" i="47"/>
  <c r="J61" i="47" s="1"/>
  <c r="G61" i="48" s="1"/>
  <c r="I61" i="48" s="1"/>
  <c r="J61" i="48" s="1"/>
  <c r="H61" i="48"/>
  <c r="F62" i="47"/>
  <c r="G62" i="47"/>
  <c r="H62" i="47"/>
  <c r="I62" i="47" s="1"/>
  <c r="J62" i="47" s="1"/>
  <c r="G62" i="48" s="1"/>
  <c r="H62" i="48"/>
  <c r="F63" i="47"/>
  <c r="G63" i="47"/>
  <c r="H63" i="48"/>
  <c r="F64" i="47"/>
  <c r="H64" i="47" s="1"/>
  <c r="I64" i="47" s="1"/>
  <c r="J64" i="47" s="1"/>
  <c r="G64" i="48" s="1"/>
  <c r="I64" i="48" s="1"/>
  <c r="J64" i="48" s="1"/>
  <c r="G64" i="47"/>
  <c r="H64" i="48"/>
  <c r="F65" i="47"/>
  <c r="H65" i="47" s="1"/>
  <c r="I65" i="47" s="1"/>
  <c r="J65" i="47" s="1"/>
  <c r="G65" i="48" s="1"/>
  <c r="I65" i="48" s="1"/>
  <c r="J65" i="48" s="1"/>
  <c r="G65" i="47"/>
  <c r="H65" i="48"/>
  <c r="F66" i="47"/>
  <c r="G66" i="47"/>
  <c r="H66" i="47"/>
  <c r="I66" i="47" s="1"/>
  <c r="J66" i="47" s="1"/>
  <c r="G66" i="48" s="1"/>
  <c r="H66" i="48"/>
  <c r="F67" i="47"/>
  <c r="G67" i="47"/>
  <c r="H67" i="48"/>
  <c r="F68" i="47"/>
  <c r="H68" i="47" s="1"/>
  <c r="I68" i="47" s="1"/>
  <c r="G68" i="47"/>
  <c r="J68" i="47"/>
  <c r="G68" i="48" s="1"/>
  <c r="I68" i="48" s="1"/>
  <c r="J68" i="48" s="1"/>
  <c r="H68" i="48"/>
  <c r="F69" i="47"/>
  <c r="H69" i="47" s="1"/>
  <c r="G69" i="47"/>
  <c r="I69" i="47"/>
  <c r="J69" i="47" s="1"/>
  <c r="G69" i="48" s="1"/>
  <c r="H69" i="48"/>
  <c r="I69" i="48"/>
  <c r="J69" i="48" s="1"/>
  <c r="F70" i="47"/>
  <c r="G70" i="47"/>
  <c r="H70" i="47"/>
  <c r="I70" i="47" s="1"/>
  <c r="J70" i="47" s="1"/>
  <c r="G70" i="48" s="1"/>
  <c r="H70" i="48"/>
  <c r="F71" i="47"/>
  <c r="G71" i="47"/>
  <c r="H71" i="48"/>
  <c r="F72" i="47"/>
  <c r="H72" i="47" s="1"/>
  <c r="I72" i="47" s="1"/>
  <c r="J72" i="47" s="1"/>
  <c r="G72" i="48" s="1"/>
  <c r="I72" i="48" s="1"/>
  <c r="J72" i="48" s="1"/>
  <c r="G72" i="47"/>
  <c r="H72" i="48"/>
  <c r="F73" i="47"/>
  <c r="H73" i="47" s="1"/>
  <c r="G73" i="47"/>
  <c r="I73" i="47"/>
  <c r="J73" i="47" s="1"/>
  <c r="G73" i="48" s="1"/>
  <c r="I73" i="48" s="1"/>
  <c r="J73" i="48" s="1"/>
  <c r="H73" i="48"/>
  <c r="F74" i="47"/>
  <c r="G74" i="47"/>
  <c r="H74" i="47"/>
  <c r="I74" i="47"/>
  <c r="J74" i="47" s="1"/>
  <c r="G74" i="48"/>
  <c r="I74" i="48" s="1"/>
  <c r="J74" i="48" s="1"/>
  <c r="H74" i="48"/>
  <c r="F75" i="47"/>
  <c r="G75" i="47"/>
  <c r="H75" i="47"/>
  <c r="I75" i="47" s="1"/>
  <c r="J75" i="47"/>
  <c r="G75" i="48" s="1"/>
  <c r="I75" i="48" s="1"/>
  <c r="J75" i="48" s="1"/>
  <c r="H75" i="48"/>
  <c r="F76" i="47"/>
  <c r="H76" i="47" s="1"/>
  <c r="G76" i="47"/>
  <c r="I76" i="47"/>
  <c r="J76" i="47" s="1"/>
  <c r="G76" i="48" s="1"/>
  <c r="I76" i="48" s="1"/>
  <c r="J76" i="48" s="1"/>
  <c r="H76" i="48"/>
  <c r="F77" i="47"/>
  <c r="G77" i="47"/>
  <c r="H77" i="47"/>
  <c r="I77" i="47" s="1"/>
  <c r="J77" i="47" s="1"/>
  <c r="G77" i="48" s="1"/>
  <c r="I77" i="48" s="1"/>
  <c r="J77" i="48" s="1"/>
  <c r="H77" i="48"/>
  <c r="F78" i="47"/>
  <c r="G78" i="47"/>
  <c r="H78" i="47" s="1"/>
  <c r="I78" i="47" s="1"/>
  <c r="J78" i="47" s="1"/>
  <c r="G78" i="48" s="1"/>
  <c r="I78" i="48" s="1"/>
  <c r="J78" i="48" s="1"/>
  <c r="H78" i="48"/>
  <c r="F79" i="47"/>
  <c r="H79" i="47" s="1"/>
  <c r="I79" i="47" s="1"/>
  <c r="J79" i="47" s="1"/>
  <c r="G79" i="48" s="1"/>
  <c r="I79" i="48" s="1"/>
  <c r="G79" i="47"/>
  <c r="H79" i="48"/>
  <c r="J79" i="48"/>
  <c r="F80" i="47"/>
  <c r="H80" i="47" s="1"/>
  <c r="I80" i="47" s="1"/>
  <c r="J80" i="47" s="1"/>
  <c r="G80" i="48" s="1"/>
  <c r="I80" i="48" s="1"/>
  <c r="J80" i="48" s="1"/>
  <c r="G80" i="47"/>
  <c r="H80" i="48"/>
  <c r="F81" i="47"/>
  <c r="H81" i="47" s="1"/>
  <c r="I81" i="47" s="1"/>
  <c r="J81" i="47" s="1"/>
  <c r="G81" i="48" s="1"/>
  <c r="I81" i="48" s="1"/>
  <c r="J81" i="48" s="1"/>
  <c r="G81" i="47"/>
  <c r="H81" i="48"/>
  <c r="F82" i="47"/>
  <c r="G82" i="47"/>
  <c r="H82" i="47" s="1"/>
  <c r="I82" i="47" s="1"/>
  <c r="J82" i="47" s="1"/>
  <c r="G82" i="48" s="1"/>
  <c r="I82" i="48" s="1"/>
  <c r="J82" i="48" s="1"/>
  <c r="H82" i="48"/>
  <c r="F83" i="47"/>
  <c r="G83" i="47"/>
  <c r="H83" i="47"/>
  <c r="I83" i="47" s="1"/>
  <c r="J83" i="47"/>
  <c r="G83" i="48" s="1"/>
  <c r="I83" i="48" s="1"/>
  <c r="J83" i="48" s="1"/>
  <c r="H83" i="48"/>
  <c r="F84" i="47"/>
  <c r="H84" i="47" s="1"/>
  <c r="I84" i="47" s="1"/>
  <c r="J84" i="47" s="1"/>
  <c r="G84" i="48" s="1"/>
  <c r="I84" i="48" s="1"/>
  <c r="J84" i="48" s="1"/>
  <c r="G84" i="47"/>
  <c r="H84" i="48"/>
  <c r="F85" i="47"/>
  <c r="G85" i="47"/>
  <c r="H85" i="47"/>
  <c r="I85" i="47" s="1"/>
  <c r="J85" i="47" s="1"/>
  <c r="G85" i="48" s="1"/>
  <c r="I85" i="48" s="1"/>
  <c r="J85" i="48" s="1"/>
  <c r="H85" i="48"/>
  <c r="F86" i="47"/>
  <c r="G86" i="47"/>
  <c r="H86" i="47" s="1"/>
  <c r="I86" i="47" s="1"/>
  <c r="J86" i="47" s="1"/>
  <c r="G86" i="48" s="1"/>
  <c r="I86" i="48" s="1"/>
  <c r="J86" i="48" s="1"/>
  <c r="H86" i="48"/>
  <c r="F87" i="47"/>
  <c r="H87" i="47" s="1"/>
  <c r="I87" i="47" s="1"/>
  <c r="J87" i="47" s="1"/>
  <c r="G87" i="48" s="1"/>
  <c r="I87" i="48" s="1"/>
  <c r="J87" i="48" s="1"/>
  <c r="G87" i="47"/>
  <c r="H87" i="48"/>
  <c r="F88" i="47"/>
  <c r="H88" i="47" s="1"/>
  <c r="I88" i="47" s="1"/>
  <c r="J88" i="47" s="1"/>
  <c r="G88" i="48" s="1"/>
  <c r="I88" i="48" s="1"/>
  <c r="J88" i="48" s="1"/>
  <c r="G88" i="47"/>
  <c r="H88" i="48"/>
  <c r="F89" i="47"/>
  <c r="H89" i="47" s="1"/>
  <c r="I89" i="47" s="1"/>
  <c r="J89" i="47" s="1"/>
  <c r="G89" i="48" s="1"/>
  <c r="I89" i="48" s="1"/>
  <c r="J89" i="48" s="1"/>
  <c r="G89" i="47"/>
  <c r="H89" i="48"/>
  <c r="F90" i="47"/>
  <c r="G90" i="47"/>
  <c r="H90" i="47" s="1"/>
  <c r="I90" i="47" s="1"/>
  <c r="J90" i="47" s="1"/>
  <c r="G90" i="48" s="1"/>
  <c r="I90" i="48" s="1"/>
  <c r="J90" i="48" s="1"/>
  <c r="H90" i="48"/>
  <c r="F91" i="47"/>
  <c r="G91" i="47"/>
  <c r="H91" i="47"/>
  <c r="I91" i="47" s="1"/>
  <c r="J91" i="47" s="1"/>
  <c r="G91" i="48" s="1"/>
  <c r="I91" i="48" s="1"/>
  <c r="J91" i="48" s="1"/>
  <c r="H91" i="48"/>
  <c r="F92" i="47"/>
  <c r="H92" i="47" s="1"/>
  <c r="I92" i="47" s="1"/>
  <c r="J92" i="47" s="1"/>
  <c r="G92" i="48" s="1"/>
  <c r="I92" i="48" s="1"/>
  <c r="J92" i="48" s="1"/>
  <c r="G92" i="47"/>
  <c r="H92" i="48"/>
  <c r="F93" i="47"/>
  <c r="G93" i="47"/>
  <c r="H93" i="47"/>
  <c r="I93" i="47" s="1"/>
  <c r="J93" i="47" s="1"/>
  <c r="G93" i="48" s="1"/>
  <c r="I93" i="48" s="1"/>
  <c r="J93" i="48" s="1"/>
  <c r="H93" i="48"/>
  <c r="F94" i="47"/>
  <c r="G94" i="47"/>
  <c r="H94" i="47" s="1"/>
  <c r="I94" i="47" s="1"/>
  <c r="J94" i="47" s="1"/>
  <c r="G94" i="48" s="1"/>
  <c r="I94" i="48" s="1"/>
  <c r="J94" i="48" s="1"/>
  <c r="H94" i="48"/>
  <c r="F95" i="47"/>
  <c r="H95" i="47" s="1"/>
  <c r="I95" i="47" s="1"/>
  <c r="J95" i="47" s="1"/>
  <c r="G95" i="48" s="1"/>
  <c r="I95" i="48" s="1"/>
  <c r="J95" i="48" s="1"/>
  <c r="G95" i="47"/>
  <c r="H95" i="48"/>
  <c r="F96" i="47"/>
  <c r="H96" i="47" s="1"/>
  <c r="I96" i="47" s="1"/>
  <c r="J96" i="47" s="1"/>
  <c r="G96" i="48" s="1"/>
  <c r="I96" i="48" s="1"/>
  <c r="J96" i="48" s="1"/>
  <c r="G96" i="47"/>
  <c r="H96" i="48"/>
  <c r="F97" i="47"/>
  <c r="H97" i="47" s="1"/>
  <c r="I97" i="47" s="1"/>
  <c r="J97" i="47" s="1"/>
  <c r="G97" i="48" s="1"/>
  <c r="G97" i="47"/>
  <c r="H97" i="48"/>
  <c r="F98" i="47"/>
  <c r="G98" i="47"/>
  <c r="H98" i="47" s="1"/>
  <c r="I98" i="47" s="1"/>
  <c r="J98" i="47" s="1"/>
  <c r="G98" i="48"/>
  <c r="I98" i="48" s="1"/>
  <c r="J98" i="48" s="1"/>
  <c r="H98" i="48"/>
  <c r="F99" i="47"/>
  <c r="G99" i="47"/>
  <c r="H99" i="47"/>
  <c r="I99" i="47" s="1"/>
  <c r="J99" i="47"/>
  <c r="G99" i="48" s="1"/>
  <c r="I99" i="48" s="1"/>
  <c r="J99" i="48" s="1"/>
  <c r="H99" i="48"/>
  <c r="F100" i="47"/>
  <c r="H100" i="47" s="1"/>
  <c r="G100" i="47"/>
  <c r="I100" i="47"/>
  <c r="J100" i="47" s="1"/>
  <c r="G100" i="48" s="1"/>
  <c r="I100" i="48" s="1"/>
  <c r="J100" i="48" s="1"/>
  <c r="H100" i="48"/>
  <c r="F101" i="47"/>
  <c r="G101" i="47"/>
  <c r="H101" i="47"/>
  <c r="I101" i="47" s="1"/>
  <c r="J101" i="47" s="1"/>
  <c r="G101" i="48" s="1"/>
  <c r="I101" i="48" s="1"/>
  <c r="J101" i="48" s="1"/>
  <c r="H101" i="48"/>
  <c r="F102" i="47"/>
  <c r="G102" i="47"/>
  <c r="H102" i="47" s="1"/>
  <c r="I102" i="47" s="1"/>
  <c r="J102" i="47" s="1"/>
  <c r="G102" i="48" s="1"/>
  <c r="I102" i="48" s="1"/>
  <c r="J102" i="48" s="1"/>
  <c r="H102" i="48"/>
  <c r="D96" i="68"/>
  <c r="D90" i="50"/>
  <c r="D91" i="50" s="1"/>
  <c r="D109" i="50" s="1"/>
  <c r="E81" i="50"/>
  <c r="D81" i="50"/>
  <c r="D100" i="50"/>
  <c r="D100" i="68"/>
  <c r="D77" i="68"/>
  <c r="D17" i="69"/>
  <c r="E12" i="70" s="1"/>
  <c r="Z122" i="64"/>
  <c r="AC122" i="64" s="1"/>
  <c r="AB122" i="64"/>
  <c r="Z123" i="64"/>
  <c r="AC123" i="64" s="1"/>
  <c r="AH123" i="64" s="1"/>
  <c r="AB123" i="64"/>
  <c r="Z124" i="64"/>
  <c r="AB124" i="64"/>
  <c r="AC124" i="64" s="1"/>
  <c r="AH124" i="64" s="1"/>
  <c r="AI124" i="64" s="1"/>
  <c r="AJ124" i="64" s="1"/>
  <c r="AK124" i="64" s="1"/>
  <c r="AL124" i="64" s="1"/>
  <c r="AM124" i="64" s="1"/>
  <c r="AN124" i="64" s="1"/>
  <c r="AO124" i="64" s="1"/>
  <c r="AP124" i="64" s="1"/>
  <c r="AQ124" i="64" s="1"/>
  <c r="Z125" i="64"/>
  <c r="AB125" i="64"/>
  <c r="Z126" i="64"/>
  <c r="AB126" i="64"/>
  <c r="Z127" i="64"/>
  <c r="AC127" i="64" s="1"/>
  <c r="AH127" i="64" s="1"/>
  <c r="AB127" i="64"/>
  <c r="Z128" i="64"/>
  <c r="AC128" i="64" s="1"/>
  <c r="AH128" i="64" s="1"/>
  <c r="AI128" i="64" s="1"/>
  <c r="AJ128" i="64" s="1"/>
  <c r="AK128" i="64" s="1"/>
  <c r="AL128" i="64" s="1"/>
  <c r="AM128" i="64" s="1"/>
  <c r="AN128" i="64" s="1"/>
  <c r="AO128" i="64" s="1"/>
  <c r="AP128" i="64" s="1"/>
  <c r="AQ128" i="64" s="1"/>
  <c r="AB128" i="64"/>
  <c r="Z129" i="64"/>
  <c r="AC129" i="64" s="1"/>
  <c r="AH129" i="64" s="1"/>
  <c r="AB129" i="64"/>
  <c r="Z130" i="64"/>
  <c r="AB130" i="64"/>
  <c r="Z131" i="64"/>
  <c r="AC131" i="64" s="1"/>
  <c r="AH131" i="64" s="1"/>
  <c r="AB131" i="64"/>
  <c r="Z133" i="64"/>
  <c r="AB133" i="64"/>
  <c r="Z134" i="64"/>
  <c r="AC134" i="64" s="1"/>
  <c r="AB134" i="64"/>
  <c r="Z135" i="64"/>
  <c r="AB135" i="64"/>
  <c r="Z136" i="64"/>
  <c r="AC136" i="64" s="1"/>
  <c r="AH136" i="64" s="1"/>
  <c r="AI136" i="64" s="1"/>
  <c r="AJ136" i="64" s="1"/>
  <c r="AK136" i="64" s="1"/>
  <c r="AL136" i="64" s="1"/>
  <c r="AM136" i="64" s="1"/>
  <c r="AN136" i="64" s="1"/>
  <c r="AO136" i="64" s="1"/>
  <c r="AP136" i="64" s="1"/>
  <c r="AQ136" i="64" s="1"/>
  <c r="AB136" i="64"/>
  <c r="Z137" i="64"/>
  <c r="AC137" i="64" s="1"/>
  <c r="AB137" i="64"/>
  <c r="Z138" i="64"/>
  <c r="AC138" i="64" s="1"/>
  <c r="AH138" i="64" s="1"/>
  <c r="AI138" i="64" s="1"/>
  <c r="AJ138" i="64" s="1"/>
  <c r="AK138" i="64" s="1"/>
  <c r="AL138" i="64" s="1"/>
  <c r="AM138" i="64" s="1"/>
  <c r="AN138" i="64" s="1"/>
  <c r="AO138" i="64" s="1"/>
  <c r="AP138" i="64" s="1"/>
  <c r="AQ138" i="64" s="1"/>
  <c r="AB138" i="64"/>
  <c r="Z139" i="64"/>
  <c r="AB139" i="64"/>
  <c r="Z143" i="64"/>
  <c r="AB143" i="64"/>
  <c r="Z144" i="64"/>
  <c r="AB144" i="64"/>
  <c r="Z145" i="64"/>
  <c r="AB145" i="64"/>
  <c r="AC145" i="64" s="1"/>
  <c r="AH145" i="64" s="1"/>
  <c r="AI145" i="64" s="1"/>
  <c r="AJ145" i="64" s="1"/>
  <c r="AK145" i="64" s="1"/>
  <c r="AL145" i="64" s="1"/>
  <c r="AM145" i="64" s="1"/>
  <c r="AN145" i="64" s="1"/>
  <c r="AO145" i="64" s="1"/>
  <c r="AP145" i="64" s="1"/>
  <c r="AQ145" i="64" s="1"/>
  <c r="Z147" i="64"/>
  <c r="AB147" i="64"/>
  <c r="Z148" i="64"/>
  <c r="AB148" i="64"/>
  <c r="Z149" i="64"/>
  <c r="AB149" i="64"/>
  <c r="Z150" i="64"/>
  <c r="AB150" i="64"/>
  <c r="Z151" i="64"/>
  <c r="AB151" i="64"/>
  <c r="Z152" i="64"/>
  <c r="AB152" i="64"/>
  <c r="Z153" i="64"/>
  <c r="AB153" i="64"/>
  <c r="AC153" i="64" s="1"/>
  <c r="AH153" i="64" s="1"/>
  <c r="Z154" i="64"/>
  <c r="AB154" i="64"/>
  <c r="AC154" i="64" s="1"/>
  <c r="AH154" i="64" s="1"/>
  <c r="Z157" i="64"/>
  <c r="AC157" i="64" s="1"/>
  <c r="AB157" i="64"/>
  <c r="Z158" i="64"/>
  <c r="AC158" i="64" s="1"/>
  <c r="AB158" i="64"/>
  <c r="Z159" i="64"/>
  <c r="AB159" i="64"/>
  <c r="AC159" i="64" s="1"/>
  <c r="Z161" i="64"/>
  <c r="AB161" i="64"/>
  <c r="Z163" i="64"/>
  <c r="AB163" i="64"/>
  <c r="Z164" i="64"/>
  <c r="AB164" i="64"/>
  <c r="AC164" i="64" s="1"/>
  <c r="AH164" i="64" s="1"/>
  <c r="Z165" i="64"/>
  <c r="AB165" i="64"/>
  <c r="AC165" i="64" s="1"/>
  <c r="AH165" i="64" s="1"/>
  <c r="Z166" i="64"/>
  <c r="AB166" i="64"/>
  <c r="AC166" i="64" s="1"/>
  <c r="AH166" i="64" s="1"/>
  <c r="Z167" i="64"/>
  <c r="AB167" i="64"/>
  <c r="Z170" i="64"/>
  <c r="AC170" i="64" s="1"/>
  <c r="AB170" i="64"/>
  <c r="Z171" i="64"/>
  <c r="AC171" i="64" s="1"/>
  <c r="AH171" i="64" s="1"/>
  <c r="AB171" i="64"/>
  <c r="Z172" i="64"/>
  <c r="AB172" i="64"/>
  <c r="AC172" i="64"/>
  <c r="AH172" i="64" s="1"/>
  <c r="Z173" i="64"/>
  <c r="AC173" i="64" s="1"/>
  <c r="AH173" i="64" s="1"/>
  <c r="AB173" i="64"/>
  <c r="Z174" i="64"/>
  <c r="AB174" i="64"/>
  <c r="AC174" i="64" s="1"/>
  <c r="AH174" i="64" s="1"/>
  <c r="AI174" i="64" s="1"/>
  <c r="AJ174" i="64" s="1"/>
  <c r="AK174" i="64" s="1"/>
  <c r="AL174" i="64" s="1"/>
  <c r="AM174" i="64" s="1"/>
  <c r="AN174" i="64" s="1"/>
  <c r="AO174" i="64" s="1"/>
  <c r="AP174" i="64" s="1"/>
  <c r="AQ174" i="64" s="1"/>
  <c r="Z175" i="64"/>
  <c r="AC175" i="64" s="1"/>
  <c r="AH175" i="64" s="1"/>
  <c r="AB175" i="64"/>
  <c r="Z176" i="64"/>
  <c r="AC176" i="64" s="1"/>
  <c r="AH176" i="64" s="1"/>
  <c r="AI176" i="64" s="1"/>
  <c r="AJ176" i="64" s="1"/>
  <c r="AK176" i="64" s="1"/>
  <c r="AL176" i="64" s="1"/>
  <c r="AM176" i="64" s="1"/>
  <c r="AN176" i="64" s="1"/>
  <c r="AO176" i="64" s="1"/>
  <c r="AP176" i="64" s="1"/>
  <c r="AQ176" i="64" s="1"/>
  <c r="AB176" i="64"/>
  <c r="Z177" i="64"/>
  <c r="AB177" i="64"/>
  <c r="Z178" i="64"/>
  <c r="AC178" i="64" s="1"/>
  <c r="AH178" i="64" s="1"/>
  <c r="AI178" i="64" s="1"/>
  <c r="AJ178" i="64" s="1"/>
  <c r="AK178" i="64" s="1"/>
  <c r="AL178" i="64" s="1"/>
  <c r="AM178" i="64" s="1"/>
  <c r="AN178" i="64" s="1"/>
  <c r="AO178" i="64" s="1"/>
  <c r="AP178" i="64" s="1"/>
  <c r="AQ178" i="64" s="1"/>
  <c r="AB178" i="64"/>
  <c r="Z179" i="64"/>
  <c r="AC179" i="64" s="1"/>
  <c r="AH179" i="64" s="1"/>
  <c r="AB179" i="64"/>
  <c r="Z180" i="64"/>
  <c r="AB180" i="64"/>
  <c r="AC180" i="64"/>
  <c r="AH180" i="64" s="1"/>
  <c r="Z181" i="64"/>
  <c r="AB181" i="64"/>
  <c r="Z182" i="64"/>
  <c r="AB182" i="64"/>
  <c r="AC182" i="64" s="1"/>
  <c r="AH182" i="64" s="1"/>
  <c r="AI182" i="64" s="1"/>
  <c r="AJ182" i="64" s="1"/>
  <c r="AK182" i="64" s="1"/>
  <c r="AL182" i="64" s="1"/>
  <c r="AM182" i="64" s="1"/>
  <c r="AN182" i="64" s="1"/>
  <c r="AO182" i="64" s="1"/>
  <c r="AP182" i="64" s="1"/>
  <c r="AQ182" i="64" s="1"/>
  <c r="Z183" i="64"/>
  <c r="AC183" i="64" s="1"/>
  <c r="AH183" i="64" s="1"/>
  <c r="AB183" i="64"/>
  <c r="Z185" i="64"/>
  <c r="AB185" i="64"/>
  <c r="Z186" i="64"/>
  <c r="AB186" i="64"/>
  <c r="AC186" i="64" s="1"/>
  <c r="AH186" i="64" s="1"/>
  <c r="Z188" i="64"/>
  <c r="AC188" i="64" s="1"/>
  <c r="AH188" i="64" s="1"/>
  <c r="AB188" i="64"/>
  <c r="Z189" i="64"/>
  <c r="AC189" i="64" s="1"/>
  <c r="AB189" i="64"/>
  <c r="AH192" i="64"/>
  <c r="W26" i="65" s="1"/>
  <c r="Q16" i="66" s="1"/>
  <c r="AH107" i="64"/>
  <c r="AH106" i="64"/>
  <c r="W14" i="65" s="1"/>
  <c r="Q89" i="68"/>
  <c r="Q37" i="68"/>
  <c r="Q90" i="68" s="1"/>
  <c r="Q88" i="68" s="1"/>
  <c r="Q92" i="68"/>
  <c r="Q47" i="68"/>
  <c r="Q93" i="68" s="1"/>
  <c r="Q91" i="68" s="1"/>
  <c r="Q52" i="68"/>
  <c r="Q96" i="68" s="1"/>
  <c r="S60" i="68"/>
  <c r="Q100" i="68"/>
  <c r="Q77" i="68"/>
  <c r="Q17" i="69"/>
  <c r="W12" i="70" s="1"/>
  <c r="F15" i="63"/>
  <c r="F10" i="63" s="1"/>
  <c r="F24" i="63"/>
  <c r="F23" i="63" s="1"/>
  <c r="F22" i="63" s="1"/>
  <c r="F43" i="63"/>
  <c r="H59" i="54"/>
  <c r="H61" i="54"/>
  <c r="H62" i="54"/>
  <c r="H64" i="54"/>
  <c r="H66" i="54"/>
  <c r="H67" i="54"/>
  <c r="H45" i="54" s="1"/>
  <c r="H73" i="54"/>
  <c r="H79" i="54" s="1"/>
  <c r="H74" i="54"/>
  <c r="H75" i="54"/>
  <c r="H76" i="54"/>
  <c r="H77" i="54"/>
  <c r="H78" i="54"/>
  <c r="H85" i="54"/>
  <c r="H86" i="54"/>
  <c r="H87" i="54"/>
  <c r="H88" i="54"/>
  <c r="H89" i="54"/>
  <c r="H90" i="54"/>
  <c r="H91" i="54"/>
  <c r="H93" i="54" s="1"/>
  <c r="H47" i="54" s="1"/>
  <c r="H92" i="54"/>
  <c r="H99" i="54"/>
  <c r="H100" i="54"/>
  <c r="H101" i="54"/>
  <c r="H102" i="54"/>
  <c r="H103" i="54"/>
  <c r="H104" i="54"/>
  <c r="H48" i="54" s="1"/>
  <c r="H110" i="54"/>
  <c r="H111" i="54"/>
  <c r="H116" i="54" s="1"/>
  <c r="H49" i="54" s="1"/>
  <c r="H112" i="54"/>
  <c r="H113" i="54"/>
  <c r="H114" i="54"/>
  <c r="G29" i="60"/>
  <c r="G30" i="60"/>
  <c r="G31" i="60"/>
  <c r="G32" i="60"/>
  <c r="G33" i="60"/>
  <c r="G34" i="60"/>
  <c r="G35" i="60"/>
  <c r="G36" i="60"/>
  <c r="G37" i="60"/>
  <c r="G38" i="60"/>
  <c r="G39" i="60"/>
  <c r="D47" i="60"/>
  <c r="E47" i="60"/>
  <c r="F97" i="60"/>
  <c r="D48" i="60"/>
  <c r="E48" i="60"/>
  <c r="F98" i="60"/>
  <c r="F64" i="60" s="1"/>
  <c r="F48" i="60"/>
  <c r="D49" i="60"/>
  <c r="E49" i="60"/>
  <c r="F99" i="60"/>
  <c r="D50" i="60"/>
  <c r="E50" i="60"/>
  <c r="G50" i="60" s="1"/>
  <c r="F100" i="60"/>
  <c r="F50" i="60"/>
  <c r="D51" i="60"/>
  <c r="E51" i="60"/>
  <c r="F101" i="60"/>
  <c r="F67" i="60" s="1"/>
  <c r="D52" i="60"/>
  <c r="E52" i="60"/>
  <c r="F102" i="60"/>
  <c r="F52" i="60" s="1"/>
  <c r="D53" i="60"/>
  <c r="E53" i="60"/>
  <c r="F103" i="60"/>
  <c r="D54" i="60"/>
  <c r="E54" i="60"/>
  <c r="F104" i="60"/>
  <c r="F54" i="60"/>
  <c r="D55" i="60"/>
  <c r="E55" i="60"/>
  <c r="F105" i="60"/>
  <c r="D56" i="60"/>
  <c r="G56" i="60" s="1"/>
  <c r="E56" i="60"/>
  <c r="F106" i="60"/>
  <c r="F56" i="60"/>
  <c r="D57" i="60"/>
  <c r="E57" i="60"/>
  <c r="F107" i="60"/>
  <c r="D63" i="60"/>
  <c r="E63" i="60"/>
  <c r="D64" i="60"/>
  <c r="E64" i="60"/>
  <c r="D65" i="60"/>
  <c r="E65" i="60"/>
  <c r="D66" i="60"/>
  <c r="E66" i="60"/>
  <c r="F66" i="60"/>
  <c r="G66" i="60"/>
  <c r="D67" i="60"/>
  <c r="E67" i="60"/>
  <c r="D68" i="60"/>
  <c r="E68" i="60"/>
  <c r="F68" i="60"/>
  <c r="G68" i="60" s="1"/>
  <c r="D69" i="60"/>
  <c r="E69" i="60"/>
  <c r="D70" i="60"/>
  <c r="E70" i="60"/>
  <c r="F70" i="60"/>
  <c r="G70" i="60"/>
  <c r="D71" i="60"/>
  <c r="E71" i="60"/>
  <c r="D72" i="60"/>
  <c r="E72" i="60"/>
  <c r="F72" i="60"/>
  <c r="G72" i="60"/>
  <c r="D73" i="60"/>
  <c r="E73" i="60"/>
  <c r="D81" i="60"/>
  <c r="G81" i="60" s="1"/>
  <c r="E81" i="60"/>
  <c r="F81" i="60"/>
  <c r="D82" i="60"/>
  <c r="E82" i="60"/>
  <c r="F82" i="60"/>
  <c r="D83" i="60"/>
  <c r="E83" i="60"/>
  <c r="F83" i="60"/>
  <c r="D84" i="60"/>
  <c r="G84" i="60" s="1"/>
  <c r="E84" i="60"/>
  <c r="F84" i="60"/>
  <c r="D85" i="60"/>
  <c r="E85" i="60"/>
  <c r="F85" i="60"/>
  <c r="D86" i="60"/>
  <c r="G86" i="60" s="1"/>
  <c r="E86" i="60"/>
  <c r="F86" i="60"/>
  <c r="D87" i="60"/>
  <c r="E87" i="60"/>
  <c r="F87" i="60"/>
  <c r="D88" i="60"/>
  <c r="G88" i="60" s="1"/>
  <c r="E88" i="60"/>
  <c r="F88" i="60"/>
  <c r="D89" i="60"/>
  <c r="G89" i="60" s="1"/>
  <c r="E89" i="60"/>
  <c r="F89" i="60"/>
  <c r="D90" i="60"/>
  <c r="G90" i="60" s="1"/>
  <c r="E90" i="60"/>
  <c r="F90" i="60"/>
  <c r="D91" i="60"/>
  <c r="E91" i="60"/>
  <c r="F91" i="60"/>
  <c r="D97" i="60"/>
  <c r="E97" i="60"/>
  <c r="G97" i="60"/>
  <c r="D98" i="60"/>
  <c r="E98" i="60"/>
  <c r="G98" i="60" s="1"/>
  <c r="D99" i="60"/>
  <c r="E99" i="60"/>
  <c r="D100" i="60"/>
  <c r="E100" i="60"/>
  <c r="D101" i="60"/>
  <c r="E101" i="60"/>
  <c r="D102" i="60"/>
  <c r="E102" i="60"/>
  <c r="D103" i="60"/>
  <c r="G103" i="60" s="1"/>
  <c r="E103" i="60"/>
  <c r="D104" i="60"/>
  <c r="E104" i="60"/>
  <c r="D105" i="60"/>
  <c r="E105" i="60"/>
  <c r="G105" i="60"/>
  <c r="D106" i="60"/>
  <c r="E106" i="60"/>
  <c r="G106" i="60" s="1"/>
  <c r="D107" i="60"/>
  <c r="E107" i="60"/>
  <c r="D115" i="60"/>
  <c r="E115" i="60"/>
  <c r="F115" i="60"/>
  <c r="D116" i="60"/>
  <c r="E116" i="60"/>
  <c r="F116" i="60"/>
  <c r="D117" i="60"/>
  <c r="E117" i="60"/>
  <c r="F117" i="60"/>
  <c r="D118" i="60"/>
  <c r="E118" i="60"/>
  <c r="F118" i="60"/>
  <c r="D119" i="60"/>
  <c r="E119" i="60"/>
  <c r="F119" i="60"/>
  <c r="D120" i="60"/>
  <c r="G120" i="60" s="1"/>
  <c r="E120" i="60"/>
  <c r="F120" i="60"/>
  <c r="D121" i="60"/>
  <c r="G121" i="60" s="1"/>
  <c r="E121" i="60"/>
  <c r="F121" i="60"/>
  <c r="D122" i="60"/>
  <c r="E122" i="60"/>
  <c r="F122" i="60"/>
  <c r="D123" i="60"/>
  <c r="E123" i="60"/>
  <c r="F123" i="60"/>
  <c r="D124" i="60"/>
  <c r="G124" i="60" s="1"/>
  <c r="E124" i="60"/>
  <c r="F124" i="60"/>
  <c r="D125" i="60"/>
  <c r="G125" i="60" s="1"/>
  <c r="E125" i="60"/>
  <c r="F125" i="60"/>
  <c r="G133" i="60"/>
  <c r="G135" i="60" s="1"/>
  <c r="H130" i="60" s="1"/>
  <c r="G134" i="60"/>
  <c r="G140" i="60"/>
  <c r="G141" i="60"/>
  <c r="G142" i="60"/>
  <c r="G143" i="60"/>
  <c r="G144" i="60"/>
  <c r="G145" i="60"/>
  <c r="G146" i="60"/>
  <c r="G147" i="60"/>
  <c r="G148" i="60"/>
  <c r="G149" i="60"/>
  <c r="G150" i="60"/>
  <c r="G151" i="60"/>
  <c r="G152" i="60"/>
  <c r="G153" i="60"/>
  <c r="G154" i="60"/>
  <c r="G155" i="60"/>
  <c r="G156" i="60"/>
  <c r="G157" i="60"/>
  <c r="G158" i="60"/>
  <c r="G159" i="60"/>
  <c r="G160" i="60"/>
  <c r="G161" i="60"/>
  <c r="G162" i="60"/>
  <c r="G163" i="60"/>
  <c r="G164" i="60"/>
  <c r="G165" i="60"/>
  <c r="G166" i="60"/>
  <c r="G167" i="60"/>
  <c r="G168" i="60"/>
  <c r="G169" i="60"/>
  <c r="G170" i="60"/>
  <c r="G179" i="60"/>
  <c r="G180" i="60"/>
  <c r="G181" i="60" s="1"/>
  <c r="H176" i="60" s="1"/>
  <c r="G186" i="60"/>
  <c r="G187" i="60"/>
  <c r="G188" i="60"/>
  <c r="H183" i="60" s="1"/>
  <c r="G31" i="59"/>
  <c r="G32" i="59"/>
  <c r="G33" i="59"/>
  <c r="G34" i="59"/>
  <c r="G35" i="59"/>
  <c r="G36" i="59"/>
  <c r="G37" i="59"/>
  <c r="G38" i="59"/>
  <c r="G39" i="59"/>
  <c r="G40" i="59"/>
  <c r="G41" i="59"/>
  <c r="D50" i="59"/>
  <c r="E50" i="59"/>
  <c r="F50" i="59"/>
  <c r="D51" i="59"/>
  <c r="E51" i="59"/>
  <c r="F51" i="59"/>
  <c r="F122" i="59" s="1"/>
  <c r="D52" i="59"/>
  <c r="E52" i="59"/>
  <c r="F52" i="59"/>
  <c r="F123" i="59" s="1"/>
  <c r="G123" i="59" s="1"/>
  <c r="D53" i="59"/>
  <c r="E53" i="59"/>
  <c r="F53" i="59"/>
  <c r="F124" i="59" s="1"/>
  <c r="D54" i="59"/>
  <c r="E54" i="59"/>
  <c r="F54" i="59"/>
  <c r="F108" i="59" s="1"/>
  <c r="D55" i="59"/>
  <c r="E55" i="59"/>
  <c r="F55" i="59"/>
  <c r="D56" i="59"/>
  <c r="E56" i="59"/>
  <c r="F56" i="59"/>
  <c r="D57" i="59"/>
  <c r="E57" i="59"/>
  <c r="F57" i="59"/>
  <c r="F128" i="59" s="1"/>
  <c r="D58" i="59"/>
  <c r="E58" i="59"/>
  <c r="F58" i="59"/>
  <c r="F112" i="59" s="1"/>
  <c r="D59" i="59"/>
  <c r="E59" i="59"/>
  <c r="F59" i="59"/>
  <c r="F130" i="59" s="1"/>
  <c r="D60" i="59"/>
  <c r="E60" i="59"/>
  <c r="F60" i="59"/>
  <c r="D67" i="59"/>
  <c r="G67" i="59" s="1"/>
  <c r="E67" i="59"/>
  <c r="F67" i="59"/>
  <c r="D68" i="59"/>
  <c r="E68" i="59"/>
  <c r="F68" i="59"/>
  <c r="D69" i="59"/>
  <c r="E69" i="59"/>
  <c r="F69" i="59"/>
  <c r="D70" i="59"/>
  <c r="E70" i="59"/>
  <c r="F70" i="59"/>
  <c r="D71" i="59"/>
  <c r="E71" i="59"/>
  <c r="F71" i="59"/>
  <c r="D72" i="59"/>
  <c r="E72" i="59"/>
  <c r="F72" i="59"/>
  <c r="D73" i="59"/>
  <c r="E73" i="59"/>
  <c r="F73" i="59"/>
  <c r="D74" i="59"/>
  <c r="E74" i="59"/>
  <c r="F74" i="59"/>
  <c r="D75" i="59"/>
  <c r="E75" i="59"/>
  <c r="F75" i="59"/>
  <c r="D76" i="59"/>
  <c r="E76" i="59"/>
  <c r="F76" i="59"/>
  <c r="D77" i="59"/>
  <c r="E77" i="59"/>
  <c r="F77" i="59"/>
  <c r="D85" i="59"/>
  <c r="E85" i="59"/>
  <c r="G85" i="59" s="1"/>
  <c r="D86" i="59"/>
  <c r="E86" i="59"/>
  <c r="G86" i="59"/>
  <c r="D87" i="59"/>
  <c r="G87" i="59" s="1"/>
  <c r="E87" i="59"/>
  <c r="D88" i="59"/>
  <c r="E88" i="59"/>
  <c r="G88" i="59"/>
  <c r="D89" i="59"/>
  <c r="E89" i="59"/>
  <c r="G89" i="59" s="1"/>
  <c r="D90" i="59"/>
  <c r="G90" i="59" s="1"/>
  <c r="E90" i="59"/>
  <c r="D91" i="59"/>
  <c r="E91" i="59"/>
  <c r="D92" i="59"/>
  <c r="G92" i="59" s="1"/>
  <c r="E92" i="59"/>
  <c r="D93" i="59"/>
  <c r="E93" i="59"/>
  <c r="G93" i="59" s="1"/>
  <c r="D94" i="59"/>
  <c r="E94" i="59"/>
  <c r="G94" i="59" s="1"/>
  <c r="D95" i="59"/>
  <c r="G95" i="59" s="1"/>
  <c r="E95" i="59"/>
  <c r="D104" i="59"/>
  <c r="E104" i="59"/>
  <c r="D105" i="59"/>
  <c r="E105" i="59"/>
  <c r="D106" i="59"/>
  <c r="E106" i="59"/>
  <c r="G106" i="59" s="1"/>
  <c r="F106" i="59"/>
  <c r="D107" i="59"/>
  <c r="E107" i="59"/>
  <c r="G107" i="59" s="1"/>
  <c r="F107" i="59"/>
  <c r="D108" i="59"/>
  <c r="E108" i="59"/>
  <c r="D109" i="59"/>
  <c r="E109" i="59"/>
  <c r="D110" i="59"/>
  <c r="E110" i="59"/>
  <c r="F110" i="59"/>
  <c r="D111" i="59"/>
  <c r="E111" i="59"/>
  <c r="D112" i="59"/>
  <c r="E112" i="59"/>
  <c r="G112" i="59" s="1"/>
  <c r="D113" i="59"/>
  <c r="E113" i="59"/>
  <c r="D114" i="59"/>
  <c r="E114" i="59"/>
  <c r="G114" i="59" s="1"/>
  <c r="F114" i="59"/>
  <c r="D121" i="59"/>
  <c r="E121" i="59"/>
  <c r="D122" i="59"/>
  <c r="E122" i="59"/>
  <c r="D123" i="59"/>
  <c r="E123" i="59"/>
  <c r="D124" i="59"/>
  <c r="E124" i="59"/>
  <c r="D125" i="59"/>
  <c r="E125" i="59"/>
  <c r="D126" i="59"/>
  <c r="E126" i="59"/>
  <c r="D127" i="59"/>
  <c r="E127" i="59"/>
  <c r="F127" i="59"/>
  <c r="D128" i="59"/>
  <c r="G128" i="59" s="1"/>
  <c r="E128" i="59"/>
  <c r="D129" i="59"/>
  <c r="E129" i="59"/>
  <c r="D130" i="59"/>
  <c r="E130" i="59"/>
  <c r="D131" i="59"/>
  <c r="E131" i="59"/>
  <c r="F131" i="59"/>
  <c r="G139" i="59"/>
  <c r="G140" i="59"/>
  <c r="G141" i="59"/>
  <c r="G142" i="59" s="1"/>
  <c r="I136" i="59" s="1"/>
  <c r="G149" i="59"/>
  <c r="G150" i="59"/>
  <c r="G151" i="59"/>
  <c r="G152" i="59"/>
  <c r="G153" i="59"/>
  <c r="G154" i="59"/>
  <c r="I146" i="59" s="1"/>
  <c r="G159" i="59"/>
  <c r="G160" i="59"/>
  <c r="G161" i="59"/>
  <c r="I156" i="59"/>
  <c r="G166" i="59"/>
  <c r="G167" i="59"/>
  <c r="G168" i="59"/>
  <c r="G169" i="59"/>
  <c r="G170" i="59"/>
  <c r="G171" i="59"/>
  <c r="G172" i="59"/>
  <c r="G173" i="59"/>
  <c r="G174" i="59"/>
  <c r="G175" i="59"/>
  <c r="G176" i="59"/>
  <c r="G177" i="59"/>
  <c r="G178" i="59"/>
  <c r="G179" i="59"/>
  <c r="G180" i="59"/>
  <c r="G181" i="59"/>
  <c r="G182" i="59"/>
  <c r="G183" i="59"/>
  <c r="G184" i="59"/>
  <c r="I163" i="59" s="1"/>
  <c r="G189" i="59"/>
  <c r="G190" i="59" s="1"/>
  <c r="I186" i="59"/>
  <c r="G197" i="59"/>
  <c r="G198" i="59"/>
  <c r="G205" i="59" s="1"/>
  <c r="G199" i="59"/>
  <c r="G200" i="59"/>
  <c r="G201" i="59"/>
  <c r="G202" i="59"/>
  <c r="G203" i="59"/>
  <c r="G204" i="59"/>
  <c r="I194" i="59"/>
  <c r="G211" i="59"/>
  <c r="G212" i="59"/>
  <c r="G213" i="59"/>
  <c r="G214" i="59"/>
  <c r="G215" i="59"/>
  <c r="G216" i="59"/>
  <c r="G217" i="59"/>
  <c r="G218" i="59"/>
  <c r="I208" i="59" s="1"/>
  <c r="G223" i="59"/>
  <c r="G224" i="59" s="1"/>
  <c r="I220" i="59" s="1"/>
  <c r="H36" i="62"/>
  <c r="H37" i="62"/>
  <c r="H38" i="62"/>
  <c r="E47" i="62"/>
  <c r="H47" i="62" s="1"/>
  <c r="F47" i="62"/>
  <c r="G47" i="62"/>
  <c r="E48" i="62"/>
  <c r="H48" i="62" s="1"/>
  <c r="F48" i="62"/>
  <c r="G48" i="62"/>
  <c r="E49" i="62"/>
  <c r="F49" i="62"/>
  <c r="G49" i="62"/>
  <c r="E56" i="62"/>
  <c r="F56" i="62"/>
  <c r="G56" i="62"/>
  <c r="H56" i="62"/>
  <c r="E57" i="62"/>
  <c r="H57" i="62" s="1"/>
  <c r="F57" i="62"/>
  <c r="G57" i="62"/>
  <c r="E58" i="62"/>
  <c r="F58" i="62"/>
  <c r="G58" i="62"/>
  <c r="H58" i="62" s="1"/>
  <c r="E66" i="62"/>
  <c r="H66" i="62" s="1"/>
  <c r="F66" i="62"/>
  <c r="G66" i="62"/>
  <c r="E67" i="62"/>
  <c r="H67" i="62" s="1"/>
  <c r="F67" i="62"/>
  <c r="G67" i="62"/>
  <c r="E68" i="62"/>
  <c r="F68" i="62"/>
  <c r="G68" i="62"/>
  <c r="E74" i="62"/>
  <c r="F74" i="62"/>
  <c r="G74" i="62"/>
  <c r="H74" i="62"/>
  <c r="E75" i="62"/>
  <c r="F75" i="62"/>
  <c r="G75" i="62"/>
  <c r="H75" i="62" s="1"/>
  <c r="E76" i="62"/>
  <c r="F76" i="62"/>
  <c r="G76" i="62"/>
  <c r="H76" i="62"/>
  <c r="E84" i="62"/>
  <c r="H84" i="62" s="1"/>
  <c r="F84" i="62"/>
  <c r="G84" i="62"/>
  <c r="E85" i="62"/>
  <c r="F85" i="62"/>
  <c r="G85" i="62"/>
  <c r="H85" i="62"/>
  <c r="E86" i="62"/>
  <c r="H86" i="62" s="1"/>
  <c r="F86" i="62"/>
  <c r="G86" i="62"/>
  <c r="H94" i="62"/>
  <c r="H95" i="62"/>
  <c r="H96" i="62"/>
  <c r="I91" i="62"/>
  <c r="H101" i="62"/>
  <c r="H102" i="62"/>
  <c r="H103" i="62"/>
  <c r="H104" i="62"/>
  <c r="H105" i="62"/>
  <c r="H106" i="62"/>
  <c r="H107" i="62"/>
  <c r="H108" i="62"/>
  <c r="H109" i="62"/>
  <c r="H110" i="62"/>
  <c r="H111" i="62"/>
  <c r="H112" i="62"/>
  <c r="H113" i="62"/>
  <c r="H114" i="62"/>
  <c r="H124" i="62"/>
  <c r="H125" i="62"/>
  <c r="E21" i="62"/>
  <c r="G47" i="55"/>
  <c r="G48" i="55"/>
  <c r="G49" i="55"/>
  <c r="G50" i="55"/>
  <c r="G57" i="55"/>
  <c r="G58" i="55"/>
  <c r="G59" i="55"/>
  <c r="G60" i="55"/>
  <c r="G61" i="55"/>
  <c r="G62" i="55"/>
  <c r="G63" i="55"/>
  <c r="G64" i="55"/>
  <c r="G65" i="55"/>
  <c r="G66" i="55"/>
  <c r="G67" i="55"/>
  <c r="G68" i="55"/>
  <c r="G69" i="55"/>
  <c r="G76" i="55"/>
  <c r="G77" i="55"/>
  <c r="G78" i="55"/>
  <c r="G79" i="55"/>
  <c r="G80" i="55"/>
  <c r="G81" i="55"/>
  <c r="G82" i="55"/>
  <c r="G83" i="55"/>
  <c r="G84" i="55"/>
  <c r="G85" i="55"/>
  <c r="G86" i="55"/>
  <c r="G87" i="55"/>
  <c r="G88" i="55"/>
  <c r="G89" i="55"/>
  <c r="G90" i="55"/>
  <c r="G91" i="55"/>
  <c r="G92" i="55"/>
  <c r="G93" i="55"/>
  <c r="G113" i="55"/>
  <c r="G114" i="55"/>
  <c r="G115" i="55"/>
  <c r="G116" i="55"/>
  <c r="G117" i="55"/>
  <c r="G123" i="55"/>
  <c r="G124" i="55"/>
  <c r="G125" i="55"/>
  <c r="G126" i="55"/>
  <c r="G127" i="55"/>
  <c r="G128" i="55"/>
  <c r="G129" i="55"/>
  <c r="G130" i="55"/>
  <c r="G131" i="55"/>
  <c r="G132" i="55"/>
  <c r="G133" i="55"/>
  <c r="G134" i="55"/>
  <c r="G135" i="55"/>
  <c r="G136" i="55"/>
  <c r="G137" i="55"/>
  <c r="G138" i="55"/>
  <c r="G144" i="55"/>
  <c r="G145" i="55"/>
  <c r="G146" i="55"/>
  <c r="G147" i="55"/>
  <c r="G148" i="55"/>
  <c r="G149" i="55"/>
  <c r="G150" i="55"/>
  <c r="G151" i="55"/>
  <c r="G152" i="55"/>
  <c r="G153" i="55"/>
  <c r="G154" i="55"/>
  <c r="G155" i="55"/>
  <c r="G156" i="55"/>
  <c r="G162" i="55"/>
  <c r="G163" i="55"/>
  <c r="G164" i="55"/>
  <c r="G165" i="55"/>
  <c r="G166" i="55"/>
  <c r="G174" i="55"/>
  <c r="G177" i="55" s="1"/>
  <c r="G175" i="55"/>
  <c r="G176" i="55"/>
  <c r="G182" i="55"/>
  <c r="G183" i="55"/>
  <c r="G184" i="55"/>
  <c r="G192" i="55"/>
  <c r="G193" i="55"/>
  <c r="G194" i="55"/>
  <c r="G195" i="55"/>
  <c r="G201" i="55"/>
  <c r="G202" i="55"/>
  <c r="G203" i="55"/>
  <c r="G204" i="55"/>
  <c r="G205" i="55"/>
  <c r="G206" i="55"/>
  <c r="G214" i="55"/>
  <c r="G215" i="55"/>
  <c r="G216" i="55"/>
  <c r="G217" i="55"/>
  <c r="G218" i="55"/>
  <c r="G219" i="55"/>
  <c r="G220" i="55"/>
  <c r="G226" i="55"/>
  <c r="G227" i="55"/>
  <c r="G228" i="55"/>
  <c r="G229" i="55"/>
  <c r="G230" i="55"/>
  <c r="G231" i="55"/>
  <c r="G238" i="55"/>
  <c r="G239" i="55"/>
  <c r="G240" i="55"/>
  <c r="G241" i="55"/>
  <c r="G242" i="55"/>
  <c r="G243" i="55"/>
  <c r="G249" i="55"/>
  <c r="G250" i="55"/>
  <c r="G251" i="55"/>
  <c r="G257" i="55"/>
  <c r="G258" i="55"/>
  <c r="G259" i="55"/>
  <c r="G260" i="55"/>
  <c r="G266" i="55"/>
  <c r="G267" i="55"/>
  <c r="G268" i="55"/>
  <c r="G287" i="55"/>
  <c r="G288" i="55"/>
  <c r="G289" i="55"/>
  <c r="G290" i="55"/>
  <c r="G291" i="55"/>
  <c r="G292" i="55"/>
  <c r="G293" i="55"/>
  <c r="G294" i="55"/>
  <c r="G295" i="55"/>
  <c r="G301" i="55"/>
  <c r="G302" i="55"/>
  <c r="G303" i="55"/>
  <c r="G304" i="55"/>
  <c r="G305" i="55"/>
  <c r="G306" i="55"/>
  <c r="G307" i="55"/>
  <c r="G308" i="55"/>
  <c r="G309" i="55"/>
  <c r="G310" i="55"/>
  <c r="G311" i="55"/>
  <c r="G312" i="55"/>
  <c r="E331" i="55"/>
  <c r="G331" i="55" s="1"/>
  <c r="G330" i="55" s="1"/>
  <c r="G325" i="55"/>
  <c r="G326" i="55"/>
  <c r="G327" i="55"/>
  <c r="G328" i="55"/>
  <c r="G329" i="55"/>
  <c r="F319" i="55"/>
  <c r="E319" i="55"/>
  <c r="F320" i="55"/>
  <c r="E320" i="55"/>
  <c r="G321" i="55"/>
  <c r="E322" i="55"/>
  <c r="G322" i="55" s="1"/>
  <c r="E323" i="55"/>
  <c r="G323" i="55" s="1"/>
  <c r="G338" i="55"/>
  <c r="G339" i="55"/>
  <c r="G340" i="55"/>
  <c r="G341" i="55"/>
  <c r="G342" i="55"/>
  <c r="G350" i="55"/>
  <c r="G351" i="55"/>
  <c r="G352" i="55"/>
  <c r="G353" i="55"/>
  <c r="G354" i="55"/>
  <c r="G355" i="55"/>
  <c r="G356" i="55"/>
  <c r="G362" i="55"/>
  <c r="G363" i="55"/>
  <c r="G364" i="55"/>
  <c r="G365" i="55"/>
  <c r="G366" i="55"/>
  <c r="G367" i="55"/>
  <c r="G368" i="55"/>
  <c r="E369" i="55"/>
  <c r="G369" i="55" s="1"/>
  <c r="G370" i="55"/>
  <c r="G371" i="55"/>
  <c r="G372" i="55"/>
  <c r="I14" i="56"/>
  <c r="H15" i="56"/>
  <c r="I15" i="56" s="1"/>
  <c r="I17" i="56"/>
  <c r="I18" i="56"/>
  <c r="I20" i="56"/>
  <c r="I21" i="56"/>
  <c r="I22" i="56"/>
  <c r="I23" i="56"/>
  <c r="I24" i="56"/>
  <c r="I25" i="56"/>
  <c r="K30" i="48"/>
  <c r="L30" i="48"/>
  <c r="M30" i="48" s="1"/>
  <c r="N30" i="48" s="1"/>
  <c r="O30" i="48"/>
  <c r="P30" i="48" s="1"/>
  <c r="Q30" i="48" s="1"/>
  <c r="R30" i="48" s="1"/>
  <c r="S30" i="48" s="1"/>
  <c r="T30" i="48" s="1"/>
  <c r="U30" i="48" s="1"/>
  <c r="V30" i="48" s="1"/>
  <c r="W30" i="48" s="1"/>
  <c r="K32" i="48"/>
  <c r="L32" i="48" s="1"/>
  <c r="M32" i="48" s="1"/>
  <c r="N32" i="48" s="1"/>
  <c r="O32" i="48" s="1"/>
  <c r="P32" i="48" s="1"/>
  <c r="Q32" i="48" s="1"/>
  <c r="R32" i="48" s="1"/>
  <c r="S32" i="48" s="1"/>
  <c r="T32" i="48" s="1"/>
  <c r="U32" i="48" s="1"/>
  <c r="V32" i="48" s="1"/>
  <c r="W32" i="48" s="1"/>
  <c r="K33" i="48"/>
  <c r="L33" i="48"/>
  <c r="M33" i="48" s="1"/>
  <c r="N33" i="48" s="1"/>
  <c r="O33" i="48" s="1"/>
  <c r="P33" i="48" s="1"/>
  <c r="Q33" i="48" s="1"/>
  <c r="R33" i="48" s="1"/>
  <c r="S33" i="48" s="1"/>
  <c r="T33" i="48" s="1"/>
  <c r="U33" i="48" s="1"/>
  <c r="V33" i="48" s="1"/>
  <c r="W33" i="48" s="1"/>
  <c r="K35" i="48"/>
  <c r="L35" i="48" s="1"/>
  <c r="M35" i="48" s="1"/>
  <c r="N35" i="48" s="1"/>
  <c r="O35" i="48" s="1"/>
  <c r="P35" i="48" s="1"/>
  <c r="Q35" i="48" s="1"/>
  <c r="R35" i="48"/>
  <c r="S35" i="48" s="1"/>
  <c r="T35" i="48" s="1"/>
  <c r="U35" i="48" s="1"/>
  <c r="V35" i="48" s="1"/>
  <c r="W35" i="48"/>
  <c r="K36" i="48"/>
  <c r="L36" i="48" s="1"/>
  <c r="M36" i="48" s="1"/>
  <c r="N36" i="48" s="1"/>
  <c r="O36" i="48" s="1"/>
  <c r="P36" i="48" s="1"/>
  <c r="Q36" i="48" s="1"/>
  <c r="R36" i="48"/>
  <c r="S36" i="48" s="1"/>
  <c r="T36" i="48" s="1"/>
  <c r="U36" i="48" s="1"/>
  <c r="V36" i="48" s="1"/>
  <c r="W36" i="48" s="1"/>
  <c r="K37" i="48"/>
  <c r="L37" i="48"/>
  <c r="M37" i="48" s="1"/>
  <c r="N37" i="48" s="1"/>
  <c r="O37" i="48" s="1"/>
  <c r="P37" i="48" s="1"/>
  <c r="Q37" i="48" s="1"/>
  <c r="R37" i="48" s="1"/>
  <c r="S37" i="48" s="1"/>
  <c r="T37" i="48" s="1"/>
  <c r="U37" i="48" s="1"/>
  <c r="V37" i="48" s="1"/>
  <c r="W37" i="48" s="1"/>
  <c r="K38" i="48"/>
  <c r="L38" i="48"/>
  <c r="M38" i="48" s="1"/>
  <c r="N38" i="48" s="1"/>
  <c r="O38" i="48"/>
  <c r="P38" i="48" s="1"/>
  <c r="Q38" i="48" s="1"/>
  <c r="R38" i="48" s="1"/>
  <c r="S38" i="48" s="1"/>
  <c r="T38" i="48" s="1"/>
  <c r="U38" i="48" s="1"/>
  <c r="V38" i="48" s="1"/>
  <c r="W38" i="48" s="1"/>
  <c r="K40" i="48"/>
  <c r="L40" i="48" s="1"/>
  <c r="M40" i="48" s="1"/>
  <c r="N40" i="48" s="1"/>
  <c r="O40" i="48" s="1"/>
  <c r="P40" i="48" s="1"/>
  <c r="Q40" i="48" s="1"/>
  <c r="R40" i="48" s="1"/>
  <c r="S40" i="48" s="1"/>
  <c r="T40" i="48" s="1"/>
  <c r="U40" i="48" s="1"/>
  <c r="V40" i="48" s="1"/>
  <c r="W40" i="48" s="1"/>
  <c r="K41" i="48"/>
  <c r="L41" i="48"/>
  <c r="M41" i="48" s="1"/>
  <c r="N41" i="48" s="1"/>
  <c r="O41" i="48" s="1"/>
  <c r="P41" i="48" s="1"/>
  <c r="Q41" i="48" s="1"/>
  <c r="R41" i="48" s="1"/>
  <c r="S41" i="48" s="1"/>
  <c r="T41" i="48" s="1"/>
  <c r="U41" i="48" s="1"/>
  <c r="V41" i="48" s="1"/>
  <c r="W41" i="48" s="1"/>
  <c r="K42" i="48"/>
  <c r="L42" i="48"/>
  <c r="M42" i="48" s="1"/>
  <c r="N42" i="48" s="1"/>
  <c r="O42" i="48"/>
  <c r="P42" i="48" s="1"/>
  <c r="Q42" i="48" s="1"/>
  <c r="R42" i="48" s="1"/>
  <c r="S42" i="48" s="1"/>
  <c r="T42" i="48"/>
  <c r="U42" i="48" s="1"/>
  <c r="V42" i="48" s="1"/>
  <c r="W42" i="48"/>
  <c r="K43" i="48"/>
  <c r="L43" i="48" s="1"/>
  <c r="M43" i="48" s="1"/>
  <c r="N43" i="48" s="1"/>
  <c r="O43" i="48" s="1"/>
  <c r="P43" i="48" s="1"/>
  <c r="Q43" i="48" s="1"/>
  <c r="R43" i="48" s="1"/>
  <c r="S43" i="48" s="1"/>
  <c r="T43" i="48" s="1"/>
  <c r="U43" i="48" s="1"/>
  <c r="V43" i="48" s="1"/>
  <c r="W43" i="48" s="1"/>
  <c r="K44" i="48"/>
  <c r="L44" i="48"/>
  <c r="M44" i="48"/>
  <c r="N44" i="48"/>
  <c r="O44" i="48" s="1"/>
  <c r="P44" i="48" s="1"/>
  <c r="Q44" i="48"/>
  <c r="R44" i="48" s="1"/>
  <c r="S44" i="48" s="1"/>
  <c r="T44" i="48" s="1"/>
  <c r="U44" i="48" s="1"/>
  <c r="V44" i="48"/>
  <c r="W44" i="48" s="1"/>
  <c r="K48" i="48"/>
  <c r="L48" i="48" s="1"/>
  <c r="M48" i="48"/>
  <c r="N48" i="48" s="1"/>
  <c r="O48" i="48" s="1"/>
  <c r="P48" i="48" s="1"/>
  <c r="Q48" i="48" s="1"/>
  <c r="R48" i="48" s="1"/>
  <c r="S48" i="48" s="1"/>
  <c r="T48" i="48" s="1"/>
  <c r="U48" i="48" s="1"/>
  <c r="V48" i="48" s="1"/>
  <c r="W48" i="48" s="1"/>
  <c r="K49" i="48"/>
  <c r="L49" i="48"/>
  <c r="M49" i="48" s="1"/>
  <c r="N49" i="48" s="1"/>
  <c r="O49" i="48" s="1"/>
  <c r="P49" i="48" s="1"/>
  <c r="Q49" i="48" s="1"/>
  <c r="R49" i="48" s="1"/>
  <c r="S49" i="48" s="1"/>
  <c r="T49" i="48" s="1"/>
  <c r="U49" i="48" s="1"/>
  <c r="V49" i="48" s="1"/>
  <c r="W49" i="48" s="1"/>
  <c r="K50" i="48"/>
  <c r="L50" i="48" s="1"/>
  <c r="M50" i="48" s="1"/>
  <c r="N50" i="48" s="1"/>
  <c r="O50" i="48" s="1"/>
  <c r="P50" i="48" s="1"/>
  <c r="Q50" i="48" s="1"/>
  <c r="R50" i="48" s="1"/>
  <c r="S50" i="48" s="1"/>
  <c r="T50" i="48" s="1"/>
  <c r="U50" i="48" s="1"/>
  <c r="V50" i="48" s="1"/>
  <c r="W50" i="48" s="1"/>
  <c r="K51" i="48"/>
  <c r="L51" i="48" s="1"/>
  <c r="M51" i="48" s="1"/>
  <c r="N51" i="48" s="1"/>
  <c r="O51" i="48" s="1"/>
  <c r="P51" i="48" s="1"/>
  <c r="Q51" i="48" s="1"/>
  <c r="R51" i="48" s="1"/>
  <c r="S51" i="48" s="1"/>
  <c r="T51" i="48" s="1"/>
  <c r="U51" i="48" s="1"/>
  <c r="V51" i="48" s="1"/>
  <c r="W51" i="48" s="1"/>
  <c r="K52" i="48"/>
  <c r="L52" i="48" s="1"/>
  <c r="M52" i="48" s="1"/>
  <c r="N52" i="48" s="1"/>
  <c r="O52" i="48"/>
  <c r="P52" i="48" s="1"/>
  <c r="Q52" i="48"/>
  <c r="R52" i="48" s="1"/>
  <c r="S52" i="48" s="1"/>
  <c r="T52" i="48" s="1"/>
  <c r="U52" i="48" s="1"/>
  <c r="V52" i="48"/>
  <c r="W52" i="48" s="1"/>
  <c r="K53" i="48"/>
  <c r="L53" i="48"/>
  <c r="M53" i="48"/>
  <c r="N53" i="48" s="1"/>
  <c r="O53" i="48" s="1"/>
  <c r="P53" i="48" s="1"/>
  <c r="Q53" i="48" s="1"/>
  <c r="R53" i="48" s="1"/>
  <c r="S53" i="48" s="1"/>
  <c r="T53" i="48" s="1"/>
  <c r="U53" i="48" s="1"/>
  <c r="V53" i="48" s="1"/>
  <c r="W53" i="48" s="1"/>
  <c r="K54" i="48"/>
  <c r="L54" i="48" s="1"/>
  <c r="M54" i="48" s="1"/>
  <c r="N54" i="48" s="1"/>
  <c r="O54" i="48" s="1"/>
  <c r="P54" i="48" s="1"/>
  <c r="Q54" i="48" s="1"/>
  <c r="R54" i="48" s="1"/>
  <c r="S54" i="48" s="1"/>
  <c r="T54" i="48" s="1"/>
  <c r="U54" i="48" s="1"/>
  <c r="V54" i="48" s="1"/>
  <c r="W54" i="48" s="1"/>
  <c r="K56" i="48"/>
  <c r="L56" i="48" s="1"/>
  <c r="M56" i="48"/>
  <c r="N56" i="48"/>
  <c r="O56" i="48" s="1"/>
  <c r="P56" i="48" s="1"/>
  <c r="Q56" i="48" s="1"/>
  <c r="R56" i="48" s="1"/>
  <c r="S56" i="48" s="1"/>
  <c r="T56" i="48" s="1"/>
  <c r="U56" i="48" s="1"/>
  <c r="V56" i="48" s="1"/>
  <c r="W56" i="48" s="1"/>
  <c r="K57" i="48"/>
  <c r="L57" i="48"/>
  <c r="M57" i="48"/>
  <c r="N57" i="48" s="1"/>
  <c r="O57" i="48" s="1"/>
  <c r="P57" i="48" s="1"/>
  <c r="Q57" i="48" s="1"/>
  <c r="R57" i="48" s="1"/>
  <c r="S57" i="48" s="1"/>
  <c r="T57" i="48" s="1"/>
  <c r="U57" i="48" s="1"/>
  <c r="V57" i="48" s="1"/>
  <c r="W57" i="48" s="1"/>
  <c r="K59" i="48"/>
  <c r="L59" i="48"/>
  <c r="M59" i="48" s="1"/>
  <c r="N59" i="48" s="1"/>
  <c r="O59" i="48" s="1"/>
  <c r="P59" i="48" s="1"/>
  <c r="Q59" i="48" s="1"/>
  <c r="R59" i="48" s="1"/>
  <c r="S59" i="48" s="1"/>
  <c r="T59" i="48" s="1"/>
  <c r="U59" i="48" s="1"/>
  <c r="V59" i="48" s="1"/>
  <c r="W59" i="48" s="1"/>
  <c r="K60" i="48"/>
  <c r="L60" i="48" s="1"/>
  <c r="M60" i="48" s="1"/>
  <c r="N60" i="48" s="1"/>
  <c r="O60" i="48" s="1"/>
  <c r="P60" i="48" s="1"/>
  <c r="Q60" i="48" s="1"/>
  <c r="R60" i="48" s="1"/>
  <c r="S60" i="48" s="1"/>
  <c r="T60" i="48" s="1"/>
  <c r="U60" i="48" s="1"/>
  <c r="V60" i="48" s="1"/>
  <c r="W60" i="48" s="1"/>
  <c r="K61" i="48"/>
  <c r="L61" i="48"/>
  <c r="M61" i="48"/>
  <c r="N61" i="48" s="1"/>
  <c r="O61" i="48" s="1"/>
  <c r="P61" i="48" s="1"/>
  <c r="Q61" i="48" s="1"/>
  <c r="R61" i="48" s="1"/>
  <c r="S61" i="48" s="1"/>
  <c r="T61" i="48" s="1"/>
  <c r="U61" i="48" s="1"/>
  <c r="V61" i="48" s="1"/>
  <c r="W61" i="48" s="1"/>
  <c r="K64" i="48"/>
  <c r="L64" i="48" s="1"/>
  <c r="M64" i="48" s="1"/>
  <c r="N64" i="48"/>
  <c r="O64" i="48"/>
  <c r="P64" i="48" s="1"/>
  <c r="Q64" i="48" s="1"/>
  <c r="R64" i="48"/>
  <c r="S64" i="48" s="1"/>
  <c r="T64" i="48" s="1"/>
  <c r="U64" i="48" s="1"/>
  <c r="V64" i="48" s="1"/>
  <c r="W64" i="48"/>
  <c r="K65" i="48"/>
  <c r="L65" i="48"/>
  <c r="M65" i="48"/>
  <c r="N65" i="48"/>
  <c r="O65" i="48" s="1"/>
  <c r="P65" i="48" s="1"/>
  <c r="Q65" i="48"/>
  <c r="R65" i="48" s="1"/>
  <c r="S65" i="48" s="1"/>
  <c r="T65" i="48" s="1"/>
  <c r="U65" i="48" s="1"/>
  <c r="V65" i="48"/>
  <c r="W65" i="48" s="1"/>
  <c r="K68" i="48"/>
  <c r="L68" i="48" s="1"/>
  <c r="M68" i="48" s="1"/>
  <c r="N68" i="48"/>
  <c r="O68" i="48"/>
  <c r="P68" i="48" s="1"/>
  <c r="Q68" i="48" s="1"/>
  <c r="R68" i="48" s="1"/>
  <c r="S68" i="48" s="1"/>
  <c r="T68" i="48" s="1"/>
  <c r="U68" i="48" s="1"/>
  <c r="V68" i="48" s="1"/>
  <c r="W68" i="48" s="1"/>
  <c r="K69" i="48"/>
  <c r="L69" i="48"/>
  <c r="M69" i="48"/>
  <c r="N69" i="48"/>
  <c r="O69" i="48" s="1"/>
  <c r="P69" i="48" s="1"/>
  <c r="Q69" i="48" s="1"/>
  <c r="R69" i="48" s="1"/>
  <c r="S69" i="48" s="1"/>
  <c r="T69" i="48" s="1"/>
  <c r="U69" i="48" s="1"/>
  <c r="V69" i="48" s="1"/>
  <c r="W69" i="48" s="1"/>
  <c r="K72" i="48"/>
  <c r="L72" i="48" s="1"/>
  <c r="M72" i="48" s="1"/>
  <c r="N72" i="48"/>
  <c r="O72" i="48"/>
  <c r="P72" i="48" s="1"/>
  <c r="Q72" i="48" s="1"/>
  <c r="R72" i="48"/>
  <c r="S72" i="48" s="1"/>
  <c r="T72" i="48" s="1"/>
  <c r="U72" i="48" s="1"/>
  <c r="V72" i="48" s="1"/>
  <c r="W72" i="48" s="1"/>
  <c r="K73" i="48"/>
  <c r="L73" i="48"/>
  <c r="M73" i="48"/>
  <c r="N73" i="48"/>
  <c r="O73" i="48" s="1"/>
  <c r="P73" i="48" s="1"/>
  <c r="Q73" i="48"/>
  <c r="R73" i="48" s="1"/>
  <c r="S73" i="48" s="1"/>
  <c r="T73" i="48" s="1"/>
  <c r="U73" i="48" s="1"/>
  <c r="V73" i="48" s="1"/>
  <c r="W73" i="48" s="1"/>
  <c r="K74" i="48"/>
  <c r="L74" i="48"/>
  <c r="M74" i="48"/>
  <c r="N74" i="48" s="1"/>
  <c r="O74" i="48" s="1"/>
  <c r="P74" i="48"/>
  <c r="Q74" i="48"/>
  <c r="R74" i="48" s="1"/>
  <c r="S74" i="48" s="1"/>
  <c r="T74" i="48" s="1"/>
  <c r="U74" i="48" s="1"/>
  <c r="V74" i="48" s="1"/>
  <c r="W74" i="48" s="1"/>
  <c r="K75" i="48"/>
  <c r="L75" i="48" s="1"/>
  <c r="M75" i="48" s="1"/>
  <c r="N75" i="48" s="1"/>
  <c r="O75" i="48" s="1"/>
  <c r="P75" i="48" s="1"/>
  <c r="Q75" i="48" s="1"/>
  <c r="R75" i="48" s="1"/>
  <c r="S75" i="48" s="1"/>
  <c r="T75" i="48" s="1"/>
  <c r="U75" i="48" s="1"/>
  <c r="V75" i="48" s="1"/>
  <c r="W75" i="48" s="1"/>
  <c r="K76" i="48"/>
  <c r="L76" i="48" s="1"/>
  <c r="M76" i="48" s="1"/>
  <c r="N76" i="48"/>
  <c r="O76" i="48" s="1"/>
  <c r="P76" i="48" s="1"/>
  <c r="Q76" i="48" s="1"/>
  <c r="R76" i="48" s="1"/>
  <c r="S76" i="48" s="1"/>
  <c r="T76" i="48" s="1"/>
  <c r="U76" i="48" s="1"/>
  <c r="V76" i="48" s="1"/>
  <c r="W76" i="48" s="1"/>
  <c r="K77" i="48"/>
  <c r="L77" i="48"/>
  <c r="M77" i="48"/>
  <c r="N77" i="48" s="1"/>
  <c r="O77" i="48" s="1"/>
  <c r="P77" i="48" s="1"/>
  <c r="Q77" i="48" s="1"/>
  <c r="R77" i="48" s="1"/>
  <c r="S77" i="48" s="1"/>
  <c r="T77" i="48" s="1"/>
  <c r="U77" i="48" s="1"/>
  <c r="V77" i="48" s="1"/>
  <c r="W77" i="48" s="1"/>
  <c r="K78" i="48"/>
  <c r="L78" i="48"/>
  <c r="M78" i="48"/>
  <c r="N78" i="48" s="1"/>
  <c r="O78" i="48" s="1"/>
  <c r="P78" i="48" s="1"/>
  <c r="Q78" i="48" s="1"/>
  <c r="R78" i="48" s="1"/>
  <c r="S78" i="48" s="1"/>
  <c r="T78" i="48" s="1"/>
  <c r="U78" i="48" s="1"/>
  <c r="V78" i="48" s="1"/>
  <c r="W78" i="48" s="1"/>
  <c r="K79" i="48"/>
  <c r="L79" i="48" s="1"/>
  <c r="M79" i="48" s="1"/>
  <c r="N79" i="48" s="1"/>
  <c r="O79" i="48" s="1"/>
  <c r="P79" i="48" s="1"/>
  <c r="Q79" i="48" s="1"/>
  <c r="R79" i="48" s="1"/>
  <c r="S79" i="48" s="1"/>
  <c r="T79" i="48" s="1"/>
  <c r="U79" i="48" s="1"/>
  <c r="V79" i="48" s="1"/>
  <c r="W79" i="48" s="1"/>
  <c r="K80" i="48"/>
  <c r="L80" i="48" s="1"/>
  <c r="M80" i="48" s="1"/>
  <c r="N80" i="48"/>
  <c r="O80" i="48" s="1"/>
  <c r="P80" i="48" s="1"/>
  <c r="Q80" i="48" s="1"/>
  <c r="R80" i="48" s="1"/>
  <c r="S80" i="48"/>
  <c r="T80" i="48" s="1"/>
  <c r="U80" i="48" s="1"/>
  <c r="V80" i="48" s="1"/>
  <c r="W80" i="48" s="1"/>
  <c r="K81" i="48"/>
  <c r="L81" i="48"/>
  <c r="M81" i="48"/>
  <c r="N81" i="48" s="1"/>
  <c r="O81" i="48" s="1"/>
  <c r="P81" i="48" s="1"/>
  <c r="Q81" i="48" s="1"/>
  <c r="R81" i="48" s="1"/>
  <c r="S81" i="48" s="1"/>
  <c r="T81" i="48" s="1"/>
  <c r="U81" i="48" s="1"/>
  <c r="V81" i="48" s="1"/>
  <c r="W81" i="48" s="1"/>
  <c r="K82" i="48"/>
  <c r="L82" i="48"/>
  <c r="M82" i="48"/>
  <c r="N82" i="48" s="1"/>
  <c r="O82" i="48" s="1"/>
  <c r="P82" i="48" s="1"/>
  <c r="Q82" i="48" s="1"/>
  <c r="R82" i="48" s="1"/>
  <c r="S82" i="48" s="1"/>
  <c r="T82" i="48"/>
  <c r="U82" i="48" s="1"/>
  <c r="V82" i="48" s="1"/>
  <c r="W82" i="48" s="1"/>
  <c r="K83" i="48"/>
  <c r="L83" i="48"/>
  <c r="M83" i="48" s="1"/>
  <c r="N83" i="48" s="1"/>
  <c r="O83" i="48"/>
  <c r="P83" i="48"/>
  <c r="Q83" i="48" s="1"/>
  <c r="R83" i="48" s="1"/>
  <c r="S83" i="48" s="1"/>
  <c r="T83" i="48" s="1"/>
  <c r="U83" i="48" s="1"/>
  <c r="V83" i="48" s="1"/>
  <c r="W83" i="48" s="1"/>
  <c r="K84" i="48"/>
  <c r="L84" i="48" s="1"/>
  <c r="M84" i="48" s="1"/>
  <c r="N84" i="48" s="1"/>
  <c r="O84" i="48" s="1"/>
  <c r="P84" i="48" s="1"/>
  <c r="Q84" i="48" s="1"/>
  <c r="R84" i="48" s="1"/>
  <c r="S84" i="48"/>
  <c r="T84" i="48" s="1"/>
  <c r="U84" i="48" s="1"/>
  <c r="V84" i="48" s="1"/>
  <c r="W84" i="48" s="1"/>
  <c r="K85" i="48"/>
  <c r="L85" i="48"/>
  <c r="M85" i="48"/>
  <c r="N85" i="48"/>
  <c r="O85" i="48" s="1"/>
  <c r="P85" i="48" s="1"/>
  <c r="Q85" i="48"/>
  <c r="R85" i="48"/>
  <c r="S85" i="48" s="1"/>
  <c r="T85" i="48" s="1"/>
  <c r="U85" i="48" s="1"/>
  <c r="V85" i="48" s="1"/>
  <c r="W85" i="48" s="1"/>
  <c r="K86" i="48"/>
  <c r="L86" i="48"/>
  <c r="M86" i="48" s="1"/>
  <c r="N86" i="48" s="1"/>
  <c r="O86" i="48" s="1"/>
  <c r="P86" i="48" s="1"/>
  <c r="Q86" i="48" s="1"/>
  <c r="R86" i="48" s="1"/>
  <c r="S86" i="48" s="1"/>
  <c r="T86" i="48"/>
  <c r="U86" i="48" s="1"/>
  <c r="V86" i="48" s="1"/>
  <c r="W86" i="48" s="1"/>
  <c r="K87" i="48"/>
  <c r="L87" i="48"/>
  <c r="M87" i="48" s="1"/>
  <c r="N87" i="48" s="1"/>
  <c r="O87" i="48" s="1"/>
  <c r="P87" i="48" s="1"/>
  <c r="Q87" i="48" s="1"/>
  <c r="R87" i="48" s="1"/>
  <c r="S87" i="48" s="1"/>
  <c r="T87" i="48" s="1"/>
  <c r="U87" i="48" s="1"/>
  <c r="V87" i="48" s="1"/>
  <c r="W87" i="48"/>
  <c r="K88" i="48"/>
  <c r="L88" i="48" s="1"/>
  <c r="M88" i="48" s="1"/>
  <c r="N88" i="48"/>
  <c r="O88" i="48"/>
  <c r="P88" i="48" s="1"/>
  <c r="Q88" i="48" s="1"/>
  <c r="R88" i="48" s="1"/>
  <c r="S88" i="48" s="1"/>
  <c r="T88" i="48" s="1"/>
  <c r="U88" i="48" s="1"/>
  <c r="V88" i="48" s="1"/>
  <c r="W88" i="48" s="1"/>
  <c r="K89" i="48"/>
  <c r="L89" i="48"/>
  <c r="M89" i="48"/>
  <c r="N89" i="48"/>
  <c r="O89" i="48" s="1"/>
  <c r="P89" i="48" s="1"/>
  <c r="Q89" i="48" s="1"/>
  <c r="R89" i="48" s="1"/>
  <c r="S89" i="48" s="1"/>
  <c r="T89" i="48" s="1"/>
  <c r="U89" i="48" s="1"/>
  <c r="V89" i="48"/>
  <c r="W89" i="48" s="1"/>
  <c r="K90" i="48"/>
  <c r="L90" i="48"/>
  <c r="M90" i="48"/>
  <c r="N90" i="48" s="1"/>
  <c r="O90" i="48" s="1"/>
  <c r="P90" i="48" s="1"/>
  <c r="Q90" i="48" s="1"/>
  <c r="R90" i="48" s="1"/>
  <c r="S90" i="48" s="1"/>
  <c r="T90" i="48"/>
  <c r="U90" i="48" s="1"/>
  <c r="V90" i="48" s="1"/>
  <c r="W90" i="48" s="1"/>
  <c r="K91" i="48"/>
  <c r="L91" i="48" s="1"/>
  <c r="M91" i="48" s="1"/>
  <c r="N91" i="48" s="1"/>
  <c r="O91" i="48" s="1"/>
  <c r="P91" i="48" s="1"/>
  <c r="Q91" i="48" s="1"/>
  <c r="R91" i="48" s="1"/>
  <c r="S91" i="48" s="1"/>
  <c r="T91" i="48" s="1"/>
  <c r="U91" i="48" s="1"/>
  <c r="V91" i="48" s="1"/>
  <c r="W91" i="48" s="1"/>
  <c r="K92" i="48"/>
  <c r="L92" i="48"/>
  <c r="M92" i="48"/>
  <c r="N92" i="48"/>
  <c r="O92" i="48" s="1"/>
  <c r="P92" i="48" s="1"/>
  <c r="Q92" i="48" s="1"/>
  <c r="R92" i="48"/>
  <c r="S92" i="48" s="1"/>
  <c r="T92" i="48" s="1"/>
  <c r="U92" i="48" s="1"/>
  <c r="V92" i="48" s="1"/>
  <c r="W92" i="48"/>
  <c r="K93" i="48"/>
  <c r="L93" i="48"/>
  <c r="M93" i="48"/>
  <c r="N93" i="48" s="1"/>
  <c r="O93" i="48" s="1"/>
  <c r="P93" i="48" s="1"/>
  <c r="Q93" i="48" s="1"/>
  <c r="R93" i="48" s="1"/>
  <c r="S93" i="48" s="1"/>
  <c r="T93" i="48" s="1"/>
  <c r="U93" i="48" s="1"/>
  <c r="V93" i="48" s="1"/>
  <c r="W93" i="48" s="1"/>
  <c r="K94" i="48"/>
  <c r="L94" i="48"/>
  <c r="M94" i="48"/>
  <c r="N94" i="48"/>
  <c r="O94" i="48" s="1"/>
  <c r="P94" i="48" s="1"/>
  <c r="Q94" i="48"/>
  <c r="R94" i="48" s="1"/>
  <c r="S94" i="48" s="1"/>
  <c r="T94" i="48" s="1"/>
  <c r="U94" i="48" s="1"/>
  <c r="V94" i="48"/>
  <c r="W94" i="48" s="1"/>
  <c r="K95" i="48"/>
  <c r="L95" i="48"/>
  <c r="M95" i="48" s="1"/>
  <c r="N95" i="48" s="1"/>
  <c r="O95" i="48" s="1"/>
  <c r="P95" i="48" s="1"/>
  <c r="Q95" i="48"/>
  <c r="R95" i="48" s="1"/>
  <c r="S95" i="48" s="1"/>
  <c r="T95" i="48"/>
  <c r="U95" i="48" s="1"/>
  <c r="V95" i="48" s="1"/>
  <c r="W95" i="48" s="1"/>
  <c r="K96" i="48"/>
  <c r="L96" i="48"/>
  <c r="M96" i="48" s="1"/>
  <c r="N96" i="48" s="1"/>
  <c r="O96" i="48"/>
  <c r="P96" i="48" s="1"/>
  <c r="Q96" i="48" s="1"/>
  <c r="R96" i="48" s="1"/>
  <c r="S96" i="48" s="1"/>
  <c r="T96" i="48"/>
  <c r="U96" i="48" s="1"/>
  <c r="V96" i="48" s="1"/>
  <c r="W96" i="48" s="1"/>
  <c r="K98" i="48"/>
  <c r="L98" i="48"/>
  <c r="M98" i="48"/>
  <c r="N98" i="48" s="1"/>
  <c r="O98" i="48" s="1"/>
  <c r="P98" i="48" s="1"/>
  <c r="Q98" i="48" s="1"/>
  <c r="R98" i="48"/>
  <c r="S98" i="48" s="1"/>
  <c r="T98" i="48" s="1"/>
  <c r="U98" i="48" s="1"/>
  <c r="V98" i="48" s="1"/>
  <c r="W98" i="48" s="1"/>
  <c r="K99" i="48"/>
  <c r="L99" i="48"/>
  <c r="M99" i="48"/>
  <c r="N99" i="48" s="1"/>
  <c r="O99" i="48" s="1"/>
  <c r="P99" i="48"/>
  <c r="Q99" i="48" s="1"/>
  <c r="R99" i="48" s="1"/>
  <c r="S99" i="48" s="1"/>
  <c r="T99" i="48" s="1"/>
  <c r="U99" i="48" s="1"/>
  <c r="V99" i="48" s="1"/>
  <c r="W99" i="48" s="1"/>
  <c r="K100" i="48"/>
  <c r="L100" i="48" s="1"/>
  <c r="M100" i="48" s="1"/>
  <c r="N100" i="48" s="1"/>
  <c r="O100" i="48" s="1"/>
  <c r="P100" i="48"/>
  <c r="Q100" i="48" s="1"/>
  <c r="R100" i="48" s="1"/>
  <c r="S100" i="48" s="1"/>
  <c r="T100" i="48" s="1"/>
  <c r="U100" i="48" s="1"/>
  <c r="V100" i="48" s="1"/>
  <c r="W100" i="48" s="1"/>
  <c r="K101" i="48"/>
  <c r="L101" i="48" s="1"/>
  <c r="M101" i="48" s="1"/>
  <c r="N101" i="48"/>
  <c r="O101" i="48" s="1"/>
  <c r="P101" i="48" s="1"/>
  <c r="Q101" i="48" s="1"/>
  <c r="R101" i="48" s="1"/>
  <c r="S101" i="48"/>
  <c r="T101" i="48" s="1"/>
  <c r="U101" i="48" s="1"/>
  <c r="V101" i="48"/>
  <c r="W101" i="48" s="1"/>
  <c r="K102" i="48"/>
  <c r="L102" i="48"/>
  <c r="M102" i="48"/>
  <c r="N102" i="48"/>
  <c r="O102" i="48" s="1"/>
  <c r="P102" i="48" s="1"/>
  <c r="Q102" i="48" s="1"/>
  <c r="R102" i="48" s="1"/>
  <c r="S102" i="48" s="1"/>
  <c r="T102" i="48" s="1"/>
  <c r="U102" i="48" s="1"/>
  <c r="V102" i="48" s="1"/>
  <c r="W102" i="48" s="1"/>
  <c r="I30" i="56"/>
  <c r="I31" i="56"/>
  <c r="I36" i="56"/>
  <c r="I37" i="56"/>
  <c r="H45" i="56"/>
  <c r="I45" i="56" s="1"/>
  <c r="H46" i="56"/>
  <c r="H77" i="56" s="1"/>
  <c r="I77" i="56" s="1"/>
  <c r="I48" i="56"/>
  <c r="I49" i="56"/>
  <c r="I51" i="56"/>
  <c r="I52" i="56"/>
  <c r="I53" i="56"/>
  <c r="I54" i="56"/>
  <c r="I55" i="56"/>
  <c r="I56" i="56"/>
  <c r="I61" i="56"/>
  <c r="I62" i="56"/>
  <c r="I67" i="56"/>
  <c r="I68" i="56"/>
  <c r="I79" i="56"/>
  <c r="I80" i="56"/>
  <c r="I82" i="56"/>
  <c r="I83" i="56"/>
  <c r="I84" i="56"/>
  <c r="I85" i="56"/>
  <c r="I86" i="56"/>
  <c r="I87" i="56"/>
  <c r="I92" i="56"/>
  <c r="I93" i="56"/>
  <c r="I98" i="56"/>
  <c r="I99" i="56"/>
  <c r="I110" i="56"/>
  <c r="I111" i="56"/>
  <c r="I113" i="56"/>
  <c r="I114" i="56"/>
  <c r="I115" i="56"/>
  <c r="I116" i="56"/>
  <c r="I117" i="56"/>
  <c r="I118" i="56"/>
  <c r="I123" i="56"/>
  <c r="I124" i="56"/>
  <c r="I129" i="56"/>
  <c r="I130" i="56"/>
  <c r="I141" i="56"/>
  <c r="I142" i="56"/>
  <c r="I144" i="56"/>
  <c r="I145" i="56"/>
  <c r="I146" i="56"/>
  <c r="I147" i="56"/>
  <c r="I148" i="56"/>
  <c r="I149" i="56"/>
  <c r="I154" i="56"/>
  <c r="I155" i="56"/>
  <c r="I160" i="56"/>
  <c r="I161" i="56"/>
  <c r="I172" i="56"/>
  <c r="I173" i="56"/>
  <c r="I175" i="56"/>
  <c r="I176" i="56"/>
  <c r="I177" i="56"/>
  <c r="I178" i="56"/>
  <c r="I179" i="56"/>
  <c r="I180" i="56"/>
  <c r="I185" i="56"/>
  <c r="I186" i="56"/>
  <c r="I191" i="56"/>
  <c r="I192" i="56"/>
  <c r="I208" i="56"/>
  <c r="I209" i="56"/>
  <c r="I211" i="56"/>
  <c r="I212" i="56"/>
  <c r="I214" i="56"/>
  <c r="I215" i="56"/>
  <c r="I217" i="56"/>
  <c r="I218" i="56"/>
  <c r="I253" i="56"/>
  <c r="I254" i="56"/>
  <c r="I256" i="56"/>
  <c r="I257" i="56"/>
  <c r="I259" i="56"/>
  <c r="I260" i="56"/>
  <c r="I261" i="56"/>
  <c r="I262" i="56"/>
  <c r="I263" i="56"/>
  <c r="I264" i="56"/>
  <c r="I265" i="56"/>
  <c r="F266" i="56"/>
  <c r="I266" i="56" s="1"/>
  <c r="I269" i="56"/>
  <c r="I270" i="56"/>
  <c r="I272" i="56"/>
  <c r="F273" i="56"/>
  <c r="I273" i="56" s="1"/>
  <c r="I275" i="56"/>
  <c r="I276" i="56"/>
  <c r="I286" i="56"/>
  <c r="I287" i="56"/>
  <c r="I289" i="56"/>
  <c r="I290" i="56"/>
  <c r="I292" i="56"/>
  <c r="I293" i="56"/>
  <c r="I294" i="56"/>
  <c r="I295" i="56"/>
  <c r="I296" i="56"/>
  <c r="I297" i="56"/>
  <c r="I298" i="56"/>
  <c r="F299" i="56"/>
  <c r="I302" i="56"/>
  <c r="I303" i="56"/>
  <c r="I305" i="56"/>
  <c r="F306" i="56"/>
  <c r="I306" i="56" s="1"/>
  <c r="I308" i="56"/>
  <c r="I309" i="56"/>
  <c r="I346" i="56"/>
  <c r="H347" i="56"/>
  <c r="I347" i="56" s="1"/>
  <c r="I349" i="56"/>
  <c r="I350" i="56"/>
  <c r="I352" i="56"/>
  <c r="I353" i="56"/>
  <c r="I354" i="56"/>
  <c r="I355" i="56"/>
  <c r="I356" i="56"/>
  <c r="I357" i="56"/>
  <c r="I362" i="56"/>
  <c r="I363" i="56"/>
  <c r="I368" i="56"/>
  <c r="I369" i="56"/>
  <c r="I377" i="56"/>
  <c r="H378" i="56"/>
  <c r="I378" i="56" s="1"/>
  <c r="I376" i="56" s="1"/>
  <c r="I380" i="56"/>
  <c r="I381" i="56"/>
  <c r="I383" i="56"/>
  <c r="I384" i="56"/>
  <c r="I385" i="56"/>
  <c r="I386" i="56"/>
  <c r="I387" i="56"/>
  <c r="I388" i="56"/>
  <c r="I393" i="56"/>
  <c r="I394" i="56"/>
  <c r="I399" i="56"/>
  <c r="I400" i="56"/>
  <c r="I408" i="56"/>
  <c r="H409" i="56"/>
  <c r="I409" i="56" s="1"/>
  <c r="I411" i="56"/>
  <c r="I412" i="56"/>
  <c r="I414" i="56"/>
  <c r="I415" i="56"/>
  <c r="I416" i="56"/>
  <c r="I417" i="56"/>
  <c r="I418" i="56"/>
  <c r="I419" i="56"/>
  <c r="I424" i="56"/>
  <c r="I425" i="56"/>
  <c r="I430" i="56"/>
  <c r="I431" i="56"/>
  <c r="I439" i="56"/>
  <c r="H440" i="56"/>
  <c r="I440" i="56" s="1"/>
  <c r="I442" i="56"/>
  <c r="I443" i="56"/>
  <c r="I445" i="56"/>
  <c r="I446" i="56"/>
  <c r="I447" i="56"/>
  <c r="I448" i="56"/>
  <c r="I449" i="56"/>
  <c r="I450" i="56"/>
  <c r="I455" i="56"/>
  <c r="I456" i="56"/>
  <c r="I461" i="56"/>
  <c r="I462" i="56"/>
  <c r="I470" i="56"/>
  <c r="H471" i="56"/>
  <c r="I471" i="56" s="1"/>
  <c r="I473" i="56"/>
  <c r="I474" i="56"/>
  <c r="I476" i="56"/>
  <c r="I477" i="56"/>
  <c r="I478" i="56"/>
  <c r="I479" i="56"/>
  <c r="I480" i="56"/>
  <c r="I481" i="56"/>
  <c r="I486" i="56"/>
  <c r="I487" i="56"/>
  <c r="I492" i="56"/>
  <c r="I493" i="56"/>
  <c r="I613" i="56"/>
  <c r="H614" i="56"/>
  <c r="I614" i="56" s="1"/>
  <c r="I616" i="56"/>
  <c r="I617" i="56"/>
  <c r="I619" i="56"/>
  <c r="I620" i="56"/>
  <c r="I621" i="56"/>
  <c r="I622" i="56"/>
  <c r="I623" i="56"/>
  <c r="I624" i="56"/>
  <c r="F625" i="56"/>
  <c r="I625" i="56" s="1"/>
  <c r="I629" i="56"/>
  <c r="I630" i="56"/>
  <c r="I632" i="56"/>
  <c r="I633" i="56"/>
  <c r="I635" i="56"/>
  <c r="I636" i="56"/>
  <c r="D13" i="71"/>
  <c r="D26" i="71"/>
  <c r="D36" i="71" s="1"/>
  <c r="J49" i="54"/>
  <c r="O38" i="71" s="1"/>
  <c r="J38" i="71"/>
  <c r="E38" i="71"/>
  <c r="J30" i="71"/>
  <c r="F26" i="71"/>
  <c r="C386" i="55"/>
  <c r="C385" i="55"/>
  <c r="C384" i="55"/>
  <c r="C383" i="55"/>
  <c r="C382" i="55"/>
  <c r="C381" i="55"/>
  <c r="G344" i="55"/>
  <c r="G343" i="55"/>
  <c r="G337" i="55"/>
  <c r="D45" i="63"/>
  <c r="E45" i="63"/>
  <c r="D46" i="63"/>
  <c r="E46" i="63"/>
  <c r="D47" i="63"/>
  <c r="E47" i="63"/>
  <c r="D48" i="63"/>
  <c r="E48" i="63"/>
  <c r="E44" i="63"/>
  <c r="D43" i="63"/>
  <c r="D44" i="63"/>
  <c r="C45" i="63"/>
  <c r="C46" i="63"/>
  <c r="C47" i="63"/>
  <c r="C48" i="63"/>
  <c r="C44" i="63"/>
  <c r="H115" i="54"/>
  <c r="F109" i="54"/>
  <c r="F98" i="54"/>
  <c r="F84" i="54"/>
  <c r="F72" i="54"/>
  <c r="H24" i="54"/>
  <c r="H23" i="54"/>
  <c r="E90" i="68"/>
  <c r="F90" i="68" s="1"/>
  <c r="I89" i="68"/>
  <c r="J89" i="68" s="1"/>
  <c r="K89" i="68"/>
  <c r="L89" i="68"/>
  <c r="M89" i="68" s="1"/>
  <c r="E92" i="68"/>
  <c r="F92" i="68"/>
  <c r="E93" i="68"/>
  <c r="F93" i="68"/>
  <c r="G93" i="68" s="1"/>
  <c r="H93" i="68"/>
  <c r="I93" i="68" s="1"/>
  <c r="J93" i="68" s="1"/>
  <c r="K93" i="68" s="1"/>
  <c r="L93" i="68" s="1"/>
  <c r="M93" i="68" s="1"/>
  <c r="E96" i="68"/>
  <c r="F96" i="68" s="1"/>
  <c r="G96" i="68" s="1"/>
  <c r="H96" i="68" s="1"/>
  <c r="I96" i="68" s="1"/>
  <c r="J96" i="68" s="1"/>
  <c r="K96" i="68" s="1"/>
  <c r="L96" i="68" s="1"/>
  <c r="M96" i="68" s="1"/>
  <c r="E100" i="68"/>
  <c r="F100" i="68" s="1"/>
  <c r="G100" i="68" s="1"/>
  <c r="H100" i="68" s="1"/>
  <c r="I100" i="68" s="1"/>
  <c r="J100" i="68" s="1"/>
  <c r="K100" i="68" s="1"/>
  <c r="L100" i="68" s="1"/>
  <c r="M100" i="68" s="1"/>
  <c r="M77" i="68"/>
  <c r="M17" i="69"/>
  <c r="N12" i="70"/>
  <c r="M122" i="64"/>
  <c r="N122" i="64" s="1"/>
  <c r="O122" i="64" s="1"/>
  <c r="P122" i="64" s="1"/>
  <c r="Q122" i="64" s="1"/>
  <c r="R122" i="64" s="1"/>
  <c r="S122" i="64" s="1"/>
  <c r="M123" i="64"/>
  <c r="N123" i="64" s="1"/>
  <c r="O123" i="64" s="1"/>
  <c r="P123" i="64" s="1"/>
  <c r="M124" i="64"/>
  <c r="N124" i="64" s="1"/>
  <c r="O124" i="64" s="1"/>
  <c r="P124" i="64" s="1"/>
  <c r="Q124" i="64" s="1"/>
  <c r="R124" i="64" s="1"/>
  <c r="S124" i="64" s="1"/>
  <c r="T124" i="64" s="1"/>
  <c r="U124" i="64" s="1"/>
  <c r="M125" i="64"/>
  <c r="N125" i="64" s="1"/>
  <c r="M126" i="64"/>
  <c r="N126" i="64" s="1"/>
  <c r="O126" i="64" s="1"/>
  <c r="P126" i="64" s="1"/>
  <c r="Q126" i="64" s="1"/>
  <c r="R126" i="64" s="1"/>
  <c r="S126" i="64" s="1"/>
  <c r="T126" i="64" s="1"/>
  <c r="U126" i="64" s="1"/>
  <c r="M127" i="64"/>
  <c r="N127" i="64" s="1"/>
  <c r="O127" i="64" s="1"/>
  <c r="P127" i="64" s="1"/>
  <c r="Q127" i="64" s="1"/>
  <c r="R127" i="64" s="1"/>
  <c r="S127" i="64" s="1"/>
  <c r="T127" i="64" s="1"/>
  <c r="U127" i="64" s="1"/>
  <c r="M129" i="64"/>
  <c r="N129" i="64" s="1"/>
  <c r="O129" i="64" s="1"/>
  <c r="P129" i="64" s="1"/>
  <c r="Q129" i="64" s="1"/>
  <c r="R129" i="64" s="1"/>
  <c r="S129" i="64" s="1"/>
  <c r="T129" i="64" s="1"/>
  <c r="U129" i="64" s="1"/>
  <c r="M130" i="64"/>
  <c r="N130" i="64" s="1"/>
  <c r="O130" i="64" s="1"/>
  <c r="P130" i="64" s="1"/>
  <c r="Q130" i="64" s="1"/>
  <c r="R130" i="64" s="1"/>
  <c r="S130" i="64" s="1"/>
  <c r="T130" i="64" s="1"/>
  <c r="U130" i="64" s="1"/>
  <c r="M131" i="64"/>
  <c r="N131" i="64" s="1"/>
  <c r="O131" i="64" s="1"/>
  <c r="P131" i="64" s="1"/>
  <c r="Q131" i="64" s="1"/>
  <c r="R131" i="64" s="1"/>
  <c r="S131" i="64" s="1"/>
  <c r="T131" i="64" s="1"/>
  <c r="U131" i="64" s="1"/>
  <c r="M159" i="64"/>
  <c r="N159" i="64" s="1"/>
  <c r="O159" i="64" s="1"/>
  <c r="P159" i="64" s="1"/>
  <c r="Q159" i="64" s="1"/>
  <c r="R159" i="64" s="1"/>
  <c r="S159" i="64" s="1"/>
  <c r="T159" i="64" s="1"/>
  <c r="U159" i="64" s="1"/>
  <c r="M163" i="64"/>
  <c r="N163" i="64" s="1"/>
  <c r="O163" i="64" s="1"/>
  <c r="P163" i="64" s="1"/>
  <c r="M164" i="64"/>
  <c r="N164" i="64"/>
  <c r="M165" i="64"/>
  <c r="M167" i="64"/>
  <c r="N167" i="64" s="1"/>
  <c r="O167" i="64" s="1"/>
  <c r="P167" i="64" s="1"/>
  <c r="Q167" i="64" s="1"/>
  <c r="R167" i="64" s="1"/>
  <c r="S167" i="64" s="1"/>
  <c r="T167" i="64" s="1"/>
  <c r="U167" i="64" s="1"/>
  <c r="M170" i="64"/>
  <c r="N170" i="64"/>
  <c r="O170" i="64" s="1"/>
  <c r="M171" i="64"/>
  <c r="N171" i="64" s="1"/>
  <c r="O171" i="64" s="1"/>
  <c r="P171" i="64" s="1"/>
  <c r="Q171" i="64" s="1"/>
  <c r="R171" i="64" s="1"/>
  <c r="S171" i="64" s="1"/>
  <c r="T171" i="64" s="1"/>
  <c r="U171" i="64" s="1"/>
  <c r="M172" i="64"/>
  <c r="M174" i="64"/>
  <c r="N174" i="64"/>
  <c r="O174" i="64"/>
  <c r="P174" i="64" s="1"/>
  <c r="Q174" i="64" s="1"/>
  <c r="R174" i="64" s="1"/>
  <c r="S174" i="64" s="1"/>
  <c r="T174" i="64" s="1"/>
  <c r="U174" i="64" s="1"/>
  <c r="M176" i="64"/>
  <c r="N176" i="64"/>
  <c r="O176" i="64" s="1"/>
  <c r="P176" i="64" s="1"/>
  <c r="Q176" i="64" s="1"/>
  <c r="R176" i="64" s="1"/>
  <c r="S176" i="64" s="1"/>
  <c r="T176" i="64" s="1"/>
  <c r="U176" i="64" s="1"/>
  <c r="M178" i="64"/>
  <c r="N178" i="64" s="1"/>
  <c r="O178" i="64" s="1"/>
  <c r="P178" i="64" s="1"/>
  <c r="Q178" i="64" s="1"/>
  <c r="R178" i="64" s="1"/>
  <c r="S178" i="64" s="1"/>
  <c r="T178" i="64" s="1"/>
  <c r="U178" i="64" s="1"/>
  <c r="M180" i="64"/>
  <c r="N180" i="64" s="1"/>
  <c r="O180" i="64" s="1"/>
  <c r="P180" i="64" s="1"/>
  <c r="Q180" i="64" s="1"/>
  <c r="R180" i="64" s="1"/>
  <c r="S180" i="64" s="1"/>
  <c r="T180" i="64" s="1"/>
  <c r="U180" i="64"/>
  <c r="M182" i="64"/>
  <c r="N182" i="64" s="1"/>
  <c r="O182" i="64" s="1"/>
  <c r="P182" i="64" s="1"/>
  <c r="Q182" i="64" s="1"/>
  <c r="R182" i="64" s="1"/>
  <c r="S182" i="64" s="1"/>
  <c r="T182" i="64" s="1"/>
  <c r="U182" i="64" s="1"/>
  <c r="M185" i="64"/>
  <c r="N185" i="64" s="1"/>
  <c r="M186" i="64"/>
  <c r="N186" i="64" s="1"/>
  <c r="O186" i="64" s="1"/>
  <c r="P186" i="64" s="1"/>
  <c r="Q186" i="64" s="1"/>
  <c r="R186" i="64" s="1"/>
  <c r="S186" i="64" s="1"/>
  <c r="T186" i="64" s="1"/>
  <c r="U186" i="64" s="1"/>
  <c r="M189" i="64"/>
  <c r="N189" i="64" s="1"/>
  <c r="O189" i="64" s="1"/>
  <c r="P189" i="64" s="1"/>
  <c r="Q189" i="64" s="1"/>
  <c r="R189" i="64" s="1"/>
  <c r="S189" i="64" s="1"/>
  <c r="T189" i="64" s="1"/>
  <c r="U189" i="64" s="1"/>
  <c r="U192" i="64"/>
  <c r="P26" i="65" s="1"/>
  <c r="U99" i="64"/>
  <c r="U103" i="64"/>
  <c r="M11" i="66" s="1"/>
  <c r="T106" i="64"/>
  <c r="P14" i="65" s="1"/>
  <c r="E89" i="68"/>
  <c r="E88" i="68"/>
  <c r="E91" i="68"/>
  <c r="E77" i="68"/>
  <c r="E17" i="69"/>
  <c r="F12" i="70"/>
  <c r="M184" i="64"/>
  <c r="M192" i="64"/>
  <c r="H26" i="65"/>
  <c r="M99" i="64"/>
  <c r="M103" i="64"/>
  <c r="L106" i="64"/>
  <c r="H14" i="65" s="1"/>
  <c r="E12" i="66" s="1"/>
  <c r="F89" i="68"/>
  <c r="F77" i="68"/>
  <c r="F17" i="69" s="1"/>
  <c r="G12" i="70" s="1"/>
  <c r="N192" i="64"/>
  <c r="I26" i="65"/>
  <c r="N99" i="64"/>
  <c r="N103" i="64"/>
  <c r="M106" i="64"/>
  <c r="I14" i="65"/>
  <c r="G89" i="68"/>
  <c r="G77" i="68"/>
  <c r="G17" i="69"/>
  <c r="H12" i="70"/>
  <c r="O192" i="64"/>
  <c r="J26" i="65" s="1"/>
  <c r="O99" i="64"/>
  <c r="O103" i="64"/>
  <c r="G11" i="66" s="1"/>
  <c r="N106" i="64"/>
  <c r="J14" i="65" s="1"/>
  <c r="H89" i="68"/>
  <c r="H77" i="68"/>
  <c r="H17" i="69"/>
  <c r="I12" i="70" s="1"/>
  <c r="P192" i="64"/>
  <c r="K26" i="65" s="1"/>
  <c r="H16" i="66" s="1"/>
  <c r="P99" i="64"/>
  <c r="P103" i="64"/>
  <c r="O106" i="64"/>
  <c r="K14" i="65"/>
  <c r="I77" i="68"/>
  <c r="I17" i="69" s="1"/>
  <c r="J12" i="70" s="1"/>
  <c r="Q192" i="64"/>
  <c r="L26" i="65"/>
  <c r="Q99" i="64"/>
  <c r="Q103" i="64"/>
  <c r="P106" i="64"/>
  <c r="L14" i="65"/>
  <c r="J77" i="68"/>
  <c r="J17" i="69"/>
  <c r="K12" i="70"/>
  <c r="R192" i="64"/>
  <c r="M26" i="65" s="1"/>
  <c r="J16" i="66" s="1"/>
  <c r="R99" i="64"/>
  <c r="R103" i="64"/>
  <c r="J11" i="66" s="1"/>
  <c r="Q106" i="64"/>
  <c r="M14" i="65" s="1"/>
  <c r="K77" i="68"/>
  <c r="K17" i="69"/>
  <c r="L12" i="70" s="1"/>
  <c r="S192" i="64"/>
  <c r="N26" i="65" s="1"/>
  <c r="S99" i="64"/>
  <c r="S103" i="64"/>
  <c r="R106" i="64"/>
  <c r="N14" i="65" s="1"/>
  <c r="L77" i="68"/>
  <c r="L17" i="69" s="1"/>
  <c r="M12" i="70" s="1"/>
  <c r="T192" i="64"/>
  <c r="O26" i="65"/>
  <c r="T99" i="64"/>
  <c r="L10" i="66" s="1"/>
  <c r="T103" i="64"/>
  <c r="S106" i="64"/>
  <c r="O14" i="65" s="1"/>
  <c r="L12" i="66" s="1"/>
  <c r="M226" i="70"/>
  <c r="L226" i="70"/>
  <c r="K226" i="70"/>
  <c r="J226" i="70"/>
  <c r="R90" i="68"/>
  <c r="S90" i="68" s="1"/>
  <c r="V89" i="68"/>
  <c r="W89" i="68" s="1"/>
  <c r="R92" i="68"/>
  <c r="S92" i="68"/>
  <c r="R93" i="68"/>
  <c r="S93" i="68" s="1"/>
  <c r="T93" i="68" s="1"/>
  <c r="U93" i="68" s="1"/>
  <c r="V93" i="68" s="1"/>
  <c r="W93" i="68" s="1"/>
  <c r="X93" i="68" s="1"/>
  <c r="Y93" i="68" s="1"/>
  <c r="Z93" i="68" s="1"/>
  <c r="R96" i="68"/>
  <c r="S96" i="68"/>
  <c r="T96" i="68" s="1"/>
  <c r="U96" i="68"/>
  <c r="V96" i="68" s="1"/>
  <c r="W96" i="68" s="1"/>
  <c r="X96" i="68" s="1"/>
  <c r="Y96" i="68" s="1"/>
  <c r="Z96" i="68" s="1"/>
  <c r="R100" i="68"/>
  <c r="S100" i="68" s="1"/>
  <c r="T100" i="68" s="1"/>
  <c r="U100" i="68" s="1"/>
  <c r="V100" i="68" s="1"/>
  <c r="W100" i="68" s="1"/>
  <c r="X100" i="68" s="1"/>
  <c r="Y100" i="68" s="1"/>
  <c r="Z100" i="68" s="1"/>
  <c r="Z77" i="68"/>
  <c r="Z17" i="69"/>
  <c r="AF12" i="70" s="1"/>
  <c r="AI123" i="64"/>
  <c r="AJ123" i="64" s="1"/>
  <c r="AK123" i="64" s="1"/>
  <c r="AL123" i="64" s="1"/>
  <c r="AM123" i="64" s="1"/>
  <c r="AN123" i="64" s="1"/>
  <c r="AO123" i="64" s="1"/>
  <c r="AP123" i="64" s="1"/>
  <c r="AQ123" i="64" s="1"/>
  <c r="AI127" i="64"/>
  <c r="AJ127" i="64" s="1"/>
  <c r="AK127" i="64" s="1"/>
  <c r="AL127" i="64" s="1"/>
  <c r="AM127" i="64" s="1"/>
  <c r="AN127" i="64" s="1"/>
  <c r="AO127" i="64" s="1"/>
  <c r="AP127" i="64" s="1"/>
  <c r="AQ127" i="64" s="1"/>
  <c r="AI129" i="64"/>
  <c r="AJ129" i="64" s="1"/>
  <c r="AK129" i="64" s="1"/>
  <c r="AL129" i="64" s="1"/>
  <c r="AM129" i="64" s="1"/>
  <c r="AN129" i="64" s="1"/>
  <c r="AO129" i="64" s="1"/>
  <c r="AP129" i="64" s="1"/>
  <c r="AQ129" i="64" s="1"/>
  <c r="AI131" i="64"/>
  <c r="AJ131" i="64" s="1"/>
  <c r="AK131" i="64" s="1"/>
  <c r="AL131" i="64" s="1"/>
  <c r="AM131" i="64" s="1"/>
  <c r="AN131" i="64" s="1"/>
  <c r="AO131" i="64" s="1"/>
  <c r="AP131" i="64" s="1"/>
  <c r="AQ131" i="64" s="1"/>
  <c r="AI153" i="64"/>
  <c r="AJ153" i="64" s="1"/>
  <c r="AK153" i="64" s="1"/>
  <c r="AL153" i="64" s="1"/>
  <c r="AM153" i="64" s="1"/>
  <c r="AN153" i="64" s="1"/>
  <c r="AO153" i="64" s="1"/>
  <c r="AP153" i="64" s="1"/>
  <c r="AQ153" i="64" s="1"/>
  <c r="AI154" i="64"/>
  <c r="AJ154" i="64" s="1"/>
  <c r="AK154" i="64" s="1"/>
  <c r="AL154" i="64" s="1"/>
  <c r="AM154" i="64" s="1"/>
  <c r="AN154" i="64" s="1"/>
  <c r="AO154" i="64" s="1"/>
  <c r="AP154" i="64" s="1"/>
  <c r="AQ154" i="64" s="1"/>
  <c r="AH157" i="64"/>
  <c r="AI157" i="64" s="1"/>
  <c r="AH158" i="64"/>
  <c r="AI158" i="64" s="1"/>
  <c r="AJ158" i="64" s="1"/>
  <c r="AK158" i="64" s="1"/>
  <c r="AL158" i="64" s="1"/>
  <c r="AM158" i="64" s="1"/>
  <c r="AN158" i="64" s="1"/>
  <c r="AO158" i="64" s="1"/>
  <c r="AP158" i="64" s="1"/>
  <c r="AQ158" i="64" s="1"/>
  <c r="AH159" i="64"/>
  <c r="AI159" i="64" s="1"/>
  <c r="AJ159" i="64" s="1"/>
  <c r="AK159" i="64" s="1"/>
  <c r="AL159" i="64" s="1"/>
  <c r="AM159" i="64" s="1"/>
  <c r="AN159" i="64" s="1"/>
  <c r="AO159" i="64" s="1"/>
  <c r="AP159" i="64" s="1"/>
  <c r="AQ159" i="64" s="1"/>
  <c r="AI164" i="64"/>
  <c r="AI165" i="64"/>
  <c r="AJ165" i="64" s="1"/>
  <c r="AK165" i="64" s="1"/>
  <c r="AL165" i="64" s="1"/>
  <c r="AM165" i="64" s="1"/>
  <c r="AN165" i="64" s="1"/>
  <c r="AO165" i="64" s="1"/>
  <c r="AP165" i="64" s="1"/>
  <c r="AQ165" i="64" s="1"/>
  <c r="AI166" i="64"/>
  <c r="AJ166" i="64" s="1"/>
  <c r="AK166" i="64"/>
  <c r="AL166" i="64" s="1"/>
  <c r="AM166" i="64" s="1"/>
  <c r="AN166" i="64" s="1"/>
  <c r="AO166" i="64" s="1"/>
  <c r="AP166" i="64" s="1"/>
  <c r="AQ166" i="64" s="1"/>
  <c r="AI171" i="64"/>
  <c r="AI172" i="64"/>
  <c r="AJ172" i="64"/>
  <c r="AK172" i="64" s="1"/>
  <c r="AL172" i="64" s="1"/>
  <c r="AM172" i="64" s="1"/>
  <c r="AN172" i="64" s="1"/>
  <c r="AO172" i="64" s="1"/>
  <c r="AP172" i="64" s="1"/>
  <c r="AQ172" i="64" s="1"/>
  <c r="AI173" i="64"/>
  <c r="AJ173" i="64" s="1"/>
  <c r="AK173" i="64" s="1"/>
  <c r="AL173" i="64" s="1"/>
  <c r="AM173" i="64" s="1"/>
  <c r="AN173" i="64" s="1"/>
  <c r="AO173" i="64" s="1"/>
  <c r="AP173" i="64" s="1"/>
  <c r="AQ173" i="64" s="1"/>
  <c r="AI175" i="64"/>
  <c r="AJ175" i="64" s="1"/>
  <c r="AK175" i="64" s="1"/>
  <c r="AL175" i="64" s="1"/>
  <c r="AM175" i="64" s="1"/>
  <c r="AN175" i="64" s="1"/>
  <c r="AO175" i="64" s="1"/>
  <c r="AP175" i="64" s="1"/>
  <c r="AQ175" i="64" s="1"/>
  <c r="AI179" i="64"/>
  <c r="AJ179" i="64" s="1"/>
  <c r="AK179" i="64" s="1"/>
  <c r="AL179" i="64" s="1"/>
  <c r="AM179" i="64" s="1"/>
  <c r="AN179" i="64" s="1"/>
  <c r="AO179" i="64" s="1"/>
  <c r="AP179" i="64" s="1"/>
  <c r="AQ179" i="64" s="1"/>
  <c r="AI180" i="64"/>
  <c r="AJ180" i="64" s="1"/>
  <c r="AK180" i="64" s="1"/>
  <c r="AL180" i="64" s="1"/>
  <c r="AM180" i="64" s="1"/>
  <c r="AN180" i="64" s="1"/>
  <c r="AO180" i="64" s="1"/>
  <c r="AP180" i="64" s="1"/>
  <c r="AQ180" i="64" s="1"/>
  <c r="AI183" i="64"/>
  <c r="AJ183" i="64" s="1"/>
  <c r="AK183" i="64" s="1"/>
  <c r="AL183" i="64" s="1"/>
  <c r="AM183" i="64" s="1"/>
  <c r="AN183" i="64" s="1"/>
  <c r="AO183" i="64" s="1"/>
  <c r="AP183" i="64" s="1"/>
  <c r="AQ183" i="64" s="1"/>
  <c r="AI186" i="64"/>
  <c r="AJ186" i="64"/>
  <c r="AK186" i="64" s="1"/>
  <c r="AL186" i="64" s="1"/>
  <c r="AM186" i="64" s="1"/>
  <c r="AN186" i="64" s="1"/>
  <c r="AO186" i="64" s="1"/>
  <c r="AP186" i="64" s="1"/>
  <c r="AQ186" i="64" s="1"/>
  <c r="AI188" i="64"/>
  <c r="AJ188" i="64"/>
  <c r="AQ193" i="64"/>
  <c r="AQ192" i="64" s="1"/>
  <c r="AF26" i="65"/>
  <c r="AL107" i="64"/>
  <c r="AL106" i="64" s="1"/>
  <c r="AA14" i="65" s="1"/>
  <c r="AI107" i="64"/>
  <c r="AM107" i="64" s="1"/>
  <c r="AQ107" i="64"/>
  <c r="AQ106" i="64" s="1"/>
  <c r="AF14" i="65" s="1"/>
  <c r="R89" i="68"/>
  <c r="R91" i="68"/>
  <c r="R77" i="68"/>
  <c r="R17" i="69" s="1"/>
  <c r="X12" i="70" s="1"/>
  <c r="AI192" i="64"/>
  <c r="X26" i="65" s="1"/>
  <c r="AI106" i="64"/>
  <c r="X14" i="65" s="1"/>
  <c r="S89" i="68"/>
  <c r="S77" i="68"/>
  <c r="S17" i="69" s="1"/>
  <c r="Y12" i="70" s="1"/>
  <c r="AJ192" i="64"/>
  <c r="Y26" i="65" s="1"/>
  <c r="AJ107" i="64"/>
  <c r="AJ106" i="64" s="1"/>
  <c r="Y14" i="65"/>
  <c r="T89" i="68"/>
  <c r="T77" i="68"/>
  <c r="T17" i="69"/>
  <c r="Z12" i="70"/>
  <c r="AK192" i="64"/>
  <c r="Z26" i="65" s="1"/>
  <c r="T16" i="66" s="1"/>
  <c r="AK107" i="64"/>
  <c r="AK106" i="64" s="1"/>
  <c r="Z14" i="65" s="1"/>
  <c r="U89" i="68"/>
  <c r="U77" i="68"/>
  <c r="U17" i="69" s="1"/>
  <c r="AA12" i="70" s="1"/>
  <c r="AL193" i="64"/>
  <c r="AL192" i="64" s="1"/>
  <c r="AA26" i="65" s="1"/>
  <c r="U16" i="66" s="1"/>
  <c r="V77" i="68"/>
  <c r="V17" i="69"/>
  <c r="AB12" i="70" s="1"/>
  <c r="AM192" i="64"/>
  <c r="AB26" i="65" s="1"/>
  <c r="V16" i="66" s="1"/>
  <c r="AM106" i="64"/>
  <c r="AB14" i="65" s="1"/>
  <c r="W77" i="68"/>
  <c r="W17" i="69" s="1"/>
  <c r="AC12" i="70" s="1"/>
  <c r="AN192" i="64"/>
  <c r="AC26" i="65"/>
  <c r="W16" i="66" s="1"/>
  <c r="AN107" i="64"/>
  <c r="AN106" i="64" s="1"/>
  <c r="AC14" i="65" s="1"/>
  <c r="X77" i="68"/>
  <c r="X17" i="69"/>
  <c r="AD12" i="70" s="1"/>
  <c r="AO192" i="64"/>
  <c r="AD26" i="65" s="1"/>
  <c r="X16" i="66" s="1"/>
  <c r="Y77" i="68"/>
  <c r="Y17" i="69"/>
  <c r="AE12" i="70" s="1"/>
  <c r="AP192" i="64"/>
  <c r="AE26" i="65" s="1"/>
  <c r="Y16" i="66" s="1"/>
  <c r="H110" i="70"/>
  <c r="H111" i="70" s="1"/>
  <c r="H143" i="70"/>
  <c r="H106" i="70"/>
  <c r="H107" i="70" s="1"/>
  <c r="H139" i="70"/>
  <c r="R138" i="70"/>
  <c r="Q138" i="70"/>
  <c r="P138" i="70"/>
  <c r="O138" i="70"/>
  <c r="N138" i="70"/>
  <c r="M138" i="70"/>
  <c r="L138" i="70"/>
  <c r="K138" i="70"/>
  <c r="J138" i="70"/>
  <c r="I138" i="70"/>
  <c r="E86" i="70"/>
  <c r="E85" i="70"/>
  <c r="U30" i="70"/>
  <c r="U29" i="70"/>
  <c r="U28" i="70"/>
  <c r="U27" i="70"/>
  <c r="U26" i="70"/>
  <c r="U42" i="70" s="1"/>
  <c r="U25" i="70"/>
  <c r="U44" i="70" s="1"/>
  <c r="U24" i="70"/>
  <c r="U41" i="70" s="1"/>
  <c r="U23" i="70"/>
  <c r="U45" i="70" s="1"/>
  <c r="C22" i="70"/>
  <c r="C21" i="70"/>
  <c r="C20" i="70"/>
  <c r="C19" i="70"/>
  <c r="C18" i="70"/>
  <c r="C17" i="70"/>
  <c r="C16" i="70"/>
  <c r="C15" i="70"/>
  <c r="U14" i="70"/>
  <c r="U13" i="70"/>
  <c r="U40" i="70" s="1"/>
  <c r="C12" i="70"/>
  <c r="U12" i="70" s="1"/>
  <c r="C11" i="70"/>
  <c r="U11" i="70" s="1"/>
  <c r="Z55" i="68"/>
  <c r="Y55" i="68"/>
  <c r="X55" i="68"/>
  <c r="W55" i="68"/>
  <c r="V55" i="68"/>
  <c r="U55" i="68"/>
  <c r="S55" i="68"/>
  <c r="G81" i="67"/>
  <c r="G82" i="67"/>
  <c r="L82" i="67" s="1"/>
  <c r="G83" i="67"/>
  <c r="L83" i="67" s="1"/>
  <c r="G85" i="67"/>
  <c r="L85" i="67"/>
  <c r="G86" i="67"/>
  <c r="L86" i="67"/>
  <c r="G87" i="67"/>
  <c r="L87" i="67"/>
  <c r="G88" i="67"/>
  <c r="L88" i="67"/>
  <c r="G89" i="67"/>
  <c r="L89" i="67"/>
  <c r="G90" i="67"/>
  <c r="L90" i="67"/>
  <c r="G91" i="67"/>
  <c r="L91" i="67"/>
  <c r="G92" i="67"/>
  <c r="L92" i="67"/>
  <c r="G95" i="67"/>
  <c r="G96" i="67"/>
  <c r="L96" i="67" s="1"/>
  <c r="G97" i="67"/>
  <c r="L97" i="67" s="1"/>
  <c r="C35" i="68"/>
  <c r="P35" i="68" s="1"/>
  <c r="H84" i="67"/>
  <c r="H98" i="67"/>
  <c r="L99" i="67"/>
  <c r="L94" i="67"/>
  <c r="L84" i="67"/>
  <c r="G53" i="67"/>
  <c r="G54" i="67"/>
  <c r="G55" i="67"/>
  <c r="G61" i="67" s="1"/>
  <c r="G56" i="67"/>
  <c r="G57" i="67"/>
  <c r="G58" i="67"/>
  <c r="G59" i="67"/>
  <c r="G60" i="67"/>
  <c r="G16" i="67"/>
  <c r="L16" i="67"/>
  <c r="G17" i="67"/>
  <c r="L17" i="67"/>
  <c r="G18" i="67"/>
  <c r="L18" i="67"/>
  <c r="G19" i="67"/>
  <c r="L19" i="67"/>
  <c r="G20" i="67"/>
  <c r="L20" i="67"/>
  <c r="G21" i="67"/>
  <c r="L21" i="67"/>
  <c r="G22" i="67"/>
  <c r="L22" i="67"/>
  <c r="G23" i="67"/>
  <c r="L23" i="67"/>
  <c r="G24" i="67"/>
  <c r="L24" i="67"/>
  <c r="G25" i="67"/>
  <c r="L25" i="67"/>
  <c r="G27" i="67"/>
  <c r="L27" i="67" s="1"/>
  <c r="G28" i="67"/>
  <c r="L28" i="67" s="1"/>
  <c r="G29" i="67"/>
  <c r="G30" i="67"/>
  <c r="L30" i="67" s="1"/>
  <c r="G31" i="67"/>
  <c r="L31" i="67" s="1"/>
  <c r="G32" i="67"/>
  <c r="L32" i="67" s="1"/>
  <c r="G33" i="67"/>
  <c r="L33" i="67" s="1"/>
  <c r="H15" i="67"/>
  <c r="Z16" i="66"/>
  <c r="AH100" i="64"/>
  <c r="AL100" i="64" s="1"/>
  <c r="AI100" i="64"/>
  <c r="AM100" i="64" s="1"/>
  <c r="AH101" i="64"/>
  <c r="AL101" i="64" s="1"/>
  <c r="AI101" i="64"/>
  <c r="AI99" i="64" s="1"/>
  <c r="AH102" i="64"/>
  <c r="AM102" i="64" s="1"/>
  <c r="AI102" i="64"/>
  <c r="AH104" i="64"/>
  <c r="AL104" i="64" s="1"/>
  <c r="AI104" i="64"/>
  <c r="AH105" i="64"/>
  <c r="AL105" i="64" s="1"/>
  <c r="AI105" i="64"/>
  <c r="AK100" i="64"/>
  <c r="AK101" i="64"/>
  <c r="AK102" i="64"/>
  <c r="AK104" i="64"/>
  <c r="AK105" i="64"/>
  <c r="AJ100" i="64"/>
  <c r="AN100" i="64" s="1"/>
  <c r="AJ101" i="64"/>
  <c r="AO101" i="64" s="1"/>
  <c r="AJ102" i="64"/>
  <c r="AN102" i="64" s="1"/>
  <c r="AJ104" i="64"/>
  <c r="AO104" i="64" s="1"/>
  <c r="AJ105" i="64"/>
  <c r="AO105" i="64" s="1"/>
  <c r="AN101" i="64"/>
  <c r="AN104" i="64"/>
  <c r="AN105" i="64"/>
  <c r="AN103" i="64" s="1"/>
  <c r="W11" i="66" s="1"/>
  <c r="V12" i="66"/>
  <c r="AK99" i="64"/>
  <c r="AK103" i="64"/>
  <c r="S16" i="66"/>
  <c r="AJ99" i="64"/>
  <c r="AJ103" i="64"/>
  <c r="S11" i="66" s="1"/>
  <c r="S12" i="66"/>
  <c r="R16" i="66"/>
  <c r="AI103" i="64"/>
  <c r="R11" i="66" s="1"/>
  <c r="R12" i="66"/>
  <c r="AH99" i="64"/>
  <c r="Q12" i="66"/>
  <c r="P9" i="66"/>
  <c r="M16" i="66"/>
  <c r="M10" i="66"/>
  <c r="M12" i="66"/>
  <c r="L16" i="66"/>
  <c r="L11" i="66"/>
  <c r="K16" i="66"/>
  <c r="K10" i="66"/>
  <c r="K11" i="66"/>
  <c r="K12" i="66"/>
  <c r="J12" i="66"/>
  <c r="I16" i="66"/>
  <c r="I11" i="66"/>
  <c r="I12" i="66"/>
  <c r="H10" i="66"/>
  <c r="H12" i="66"/>
  <c r="G16" i="66"/>
  <c r="G10" i="66"/>
  <c r="G12" i="66"/>
  <c r="F16" i="66"/>
  <c r="F11" i="66"/>
  <c r="F12" i="66"/>
  <c r="E16" i="66"/>
  <c r="E10" i="66"/>
  <c r="E11" i="66"/>
  <c r="D16" i="66"/>
  <c r="D10" i="66"/>
  <c r="D11" i="66"/>
  <c r="D12" i="66"/>
  <c r="C9" i="66"/>
  <c r="AG192" i="64"/>
  <c r="V26" i="65" s="1"/>
  <c r="AF192" i="64"/>
  <c r="U26" i="65" s="1"/>
  <c r="AC193" i="64"/>
  <c r="AE193" i="64"/>
  <c r="AE192" i="64" s="1"/>
  <c r="T26" i="65" s="1"/>
  <c r="K192" i="64"/>
  <c r="F26" i="65"/>
  <c r="J192" i="64"/>
  <c r="E26" i="65" s="1"/>
  <c r="I192" i="64"/>
  <c r="D26" i="65"/>
  <c r="AG169" i="64"/>
  <c r="AG184" i="64"/>
  <c r="AG187" i="64"/>
  <c r="AF169" i="64"/>
  <c r="AF168" i="64" s="1"/>
  <c r="U25" i="65" s="1"/>
  <c r="AF184" i="64"/>
  <c r="AF187" i="64"/>
  <c r="AE169" i="64"/>
  <c r="AE184" i="64"/>
  <c r="AE168" i="64" s="1"/>
  <c r="T25" i="65" s="1"/>
  <c r="AE187" i="64"/>
  <c r="K169" i="64"/>
  <c r="K184" i="64"/>
  <c r="K187" i="64"/>
  <c r="J169" i="64"/>
  <c r="J184" i="64"/>
  <c r="J187" i="64"/>
  <c r="I169" i="64"/>
  <c r="I168" i="64" s="1"/>
  <c r="D25" i="65" s="1"/>
  <c r="I184" i="64"/>
  <c r="I187" i="64"/>
  <c r="AG121" i="64"/>
  <c r="AG120" i="64" s="1"/>
  <c r="AG119" i="64" s="1"/>
  <c r="AG142" i="64"/>
  <c r="AG141" i="64" s="1"/>
  <c r="AG146" i="64"/>
  <c r="AG156" i="64"/>
  <c r="AG155" i="64"/>
  <c r="AG160" i="64"/>
  <c r="AG162" i="64"/>
  <c r="AF121" i="64"/>
  <c r="AF120" i="64" s="1"/>
  <c r="AF119" i="64" s="1"/>
  <c r="AF142" i="64"/>
  <c r="AF141" i="64" s="1"/>
  <c r="AF146" i="64"/>
  <c r="AF156" i="64"/>
  <c r="AF155" i="64" s="1"/>
  <c r="AF160" i="64"/>
  <c r="AF162" i="64"/>
  <c r="AE121" i="64"/>
  <c r="AE120" i="64"/>
  <c r="AE119" i="64" s="1"/>
  <c r="AE142" i="64"/>
  <c r="AE141" i="64" s="1"/>
  <c r="AE140" i="64" s="1"/>
  <c r="AE146" i="64"/>
  <c r="AE156" i="64"/>
  <c r="AE155" i="64"/>
  <c r="AE160" i="64"/>
  <c r="AE162" i="64"/>
  <c r="K121" i="64"/>
  <c r="K120" i="64" s="1"/>
  <c r="K119" i="64" s="1"/>
  <c r="K142" i="64"/>
  <c r="K146" i="64"/>
  <c r="K156" i="64"/>
  <c r="K155" i="64" s="1"/>
  <c r="K160" i="64"/>
  <c r="K162" i="64"/>
  <c r="J121" i="64"/>
  <c r="J120" i="64"/>
  <c r="J119" i="64" s="1"/>
  <c r="J142" i="64"/>
  <c r="J141" i="64" s="1"/>
  <c r="J146" i="64"/>
  <c r="J156" i="64"/>
  <c r="J155" i="64" s="1"/>
  <c r="J160" i="64"/>
  <c r="J162" i="64"/>
  <c r="I121" i="64"/>
  <c r="I120" i="64" s="1"/>
  <c r="I119" i="64" s="1"/>
  <c r="I142" i="64"/>
  <c r="I146" i="64"/>
  <c r="I156" i="64"/>
  <c r="I155" i="64" s="1"/>
  <c r="I160" i="64"/>
  <c r="I162" i="64"/>
  <c r="AG106" i="64"/>
  <c r="V14" i="65" s="1"/>
  <c r="AF106" i="64"/>
  <c r="U14" i="65"/>
  <c r="AE106" i="64"/>
  <c r="T14" i="65" s="1"/>
  <c r="J106" i="64"/>
  <c r="F14" i="65"/>
  <c r="I106" i="64"/>
  <c r="E14" i="65" s="1"/>
  <c r="H106" i="64"/>
  <c r="D14" i="65"/>
  <c r="AG103" i="64"/>
  <c r="V13" i="65" s="1"/>
  <c r="AF103" i="64"/>
  <c r="U13" i="65" s="1"/>
  <c r="AE103" i="64"/>
  <c r="T13" i="65" s="1"/>
  <c r="K103" i="64"/>
  <c r="F13" i="65"/>
  <c r="J103" i="64"/>
  <c r="E13" i="65" s="1"/>
  <c r="I103" i="64"/>
  <c r="D13" i="65" s="1"/>
  <c r="AG99" i="64"/>
  <c r="V12" i="65" s="1"/>
  <c r="AF99" i="64"/>
  <c r="U12" i="65"/>
  <c r="AE99" i="64"/>
  <c r="T12" i="65" s="1"/>
  <c r="K99" i="64"/>
  <c r="F12" i="65" s="1"/>
  <c r="J99" i="64"/>
  <c r="E12" i="65" s="1"/>
  <c r="I99" i="64"/>
  <c r="Z193" i="64"/>
  <c r="Y193" i="64"/>
  <c r="X193" i="64"/>
  <c r="AC192" i="64"/>
  <c r="X192" i="64"/>
  <c r="W192" i="64"/>
  <c r="H192" i="64"/>
  <c r="Z191" i="64"/>
  <c r="AB191" i="64"/>
  <c r="D159" i="64"/>
  <c r="Y159" i="64" s="1"/>
  <c r="X191" i="64"/>
  <c r="H191" i="64"/>
  <c r="L191" i="64"/>
  <c r="M191" i="64" s="1"/>
  <c r="N191" i="64"/>
  <c r="O191" i="64" s="1"/>
  <c r="P191" i="64" s="1"/>
  <c r="Q191" i="64" s="1"/>
  <c r="R191" i="64" s="1"/>
  <c r="S191" i="64" s="1"/>
  <c r="T191" i="64" s="1"/>
  <c r="U191" i="64" s="1"/>
  <c r="Z190" i="64"/>
  <c r="AB190" i="64"/>
  <c r="X190" i="64"/>
  <c r="H190" i="64"/>
  <c r="L190" i="64"/>
  <c r="M190" i="64" s="1"/>
  <c r="N190" i="64" s="1"/>
  <c r="O190" i="64" s="1"/>
  <c r="P190" i="64" s="1"/>
  <c r="Q190" i="64" s="1"/>
  <c r="R190" i="64" s="1"/>
  <c r="S190" i="64" s="1"/>
  <c r="T190" i="64" s="1"/>
  <c r="U190" i="64" s="1"/>
  <c r="X189" i="64"/>
  <c r="X188" i="64"/>
  <c r="X187" i="64"/>
  <c r="W187" i="64"/>
  <c r="H187" i="64"/>
  <c r="Y186" i="64"/>
  <c r="X186" i="64"/>
  <c r="Y185" i="64"/>
  <c r="X185" i="64"/>
  <c r="X184" i="64"/>
  <c r="W184" i="64"/>
  <c r="H184" i="64"/>
  <c r="AA183" i="64"/>
  <c r="Y183" i="64"/>
  <c r="X183" i="64"/>
  <c r="AA182" i="64"/>
  <c r="Y182" i="64"/>
  <c r="X182" i="64"/>
  <c r="AA181" i="64"/>
  <c r="Y181" i="64"/>
  <c r="X181" i="64"/>
  <c r="AA180" i="64"/>
  <c r="Y180" i="64"/>
  <c r="X180" i="64"/>
  <c r="AA179" i="64"/>
  <c r="Y179" i="64"/>
  <c r="X179" i="64"/>
  <c r="AA178" i="64"/>
  <c r="Y178" i="64"/>
  <c r="X178" i="64"/>
  <c r="AA177" i="64"/>
  <c r="Y177" i="64"/>
  <c r="X177" i="64"/>
  <c r="AA176" i="64"/>
  <c r="Y176" i="64"/>
  <c r="X176" i="64"/>
  <c r="AA175" i="64"/>
  <c r="Y175" i="64"/>
  <c r="X175" i="64"/>
  <c r="AA174" i="64"/>
  <c r="Y174" i="64"/>
  <c r="X174" i="64"/>
  <c r="AA173" i="64"/>
  <c r="Y173" i="64"/>
  <c r="X173" i="64"/>
  <c r="AA172" i="64"/>
  <c r="Y172" i="64"/>
  <c r="X172" i="64"/>
  <c r="AA171" i="64"/>
  <c r="Y171" i="64"/>
  <c r="X171" i="64"/>
  <c r="AA170" i="64"/>
  <c r="Y170" i="64"/>
  <c r="X170" i="64"/>
  <c r="X169" i="64"/>
  <c r="W169" i="64"/>
  <c r="H169" i="64"/>
  <c r="X168" i="64"/>
  <c r="W168" i="64"/>
  <c r="H168" i="64"/>
  <c r="AA167" i="64"/>
  <c r="X167" i="64"/>
  <c r="AA166" i="64"/>
  <c r="X166" i="64"/>
  <c r="AA165" i="64"/>
  <c r="X165" i="64"/>
  <c r="AA164" i="64"/>
  <c r="X164" i="64"/>
  <c r="AA163" i="64"/>
  <c r="X163" i="64"/>
  <c r="X162" i="64"/>
  <c r="W162" i="64"/>
  <c r="H162" i="64"/>
  <c r="Y161" i="64"/>
  <c r="C161" i="64"/>
  <c r="X161" i="64" s="1"/>
  <c r="C160" i="64"/>
  <c r="X160" i="64" s="1"/>
  <c r="C159" i="64"/>
  <c r="X159" i="64" s="1"/>
  <c r="D158" i="64"/>
  <c r="Y158" i="64" s="1"/>
  <c r="C158" i="64"/>
  <c r="X158" i="64" s="1"/>
  <c r="D157" i="64"/>
  <c r="Y157" i="64" s="1"/>
  <c r="C157" i="64"/>
  <c r="X157" i="64" s="1"/>
  <c r="AH156" i="64"/>
  <c r="C156" i="64"/>
  <c r="X156" i="64" s="1"/>
  <c r="C155" i="64"/>
  <c r="X155" i="64" s="1"/>
  <c r="D154" i="64"/>
  <c r="Y154" i="64" s="1"/>
  <c r="C154" i="64"/>
  <c r="X154" i="64" s="1"/>
  <c r="D153" i="64"/>
  <c r="Y153" i="64"/>
  <c r="C153" i="64"/>
  <c r="X153" i="64" s="1"/>
  <c r="D152" i="64"/>
  <c r="Y152" i="64"/>
  <c r="C152" i="64"/>
  <c r="X152" i="64" s="1"/>
  <c r="D151" i="64"/>
  <c r="Y151" i="64"/>
  <c r="C151" i="64"/>
  <c r="X151" i="64" s="1"/>
  <c r="D150" i="64"/>
  <c r="Y150" i="64" s="1"/>
  <c r="C150" i="64"/>
  <c r="X150" i="64" s="1"/>
  <c r="D149" i="64"/>
  <c r="Y149" i="64"/>
  <c r="C149" i="64"/>
  <c r="X149" i="64" s="1"/>
  <c r="D148" i="64"/>
  <c r="Y148" i="64" s="1"/>
  <c r="C148" i="64"/>
  <c r="X148" i="64" s="1"/>
  <c r="D147" i="64"/>
  <c r="Y147" i="64" s="1"/>
  <c r="C147" i="64"/>
  <c r="X147" i="64" s="1"/>
  <c r="C146" i="64"/>
  <c r="X146" i="64" s="1"/>
  <c r="D145" i="64"/>
  <c r="Y145" i="64" s="1"/>
  <c r="C145" i="64"/>
  <c r="X145" i="64" s="1"/>
  <c r="D144" i="64"/>
  <c r="Y144" i="64" s="1"/>
  <c r="C144" i="64"/>
  <c r="X144" i="64" s="1"/>
  <c r="D143" i="64"/>
  <c r="Y143" i="64"/>
  <c r="C143" i="64"/>
  <c r="X143" i="64" s="1"/>
  <c r="C142" i="64"/>
  <c r="X142" i="64" s="1"/>
  <c r="C141" i="64"/>
  <c r="X141" i="64" s="1"/>
  <c r="X140" i="64"/>
  <c r="W140" i="64"/>
  <c r="D139" i="64"/>
  <c r="Y139" i="64" s="1"/>
  <c r="C139" i="64"/>
  <c r="X139" i="64" s="1"/>
  <c r="D138" i="64"/>
  <c r="Y138" i="64" s="1"/>
  <c r="C138" i="64"/>
  <c r="X138" i="64" s="1"/>
  <c r="AH137" i="64"/>
  <c r="AI137" i="64" s="1"/>
  <c r="AJ137" i="64" s="1"/>
  <c r="AK137" i="64" s="1"/>
  <c r="AL137" i="64" s="1"/>
  <c r="AM137" i="64" s="1"/>
  <c r="AN137" i="64" s="1"/>
  <c r="AO137" i="64" s="1"/>
  <c r="AP137" i="64" s="1"/>
  <c r="AQ137" i="64" s="1"/>
  <c r="D137" i="64"/>
  <c r="Y137" i="64" s="1"/>
  <c r="C137" i="64"/>
  <c r="X137" i="64" s="1"/>
  <c r="D136" i="64"/>
  <c r="Y136" i="64" s="1"/>
  <c r="C136" i="64"/>
  <c r="X136" i="64" s="1"/>
  <c r="D135" i="64"/>
  <c r="Y135" i="64" s="1"/>
  <c r="C135" i="64"/>
  <c r="X135" i="64"/>
  <c r="L135" i="64"/>
  <c r="M135" i="64" s="1"/>
  <c r="N135" i="64" s="1"/>
  <c r="O135" i="64" s="1"/>
  <c r="P135" i="64" s="1"/>
  <c r="Q135" i="64" s="1"/>
  <c r="R135" i="64" s="1"/>
  <c r="S135" i="64" s="1"/>
  <c r="T135" i="64" s="1"/>
  <c r="U135" i="64" s="1"/>
  <c r="AH134" i="64"/>
  <c r="AI134" i="64" s="1"/>
  <c r="AJ134" i="64" s="1"/>
  <c r="AK134" i="64" s="1"/>
  <c r="AL134" i="64" s="1"/>
  <c r="AM134" i="64" s="1"/>
  <c r="AN134" i="64" s="1"/>
  <c r="AO134" i="64" s="1"/>
  <c r="AP134" i="64" s="1"/>
  <c r="AQ134" i="64" s="1"/>
  <c r="D134" i="64"/>
  <c r="Y134" i="64" s="1"/>
  <c r="C134" i="64"/>
  <c r="X134" i="64" s="1"/>
  <c r="L134" i="64"/>
  <c r="M134" i="64" s="1"/>
  <c r="N134" i="64" s="1"/>
  <c r="O134" i="64" s="1"/>
  <c r="P134" i="64" s="1"/>
  <c r="Q134" i="64" s="1"/>
  <c r="R134" i="64" s="1"/>
  <c r="S134" i="64" s="1"/>
  <c r="T134" i="64" s="1"/>
  <c r="U134" i="64" s="1"/>
  <c r="D133" i="64"/>
  <c r="Y133" i="64"/>
  <c r="C133" i="64"/>
  <c r="X133" i="64" s="1"/>
  <c r="L133" i="64"/>
  <c r="M133" i="64" s="1"/>
  <c r="N133" i="64" s="1"/>
  <c r="O133" i="64" s="1"/>
  <c r="P133" i="64" s="1"/>
  <c r="Q133" i="64" s="1"/>
  <c r="R133" i="64" s="1"/>
  <c r="S133" i="64" s="1"/>
  <c r="T133" i="64" s="1"/>
  <c r="U133" i="64" s="1"/>
  <c r="AB132" i="64"/>
  <c r="C132" i="64"/>
  <c r="X132" i="64" s="1"/>
  <c r="G132" i="64"/>
  <c r="D131" i="64"/>
  <c r="Y131" i="64" s="1"/>
  <c r="C131" i="64"/>
  <c r="X131" i="64" s="1"/>
  <c r="D130" i="64"/>
  <c r="Y130" i="64" s="1"/>
  <c r="C130" i="64"/>
  <c r="X130" i="64" s="1"/>
  <c r="D129" i="64"/>
  <c r="Y129" i="64" s="1"/>
  <c r="C129" i="64"/>
  <c r="X129" i="64" s="1"/>
  <c r="D128" i="64"/>
  <c r="Y128" i="64" s="1"/>
  <c r="C128" i="64"/>
  <c r="X128" i="64"/>
  <c r="D127" i="64"/>
  <c r="Y127" i="64" s="1"/>
  <c r="C127" i="64"/>
  <c r="X127" i="64" s="1"/>
  <c r="D126" i="64"/>
  <c r="Y126" i="64" s="1"/>
  <c r="C126" i="64"/>
  <c r="X126" i="64" s="1"/>
  <c r="D125" i="64"/>
  <c r="Y125" i="64" s="1"/>
  <c r="C125" i="64"/>
  <c r="X125" i="64" s="1"/>
  <c r="D124" i="64"/>
  <c r="Y124" i="64" s="1"/>
  <c r="C124" i="64"/>
  <c r="X124" i="64" s="1"/>
  <c r="D123" i="64"/>
  <c r="Y123" i="64" s="1"/>
  <c r="C123" i="64"/>
  <c r="X123" i="64" s="1"/>
  <c r="D122" i="64"/>
  <c r="Y122" i="64" s="1"/>
  <c r="C122" i="64"/>
  <c r="X122" i="64"/>
  <c r="C121" i="64"/>
  <c r="X121" i="64" s="1"/>
  <c r="C120" i="64"/>
  <c r="X120" i="64" s="1"/>
  <c r="W120" i="64"/>
  <c r="X119" i="64"/>
  <c r="W119" i="64"/>
  <c r="X118" i="64"/>
  <c r="W118" i="64"/>
  <c r="AJ108" i="64"/>
  <c r="AI108" i="64"/>
  <c r="AG108" i="64"/>
  <c r="AF108" i="64"/>
  <c r="AE108" i="64"/>
  <c r="AC99" i="64"/>
  <c r="AC108" i="64" s="1"/>
  <c r="AC103" i="64"/>
  <c r="AC106" i="64"/>
  <c r="U106" i="64"/>
  <c r="U108" i="64" s="1"/>
  <c r="T108" i="64"/>
  <c r="S108" i="64"/>
  <c r="R108" i="64"/>
  <c r="Q108" i="64"/>
  <c r="P108" i="64"/>
  <c r="O108" i="64"/>
  <c r="N108" i="64"/>
  <c r="M108" i="64"/>
  <c r="L108" i="64"/>
  <c r="K108" i="64"/>
  <c r="J108" i="64"/>
  <c r="I108" i="64"/>
  <c r="H99" i="64"/>
  <c r="H103" i="64"/>
  <c r="H108" i="64" s="1"/>
  <c r="G83" i="64"/>
  <c r="G84" i="64"/>
  <c r="G85" i="64"/>
  <c r="G86" i="64"/>
  <c r="G87" i="64"/>
  <c r="G88" i="64"/>
  <c r="G89" i="64"/>
  <c r="G90" i="64"/>
  <c r="G52" i="64"/>
  <c r="G53" i="64"/>
  <c r="G54" i="64"/>
  <c r="G56" i="64"/>
  <c r="G57" i="64"/>
  <c r="G58" i="64"/>
  <c r="G59" i="64"/>
  <c r="G60" i="64"/>
  <c r="G61" i="64"/>
  <c r="G62" i="64"/>
  <c r="G63" i="64"/>
  <c r="G66" i="64"/>
  <c r="G67" i="64"/>
  <c r="G68" i="64"/>
  <c r="G16" i="64"/>
  <c r="G17" i="64"/>
  <c r="G18" i="64"/>
  <c r="G19" i="64"/>
  <c r="G20" i="64"/>
  <c r="G21" i="64"/>
  <c r="G22" i="64"/>
  <c r="G23" i="64"/>
  <c r="G24" i="64"/>
  <c r="G25" i="64"/>
  <c r="G27" i="64"/>
  <c r="G28" i="64"/>
  <c r="G29" i="64"/>
  <c r="G30" i="64"/>
  <c r="G31" i="64"/>
  <c r="G32" i="64"/>
  <c r="G33" i="64"/>
  <c r="E43" i="63"/>
  <c r="C43" i="63"/>
  <c r="C41" i="63"/>
  <c r="B41" i="63"/>
  <c r="E40" i="63"/>
  <c r="D40" i="63"/>
  <c r="C40" i="63"/>
  <c r="E39" i="63"/>
  <c r="D39" i="63"/>
  <c r="C39" i="63"/>
  <c r="E38" i="63"/>
  <c r="D38" i="63"/>
  <c r="C38" i="63"/>
  <c r="E37" i="63"/>
  <c r="D37" i="63"/>
  <c r="C37" i="63"/>
  <c r="E36" i="63"/>
  <c r="D36" i="63"/>
  <c r="C36" i="63"/>
  <c r="E35" i="63"/>
  <c r="D35" i="63"/>
  <c r="C35" i="63"/>
  <c r="C34" i="63"/>
  <c r="B34" i="63"/>
  <c r="E33" i="63"/>
  <c r="D33" i="63"/>
  <c r="C33" i="63"/>
  <c r="E32" i="63"/>
  <c r="D32" i="63"/>
  <c r="C32" i="63"/>
  <c r="E31" i="63"/>
  <c r="D31" i="63"/>
  <c r="C31" i="63"/>
  <c r="C30" i="63"/>
  <c r="B30" i="63"/>
  <c r="E29" i="63"/>
  <c r="D29" i="63"/>
  <c r="C29" i="63"/>
  <c r="E28" i="63"/>
  <c r="D28" i="63"/>
  <c r="C28" i="63"/>
  <c r="E27" i="63"/>
  <c r="D27" i="63"/>
  <c r="C27" i="63"/>
  <c r="E26" i="63"/>
  <c r="D26" i="63"/>
  <c r="C26" i="63"/>
  <c r="E25" i="63"/>
  <c r="D25" i="63"/>
  <c r="C25" i="63"/>
  <c r="E24" i="63"/>
  <c r="D24" i="63"/>
  <c r="C24" i="63"/>
  <c r="C23" i="63"/>
  <c r="B23" i="63"/>
  <c r="K22" i="63"/>
  <c r="J22" i="63"/>
  <c r="C22" i="63"/>
  <c r="B22" i="63"/>
  <c r="K21" i="63"/>
  <c r="J21" i="63"/>
  <c r="E21" i="63"/>
  <c r="D21" i="63"/>
  <c r="C21" i="63"/>
  <c r="K20" i="63"/>
  <c r="J20" i="63"/>
  <c r="E20" i="63"/>
  <c r="D20" i="63"/>
  <c r="C20" i="63"/>
  <c r="K19" i="63"/>
  <c r="J19" i="63"/>
  <c r="E19" i="63"/>
  <c r="D19" i="63"/>
  <c r="C19" i="63"/>
  <c r="K18" i="63"/>
  <c r="J18" i="63"/>
  <c r="E18" i="63"/>
  <c r="D18" i="63"/>
  <c r="C18" i="63"/>
  <c r="K17" i="63"/>
  <c r="J17" i="63"/>
  <c r="C17" i="63"/>
  <c r="B17" i="63"/>
  <c r="K16" i="63"/>
  <c r="J16" i="63"/>
  <c r="E16" i="63"/>
  <c r="D16" i="63"/>
  <c r="C16" i="63"/>
  <c r="B16" i="63"/>
  <c r="K15" i="63"/>
  <c r="J15" i="63"/>
  <c r="E15" i="63"/>
  <c r="D15" i="63"/>
  <c r="C15" i="63"/>
  <c r="E14" i="63"/>
  <c r="D14" i="63"/>
  <c r="C14" i="63"/>
  <c r="E13" i="63"/>
  <c r="D13" i="63"/>
  <c r="C13" i="63"/>
  <c r="E12" i="63"/>
  <c r="D12" i="63"/>
  <c r="C12" i="63"/>
  <c r="C11" i="63"/>
  <c r="B11" i="63"/>
  <c r="C10" i="63"/>
  <c r="B10" i="63"/>
  <c r="B9" i="63"/>
  <c r="D86" i="62"/>
  <c r="D85" i="62"/>
  <c r="D84" i="62"/>
  <c r="D76" i="62"/>
  <c r="D75" i="62"/>
  <c r="D74" i="62"/>
  <c r="D68" i="62"/>
  <c r="D67" i="62"/>
  <c r="D66" i="62"/>
  <c r="D58" i="62"/>
  <c r="D57" i="62"/>
  <c r="D56" i="62"/>
  <c r="D49" i="62"/>
  <c r="D48" i="62"/>
  <c r="D47" i="62"/>
  <c r="C104" i="61"/>
  <c r="C103" i="61"/>
  <c r="C102" i="61"/>
  <c r="C101" i="61"/>
  <c r="C100" i="61"/>
  <c r="C99" i="61"/>
  <c r="C98" i="61"/>
  <c r="C90" i="61"/>
  <c r="C89" i="61"/>
  <c r="C88" i="61"/>
  <c r="C87" i="61"/>
  <c r="C86" i="61"/>
  <c r="C85" i="61"/>
  <c r="C84" i="61"/>
  <c r="C78" i="61"/>
  <c r="C77" i="61"/>
  <c r="C76" i="61"/>
  <c r="C75" i="61"/>
  <c r="C74" i="61"/>
  <c r="C73" i="61"/>
  <c r="C72" i="61"/>
  <c r="C64" i="61"/>
  <c r="C63" i="61"/>
  <c r="C62" i="61"/>
  <c r="C61" i="61"/>
  <c r="C60" i="61"/>
  <c r="C59" i="61"/>
  <c r="C58" i="61"/>
  <c r="C52" i="61"/>
  <c r="C51" i="61"/>
  <c r="C50" i="61"/>
  <c r="C49" i="61"/>
  <c r="C48" i="61"/>
  <c r="C47" i="61"/>
  <c r="C46" i="61"/>
  <c r="C125" i="60"/>
  <c r="C124" i="60"/>
  <c r="C123" i="60"/>
  <c r="C122" i="60"/>
  <c r="C121" i="60"/>
  <c r="C120" i="60"/>
  <c r="C119" i="60"/>
  <c r="C118" i="60"/>
  <c r="C117" i="60"/>
  <c r="C116" i="60"/>
  <c r="C115" i="60"/>
  <c r="C107" i="60"/>
  <c r="C106" i="60"/>
  <c r="C105" i="60"/>
  <c r="C104" i="60"/>
  <c r="C103" i="60"/>
  <c r="C102" i="60"/>
  <c r="C101" i="60"/>
  <c r="C100" i="60"/>
  <c r="C99" i="60"/>
  <c r="C98" i="60"/>
  <c r="C97" i="60"/>
  <c r="C91" i="60"/>
  <c r="C90" i="60"/>
  <c r="C89" i="60"/>
  <c r="C88" i="60"/>
  <c r="C87" i="60"/>
  <c r="C86" i="60"/>
  <c r="C85" i="60"/>
  <c r="C84" i="60"/>
  <c r="C83" i="60"/>
  <c r="C82" i="60"/>
  <c r="C81" i="60"/>
  <c r="C57" i="60"/>
  <c r="C73" i="60" s="1"/>
  <c r="C56" i="60"/>
  <c r="C72" i="60" s="1"/>
  <c r="C55" i="60"/>
  <c r="C71" i="60" s="1"/>
  <c r="C54" i="60"/>
  <c r="C70" i="60" s="1"/>
  <c r="C53" i="60"/>
  <c r="C69" i="60" s="1"/>
  <c r="C52" i="60"/>
  <c r="C68" i="60" s="1"/>
  <c r="C51" i="60"/>
  <c r="C67" i="60" s="1"/>
  <c r="C50" i="60"/>
  <c r="C66" i="60" s="1"/>
  <c r="C49" i="60"/>
  <c r="C65" i="60" s="1"/>
  <c r="C48" i="60"/>
  <c r="C64" i="60" s="1"/>
  <c r="C47" i="60"/>
  <c r="C63" i="60" s="1"/>
  <c r="C131" i="59"/>
  <c r="C130" i="59"/>
  <c r="C129" i="59"/>
  <c r="C128" i="59"/>
  <c r="C127" i="59"/>
  <c r="C126" i="59"/>
  <c r="C125" i="59"/>
  <c r="C124" i="59"/>
  <c r="C123" i="59"/>
  <c r="C122" i="59"/>
  <c r="C121" i="59"/>
  <c r="C114" i="59"/>
  <c r="C113" i="59"/>
  <c r="C112" i="59"/>
  <c r="C111" i="59"/>
  <c r="C110" i="59"/>
  <c r="C109" i="59"/>
  <c r="C108" i="59"/>
  <c r="C107" i="59"/>
  <c r="C106" i="59"/>
  <c r="C105" i="59"/>
  <c r="C104" i="59"/>
  <c r="C95" i="59"/>
  <c r="C94" i="59"/>
  <c r="C93" i="59"/>
  <c r="C92" i="59"/>
  <c r="C91" i="59"/>
  <c r="C90" i="59"/>
  <c r="C89" i="59"/>
  <c r="C88" i="59"/>
  <c r="C87" i="59"/>
  <c r="C86" i="59"/>
  <c r="C85" i="59"/>
  <c r="C77" i="59"/>
  <c r="C76" i="59"/>
  <c r="C75" i="59"/>
  <c r="C74" i="59"/>
  <c r="C73" i="59"/>
  <c r="C72" i="59"/>
  <c r="C71" i="59"/>
  <c r="C70" i="59"/>
  <c r="C69" i="59"/>
  <c r="C68" i="59"/>
  <c r="C67" i="59"/>
  <c r="C60" i="59"/>
  <c r="C59" i="59"/>
  <c r="C58" i="59"/>
  <c r="C57" i="59"/>
  <c r="C56" i="59"/>
  <c r="C55" i="59"/>
  <c r="C54" i="59"/>
  <c r="C53" i="59"/>
  <c r="C52" i="59"/>
  <c r="C51" i="59"/>
  <c r="C50" i="59"/>
  <c r="C16" i="59"/>
  <c r="C15" i="59"/>
  <c r="C14" i="59"/>
  <c r="D644" i="56"/>
  <c r="D643" i="56"/>
  <c r="E579" i="56"/>
  <c r="E582" i="56"/>
  <c r="E585" i="56"/>
  <c r="E588" i="56"/>
  <c r="E591" i="56"/>
  <c r="E578" i="56"/>
  <c r="F578" i="56" s="1"/>
  <c r="G578" i="56" s="1"/>
  <c r="E581" i="56"/>
  <c r="E584" i="56"/>
  <c r="E587" i="56"/>
  <c r="E590" i="56"/>
  <c r="G591" i="56"/>
  <c r="D591" i="56"/>
  <c r="G590" i="56"/>
  <c r="D590" i="56"/>
  <c r="D589" i="56"/>
  <c r="G588" i="56"/>
  <c r="D588" i="56"/>
  <c r="G587" i="56"/>
  <c r="D587" i="56"/>
  <c r="D586" i="56"/>
  <c r="G585" i="56"/>
  <c r="D585" i="56"/>
  <c r="G584" i="56"/>
  <c r="D584" i="56"/>
  <c r="D583" i="56"/>
  <c r="G582" i="56"/>
  <c r="D582" i="56"/>
  <c r="G581" i="56"/>
  <c r="D581" i="56"/>
  <c r="D580" i="56"/>
  <c r="D579" i="56"/>
  <c r="D578" i="56"/>
  <c r="D577" i="56"/>
  <c r="E234" i="56"/>
  <c r="F234" i="56" s="1"/>
  <c r="G234" i="56" s="1"/>
  <c r="E237" i="56"/>
  <c r="E238" i="56" s="1"/>
  <c r="F238" i="56" s="1"/>
  <c r="G238" i="56" s="1"/>
  <c r="D235" i="56"/>
  <c r="D238" i="56" s="1"/>
  <c r="D241" i="56" s="1"/>
  <c r="D234" i="56"/>
  <c r="D237" i="56" s="1"/>
  <c r="D240" i="56" s="1"/>
  <c r="D226" i="56"/>
  <c r="D236" i="56" s="1"/>
  <c r="D233" i="56"/>
  <c r="C398" i="55"/>
  <c r="C397" i="55"/>
  <c r="C277" i="55"/>
  <c r="C276" i="55"/>
  <c r="C275" i="55"/>
  <c r="C101" i="55"/>
  <c r="C100" i="55"/>
  <c r="C99" i="55"/>
  <c r="K25" i="54"/>
  <c r="K44" i="54" s="1"/>
  <c r="F117" i="50"/>
  <c r="F118" i="50"/>
  <c r="F119" i="50"/>
  <c r="F120" i="50"/>
  <c r="F121" i="50"/>
  <c r="G79" i="52"/>
  <c r="F79" i="52"/>
  <c r="G78" i="52"/>
  <c r="F78" i="52"/>
  <c r="G77" i="52"/>
  <c r="F77" i="52"/>
  <c r="G76" i="52"/>
  <c r="F76" i="52"/>
  <c r="G75" i="52"/>
  <c r="F75" i="52"/>
  <c r="G74" i="52"/>
  <c r="F74" i="52"/>
  <c r="G71" i="52"/>
  <c r="F71" i="52"/>
  <c r="G70" i="52"/>
  <c r="F70" i="52"/>
  <c r="G69" i="52"/>
  <c r="F69" i="52"/>
  <c r="G68" i="52"/>
  <c r="F68" i="52"/>
  <c r="G67" i="52"/>
  <c r="F67" i="52"/>
  <c r="G66" i="52"/>
  <c r="F66" i="52"/>
  <c r="G65" i="52"/>
  <c r="F65" i="52"/>
  <c r="G63" i="52"/>
  <c r="F63" i="52"/>
  <c r="G62" i="52"/>
  <c r="F62" i="52"/>
  <c r="G61" i="52"/>
  <c r="F61" i="52"/>
  <c r="G59" i="52"/>
  <c r="F59" i="52"/>
  <c r="G58" i="52"/>
  <c r="F58" i="52"/>
  <c r="G57" i="52"/>
  <c r="F57" i="52"/>
  <c r="G56" i="52"/>
  <c r="F56" i="52"/>
  <c r="G55" i="52"/>
  <c r="F55" i="52"/>
  <c r="G54" i="52"/>
  <c r="F54" i="52"/>
  <c r="G51" i="52"/>
  <c r="F51" i="52"/>
  <c r="G50" i="52"/>
  <c r="F50" i="52"/>
  <c r="G49" i="52"/>
  <c r="F49" i="52"/>
  <c r="G48" i="52"/>
  <c r="F48" i="52"/>
  <c r="G46" i="52"/>
  <c r="F46" i="52"/>
  <c r="G44" i="52"/>
  <c r="F44" i="52"/>
  <c r="G43" i="52"/>
  <c r="F43" i="52"/>
  <c r="G42" i="52"/>
  <c r="F42" i="52"/>
  <c r="G41" i="52"/>
  <c r="F41" i="52"/>
  <c r="U30" i="52"/>
  <c r="U31" i="52"/>
  <c r="T30" i="52"/>
  <c r="T31" i="52"/>
  <c r="S30" i="52"/>
  <c r="S31" i="52"/>
  <c r="R30" i="52"/>
  <c r="R31" i="52"/>
  <c r="Q30" i="52"/>
  <c r="Q31" i="52"/>
  <c r="P30" i="52"/>
  <c r="P31" i="52"/>
  <c r="O30" i="52"/>
  <c r="O31" i="52"/>
  <c r="N30" i="52"/>
  <c r="N31" i="52"/>
  <c r="M30" i="52"/>
  <c r="M31" i="52"/>
  <c r="L30" i="52"/>
  <c r="L31" i="52"/>
  <c r="K30" i="52"/>
  <c r="K31" i="52"/>
  <c r="J30" i="52"/>
  <c r="J31" i="52"/>
  <c r="I30" i="52"/>
  <c r="I31" i="52"/>
  <c r="H30" i="52"/>
  <c r="H31" i="52"/>
  <c r="G30" i="52"/>
  <c r="G31" i="52"/>
  <c r="D101" i="50"/>
  <c r="D110" i="50" s="1"/>
  <c r="G29" i="52" s="1"/>
  <c r="E36" i="51"/>
  <c r="F29" i="52" s="1"/>
  <c r="E35" i="51"/>
  <c r="F28" i="52" s="1"/>
  <c r="U21" i="52"/>
  <c r="T21" i="52"/>
  <c r="S21" i="52"/>
  <c r="R21" i="52"/>
  <c r="Q21" i="52"/>
  <c r="P21" i="52"/>
  <c r="O21" i="52"/>
  <c r="N21" i="52"/>
  <c r="M21" i="52"/>
  <c r="L21" i="52"/>
  <c r="K21" i="52"/>
  <c r="J21" i="52"/>
  <c r="I21" i="52"/>
  <c r="H21" i="52"/>
  <c r="G21" i="52"/>
  <c r="E110" i="47"/>
  <c r="E110" i="48"/>
  <c r="E28" i="51" s="1"/>
  <c r="F20" i="52" s="1"/>
  <c r="F21" i="52" s="1"/>
  <c r="D110" i="47"/>
  <c r="D110" i="48" s="1"/>
  <c r="D28" i="51" s="1"/>
  <c r="E20" i="52" s="1"/>
  <c r="E21" i="52" s="1"/>
  <c r="D20" i="52"/>
  <c r="D21" i="52" s="1"/>
  <c r="T37" i="51"/>
  <c r="S37" i="51"/>
  <c r="R37" i="51"/>
  <c r="Q37" i="51"/>
  <c r="P37" i="51"/>
  <c r="O37" i="51"/>
  <c r="N37" i="51"/>
  <c r="M37" i="51"/>
  <c r="L37" i="51"/>
  <c r="K37" i="51"/>
  <c r="J37" i="51"/>
  <c r="I37" i="51"/>
  <c r="H37" i="51"/>
  <c r="G37" i="51"/>
  <c r="F37" i="51"/>
  <c r="T29" i="51"/>
  <c r="S29" i="51"/>
  <c r="R29" i="51"/>
  <c r="Q29" i="51"/>
  <c r="P29" i="51"/>
  <c r="O29" i="51"/>
  <c r="N29" i="51"/>
  <c r="M29" i="51"/>
  <c r="L29" i="51"/>
  <c r="K29" i="51"/>
  <c r="J29" i="51"/>
  <c r="I29" i="51"/>
  <c r="H29" i="51"/>
  <c r="G29" i="51"/>
  <c r="F29" i="51"/>
  <c r="E117" i="50"/>
  <c r="E118" i="50"/>
  <c r="E119" i="50"/>
  <c r="E120" i="50"/>
  <c r="E121" i="50"/>
  <c r="D117" i="50"/>
  <c r="D118" i="50"/>
  <c r="D119" i="50"/>
  <c r="D120" i="50"/>
  <c r="D121" i="50"/>
  <c r="C121" i="50"/>
  <c r="C120" i="50"/>
  <c r="C119" i="50"/>
  <c r="C118" i="50"/>
  <c r="C117" i="50"/>
  <c r="E76" i="50"/>
  <c r="D76" i="50"/>
  <c r="F17" i="39"/>
  <c r="E75" i="50" s="1"/>
  <c r="E17" i="39"/>
  <c r="D75" i="50" s="1"/>
  <c r="I68" i="50"/>
  <c r="K68" i="50" s="1"/>
  <c r="I67" i="50"/>
  <c r="K67" i="50" s="1"/>
  <c r="I66" i="50"/>
  <c r="K66" i="50" s="1"/>
  <c r="I65" i="50"/>
  <c r="K65" i="50" s="1"/>
  <c r="I64" i="50"/>
  <c r="I63" i="50"/>
  <c r="K63" i="50" s="1"/>
  <c r="I62" i="50"/>
  <c r="K62" i="50" s="1"/>
  <c r="I61" i="50"/>
  <c r="K61" i="50" s="1"/>
  <c r="I60" i="50"/>
  <c r="K60" i="50" s="1"/>
  <c r="I59" i="50"/>
  <c r="K59" i="50" s="1"/>
  <c r="G133" i="41"/>
  <c r="G134" i="41"/>
  <c r="G135" i="41"/>
  <c r="G137" i="41"/>
  <c r="G140" i="41"/>
  <c r="G141" i="41"/>
  <c r="G142" i="41"/>
  <c r="G145" i="41"/>
  <c r="G146" i="41"/>
  <c r="G147" i="41"/>
  <c r="G148" i="41"/>
  <c r="G149" i="41"/>
  <c r="G150" i="41"/>
  <c r="F133" i="41"/>
  <c r="F134" i="41"/>
  <c r="F135" i="41"/>
  <c r="F137" i="41"/>
  <c r="F151" i="41" s="1"/>
  <c r="F139" i="41"/>
  <c r="F140" i="41"/>
  <c r="F141" i="41"/>
  <c r="F142" i="41"/>
  <c r="F145" i="41"/>
  <c r="F146" i="41"/>
  <c r="F147" i="41"/>
  <c r="F150" i="41"/>
  <c r="E133" i="41"/>
  <c r="E134" i="41"/>
  <c r="E135" i="41"/>
  <c r="E137" i="41"/>
  <c r="E140" i="41"/>
  <c r="E141" i="41"/>
  <c r="E142" i="41"/>
  <c r="E145" i="41"/>
  <c r="E146" i="41"/>
  <c r="E147" i="41"/>
  <c r="E149" i="41"/>
  <c r="E150" i="41"/>
  <c r="D133" i="41"/>
  <c r="D134" i="41"/>
  <c r="D135" i="41"/>
  <c r="D137" i="41"/>
  <c r="D140" i="41"/>
  <c r="D141" i="41"/>
  <c r="D142" i="41"/>
  <c r="D144" i="41"/>
  <c r="D145" i="41"/>
  <c r="D146" i="41"/>
  <c r="D147" i="41"/>
  <c r="D148" i="41"/>
  <c r="D150" i="41"/>
  <c r="C133" i="41"/>
  <c r="C151" i="41" s="1"/>
  <c r="C134" i="41"/>
  <c r="C135" i="41"/>
  <c r="C136" i="41"/>
  <c r="C137" i="41"/>
  <c r="C138" i="41"/>
  <c r="C139" i="41"/>
  <c r="C140" i="41"/>
  <c r="C141" i="41"/>
  <c r="C142" i="41"/>
  <c r="C143" i="41"/>
  <c r="C144" i="41"/>
  <c r="C145" i="41"/>
  <c r="C146" i="41"/>
  <c r="C147" i="41"/>
  <c r="C148" i="41"/>
  <c r="C149" i="41"/>
  <c r="C150" i="41"/>
  <c r="L127" i="41"/>
  <c r="L128" i="41" s="1"/>
  <c r="K127" i="41"/>
  <c r="K128" i="41" s="1"/>
  <c r="J127" i="41"/>
  <c r="J128" i="41" s="1"/>
  <c r="I127" i="41"/>
  <c r="I128" i="41" s="1"/>
  <c r="H109" i="41"/>
  <c r="H111" i="41"/>
  <c r="H113" i="41"/>
  <c r="H115" i="41"/>
  <c r="H116" i="41"/>
  <c r="H117" i="41"/>
  <c r="H118" i="41"/>
  <c r="H120" i="41"/>
  <c r="H121" i="41"/>
  <c r="H122" i="41"/>
  <c r="H123" i="41"/>
  <c r="H124" i="41"/>
  <c r="H125" i="41"/>
  <c r="H126" i="41"/>
  <c r="G127" i="41"/>
  <c r="G128" i="41" s="1"/>
  <c r="F127" i="41"/>
  <c r="F128" i="41" s="1"/>
  <c r="E127" i="41"/>
  <c r="E128" i="41" s="1"/>
  <c r="D127" i="41"/>
  <c r="D128" i="41" s="1"/>
  <c r="C109" i="41"/>
  <c r="C110" i="41"/>
  <c r="C111" i="41"/>
  <c r="C112" i="41"/>
  <c r="C113" i="41"/>
  <c r="C114" i="41"/>
  <c r="C115" i="41"/>
  <c r="C116" i="41"/>
  <c r="C117" i="41"/>
  <c r="C118" i="41"/>
  <c r="C119" i="41"/>
  <c r="C120" i="41"/>
  <c r="C121" i="41"/>
  <c r="C122" i="41"/>
  <c r="C123" i="41"/>
  <c r="C124" i="41"/>
  <c r="C125" i="41"/>
  <c r="C126" i="41"/>
  <c r="E83" i="41"/>
  <c r="E85" i="41"/>
  <c r="E86" i="41"/>
  <c r="E87" i="41"/>
  <c r="E88" i="41"/>
  <c r="E89" i="41"/>
  <c r="E90" i="41"/>
  <c r="E91" i="41"/>
  <c r="E92" i="41"/>
  <c r="E93" i="41"/>
  <c r="E95" i="41"/>
  <c r="E96" i="41"/>
  <c r="E97" i="41"/>
  <c r="E98" i="41"/>
  <c r="E99" i="41"/>
  <c r="E100" i="41"/>
  <c r="E102" i="41"/>
  <c r="D83" i="41"/>
  <c r="D85" i="41"/>
  <c r="D86" i="41"/>
  <c r="D88" i="41"/>
  <c r="D91" i="41"/>
  <c r="D92" i="41"/>
  <c r="D93" i="41"/>
  <c r="D95" i="41"/>
  <c r="D96" i="41"/>
  <c r="D97" i="41"/>
  <c r="D98" i="41"/>
  <c r="D99" i="41"/>
  <c r="D100" i="41"/>
  <c r="D102" i="41"/>
  <c r="C83" i="41"/>
  <c r="C85" i="41"/>
  <c r="C86" i="41"/>
  <c r="C87" i="41"/>
  <c r="C88" i="41"/>
  <c r="C89" i="41"/>
  <c r="C90" i="41"/>
  <c r="C91" i="41"/>
  <c r="C92" i="41"/>
  <c r="C93" i="41"/>
  <c r="C94" i="41"/>
  <c r="C95" i="41"/>
  <c r="C96" i="41"/>
  <c r="C97" i="41"/>
  <c r="C98" i="41"/>
  <c r="C99" i="41"/>
  <c r="C100" i="41"/>
  <c r="C102" i="41"/>
  <c r="P56" i="41"/>
  <c r="P59" i="41"/>
  <c r="P60" i="41"/>
  <c r="P61" i="41"/>
  <c r="P64" i="41"/>
  <c r="P65" i="41"/>
  <c r="P66" i="41"/>
  <c r="P69" i="41"/>
  <c r="P70" i="41"/>
  <c r="P71" i="41"/>
  <c r="P75" i="41"/>
  <c r="O56" i="41"/>
  <c r="O58" i="41"/>
  <c r="O59" i="41"/>
  <c r="O61" i="41"/>
  <c r="O64" i="41"/>
  <c r="O65" i="41"/>
  <c r="O66" i="41"/>
  <c r="O67" i="41"/>
  <c r="O68" i="41"/>
  <c r="O69" i="41"/>
  <c r="O70" i="41"/>
  <c r="O71" i="41"/>
  <c r="O72" i="41"/>
  <c r="O73" i="41"/>
  <c r="O75" i="41"/>
  <c r="N56" i="41"/>
  <c r="N77" i="41" s="1"/>
  <c r="N59" i="41"/>
  <c r="N60" i="41"/>
  <c r="N61" i="41"/>
  <c r="N76" i="41" s="1"/>
  <c r="N62" i="41"/>
  <c r="N63" i="41"/>
  <c r="N64" i="41"/>
  <c r="N65" i="41"/>
  <c r="N66" i="41"/>
  <c r="N68" i="41"/>
  <c r="N69" i="41"/>
  <c r="N70" i="41"/>
  <c r="N71" i="41"/>
  <c r="N72" i="41"/>
  <c r="N73" i="41"/>
  <c r="N75" i="41"/>
  <c r="M56" i="41"/>
  <c r="M58" i="41"/>
  <c r="M59" i="41"/>
  <c r="M61" i="41"/>
  <c r="M64" i="41"/>
  <c r="M65" i="41"/>
  <c r="M66" i="41"/>
  <c r="M68" i="41"/>
  <c r="M69" i="41"/>
  <c r="M70" i="41"/>
  <c r="M71" i="41"/>
  <c r="M72" i="41"/>
  <c r="M73" i="41"/>
  <c r="M75" i="41"/>
  <c r="L76" i="41"/>
  <c r="L77" i="41"/>
  <c r="K56" i="41"/>
  <c r="K58" i="41"/>
  <c r="K59" i="41"/>
  <c r="K61" i="41"/>
  <c r="K63" i="41"/>
  <c r="K64" i="41"/>
  <c r="K65" i="41"/>
  <c r="K66" i="41"/>
  <c r="K68" i="41"/>
  <c r="K69" i="41"/>
  <c r="K70" i="41"/>
  <c r="K71" i="41"/>
  <c r="K72" i="41"/>
  <c r="K73" i="41"/>
  <c r="K75" i="41"/>
  <c r="J56" i="41"/>
  <c r="J59" i="41"/>
  <c r="J60" i="41"/>
  <c r="J61" i="41"/>
  <c r="J64" i="41"/>
  <c r="J65" i="41"/>
  <c r="J66" i="41"/>
  <c r="J68" i="41"/>
  <c r="J69" i="41"/>
  <c r="J70" i="41"/>
  <c r="J71" i="41"/>
  <c r="J72" i="41"/>
  <c r="J73" i="41"/>
  <c r="J75" i="41"/>
  <c r="I56" i="41"/>
  <c r="I58" i="41"/>
  <c r="I59" i="41"/>
  <c r="I61" i="41"/>
  <c r="I63" i="41"/>
  <c r="I64" i="41"/>
  <c r="I65" i="41"/>
  <c r="I66" i="41"/>
  <c r="I68" i="41"/>
  <c r="I69" i="41"/>
  <c r="I70" i="41"/>
  <c r="I71" i="41"/>
  <c r="I72" i="41"/>
  <c r="I73" i="41"/>
  <c r="I75" i="41"/>
  <c r="H56" i="41"/>
  <c r="H59" i="41"/>
  <c r="H60" i="41"/>
  <c r="H61" i="41"/>
  <c r="H63" i="41"/>
  <c r="H64" i="41"/>
  <c r="H65" i="41"/>
  <c r="H66" i="41"/>
  <c r="H67" i="41"/>
  <c r="H68" i="41"/>
  <c r="H69" i="41"/>
  <c r="H70" i="41"/>
  <c r="H71" i="41"/>
  <c r="H72" i="41"/>
  <c r="H73" i="41"/>
  <c r="H75" i="41"/>
  <c r="G56" i="41"/>
  <c r="G58" i="41"/>
  <c r="G59" i="41"/>
  <c r="G61" i="41"/>
  <c r="G63" i="41"/>
  <c r="G64" i="41"/>
  <c r="G65" i="41"/>
  <c r="G66" i="41"/>
  <c r="G68" i="41"/>
  <c r="G69" i="41"/>
  <c r="G70" i="41"/>
  <c r="G71" i="41"/>
  <c r="G72" i="41"/>
  <c r="G75" i="41"/>
  <c r="F56" i="41"/>
  <c r="F58" i="41"/>
  <c r="F59" i="41"/>
  <c r="F61" i="41"/>
  <c r="F62" i="41"/>
  <c r="F64" i="41"/>
  <c r="F65" i="41"/>
  <c r="F66" i="41"/>
  <c r="F68" i="41"/>
  <c r="F69" i="41"/>
  <c r="F70" i="41"/>
  <c r="F71" i="41"/>
  <c r="F72" i="41"/>
  <c r="F73" i="41"/>
  <c r="F75" i="41"/>
  <c r="F76" i="41"/>
  <c r="F77" i="41" s="1"/>
  <c r="E56" i="41"/>
  <c r="E59" i="41"/>
  <c r="E61" i="41"/>
  <c r="E64" i="41"/>
  <c r="E65" i="41"/>
  <c r="E66" i="41"/>
  <c r="E69" i="41"/>
  <c r="E70" i="41"/>
  <c r="E71" i="41"/>
  <c r="E72" i="41"/>
  <c r="E73" i="41"/>
  <c r="E75" i="41"/>
  <c r="D56" i="41"/>
  <c r="D57" i="41"/>
  <c r="D58" i="41"/>
  <c r="D59" i="41"/>
  <c r="D61" i="41"/>
  <c r="D62" i="41"/>
  <c r="D63" i="41"/>
  <c r="D64" i="41"/>
  <c r="D65" i="41"/>
  <c r="D66" i="41"/>
  <c r="D68" i="41"/>
  <c r="D69" i="41"/>
  <c r="D70" i="41"/>
  <c r="D71" i="41"/>
  <c r="D72" i="41"/>
  <c r="D73" i="41"/>
  <c r="D75" i="41"/>
  <c r="C56" i="41"/>
  <c r="C58" i="41"/>
  <c r="C59" i="41"/>
  <c r="C61" i="41"/>
  <c r="C62" i="41"/>
  <c r="C63" i="41"/>
  <c r="C64" i="41"/>
  <c r="C65" i="41"/>
  <c r="C66" i="41"/>
  <c r="C68" i="41"/>
  <c r="C69" i="41"/>
  <c r="C70" i="41"/>
  <c r="C71" i="41"/>
  <c r="C72" i="41"/>
  <c r="C73" i="41"/>
  <c r="C75" i="41"/>
  <c r="V50" i="41"/>
  <c r="V51" i="41" s="1"/>
  <c r="U50" i="41"/>
  <c r="U51" i="41"/>
  <c r="T50" i="41"/>
  <c r="T51" i="41"/>
  <c r="S50" i="41"/>
  <c r="S51" i="41"/>
  <c r="R30" i="41"/>
  <c r="R50" i="41" s="1"/>
  <c r="R51" i="41" s="1"/>
  <c r="R33" i="41"/>
  <c r="R35" i="41"/>
  <c r="R38" i="41"/>
  <c r="R40" i="41"/>
  <c r="R43" i="41"/>
  <c r="R44" i="41"/>
  <c r="R45" i="41"/>
  <c r="R46" i="41"/>
  <c r="R47" i="41"/>
  <c r="Q30" i="41"/>
  <c r="Q50" i="41" s="1"/>
  <c r="Q51" i="41" s="1"/>
  <c r="Q32" i="41"/>
  <c r="Q33" i="41"/>
  <c r="Q34" i="41"/>
  <c r="Q35" i="41"/>
  <c r="Q36" i="41"/>
  <c r="Q37" i="41"/>
  <c r="Q38" i="41"/>
  <c r="Q39" i="41"/>
  <c r="Q40" i="41"/>
  <c r="Q41" i="41"/>
  <c r="Q42" i="41"/>
  <c r="Q43" i="41"/>
  <c r="Q44" i="41"/>
  <c r="Q45" i="41"/>
  <c r="Q46" i="41"/>
  <c r="Q47" i="41"/>
  <c r="Q49" i="41"/>
  <c r="P50" i="41"/>
  <c r="P51" i="41" s="1"/>
  <c r="O50" i="41"/>
  <c r="O51" i="41"/>
  <c r="N50" i="41"/>
  <c r="N51" i="41"/>
  <c r="M50" i="41"/>
  <c r="M51" i="41"/>
  <c r="L50" i="41"/>
  <c r="L51" i="41" s="1"/>
  <c r="K32" i="41"/>
  <c r="K33" i="41"/>
  <c r="K35" i="41"/>
  <c r="K36" i="41"/>
  <c r="J50" i="41"/>
  <c r="J51" i="41" s="1"/>
  <c r="I30" i="41"/>
  <c r="I32" i="41"/>
  <c r="I33" i="41"/>
  <c r="I35" i="41"/>
  <c r="I36" i="41"/>
  <c r="I37" i="41"/>
  <c r="I38" i="41"/>
  <c r="I39" i="41"/>
  <c r="I40" i="41"/>
  <c r="I42" i="41"/>
  <c r="I43" i="41"/>
  <c r="I44" i="41"/>
  <c r="I45" i="41"/>
  <c r="I46" i="41"/>
  <c r="I47" i="41"/>
  <c r="I49" i="41"/>
  <c r="H50" i="41"/>
  <c r="H51" i="41"/>
  <c r="G50" i="41"/>
  <c r="G51" i="41"/>
  <c r="F50" i="41"/>
  <c r="F51" i="41" s="1"/>
  <c r="E30" i="41"/>
  <c r="E32" i="41"/>
  <c r="E33" i="41"/>
  <c r="E35" i="41"/>
  <c r="E50" i="41" s="1"/>
  <c r="E51" i="41" s="1"/>
  <c r="E38" i="41"/>
  <c r="E40" i="41"/>
  <c r="E43" i="41"/>
  <c r="E44" i="41"/>
  <c r="E45" i="41"/>
  <c r="D50" i="41"/>
  <c r="D51" i="41" s="1"/>
  <c r="C50" i="41"/>
  <c r="C51" i="41" s="1"/>
  <c r="C5" i="41"/>
  <c r="C7" i="41"/>
  <c r="C8" i="41"/>
  <c r="C10" i="41"/>
  <c r="C11" i="41"/>
  <c r="C13" i="41"/>
  <c r="C14" i="41"/>
  <c r="C15" i="41"/>
  <c r="C18" i="41"/>
  <c r="C19" i="41"/>
  <c r="C20" i="41"/>
  <c r="C22" i="41"/>
  <c r="C24" i="41"/>
  <c r="D5" i="41"/>
  <c r="D7" i="41"/>
  <c r="D8" i="41"/>
  <c r="D9" i="41"/>
  <c r="D10" i="41"/>
  <c r="D11" i="41"/>
  <c r="D12" i="41"/>
  <c r="D13" i="41"/>
  <c r="D14" i="41"/>
  <c r="D15" i="41"/>
  <c r="D16" i="41"/>
  <c r="D17" i="41"/>
  <c r="D18" i="41"/>
  <c r="D19" i="41"/>
  <c r="D20" i="41"/>
  <c r="D21" i="41"/>
  <c r="D22" i="41"/>
  <c r="D24" i="41"/>
  <c r="E5" i="41"/>
  <c r="E8" i="41"/>
  <c r="E10" i="41"/>
  <c r="E11" i="41"/>
  <c r="E13" i="41"/>
  <c r="E14" i="41"/>
  <c r="E15" i="41"/>
  <c r="E17" i="41"/>
  <c r="E18" i="41"/>
  <c r="E19" i="41"/>
  <c r="E20" i="41"/>
  <c r="E21" i="41"/>
  <c r="E22" i="41"/>
  <c r="E24" i="41"/>
  <c r="F5" i="41"/>
  <c r="F6" i="41"/>
  <c r="F7" i="41"/>
  <c r="F8" i="41"/>
  <c r="F10" i="41"/>
  <c r="F11" i="41"/>
  <c r="F12" i="41"/>
  <c r="F13" i="41"/>
  <c r="F25" i="41" s="1"/>
  <c r="F14" i="41"/>
  <c r="F15" i="41"/>
  <c r="F17" i="41"/>
  <c r="F18" i="41"/>
  <c r="F19" i="41"/>
  <c r="F20" i="41"/>
  <c r="F21" i="41"/>
  <c r="F22" i="41"/>
  <c r="F24" i="41"/>
  <c r="G5" i="41"/>
  <c r="G6" i="41"/>
  <c r="G7" i="41"/>
  <c r="G8" i="41"/>
  <c r="G10" i="41"/>
  <c r="G11" i="41"/>
  <c r="G13" i="41"/>
  <c r="G14" i="41"/>
  <c r="G15" i="41"/>
  <c r="G17" i="41"/>
  <c r="G18" i="41"/>
  <c r="G19" i="41"/>
  <c r="G20" i="41"/>
  <c r="G21" i="41"/>
  <c r="G22" i="41"/>
  <c r="G24" i="41"/>
  <c r="H5" i="41"/>
  <c r="H8" i="41"/>
  <c r="H10" i="41"/>
  <c r="H11" i="41"/>
  <c r="H13" i="41"/>
  <c r="H14" i="41"/>
  <c r="H15" i="41"/>
  <c r="H17" i="41"/>
  <c r="H18" i="41"/>
  <c r="H19" i="41"/>
  <c r="H20" i="41"/>
  <c r="H22" i="41"/>
  <c r="H23" i="41"/>
  <c r="H24" i="41"/>
  <c r="I5" i="41"/>
  <c r="I6" i="41"/>
  <c r="I7" i="41"/>
  <c r="I25" i="41" s="1"/>
  <c r="I8" i="41"/>
  <c r="I9" i="41"/>
  <c r="I10" i="41"/>
  <c r="I11" i="41"/>
  <c r="I12" i="41"/>
  <c r="I13" i="41"/>
  <c r="I14" i="41"/>
  <c r="I15" i="41"/>
  <c r="I16" i="41"/>
  <c r="I17" i="41"/>
  <c r="I18" i="41"/>
  <c r="I19" i="41"/>
  <c r="I20" i="41"/>
  <c r="I21" i="41"/>
  <c r="I22" i="41"/>
  <c r="I23" i="41"/>
  <c r="I24" i="41"/>
  <c r="J5" i="41"/>
  <c r="J25" i="41" s="1"/>
  <c r="J7" i="41"/>
  <c r="J8" i="41"/>
  <c r="J10" i="41"/>
  <c r="J11" i="41"/>
  <c r="J12" i="41"/>
  <c r="J13" i="41"/>
  <c r="J14" i="41"/>
  <c r="J15" i="41"/>
  <c r="J17" i="41"/>
  <c r="J18" i="41"/>
  <c r="J19" i="41"/>
  <c r="J20" i="41"/>
  <c r="J21" i="41"/>
  <c r="J22" i="41"/>
  <c r="J23" i="41"/>
  <c r="J24" i="41"/>
  <c r="U8" i="41"/>
  <c r="E30" i="47"/>
  <c r="E30" i="48"/>
  <c r="E31" i="47"/>
  <c r="E31" i="48"/>
  <c r="E32" i="47"/>
  <c r="E32" i="48"/>
  <c r="E33" i="47"/>
  <c r="E33" i="48" s="1"/>
  <c r="E34" i="47"/>
  <c r="E34" i="48"/>
  <c r="E35" i="47"/>
  <c r="E35" i="48"/>
  <c r="E36" i="47"/>
  <c r="E36" i="48"/>
  <c r="E37" i="47"/>
  <c r="E37" i="48" s="1"/>
  <c r="E38" i="47"/>
  <c r="E38" i="48"/>
  <c r="E39" i="47"/>
  <c r="E39" i="48"/>
  <c r="E40" i="47"/>
  <c r="E40" i="48"/>
  <c r="E41" i="47"/>
  <c r="E41" i="48" s="1"/>
  <c r="E42" i="47"/>
  <c r="E42" i="48"/>
  <c r="E43" i="47"/>
  <c r="E43" i="48"/>
  <c r="E44" i="47"/>
  <c r="E44" i="48"/>
  <c r="E45" i="47"/>
  <c r="E45" i="48" s="1"/>
  <c r="E46" i="47"/>
  <c r="E46" i="48"/>
  <c r="E47" i="47"/>
  <c r="E47" i="48"/>
  <c r="E48" i="47"/>
  <c r="E48" i="48"/>
  <c r="E49" i="47"/>
  <c r="E49" i="48" s="1"/>
  <c r="E50" i="47"/>
  <c r="E50" i="48"/>
  <c r="E51" i="47"/>
  <c r="E51" i="48"/>
  <c r="E52" i="47"/>
  <c r="E52" i="48"/>
  <c r="E53" i="47"/>
  <c r="E53" i="48" s="1"/>
  <c r="E54" i="47"/>
  <c r="E54" i="48"/>
  <c r="E55" i="47"/>
  <c r="E55" i="48"/>
  <c r="E56" i="47"/>
  <c r="E56" i="48"/>
  <c r="E57" i="47"/>
  <c r="E57" i="48" s="1"/>
  <c r="E58" i="47"/>
  <c r="E58" i="48"/>
  <c r="E59" i="47"/>
  <c r="E59" i="48"/>
  <c r="E60" i="47"/>
  <c r="E60" i="48"/>
  <c r="E61" i="47"/>
  <c r="E61" i="48" s="1"/>
  <c r="E62" i="47"/>
  <c r="E62" i="48"/>
  <c r="E63" i="47"/>
  <c r="E63" i="48"/>
  <c r="E64" i="47"/>
  <c r="E64" i="48"/>
  <c r="E65" i="47"/>
  <c r="E65" i="48" s="1"/>
  <c r="E66" i="47"/>
  <c r="E66" i="48"/>
  <c r="E67" i="47"/>
  <c r="E67" i="48"/>
  <c r="E68" i="47"/>
  <c r="E68" i="48"/>
  <c r="E69" i="47"/>
  <c r="E69" i="48" s="1"/>
  <c r="E70" i="47"/>
  <c r="E70" i="48"/>
  <c r="E71" i="47"/>
  <c r="E71" i="48"/>
  <c r="E72" i="47"/>
  <c r="E72" i="48"/>
  <c r="E73" i="47"/>
  <c r="E73" i="48" s="1"/>
  <c r="E74" i="47"/>
  <c r="E74" i="48"/>
  <c r="E75" i="47"/>
  <c r="E75" i="48"/>
  <c r="E76" i="47"/>
  <c r="E76" i="48"/>
  <c r="E77" i="47"/>
  <c r="E77" i="48" s="1"/>
  <c r="E78" i="47"/>
  <c r="E78" i="48"/>
  <c r="E79" i="47"/>
  <c r="E79" i="48"/>
  <c r="E80" i="47"/>
  <c r="E80" i="48"/>
  <c r="E81" i="47"/>
  <c r="E81" i="48" s="1"/>
  <c r="E82" i="47"/>
  <c r="E82" i="48"/>
  <c r="E83" i="47"/>
  <c r="E83" i="48"/>
  <c r="E84" i="47"/>
  <c r="E84" i="48"/>
  <c r="E85" i="47"/>
  <c r="E85" i="48" s="1"/>
  <c r="E86" i="47"/>
  <c r="E86" i="48"/>
  <c r="E87" i="47"/>
  <c r="E87" i="48"/>
  <c r="E88" i="47"/>
  <c r="E88" i="48"/>
  <c r="E89" i="47"/>
  <c r="E89" i="48" s="1"/>
  <c r="E90" i="47"/>
  <c r="E90" i="48"/>
  <c r="E91" i="47"/>
  <c r="E91" i="48"/>
  <c r="E92" i="47"/>
  <c r="E92" i="48"/>
  <c r="E93" i="47"/>
  <c r="E93" i="48" s="1"/>
  <c r="E94" i="47"/>
  <c r="E94" i="48"/>
  <c r="E95" i="47"/>
  <c r="E95" i="48"/>
  <c r="E96" i="47"/>
  <c r="E96" i="48"/>
  <c r="E97" i="47"/>
  <c r="E97" i="48" s="1"/>
  <c r="E98" i="47"/>
  <c r="E98" i="48"/>
  <c r="E99" i="47"/>
  <c r="E99" i="48"/>
  <c r="E100" i="47"/>
  <c r="E100" i="48"/>
  <c r="E101" i="47"/>
  <c r="E101" i="48" s="1"/>
  <c r="E102" i="47"/>
  <c r="E102" i="48"/>
  <c r="H116" i="48"/>
  <c r="F30" i="48"/>
  <c r="F103" i="48"/>
  <c r="F110" i="48" s="1"/>
  <c r="F111" i="48" s="1"/>
  <c r="D105" i="48"/>
  <c r="Y104" i="48"/>
  <c r="D102" i="47"/>
  <c r="D102" i="48" s="1"/>
  <c r="C102" i="47"/>
  <c r="C102" i="48" s="1"/>
  <c r="X101" i="48"/>
  <c r="D101" i="47"/>
  <c r="D101" i="48"/>
  <c r="C101" i="47"/>
  <c r="C101" i="48" s="1"/>
  <c r="D100" i="47"/>
  <c r="D100" i="48"/>
  <c r="C100" i="47"/>
  <c r="C100" i="48" s="1"/>
  <c r="D99" i="47"/>
  <c r="D99" i="48"/>
  <c r="C99" i="47"/>
  <c r="C99" i="48" s="1"/>
  <c r="D98" i="47"/>
  <c r="D98" i="48"/>
  <c r="C98" i="47"/>
  <c r="C98" i="48" s="1"/>
  <c r="D97" i="47"/>
  <c r="D97" i="48"/>
  <c r="C97" i="47"/>
  <c r="C97" i="48"/>
  <c r="D96" i="47"/>
  <c r="D96" i="48"/>
  <c r="C96" i="47"/>
  <c r="C96" i="48" s="1"/>
  <c r="D95" i="47"/>
  <c r="D95" i="48"/>
  <c r="C95" i="47"/>
  <c r="C95" i="48"/>
  <c r="D94" i="47"/>
  <c r="D94" i="48" s="1"/>
  <c r="C94" i="47"/>
  <c r="C94" i="48"/>
  <c r="D93" i="47"/>
  <c r="D93" i="48" s="1"/>
  <c r="C93" i="47"/>
  <c r="C93" i="48" s="1"/>
  <c r="D92" i="47"/>
  <c r="D92" i="48" s="1"/>
  <c r="C92" i="47"/>
  <c r="C92" i="48"/>
  <c r="D91" i="47"/>
  <c r="D91" i="48" s="1"/>
  <c r="C91" i="47"/>
  <c r="C91" i="48" s="1"/>
  <c r="D90" i="47"/>
  <c r="D90" i="48" s="1"/>
  <c r="C90" i="47"/>
  <c r="C90" i="48"/>
  <c r="D89" i="47"/>
  <c r="D89" i="48"/>
  <c r="C89" i="47"/>
  <c r="C89" i="48" s="1"/>
  <c r="D88" i="47"/>
  <c r="D88" i="48" s="1"/>
  <c r="C88" i="47"/>
  <c r="C88" i="48"/>
  <c r="X87" i="48"/>
  <c r="D87" i="47"/>
  <c r="D87" i="48"/>
  <c r="C87" i="47"/>
  <c r="C87" i="48"/>
  <c r="D86" i="47"/>
  <c r="D86" i="48" s="1"/>
  <c r="C86" i="47"/>
  <c r="C86" i="48"/>
  <c r="D85" i="47"/>
  <c r="D85" i="48" s="1"/>
  <c r="C85" i="47"/>
  <c r="C85" i="48"/>
  <c r="D84" i="47"/>
  <c r="D84" i="48" s="1"/>
  <c r="C84" i="47"/>
  <c r="C84" i="48"/>
  <c r="D83" i="47"/>
  <c r="D83" i="48"/>
  <c r="C83" i="47"/>
  <c r="C83" i="48"/>
  <c r="D82" i="47"/>
  <c r="D82" i="48" s="1"/>
  <c r="C82" i="47"/>
  <c r="C82" i="48"/>
  <c r="D81" i="47"/>
  <c r="D81" i="48" s="1"/>
  <c r="C81" i="47"/>
  <c r="C81" i="48"/>
  <c r="D80" i="47"/>
  <c r="D80" i="48" s="1"/>
  <c r="C80" i="47"/>
  <c r="C80" i="48"/>
  <c r="D79" i="47"/>
  <c r="D79" i="48"/>
  <c r="C79" i="47"/>
  <c r="C79" i="48"/>
  <c r="D78" i="47"/>
  <c r="D78" i="48" s="1"/>
  <c r="C78" i="47"/>
  <c r="C78" i="48"/>
  <c r="D77" i="47"/>
  <c r="D77" i="48" s="1"/>
  <c r="C77" i="47"/>
  <c r="C77" i="48"/>
  <c r="D76" i="47"/>
  <c r="D76" i="48" s="1"/>
  <c r="C76" i="47"/>
  <c r="C76" i="48"/>
  <c r="D75" i="47"/>
  <c r="D75" i="48" s="1"/>
  <c r="C75" i="47"/>
  <c r="C75" i="48"/>
  <c r="D74" i="47"/>
  <c r="D74" i="48" s="1"/>
  <c r="C74" i="47"/>
  <c r="C74" i="48"/>
  <c r="D73" i="47"/>
  <c r="D73" i="48"/>
  <c r="C73" i="47"/>
  <c r="C73" i="48"/>
  <c r="D72" i="47"/>
  <c r="D72" i="48"/>
  <c r="C72" i="47"/>
  <c r="C72" i="48" s="1"/>
  <c r="D71" i="47"/>
  <c r="D71" i="48" s="1"/>
  <c r="C71" i="47"/>
  <c r="C71" i="48" s="1"/>
  <c r="D70" i="47"/>
  <c r="D70" i="48"/>
  <c r="C70" i="47"/>
  <c r="C70" i="48" s="1"/>
  <c r="D69" i="47"/>
  <c r="D69" i="48" s="1"/>
  <c r="C69" i="47"/>
  <c r="C69" i="48" s="1"/>
  <c r="D68" i="47"/>
  <c r="D68" i="48"/>
  <c r="C68" i="47"/>
  <c r="C68" i="48" s="1"/>
  <c r="D67" i="47"/>
  <c r="D67" i="48" s="1"/>
  <c r="C67" i="47"/>
  <c r="C67" i="48" s="1"/>
  <c r="D66" i="47"/>
  <c r="D66" i="48"/>
  <c r="C66" i="47"/>
  <c r="C66" i="48"/>
  <c r="D65" i="47"/>
  <c r="D65" i="48" s="1"/>
  <c r="C65" i="47"/>
  <c r="C65" i="48" s="1"/>
  <c r="D64" i="47"/>
  <c r="D64" i="48"/>
  <c r="C64" i="47"/>
  <c r="C64" i="48" s="1"/>
  <c r="D63" i="47"/>
  <c r="D63" i="48" s="1"/>
  <c r="C63" i="47"/>
  <c r="C63" i="48" s="1"/>
  <c r="D62" i="47"/>
  <c r="D62" i="48"/>
  <c r="C62" i="47"/>
  <c r="C62" i="48" s="1"/>
  <c r="D61" i="47"/>
  <c r="D61" i="48" s="1"/>
  <c r="C61" i="47"/>
  <c r="C61" i="48" s="1"/>
  <c r="D60" i="47"/>
  <c r="D60" i="48"/>
  <c r="C60" i="47"/>
  <c r="C60" i="48" s="1"/>
  <c r="D59" i="47"/>
  <c r="D59" i="48" s="1"/>
  <c r="C59" i="47"/>
  <c r="C59" i="48" s="1"/>
  <c r="D58" i="47"/>
  <c r="D58" i="48"/>
  <c r="C58" i="47"/>
  <c r="C58" i="48"/>
  <c r="D57" i="47"/>
  <c r="D57" i="48" s="1"/>
  <c r="C57" i="47"/>
  <c r="C57" i="48" s="1"/>
  <c r="D56" i="47"/>
  <c r="D56" i="48"/>
  <c r="C56" i="47"/>
  <c r="C56" i="48" s="1"/>
  <c r="D55" i="47"/>
  <c r="D55" i="48"/>
  <c r="C55" i="47"/>
  <c r="C55" i="48" s="1"/>
  <c r="D54" i="47"/>
  <c r="D54" i="48"/>
  <c r="C54" i="47"/>
  <c r="C54" i="48"/>
  <c r="D53" i="47"/>
  <c r="D53" i="48"/>
  <c r="C53" i="47"/>
  <c r="C53" i="48" s="1"/>
  <c r="D52" i="47"/>
  <c r="D52" i="48"/>
  <c r="C52" i="47"/>
  <c r="C52" i="48" s="1"/>
  <c r="D51" i="47"/>
  <c r="D51" i="48"/>
  <c r="C51" i="47"/>
  <c r="C51" i="48" s="1"/>
  <c r="D50" i="47"/>
  <c r="D50" i="48" s="1"/>
  <c r="C50" i="47"/>
  <c r="C50" i="48" s="1"/>
  <c r="D49" i="47"/>
  <c r="D49" i="48" s="1"/>
  <c r="C49" i="47"/>
  <c r="C49" i="48"/>
  <c r="D48" i="47"/>
  <c r="D48" i="48"/>
  <c r="C48" i="47"/>
  <c r="C48" i="48" s="1"/>
  <c r="D47" i="47"/>
  <c r="D47" i="48" s="1"/>
  <c r="C47" i="47"/>
  <c r="C47" i="48"/>
  <c r="D46" i="47"/>
  <c r="D46" i="48" s="1"/>
  <c r="C46" i="47"/>
  <c r="C46" i="48"/>
  <c r="D45" i="47"/>
  <c r="D45" i="48" s="1"/>
  <c r="C45" i="47"/>
  <c r="C45" i="48"/>
  <c r="D44" i="47"/>
  <c r="D44" i="48"/>
  <c r="C44" i="47"/>
  <c r="C44" i="48"/>
  <c r="X43" i="48"/>
  <c r="D43" i="47"/>
  <c r="D43" i="48"/>
  <c r="C43" i="47"/>
  <c r="C43" i="48" s="1"/>
  <c r="D42" i="47"/>
  <c r="D42" i="48" s="1"/>
  <c r="C42" i="47"/>
  <c r="C42" i="48" s="1"/>
  <c r="A42" i="47"/>
  <c r="A42" i="48"/>
  <c r="D41" i="47"/>
  <c r="D41" i="48" s="1"/>
  <c r="C41" i="47"/>
  <c r="C41" i="48" s="1"/>
  <c r="D40" i="47"/>
  <c r="D40" i="48" s="1"/>
  <c r="C40" i="47"/>
  <c r="C40" i="48"/>
  <c r="D39" i="47"/>
  <c r="D39" i="48"/>
  <c r="C39" i="47"/>
  <c r="C39" i="48" s="1"/>
  <c r="D38" i="47"/>
  <c r="D38" i="48" s="1"/>
  <c r="C38" i="47"/>
  <c r="C38" i="48"/>
  <c r="D37" i="47"/>
  <c r="D37" i="48" s="1"/>
  <c r="C37" i="47"/>
  <c r="C37" i="48" s="1"/>
  <c r="D36" i="47"/>
  <c r="D36" i="48" s="1"/>
  <c r="C36" i="47"/>
  <c r="C36" i="48"/>
  <c r="D35" i="47"/>
  <c r="D35" i="48"/>
  <c r="C35" i="47"/>
  <c r="C35" i="48"/>
  <c r="D34" i="47"/>
  <c r="D34" i="48" s="1"/>
  <c r="C34" i="47"/>
  <c r="C34" i="48"/>
  <c r="D33" i="47"/>
  <c r="D33" i="48" s="1"/>
  <c r="C33" i="47"/>
  <c r="C33" i="48"/>
  <c r="D32" i="47"/>
  <c r="D32" i="48" s="1"/>
  <c r="C32" i="47"/>
  <c r="C32" i="48"/>
  <c r="D31" i="47"/>
  <c r="D31" i="48"/>
  <c r="C31" i="47"/>
  <c r="C31" i="48"/>
  <c r="D30" i="47"/>
  <c r="D30" i="48" s="1"/>
  <c r="C30" i="47"/>
  <c r="C30" i="48"/>
  <c r="A30" i="47"/>
  <c r="A30" i="48" s="1"/>
  <c r="H28" i="48"/>
  <c r="F26" i="48"/>
  <c r="M24" i="48"/>
  <c r="J23" i="48"/>
  <c r="N19" i="48"/>
  <c r="N21" i="48"/>
  <c r="G18" i="48"/>
  <c r="E18" i="48"/>
  <c r="Q17" i="48"/>
  <c r="G17" i="48"/>
  <c r="E17" i="48"/>
  <c r="J8" i="48"/>
  <c r="K8" i="48"/>
  <c r="J7" i="48"/>
  <c r="K7" i="48" s="1"/>
  <c r="K30" i="47"/>
  <c r="L30" i="47" s="1"/>
  <c r="M30" i="47"/>
  <c r="N30" i="47" s="1"/>
  <c r="O30" i="47" s="1"/>
  <c r="P30" i="47" s="1"/>
  <c r="Q30" i="47" s="1"/>
  <c r="K32" i="47"/>
  <c r="L32" i="47"/>
  <c r="M32" i="47"/>
  <c r="N32" i="47"/>
  <c r="O32" i="47" s="1"/>
  <c r="P32" i="47" s="1"/>
  <c r="Q32" i="47" s="1"/>
  <c r="R32" i="47" s="1"/>
  <c r="S32" i="47" s="1"/>
  <c r="T32" i="47" s="1"/>
  <c r="U32" i="47" s="1"/>
  <c r="V32" i="47" s="1"/>
  <c r="W32" i="47" s="1"/>
  <c r="X32" i="47" s="1"/>
  <c r="Y32" i="47" s="1"/>
  <c r="K33" i="47"/>
  <c r="L33" i="47" s="1"/>
  <c r="M33" i="47" s="1"/>
  <c r="N33" i="47" s="1"/>
  <c r="O33" i="47" s="1"/>
  <c r="P33" i="47" s="1"/>
  <c r="Q33" i="47" s="1"/>
  <c r="R33" i="47" s="1"/>
  <c r="S33" i="47" s="1"/>
  <c r="T33" i="47" s="1"/>
  <c r="U33" i="47" s="1"/>
  <c r="V33" i="47" s="1"/>
  <c r="W33" i="47" s="1"/>
  <c r="X33" i="47" s="1"/>
  <c r="Y33" i="47" s="1"/>
  <c r="K34" i="47"/>
  <c r="L34" i="47" s="1"/>
  <c r="M34" i="47" s="1"/>
  <c r="N34" i="47" s="1"/>
  <c r="O34" i="47" s="1"/>
  <c r="P34" i="47" s="1"/>
  <c r="Q34" i="47" s="1"/>
  <c r="R34" i="47" s="1"/>
  <c r="S34" i="47" s="1"/>
  <c r="T34" i="47" s="1"/>
  <c r="U34" i="47" s="1"/>
  <c r="V34" i="47" s="1"/>
  <c r="W34" i="47" s="1"/>
  <c r="X34" i="47" s="1"/>
  <c r="Y34" i="47" s="1"/>
  <c r="K35" i="47"/>
  <c r="L35" i="47"/>
  <c r="M35" i="47"/>
  <c r="N35" i="47" s="1"/>
  <c r="O35" i="47" s="1"/>
  <c r="P35" i="47" s="1"/>
  <c r="Q35" i="47" s="1"/>
  <c r="R35" i="47" s="1"/>
  <c r="S35" i="47" s="1"/>
  <c r="T35" i="47" s="1"/>
  <c r="U35" i="47" s="1"/>
  <c r="V35" i="47" s="1"/>
  <c r="W35" i="47" s="1"/>
  <c r="X35" i="47" s="1"/>
  <c r="Y35" i="47" s="1"/>
  <c r="K36" i="47"/>
  <c r="L36" i="47"/>
  <c r="M36" i="47"/>
  <c r="N36" i="47" s="1"/>
  <c r="O36" i="47" s="1"/>
  <c r="P36" i="47" s="1"/>
  <c r="Q36" i="47" s="1"/>
  <c r="R36" i="47" s="1"/>
  <c r="S36" i="47" s="1"/>
  <c r="T36" i="47" s="1"/>
  <c r="U36" i="47" s="1"/>
  <c r="V36" i="47" s="1"/>
  <c r="W36" i="47" s="1"/>
  <c r="X36" i="47" s="1"/>
  <c r="Y36" i="47" s="1"/>
  <c r="K37" i="47"/>
  <c r="L37" i="47" s="1"/>
  <c r="M37" i="47" s="1"/>
  <c r="N37" i="47" s="1"/>
  <c r="O37" i="47"/>
  <c r="P37" i="47" s="1"/>
  <c r="Q37" i="47" s="1"/>
  <c r="R37" i="47" s="1"/>
  <c r="S37" i="47" s="1"/>
  <c r="T37" i="47" s="1"/>
  <c r="U37" i="47" s="1"/>
  <c r="V37" i="47" s="1"/>
  <c r="W37" i="47" s="1"/>
  <c r="X37" i="47" s="1"/>
  <c r="Y37" i="47" s="1"/>
  <c r="K38" i="47"/>
  <c r="L38" i="47" s="1"/>
  <c r="M38" i="47"/>
  <c r="N38" i="47" s="1"/>
  <c r="O38" i="47" s="1"/>
  <c r="P38" i="47" s="1"/>
  <c r="Q38" i="47"/>
  <c r="R38" i="47" s="1"/>
  <c r="S38" i="47" s="1"/>
  <c r="T38" i="47" s="1"/>
  <c r="U38" i="47" s="1"/>
  <c r="V38" i="47" s="1"/>
  <c r="W38" i="47" s="1"/>
  <c r="X38" i="47" s="1"/>
  <c r="Y38" i="47" s="1"/>
  <c r="K40" i="47"/>
  <c r="L40" i="47"/>
  <c r="M40" i="47"/>
  <c r="N40" i="47"/>
  <c r="O40" i="47"/>
  <c r="P40" i="47" s="1"/>
  <c r="Q40" i="47" s="1"/>
  <c r="R40" i="47" s="1"/>
  <c r="S40" i="47" s="1"/>
  <c r="T40" i="47" s="1"/>
  <c r="U40" i="47" s="1"/>
  <c r="V40" i="47" s="1"/>
  <c r="W40" i="47" s="1"/>
  <c r="X40" i="47" s="1"/>
  <c r="Y40" i="47" s="1"/>
  <c r="K41" i="47"/>
  <c r="L41" i="47" s="1"/>
  <c r="M41" i="47" s="1"/>
  <c r="N41" i="47" s="1"/>
  <c r="O41" i="47" s="1"/>
  <c r="P41" i="47" s="1"/>
  <c r="Q41" i="47" s="1"/>
  <c r="R41" i="47" s="1"/>
  <c r="S41" i="47" s="1"/>
  <c r="T41" i="47" s="1"/>
  <c r="U41" i="47" s="1"/>
  <c r="V41" i="47" s="1"/>
  <c r="W41" i="47" s="1"/>
  <c r="X41" i="47" s="1"/>
  <c r="K42" i="47"/>
  <c r="L42" i="47" s="1"/>
  <c r="M42" i="47"/>
  <c r="N42" i="47" s="1"/>
  <c r="O42" i="47" s="1"/>
  <c r="P42" i="47" s="1"/>
  <c r="Q42" i="47" s="1"/>
  <c r="R42" i="47" s="1"/>
  <c r="S42" i="47" s="1"/>
  <c r="T42" i="47" s="1"/>
  <c r="U42" i="47" s="1"/>
  <c r="V42" i="47" s="1"/>
  <c r="W42" i="47" s="1"/>
  <c r="X42" i="47" s="1"/>
  <c r="Y42" i="47" s="1"/>
  <c r="K43" i="47"/>
  <c r="L43" i="47"/>
  <c r="M43" i="47" s="1"/>
  <c r="N43" i="47" s="1"/>
  <c r="O43" i="47" s="1"/>
  <c r="P43" i="47" s="1"/>
  <c r="Q43" i="47" s="1"/>
  <c r="R43" i="47" s="1"/>
  <c r="S43" i="47" s="1"/>
  <c r="T43" i="47" s="1"/>
  <c r="U43" i="47" s="1"/>
  <c r="V43" i="47" s="1"/>
  <c r="W43" i="47" s="1"/>
  <c r="X43" i="47" s="1"/>
  <c r="Y43" i="47" s="1"/>
  <c r="K44" i="47"/>
  <c r="L44" i="47"/>
  <c r="M44" i="47"/>
  <c r="N44" i="47"/>
  <c r="O44" i="47" s="1"/>
  <c r="P44" i="47" s="1"/>
  <c r="Q44" i="47" s="1"/>
  <c r="R44" i="47" s="1"/>
  <c r="S44" i="47" s="1"/>
  <c r="T44" i="47" s="1"/>
  <c r="U44" i="47" s="1"/>
  <c r="V44" i="47" s="1"/>
  <c r="W44" i="47" s="1"/>
  <c r="X44" i="47" s="1"/>
  <c r="Y44" i="47" s="1"/>
  <c r="K45" i="47"/>
  <c r="L45" i="47" s="1"/>
  <c r="M45" i="47" s="1"/>
  <c r="N45" i="47" s="1"/>
  <c r="O45" i="47" s="1"/>
  <c r="P45" i="47" s="1"/>
  <c r="Q45" i="47" s="1"/>
  <c r="R45" i="47" s="1"/>
  <c r="S45" i="47" s="1"/>
  <c r="T45" i="47" s="1"/>
  <c r="U45" i="47" s="1"/>
  <c r="V45" i="47" s="1"/>
  <c r="W45" i="47" s="1"/>
  <c r="X45" i="47" s="1"/>
  <c r="Y45" i="47" s="1"/>
  <c r="K46" i="47"/>
  <c r="L46" i="47" s="1"/>
  <c r="M46" i="47"/>
  <c r="N46" i="47" s="1"/>
  <c r="O46" i="47" s="1"/>
  <c r="P46" i="47" s="1"/>
  <c r="Q46" i="47" s="1"/>
  <c r="R46" i="47" s="1"/>
  <c r="S46" i="47" s="1"/>
  <c r="T46" i="47" s="1"/>
  <c r="U46" i="47" s="1"/>
  <c r="V46" i="47" s="1"/>
  <c r="W46" i="47" s="1"/>
  <c r="X46" i="47" s="1"/>
  <c r="Y46" i="47" s="1"/>
  <c r="K48" i="47"/>
  <c r="L48" i="47"/>
  <c r="M48" i="47"/>
  <c r="N48" i="47"/>
  <c r="O48" i="47" s="1"/>
  <c r="P48" i="47" s="1"/>
  <c r="Q48" i="47" s="1"/>
  <c r="R48" i="47" s="1"/>
  <c r="S48" i="47" s="1"/>
  <c r="T48" i="47" s="1"/>
  <c r="U48" i="47" s="1"/>
  <c r="V48" i="47" s="1"/>
  <c r="W48" i="47" s="1"/>
  <c r="X48" i="47" s="1"/>
  <c r="Y48" i="47" s="1"/>
  <c r="K49" i="47"/>
  <c r="L49" i="47" s="1"/>
  <c r="M49" i="47" s="1"/>
  <c r="N49" i="47" s="1"/>
  <c r="O49" i="47" s="1"/>
  <c r="P49" i="47" s="1"/>
  <c r="Q49" i="47" s="1"/>
  <c r="R49" i="47" s="1"/>
  <c r="S49" i="47" s="1"/>
  <c r="T49" i="47" s="1"/>
  <c r="U49" i="47" s="1"/>
  <c r="V49" i="47" s="1"/>
  <c r="W49" i="47" s="1"/>
  <c r="X49" i="47" s="1"/>
  <c r="K50" i="47"/>
  <c r="L50" i="47" s="1"/>
  <c r="M50" i="47" s="1"/>
  <c r="N50" i="47" s="1"/>
  <c r="O50" i="47" s="1"/>
  <c r="P50" i="47" s="1"/>
  <c r="Q50" i="47" s="1"/>
  <c r="R50" i="47" s="1"/>
  <c r="S50" i="47" s="1"/>
  <c r="T50" i="47" s="1"/>
  <c r="U50" i="47" s="1"/>
  <c r="V50" i="47" s="1"/>
  <c r="W50" i="47" s="1"/>
  <c r="X50" i="47" s="1"/>
  <c r="Y50" i="47" s="1"/>
  <c r="K51" i="47"/>
  <c r="L51" i="47"/>
  <c r="M51" i="47"/>
  <c r="N51" i="47" s="1"/>
  <c r="O51" i="47" s="1"/>
  <c r="P51" i="47" s="1"/>
  <c r="Q51" i="47" s="1"/>
  <c r="R51" i="47" s="1"/>
  <c r="S51" i="47" s="1"/>
  <c r="T51" i="47" s="1"/>
  <c r="U51" i="47" s="1"/>
  <c r="V51" i="47" s="1"/>
  <c r="W51" i="47" s="1"/>
  <c r="X51" i="47" s="1"/>
  <c r="Y51" i="47" s="1"/>
  <c r="K52" i="47"/>
  <c r="L52" i="47"/>
  <c r="M52" i="47"/>
  <c r="N52" i="47" s="1"/>
  <c r="O52" i="47" s="1"/>
  <c r="P52" i="47" s="1"/>
  <c r="Q52" i="47" s="1"/>
  <c r="R52" i="47" s="1"/>
  <c r="S52" i="47" s="1"/>
  <c r="T52" i="47" s="1"/>
  <c r="U52" i="47" s="1"/>
  <c r="V52" i="47" s="1"/>
  <c r="W52" i="47" s="1"/>
  <c r="X52" i="47" s="1"/>
  <c r="Y52" i="47" s="1"/>
  <c r="K53" i="47"/>
  <c r="L53" i="47" s="1"/>
  <c r="M53" i="47" s="1"/>
  <c r="N53" i="47" s="1"/>
  <c r="O53" i="47"/>
  <c r="P53" i="47" s="1"/>
  <c r="Q53" i="47" s="1"/>
  <c r="R53" i="47" s="1"/>
  <c r="S53" i="47" s="1"/>
  <c r="T53" i="47" s="1"/>
  <c r="U53" i="47" s="1"/>
  <c r="V53" i="47" s="1"/>
  <c r="W53" i="47" s="1"/>
  <c r="X53" i="47" s="1"/>
  <c r="Y53" i="47" s="1"/>
  <c r="K54" i="47"/>
  <c r="L54" i="47" s="1"/>
  <c r="M54" i="47"/>
  <c r="N54" i="47" s="1"/>
  <c r="O54" i="47" s="1"/>
  <c r="P54" i="47" s="1"/>
  <c r="Q54" i="47"/>
  <c r="R54" i="47" s="1"/>
  <c r="S54" i="47" s="1"/>
  <c r="T54" i="47" s="1"/>
  <c r="U54" i="47" s="1"/>
  <c r="V54" i="47" s="1"/>
  <c r="W54" i="47" s="1"/>
  <c r="X54" i="47" s="1"/>
  <c r="Y54" i="47" s="1"/>
  <c r="K56" i="47"/>
  <c r="L56" i="47"/>
  <c r="M56" i="47"/>
  <c r="N56" i="47"/>
  <c r="O56" i="47"/>
  <c r="P56" i="47" s="1"/>
  <c r="Q56" i="47" s="1"/>
  <c r="R56" i="47" s="1"/>
  <c r="S56" i="47" s="1"/>
  <c r="T56" i="47" s="1"/>
  <c r="U56" i="47" s="1"/>
  <c r="V56" i="47" s="1"/>
  <c r="W56" i="47" s="1"/>
  <c r="X56" i="47" s="1"/>
  <c r="Y56" i="47" s="1"/>
  <c r="K57" i="47"/>
  <c r="L57" i="47" s="1"/>
  <c r="M57" i="47" s="1"/>
  <c r="N57" i="47" s="1"/>
  <c r="O57" i="47" s="1"/>
  <c r="P57" i="47" s="1"/>
  <c r="Q57" i="47" s="1"/>
  <c r="R57" i="47" s="1"/>
  <c r="S57" i="47" s="1"/>
  <c r="T57" i="47" s="1"/>
  <c r="U57" i="47" s="1"/>
  <c r="V57" i="47" s="1"/>
  <c r="W57" i="47" s="1"/>
  <c r="X57" i="47" s="1"/>
  <c r="K58" i="47"/>
  <c r="L58" i="47" s="1"/>
  <c r="M58" i="47"/>
  <c r="N58" i="47" s="1"/>
  <c r="O58" i="47" s="1"/>
  <c r="P58" i="47" s="1"/>
  <c r="Q58" i="47" s="1"/>
  <c r="R58" i="47" s="1"/>
  <c r="S58" i="47" s="1"/>
  <c r="T58" i="47" s="1"/>
  <c r="U58" i="47" s="1"/>
  <c r="V58" i="47" s="1"/>
  <c r="W58" i="47" s="1"/>
  <c r="X58" i="47" s="1"/>
  <c r="Y58" i="47" s="1"/>
  <c r="K59" i="47"/>
  <c r="L59" i="47"/>
  <c r="M59" i="47" s="1"/>
  <c r="N59" i="47" s="1"/>
  <c r="O59" i="47" s="1"/>
  <c r="P59" i="47" s="1"/>
  <c r="Q59" i="47" s="1"/>
  <c r="R59" i="47" s="1"/>
  <c r="S59" i="47" s="1"/>
  <c r="T59" i="47" s="1"/>
  <c r="U59" i="47" s="1"/>
  <c r="V59" i="47" s="1"/>
  <c r="W59" i="47" s="1"/>
  <c r="X59" i="47" s="1"/>
  <c r="Y59" i="47" s="1"/>
  <c r="K60" i="47"/>
  <c r="L60" i="47" s="1"/>
  <c r="M60" i="47"/>
  <c r="N60" i="47" s="1"/>
  <c r="O60" i="47" s="1"/>
  <c r="P60" i="47" s="1"/>
  <c r="Q60" i="47" s="1"/>
  <c r="R60" i="47" s="1"/>
  <c r="S60" i="47" s="1"/>
  <c r="T60" i="47" s="1"/>
  <c r="U60" i="47" s="1"/>
  <c r="V60" i="47" s="1"/>
  <c r="W60" i="47" s="1"/>
  <c r="X60" i="47" s="1"/>
  <c r="Y60" i="47" s="1"/>
  <c r="K61" i="47"/>
  <c r="L61" i="47" s="1"/>
  <c r="M61" i="47" s="1"/>
  <c r="N61" i="47" s="1"/>
  <c r="O61" i="47"/>
  <c r="P61" i="47" s="1"/>
  <c r="Q61" i="47" s="1"/>
  <c r="R61" i="47" s="1"/>
  <c r="S61" i="47" s="1"/>
  <c r="T61" i="47" s="1"/>
  <c r="U61" i="47" s="1"/>
  <c r="V61" i="47" s="1"/>
  <c r="W61" i="47" s="1"/>
  <c r="X61" i="47" s="1"/>
  <c r="Y61" i="47" s="1"/>
  <c r="K62" i="47"/>
  <c r="L62" i="47" s="1"/>
  <c r="M62" i="47" s="1"/>
  <c r="N62" i="47" s="1"/>
  <c r="O62" i="47" s="1"/>
  <c r="P62" i="47" s="1"/>
  <c r="Q62" i="47" s="1"/>
  <c r="R62" i="47" s="1"/>
  <c r="S62" i="47" s="1"/>
  <c r="T62" i="47" s="1"/>
  <c r="U62" i="47" s="1"/>
  <c r="V62" i="47" s="1"/>
  <c r="W62" i="47" s="1"/>
  <c r="X62" i="47" s="1"/>
  <c r="Y62" i="47" s="1"/>
  <c r="K64" i="47"/>
  <c r="L64" i="47" s="1"/>
  <c r="M64" i="47"/>
  <c r="N64" i="47" s="1"/>
  <c r="O64" i="47" s="1"/>
  <c r="P64" i="47" s="1"/>
  <c r="Q64" i="47" s="1"/>
  <c r="R64" i="47" s="1"/>
  <c r="S64" i="47" s="1"/>
  <c r="T64" i="47" s="1"/>
  <c r="U64" i="47" s="1"/>
  <c r="V64" i="47" s="1"/>
  <c r="W64" i="47" s="1"/>
  <c r="X64" i="47" s="1"/>
  <c r="Y64" i="47" s="1"/>
  <c r="K65" i="47"/>
  <c r="L65" i="47"/>
  <c r="M65" i="47" s="1"/>
  <c r="N65" i="47" s="1"/>
  <c r="O65" i="47" s="1"/>
  <c r="P65" i="47" s="1"/>
  <c r="Q65" i="47" s="1"/>
  <c r="R65" i="47" s="1"/>
  <c r="S65" i="47" s="1"/>
  <c r="T65" i="47" s="1"/>
  <c r="U65" i="47" s="1"/>
  <c r="V65" i="47" s="1"/>
  <c r="W65" i="47" s="1"/>
  <c r="X65" i="47" s="1"/>
  <c r="K66" i="47"/>
  <c r="L66" i="47" s="1"/>
  <c r="M66" i="47" s="1"/>
  <c r="N66" i="47" s="1"/>
  <c r="O66" i="47" s="1"/>
  <c r="P66" i="47" s="1"/>
  <c r="Q66" i="47" s="1"/>
  <c r="R66" i="47" s="1"/>
  <c r="S66" i="47" s="1"/>
  <c r="T66" i="47" s="1"/>
  <c r="U66" i="47" s="1"/>
  <c r="V66" i="47" s="1"/>
  <c r="W66" i="47" s="1"/>
  <c r="X66" i="47" s="1"/>
  <c r="Y66" i="47" s="1"/>
  <c r="K68" i="47"/>
  <c r="L68" i="47" s="1"/>
  <c r="M68" i="47"/>
  <c r="N68" i="47" s="1"/>
  <c r="O68" i="47" s="1"/>
  <c r="P68" i="47" s="1"/>
  <c r="Q68" i="47" s="1"/>
  <c r="R68" i="47" s="1"/>
  <c r="S68" i="47" s="1"/>
  <c r="T68" i="47" s="1"/>
  <c r="U68" i="47" s="1"/>
  <c r="V68" i="47" s="1"/>
  <c r="W68" i="47" s="1"/>
  <c r="X68" i="47" s="1"/>
  <c r="Y68" i="47" s="1"/>
  <c r="K69" i="47"/>
  <c r="L69" i="47" s="1"/>
  <c r="M69" i="47" s="1"/>
  <c r="N69" i="47" s="1"/>
  <c r="O69" i="47" s="1"/>
  <c r="P69" i="47" s="1"/>
  <c r="Q69" i="47" s="1"/>
  <c r="R69" i="47" s="1"/>
  <c r="S69" i="47" s="1"/>
  <c r="T69" i="47" s="1"/>
  <c r="U69" i="47" s="1"/>
  <c r="V69" i="47" s="1"/>
  <c r="W69" i="47" s="1"/>
  <c r="X69" i="47" s="1"/>
  <c r="Y69" i="47" s="1"/>
  <c r="K70" i="47"/>
  <c r="L70" i="47" s="1"/>
  <c r="M70" i="47"/>
  <c r="N70" i="47" s="1"/>
  <c r="O70" i="47" s="1"/>
  <c r="P70" i="47" s="1"/>
  <c r="Q70" i="47" s="1"/>
  <c r="R70" i="47" s="1"/>
  <c r="S70" i="47" s="1"/>
  <c r="T70" i="47" s="1"/>
  <c r="U70" i="47" s="1"/>
  <c r="V70" i="47" s="1"/>
  <c r="W70" i="47" s="1"/>
  <c r="X70" i="47" s="1"/>
  <c r="Y70" i="47" s="1"/>
  <c r="K72" i="47"/>
  <c r="L72" i="47" s="1"/>
  <c r="M72" i="47"/>
  <c r="N72" i="47"/>
  <c r="O72" i="47" s="1"/>
  <c r="P72" i="47" s="1"/>
  <c r="Q72" i="47" s="1"/>
  <c r="R72" i="47" s="1"/>
  <c r="S72" i="47" s="1"/>
  <c r="T72" i="47" s="1"/>
  <c r="U72" i="47" s="1"/>
  <c r="V72" i="47" s="1"/>
  <c r="W72" i="47" s="1"/>
  <c r="X72" i="47" s="1"/>
  <c r="Y72" i="47" s="1"/>
  <c r="K73" i="47"/>
  <c r="L73" i="47"/>
  <c r="M73" i="47" s="1"/>
  <c r="N73" i="47" s="1"/>
  <c r="O73" i="47" s="1"/>
  <c r="P73" i="47" s="1"/>
  <c r="Q73" i="47" s="1"/>
  <c r="R73" i="47" s="1"/>
  <c r="S73" i="47" s="1"/>
  <c r="T73" i="47" s="1"/>
  <c r="U73" i="47" s="1"/>
  <c r="V73" i="47" s="1"/>
  <c r="W73" i="47" s="1"/>
  <c r="X73" i="47" s="1"/>
  <c r="Y73" i="47" s="1"/>
  <c r="K74" i="47"/>
  <c r="L74" i="47" s="1"/>
  <c r="M74" i="47" s="1"/>
  <c r="N74" i="47" s="1"/>
  <c r="O74" i="47" s="1"/>
  <c r="P74" i="47" s="1"/>
  <c r="Q74" i="47" s="1"/>
  <c r="R74" i="47" s="1"/>
  <c r="S74" i="47" s="1"/>
  <c r="T74" i="47" s="1"/>
  <c r="U74" i="47" s="1"/>
  <c r="V74" i="47" s="1"/>
  <c r="W74" i="47" s="1"/>
  <c r="X74" i="47" s="1"/>
  <c r="Y74" i="47" s="1"/>
  <c r="K75" i="47"/>
  <c r="L75" i="47" s="1"/>
  <c r="M75" i="47" s="1"/>
  <c r="N75" i="47" s="1"/>
  <c r="O75" i="47" s="1"/>
  <c r="P75" i="47" s="1"/>
  <c r="Q75" i="47" s="1"/>
  <c r="R75" i="47" s="1"/>
  <c r="S75" i="47" s="1"/>
  <c r="T75" i="47" s="1"/>
  <c r="U75" i="47" s="1"/>
  <c r="V75" i="47" s="1"/>
  <c r="W75" i="47" s="1"/>
  <c r="X75" i="47" s="1"/>
  <c r="Y75" i="47" s="1"/>
  <c r="K76" i="47"/>
  <c r="L76" i="47" s="1"/>
  <c r="M76" i="47"/>
  <c r="N76" i="47" s="1"/>
  <c r="O76" i="47" s="1"/>
  <c r="P76" i="47" s="1"/>
  <c r="Q76" i="47" s="1"/>
  <c r="R76" i="47" s="1"/>
  <c r="S76" i="47" s="1"/>
  <c r="T76" i="47" s="1"/>
  <c r="U76" i="47" s="1"/>
  <c r="V76" i="47" s="1"/>
  <c r="W76" i="47" s="1"/>
  <c r="X76" i="47" s="1"/>
  <c r="Y76" i="47" s="1"/>
  <c r="K77" i="47"/>
  <c r="L77" i="47" s="1"/>
  <c r="M77" i="47" s="1"/>
  <c r="N77" i="47" s="1"/>
  <c r="O77" i="47" s="1"/>
  <c r="P77" i="47" s="1"/>
  <c r="Q77" i="47" s="1"/>
  <c r="R77" i="47" s="1"/>
  <c r="S77" i="47" s="1"/>
  <c r="T77" i="47" s="1"/>
  <c r="U77" i="47" s="1"/>
  <c r="V77" i="47" s="1"/>
  <c r="W77" i="47" s="1"/>
  <c r="X77" i="47" s="1"/>
  <c r="Y77" i="47" s="1"/>
  <c r="K78" i="47"/>
  <c r="L78" i="47" s="1"/>
  <c r="M78" i="47"/>
  <c r="N78" i="47" s="1"/>
  <c r="O78" i="47" s="1"/>
  <c r="P78" i="47" s="1"/>
  <c r="Q78" i="47" s="1"/>
  <c r="R78" i="47" s="1"/>
  <c r="S78" i="47" s="1"/>
  <c r="T78" i="47" s="1"/>
  <c r="U78" i="47" s="1"/>
  <c r="V78" i="47" s="1"/>
  <c r="W78" i="47" s="1"/>
  <c r="X78" i="47" s="1"/>
  <c r="Y78" i="47" s="1"/>
  <c r="K79" i="47"/>
  <c r="L79" i="47"/>
  <c r="M79" i="47" s="1"/>
  <c r="N79" i="47" s="1"/>
  <c r="O79" i="47" s="1"/>
  <c r="P79" i="47" s="1"/>
  <c r="Q79" i="47" s="1"/>
  <c r="R79" i="47" s="1"/>
  <c r="S79" i="47" s="1"/>
  <c r="T79" i="47" s="1"/>
  <c r="U79" i="47" s="1"/>
  <c r="V79" i="47" s="1"/>
  <c r="W79" i="47" s="1"/>
  <c r="X79" i="47" s="1"/>
  <c r="Y79" i="47" s="1"/>
  <c r="K80" i="47"/>
  <c r="L80" i="47" s="1"/>
  <c r="M80" i="47"/>
  <c r="N80" i="47"/>
  <c r="O80" i="47" s="1"/>
  <c r="P80" i="47" s="1"/>
  <c r="Q80" i="47" s="1"/>
  <c r="R80" i="47" s="1"/>
  <c r="S80" i="47" s="1"/>
  <c r="T80" i="47" s="1"/>
  <c r="U80" i="47" s="1"/>
  <c r="V80" i="47" s="1"/>
  <c r="W80" i="47" s="1"/>
  <c r="X80" i="47" s="1"/>
  <c r="Y80" i="47" s="1"/>
  <c r="K81" i="47"/>
  <c r="L81" i="47" s="1"/>
  <c r="M81" i="47" s="1"/>
  <c r="N81" i="47" s="1"/>
  <c r="O81" i="47" s="1"/>
  <c r="P81" i="47" s="1"/>
  <c r="Q81" i="47" s="1"/>
  <c r="R81" i="47" s="1"/>
  <c r="S81" i="47" s="1"/>
  <c r="T81" i="47" s="1"/>
  <c r="U81" i="47" s="1"/>
  <c r="V81" i="47" s="1"/>
  <c r="W81" i="47" s="1"/>
  <c r="X81" i="47" s="1"/>
  <c r="Y81" i="47" s="1"/>
  <c r="K82" i="47"/>
  <c r="L82" i="47" s="1"/>
  <c r="M82" i="47" s="1"/>
  <c r="N82" i="47" s="1"/>
  <c r="O82" i="47" s="1"/>
  <c r="P82" i="47" s="1"/>
  <c r="Q82" i="47" s="1"/>
  <c r="R82" i="47" s="1"/>
  <c r="S82" i="47" s="1"/>
  <c r="T82" i="47" s="1"/>
  <c r="U82" i="47" s="1"/>
  <c r="V82" i="47" s="1"/>
  <c r="W82" i="47" s="1"/>
  <c r="X82" i="47" s="1"/>
  <c r="Y82" i="47" s="1"/>
  <c r="K83" i="47"/>
  <c r="L83" i="47"/>
  <c r="M83" i="47"/>
  <c r="N83" i="47" s="1"/>
  <c r="O83" i="47" s="1"/>
  <c r="P83" i="47" s="1"/>
  <c r="Q83" i="47" s="1"/>
  <c r="R83" i="47" s="1"/>
  <c r="S83" i="47" s="1"/>
  <c r="T83" i="47" s="1"/>
  <c r="U83" i="47" s="1"/>
  <c r="V83" i="47" s="1"/>
  <c r="W83" i="47" s="1"/>
  <c r="X83" i="47" s="1"/>
  <c r="Y83" i="47" s="1"/>
  <c r="K84" i="47"/>
  <c r="L84" i="47"/>
  <c r="M84" i="47" s="1"/>
  <c r="N84" i="47" s="1"/>
  <c r="O84" i="47" s="1"/>
  <c r="P84" i="47" s="1"/>
  <c r="Q84" i="47" s="1"/>
  <c r="R84" i="47" s="1"/>
  <c r="S84" i="47" s="1"/>
  <c r="T84" i="47" s="1"/>
  <c r="U84" i="47" s="1"/>
  <c r="V84" i="47" s="1"/>
  <c r="W84" i="47" s="1"/>
  <c r="X84" i="47" s="1"/>
  <c r="Y84" i="47" s="1"/>
  <c r="K85" i="47"/>
  <c r="L85" i="47"/>
  <c r="M85" i="47" s="1"/>
  <c r="N85" i="47" s="1"/>
  <c r="O85" i="47" s="1"/>
  <c r="P85" i="47" s="1"/>
  <c r="Q85" i="47" s="1"/>
  <c r="R85" i="47" s="1"/>
  <c r="S85" i="47" s="1"/>
  <c r="T85" i="47" s="1"/>
  <c r="U85" i="47" s="1"/>
  <c r="V85" i="47" s="1"/>
  <c r="W85" i="47" s="1"/>
  <c r="X85" i="47" s="1"/>
  <c r="Y85" i="47" s="1"/>
  <c r="K86" i="47"/>
  <c r="L86" i="47" s="1"/>
  <c r="M86" i="47" s="1"/>
  <c r="N86" i="47" s="1"/>
  <c r="O86" i="47" s="1"/>
  <c r="P86" i="47" s="1"/>
  <c r="Q86" i="47" s="1"/>
  <c r="R86" i="47" s="1"/>
  <c r="S86" i="47" s="1"/>
  <c r="T86" i="47" s="1"/>
  <c r="U86" i="47" s="1"/>
  <c r="V86" i="47" s="1"/>
  <c r="W86" i="47" s="1"/>
  <c r="X86" i="47" s="1"/>
  <c r="Y86" i="47" s="1"/>
  <c r="K87" i="47"/>
  <c r="L87" i="47"/>
  <c r="M87" i="47"/>
  <c r="N87" i="47" s="1"/>
  <c r="O87" i="47" s="1"/>
  <c r="P87" i="47" s="1"/>
  <c r="Q87" i="47" s="1"/>
  <c r="R87" i="47" s="1"/>
  <c r="S87" i="47" s="1"/>
  <c r="T87" i="47" s="1"/>
  <c r="U87" i="47" s="1"/>
  <c r="V87" i="47" s="1"/>
  <c r="W87" i="47" s="1"/>
  <c r="X87" i="47" s="1"/>
  <c r="Y87" i="47" s="1"/>
  <c r="K88" i="47"/>
  <c r="L88" i="47"/>
  <c r="M88" i="47" s="1"/>
  <c r="N88" i="47" s="1"/>
  <c r="O88" i="47" s="1"/>
  <c r="P88" i="47" s="1"/>
  <c r="Q88" i="47" s="1"/>
  <c r="R88" i="47" s="1"/>
  <c r="S88" i="47" s="1"/>
  <c r="T88" i="47" s="1"/>
  <c r="U88" i="47" s="1"/>
  <c r="V88" i="47" s="1"/>
  <c r="W88" i="47" s="1"/>
  <c r="X88" i="47" s="1"/>
  <c r="Y88" i="47" s="1"/>
  <c r="K89" i="47"/>
  <c r="L89" i="47"/>
  <c r="M89" i="47" s="1"/>
  <c r="N89" i="47" s="1"/>
  <c r="O89" i="47" s="1"/>
  <c r="P89" i="47" s="1"/>
  <c r="Q89" i="47" s="1"/>
  <c r="R89" i="47" s="1"/>
  <c r="S89" i="47" s="1"/>
  <c r="T89" i="47" s="1"/>
  <c r="U89" i="47" s="1"/>
  <c r="V89" i="47" s="1"/>
  <c r="W89" i="47" s="1"/>
  <c r="X89" i="47" s="1"/>
  <c r="K90" i="47"/>
  <c r="L90" i="47" s="1"/>
  <c r="M90" i="47" s="1"/>
  <c r="N90" i="47" s="1"/>
  <c r="O90" i="47" s="1"/>
  <c r="P90" i="47" s="1"/>
  <c r="Q90" i="47" s="1"/>
  <c r="R90" i="47" s="1"/>
  <c r="S90" i="47" s="1"/>
  <c r="T90" i="47" s="1"/>
  <c r="U90" i="47" s="1"/>
  <c r="V90" i="47" s="1"/>
  <c r="W90" i="47" s="1"/>
  <c r="X90" i="47" s="1"/>
  <c r="Y90" i="47" s="1"/>
  <c r="K91" i="47"/>
  <c r="L91" i="47"/>
  <c r="M91" i="47"/>
  <c r="N91" i="47" s="1"/>
  <c r="O91" i="47" s="1"/>
  <c r="P91" i="47" s="1"/>
  <c r="Q91" i="47" s="1"/>
  <c r="R91" i="47" s="1"/>
  <c r="S91" i="47" s="1"/>
  <c r="T91" i="47" s="1"/>
  <c r="U91" i="47" s="1"/>
  <c r="V91" i="47" s="1"/>
  <c r="W91" i="47" s="1"/>
  <c r="X91" i="47" s="1"/>
  <c r="Y91" i="47" s="1"/>
  <c r="K92" i="47"/>
  <c r="L92" i="47"/>
  <c r="M92" i="47" s="1"/>
  <c r="N92" i="47" s="1"/>
  <c r="O92" i="47" s="1"/>
  <c r="P92" i="47" s="1"/>
  <c r="Q92" i="47" s="1"/>
  <c r="R92" i="47" s="1"/>
  <c r="S92" i="47" s="1"/>
  <c r="T92" i="47" s="1"/>
  <c r="U92" i="47" s="1"/>
  <c r="V92" i="47" s="1"/>
  <c r="W92" i="47" s="1"/>
  <c r="X92" i="47" s="1"/>
  <c r="Y92" i="47" s="1"/>
  <c r="K93" i="47"/>
  <c r="L93" i="47"/>
  <c r="M93" i="47" s="1"/>
  <c r="N93" i="47" s="1"/>
  <c r="O93" i="47" s="1"/>
  <c r="P93" i="47" s="1"/>
  <c r="Q93" i="47" s="1"/>
  <c r="R93" i="47" s="1"/>
  <c r="S93" i="47" s="1"/>
  <c r="T93" i="47" s="1"/>
  <c r="U93" i="47" s="1"/>
  <c r="V93" i="47" s="1"/>
  <c r="W93" i="47" s="1"/>
  <c r="X93" i="47" s="1"/>
  <c r="Y93" i="47" s="1"/>
  <c r="K94" i="47"/>
  <c r="L94" i="47" s="1"/>
  <c r="M94" i="47" s="1"/>
  <c r="N94" i="47" s="1"/>
  <c r="O94" i="47" s="1"/>
  <c r="P94" i="47" s="1"/>
  <c r="Q94" i="47" s="1"/>
  <c r="R94" i="47" s="1"/>
  <c r="S94" i="47" s="1"/>
  <c r="T94" i="47" s="1"/>
  <c r="U94" i="47" s="1"/>
  <c r="V94" i="47" s="1"/>
  <c r="W94" i="47" s="1"/>
  <c r="X94" i="47" s="1"/>
  <c r="Y94" i="47" s="1"/>
  <c r="K95" i="47"/>
  <c r="L95" i="47"/>
  <c r="M95" i="47"/>
  <c r="N95" i="47" s="1"/>
  <c r="O95" i="47" s="1"/>
  <c r="P95" i="47" s="1"/>
  <c r="Q95" i="47" s="1"/>
  <c r="R95" i="47" s="1"/>
  <c r="S95" i="47" s="1"/>
  <c r="T95" i="47" s="1"/>
  <c r="U95" i="47" s="1"/>
  <c r="V95" i="47" s="1"/>
  <c r="W95" i="47" s="1"/>
  <c r="X95" i="47" s="1"/>
  <c r="Y95" i="47" s="1"/>
  <c r="K96" i="47"/>
  <c r="L96" i="47"/>
  <c r="M96" i="47" s="1"/>
  <c r="N96" i="47" s="1"/>
  <c r="O96" i="47" s="1"/>
  <c r="P96" i="47" s="1"/>
  <c r="Q96" i="47" s="1"/>
  <c r="R96" i="47" s="1"/>
  <c r="S96" i="47" s="1"/>
  <c r="T96" i="47" s="1"/>
  <c r="U96" i="47" s="1"/>
  <c r="V96" i="47" s="1"/>
  <c r="W96" i="47" s="1"/>
  <c r="X96" i="47" s="1"/>
  <c r="Y96" i="47" s="1"/>
  <c r="K97" i="47"/>
  <c r="L97" i="47"/>
  <c r="M97" i="47" s="1"/>
  <c r="N97" i="47" s="1"/>
  <c r="O97" i="47" s="1"/>
  <c r="P97" i="47" s="1"/>
  <c r="Q97" i="47" s="1"/>
  <c r="R97" i="47" s="1"/>
  <c r="S97" i="47" s="1"/>
  <c r="T97" i="47" s="1"/>
  <c r="U97" i="47" s="1"/>
  <c r="V97" i="47" s="1"/>
  <c r="W97" i="47" s="1"/>
  <c r="X97" i="47" s="1"/>
  <c r="Y97" i="47" s="1"/>
  <c r="K98" i="47"/>
  <c r="L98" i="47" s="1"/>
  <c r="M98" i="47" s="1"/>
  <c r="N98" i="47" s="1"/>
  <c r="O98" i="47" s="1"/>
  <c r="P98" i="47" s="1"/>
  <c r="Q98" i="47" s="1"/>
  <c r="R98" i="47" s="1"/>
  <c r="S98" i="47" s="1"/>
  <c r="T98" i="47" s="1"/>
  <c r="U98" i="47" s="1"/>
  <c r="V98" i="47" s="1"/>
  <c r="W98" i="47" s="1"/>
  <c r="X98" i="47" s="1"/>
  <c r="Y98" i="47" s="1"/>
  <c r="K99" i="47"/>
  <c r="L99" i="47"/>
  <c r="M99" i="47"/>
  <c r="N99" i="47" s="1"/>
  <c r="O99" i="47" s="1"/>
  <c r="P99" i="47" s="1"/>
  <c r="Q99" i="47" s="1"/>
  <c r="R99" i="47" s="1"/>
  <c r="S99" i="47" s="1"/>
  <c r="T99" i="47" s="1"/>
  <c r="U99" i="47" s="1"/>
  <c r="V99" i="47" s="1"/>
  <c r="W99" i="47" s="1"/>
  <c r="X99" i="47" s="1"/>
  <c r="Y99" i="47" s="1"/>
  <c r="K100" i="47"/>
  <c r="L100" i="47"/>
  <c r="M100" i="47" s="1"/>
  <c r="N100" i="47" s="1"/>
  <c r="O100" i="47" s="1"/>
  <c r="P100" i="47" s="1"/>
  <c r="Q100" i="47" s="1"/>
  <c r="R100" i="47" s="1"/>
  <c r="S100" i="47" s="1"/>
  <c r="T100" i="47" s="1"/>
  <c r="U100" i="47" s="1"/>
  <c r="V100" i="47" s="1"/>
  <c r="W100" i="47" s="1"/>
  <c r="X100" i="47" s="1"/>
  <c r="Y100" i="47" s="1"/>
  <c r="K101" i="47"/>
  <c r="L101" i="47"/>
  <c r="M101" i="47" s="1"/>
  <c r="N101" i="47" s="1"/>
  <c r="O101" i="47" s="1"/>
  <c r="P101" i="47" s="1"/>
  <c r="Q101" i="47" s="1"/>
  <c r="R101" i="47" s="1"/>
  <c r="S101" i="47" s="1"/>
  <c r="T101" i="47" s="1"/>
  <c r="U101" i="47" s="1"/>
  <c r="V101" i="47" s="1"/>
  <c r="W101" i="47" s="1"/>
  <c r="X101" i="47" s="1"/>
  <c r="Y101" i="47" s="1"/>
  <c r="K102" i="47"/>
  <c r="L102" i="47" s="1"/>
  <c r="M102" i="47" s="1"/>
  <c r="N102" i="47" s="1"/>
  <c r="O102" i="47" s="1"/>
  <c r="P102" i="47" s="1"/>
  <c r="Q102" i="47" s="1"/>
  <c r="R102" i="47" s="1"/>
  <c r="S102" i="47" s="1"/>
  <c r="T102" i="47" s="1"/>
  <c r="U102" i="47" s="1"/>
  <c r="V102" i="47" s="1"/>
  <c r="W102" i="47" s="1"/>
  <c r="X102" i="47" s="1"/>
  <c r="Y102" i="47" s="1"/>
  <c r="F103" i="47"/>
  <c r="F110" i="47" s="1"/>
  <c r="F111" i="47" s="1"/>
  <c r="G103" i="47"/>
  <c r="G110" i="47"/>
  <c r="E104" i="47"/>
  <c r="Y41" i="47"/>
  <c r="Y49" i="47"/>
  <c r="Y57" i="47"/>
  <c r="Y65" i="47"/>
  <c r="Y89" i="47"/>
  <c r="A99" i="47"/>
  <c r="A91" i="47"/>
  <c r="A84" i="47"/>
  <c r="A60" i="47"/>
  <c r="A54" i="47"/>
  <c r="A45" i="47"/>
  <c r="F17" i="47"/>
  <c r="F29" i="47" s="1"/>
  <c r="I7" i="47"/>
  <c r="J7" i="47"/>
  <c r="J18" i="47"/>
  <c r="I18" i="47"/>
  <c r="F18" i="47"/>
  <c r="E18" i="47"/>
  <c r="E17" i="47"/>
  <c r="I8" i="47"/>
  <c r="J8" i="47" s="1"/>
  <c r="G8" i="42"/>
  <c r="H8" i="42" s="1"/>
  <c r="G42" i="42"/>
  <c r="H42" i="42" s="1"/>
  <c r="I42" i="42" s="1"/>
  <c r="J42" i="42" s="1"/>
  <c r="K42" i="42" s="1"/>
  <c r="L42" i="42" s="1"/>
  <c r="M42" i="42" s="1"/>
  <c r="N42" i="42" s="1"/>
  <c r="O42" i="42" s="1"/>
  <c r="P42" i="42" s="1"/>
  <c r="Q42" i="42" s="1"/>
  <c r="R42" i="42" s="1"/>
  <c r="S42" i="42" s="1"/>
  <c r="T42" i="42" s="1"/>
  <c r="U42" i="42" s="1"/>
  <c r="V42" i="42" s="1"/>
  <c r="G43" i="42"/>
  <c r="H43" i="42" s="1"/>
  <c r="I43" i="42" s="1"/>
  <c r="J43" i="42" s="1"/>
  <c r="K43" i="42" s="1"/>
  <c r="L43" i="42" s="1"/>
  <c r="M43" i="42" s="1"/>
  <c r="N43" i="42" s="1"/>
  <c r="O43" i="42" s="1"/>
  <c r="P43" i="42" s="1"/>
  <c r="Q43" i="42" s="1"/>
  <c r="R43" i="42" s="1"/>
  <c r="S43" i="42" s="1"/>
  <c r="T43" i="42" s="1"/>
  <c r="U43" i="42" s="1"/>
  <c r="V43" i="42" s="1"/>
  <c r="G44" i="42"/>
  <c r="H44" i="42" s="1"/>
  <c r="I44" i="42" s="1"/>
  <c r="J44" i="42" s="1"/>
  <c r="K44" i="42" s="1"/>
  <c r="L44" i="42" s="1"/>
  <c r="M44" i="42" s="1"/>
  <c r="N44" i="42" s="1"/>
  <c r="O44" i="42" s="1"/>
  <c r="P44" i="42" s="1"/>
  <c r="Q44" i="42" s="1"/>
  <c r="R44" i="42" s="1"/>
  <c r="S44" i="42" s="1"/>
  <c r="T44" i="42" s="1"/>
  <c r="U44" i="42" s="1"/>
  <c r="V44" i="42" s="1"/>
  <c r="G45" i="42"/>
  <c r="H45" i="42" s="1"/>
  <c r="I45" i="42" s="1"/>
  <c r="J45" i="42" s="1"/>
  <c r="K45" i="42" s="1"/>
  <c r="L45" i="42" s="1"/>
  <c r="M45" i="42" s="1"/>
  <c r="N45" i="42" s="1"/>
  <c r="O45" i="42" s="1"/>
  <c r="P45" i="42" s="1"/>
  <c r="Q45" i="42" s="1"/>
  <c r="R45" i="42" s="1"/>
  <c r="S45" i="42" s="1"/>
  <c r="T45" i="42" s="1"/>
  <c r="U45" i="42" s="1"/>
  <c r="V45" i="42" s="1"/>
  <c r="G46" i="42"/>
  <c r="H46" i="42" s="1"/>
  <c r="I46" i="42" s="1"/>
  <c r="J46" i="42" s="1"/>
  <c r="K46" i="42" s="1"/>
  <c r="L46" i="42" s="1"/>
  <c r="M46" i="42" s="1"/>
  <c r="N46" i="42" s="1"/>
  <c r="O46" i="42" s="1"/>
  <c r="P46" i="42" s="1"/>
  <c r="Q46" i="42" s="1"/>
  <c r="R46" i="42" s="1"/>
  <c r="S46" i="42" s="1"/>
  <c r="T46" i="42" s="1"/>
  <c r="U46" i="42" s="1"/>
  <c r="V46" i="42" s="1"/>
  <c r="G47" i="42"/>
  <c r="H47" i="42" s="1"/>
  <c r="I47" i="42" s="1"/>
  <c r="J47" i="42" s="1"/>
  <c r="K47" i="42" s="1"/>
  <c r="L47" i="42" s="1"/>
  <c r="M47" i="42" s="1"/>
  <c r="N47" i="42" s="1"/>
  <c r="O47" i="42" s="1"/>
  <c r="P47" i="42" s="1"/>
  <c r="Q47" i="42" s="1"/>
  <c r="R47" i="42" s="1"/>
  <c r="S47" i="42" s="1"/>
  <c r="T47" i="42" s="1"/>
  <c r="U47" i="42" s="1"/>
  <c r="V47" i="42" s="1"/>
  <c r="G48" i="42"/>
  <c r="H48" i="42" s="1"/>
  <c r="I48" i="42" s="1"/>
  <c r="J48" i="42" s="1"/>
  <c r="K48" i="42" s="1"/>
  <c r="L48" i="42" s="1"/>
  <c r="M48" i="42" s="1"/>
  <c r="N48" i="42" s="1"/>
  <c r="O48" i="42" s="1"/>
  <c r="P48" i="42" s="1"/>
  <c r="Q48" i="42" s="1"/>
  <c r="R48" i="42" s="1"/>
  <c r="S48" i="42" s="1"/>
  <c r="T48" i="42" s="1"/>
  <c r="U48" i="42" s="1"/>
  <c r="V48" i="42" s="1"/>
  <c r="G49" i="42"/>
  <c r="H49" i="42" s="1"/>
  <c r="I49" i="42" s="1"/>
  <c r="J49" i="42" s="1"/>
  <c r="K49" i="42" s="1"/>
  <c r="L49" i="42" s="1"/>
  <c r="M49" i="42" s="1"/>
  <c r="N49" i="42" s="1"/>
  <c r="O49" i="42" s="1"/>
  <c r="P49" i="42" s="1"/>
  <c r="Q49" i="42" s="1"/>
  <c r="R49" i="42" s="1"/>
  <c r="S49" i="42" s="1"/>
  <c r="T49" i="42" s="1"/>
  <c r="U49" i="42" s="1"/>
  <c r="V49" i="42" s="1"/>
  <c r="G50" i="42"/>
  <c r="H50" i="42" s="1"/>
  <c r="I50" i="42" s="1"/>
  <c r="J50" i="42" s="1"/>
  <c r="K50" i="42" s="1"/>
  <c r="L50" i="42" s="1"/>
  <c r="M50" i="42" s="1"/>
  <c r="N50" i="42" s="1"/>
  <c r="O50" i="42" s="1"/>
  <c r="P50" i="42" s="1"/>
  <c r="Q50" i="42" s="1"/>
  <c r="R50" i="42" s="1"/>
  <c r="S50" i="42" s="1"/>
  <c r="T50" i="42" s="1"/>
  <c r="U50" i="42" s="1"/>
  <c r="V50" i="42" s="1"/>
  <c r="G51" i="42"/>
  <c r="H51" i="42" s="1"/>
  <c r="I51" i="42" s="1"/>
  <c r="J51" i="42" s="1"/>
  <c r="K51" i="42" s="1"/>
  <c r="L51" i="42" s="1"/>
  <c r="M51" i="42" s="1"/>
  <c r="N51" i="42" s="1"/>
  <c r="O51" i="42" s="1"/>
  <c r="P51" i="42" s="1"/>
  <c r="Q51" i="42" s="1"/>
  <c r="R51" i="42" s="1"/>
  <c r="S51" i="42" s="1"/>
  <c r="T51" i="42" s="1"/>
  <c r="U51" i="42" s="1"/>
  <c r="V51" i="42" s="1"/>
  <c r="G52" i="42"/>
  <c r="H52" i="42" s="1"/>
  <c r="I52" i="42" s="1"/>
  <c r="J52" i="42" s="1"/>
  <c r="K52" i="42" s="1"/>
  <c r="L52" i="42" s="1"/>
  <c r="M52" i="42" s="1"/>
  <c r="N52" i="42" s="1"/>
  <c r="O52" i="42"/>
  <c r="P52" i="42" s="1"/>
  <c r="Q52" i="42" s="1"/>
  <c r="R52" i="42" s="1"/>
  <c r="S52" i="42" s="1"/>
  <c r="T52" i="42" s="1"/>
  <c r="U52" i="42" s="1"/>
  <c r="V52" i="42" s="1"/>
  <c r="G53" i="42"/>
  <c r="H53" i="42" s="1"/>
  <c r="I53" i="42" s="1"/>
  <c r="J53" i="42" s="1"/>
  <c r="K53" i="42" s="1"/>
  <c r="L53" i="42" s="1"/>
  <c r="M53" i="42" s="1"/>
  <c r="N53" i="42" s="1"/>
  <c r="O53" i="42" s="1"/>
  <c r="P53" i="42" s="1"/>
  <c r="Q53" i="42" s="1"/>
  <c r="R53" i="42" s="1"/>
  <c r="S53" i="42" s="1"/>
  <c r="T53" i="42" s="1"/>
  <c r="U53" i="42" s="1"/>
  <c r="V53" i="42" s="1"/>
  <c r="G54" i="42"/>
  <c r="H54" i="42" s="1"/>
  <c r="I54" i="42" s="1"/>
  <c r="J54" i="42" s="1"/>
  <c r="K54" i="42" s="1"/>
  <c r="L54" i="42" s="1"/>
  <c r="M54" i="42" s="1"/>
  <c r="N54" i="42" s="1"/>
  <c r="O54" i="42" s="1"/>
  <c r="P54" i="42" s="1"/>
  <c r="Q54" i="42" s="1"/>
  <c r="R54" i="42" s="1"/>
  <c r="S54" i="42" s="1"/>
  <c r="T54" i="42" s="1"/>
  <c r="U54" i="42" s="1"/>
  <c r="V54" i="42" s="1"/>
  <c r="G55" i="42"/>
  <c r="H55" i="42" s="1"/>
  <c r="I55" i="42" s="1"/>
  <c r="J55" i="42" s="1"/>
  <c r="K55" i="42" s="1"/>
  <c r="L55" i="42" s="1"/>
  <c r="M55" i="42" s="1"/>
  <c r="N55" i="42" s="1"/>
  <c r="O55" i="42" s="1"/>
  <c r="P55" i="42" s="1"/>
  <c r="Q55" i="42" s="1"/>
  <c r="R55" i="42" s="1"/>
  <c r="S55" i="42" s="1"/>
  <c r="T55" i="42" s="1"/>
  <c r="U55" i="42" s="1"/>
  <c r="V55" i="42" s="1"/>
  <c r="G56" i="42"/>
  <c r="H56" i="42" s="1"/>
  <c r="I56" i="42" s="1"/>
  <c r="J56" i="42" s="1"/>
  <c r="K56" i="42" s="1"/>
  <c r="L56" i="42" s="1"/>
  <c r="M56" i="42" s="1"/>
  <c r="N56" i="42" s="1"/>
  <c r="O56" i="42"/>
  <c r="P56" i="42" s="1"/>
  <c r="Q56" i="42" s="1"/>
  <c r="R56" i="42" s="1"/>
  <c r="S56" i="42" s="1"/>
  <c r="T56" i="42" s="1"/>
  <c r="U56" i="42" s="1"/>
  <c r="V56" i="42" s="1"/>
  <c r="G57" i="42"/>
  <c r="H57" i="42" s="1"/>
  <c r="I57" i="42" s="1"/>
  <c r="J57" i="42" s="1"/>
  <c r="K57" i="42" s="1"/>
  <c r="L57" i="42" s="1"/>
  <c r="M57" i="42" s="1"/>
  <c r="N57" i="42" s="1"/>
  <c r="O57" i="42" s="1"/>
  <c r="P57" i="42" s="1"/>
  <c r="Q57" i="42" s="1"/>
  <c r="R57" i="42" s="1"/>
  <c r="S57" i="42" s="1"/>
  <c r="T57" i="42" s="1"/>
  <c r="U57" i="42" s="1"/>
  <c r="V57" i="42" s="1"/>
  <c r="G58" i="42"/>
  <c r="H58" i="42" s="1"/>
  <c r="I58" i="42"/>
  <c r="J58" i="42" s="1"/>
  <c r="K58" i="42" s="1"/>
  <c r="L58" i="42" s="1"/>
  <c r="M58" i="42" s="1"/>
  <c r="N58" i="42" s="1"/>
  <c r="O58" i="42" s="1"/>
  <c r="P58" i="42" s="1"/>
  <c r="Q58" i="42" s="1"/>
  <c r="R58" i="42" s="1"/>
  <c r="S58" i="42"/>
  <c r="T58" i="42" s="1"/>
  <c r="U58" i="42" s="1"/>
  <c r="V58" i="42" s="1"/>
  <c r="G59" i="42"/>
  <c r="H59" i="42" s="1"/>
  <c r="I59" i="42"/>
  <c r="J59" i="42" s="1"/>
  <c r="K59" i="42" s="1"/>
  <c r="L59" i="42" s="1"/>
  <c r="M59" i="42" s="1"/>
  <c r="N59" i="42"/>
  <c r="O59" i="42" s="1"/>
  <c r="P59" i="42" s="1"/>
  <c r="Q59" i="42" s="1"/>
  <c r="R59" i="42" s="1"/>
  <c r="S59" i="42" s="1"/>
  <c r="T59" i="42" s="1"/>
  <c r="U59" i="42" s="1"/>
  <c r="V59" i="42" s="1"/>
  <c r="G60" i="42"/>
  <c r="H60" i="42" s="1"/>
  <c r="I60" i="42"/>
  <c r="J60" i="42" s="1"/>
  <c r="K60" i="42" s="1"/>
  <c r="L60" i="42" s="1"/>
  <c r="M60" i="42" s="1"/>
  <c r="N60" i="42" s="1"/>
  <c r="O60" i="42" s="1"/>
  <c r="P60" i="42" s="1"/>
  <c r="Q60" i="42" s="1"/>
  <c r="R60" i="42" s="1"/>
  <c r="S60" i="42" s="1"/>
  <c r="T60" i="42" s="1"/>
  <c r="U60" i="42" s="1"/>
  <c r="V60" i="42" s="1"/>
  <c r="G61" i="42"/>
  <c r="H61" i="42" s="1"/>
  <c r="I61" i="42" s="1"/>
  <c r="J61" i="42" s="1"/>
  <c r="K61" i="42" s="1"/>
  <c r="L61" i="42"/>
  <c r="M61" i="42" s="1"/>
  <c r="N61" i="42" s="1"/>
  <c r="O61" i="42" s="1"/>
  <c r="P61" i="42" s="1"/>
  <c r="Q61" i="42" s="1"/>
  <c r="R61" i="42" s="1"/>
  <c r="S61" i="42" s="1"/>
  <c r="T61" i="42" s="1"/>
  <c r="U61" i="42" s="1"/>
  <c r="V61" i="42" s="1"/>
  <c r="G62" i="42"/>
  <c r="H62" i="42"/>
  <c r="I62" i="42" s="1"/>
  <c r="J62" i="42" s="1"/>
  <c r="K62" i="42" s="1"/>
  <c r="L62" i="42" s="1"/>
  <c r="M62" i="42" s="1"/>
  <c r="N62" i="42" s="1"/>
  <c r="O62" i="42" s="1"/>
  <c r="P62" i="42" s="1"/>
  <c r="Q62" i="42" s="1"/>
  <c r="R62" i="42" s="1"/>
  <c r="S62" i="42" s="1"/>
  <c r="T62" i="42" s="1"/>
  <c r="U62" i="42" s="1"/>
  <c r="V62" i="42" s="1"/>
  <c r="G63" i="42"/>
  <c r="H63" i="42"/>
  <c r="I63" i="42" s="1"/>
  <c r="J63" i="42" s="1"/>
  <c r="K63" i="42" s="1"/>
  <c r="L63" i="42"/>
  <c r="M63" i="42" s="1"/>
  <c r="N63" i="42" s="1"/>
  <c r="O63" i="42" s="1"/>
  <c r="P63" i="42" s="1"/>
  <c r="Q63" i="42" s="1"/>
  <c r="R63" i="42" s="1"/>
  <c r="S63" i="42" s="1"/>
  <c r="T63" i="42" s="1"/>
  <c r="U63" i="42" s="1"/>
  <c r="V63" i="42" s="1"/>
  <c r="G64" i="42"/>
  <c r="H64" i="42"/>
  <c r="I64" i="42" s="1"/>
  <c r="J64" i="42" s="1"/>
  <c r="K64" i="42" s="1"/>
  <c r="L64" i="42" s="1"/>
  <c r="M64" i="42" s="1"/>
  <c r="N64" i="42" s="1"/>
  <c r="O64" i="42" s="1"/>
  <c r="P64" i="42" s="1"/>
  <c r="Q64" i="42" s="1"/>
  <c r="R64" i="42" s="1"/>
  <c r="S64" i="42" s="1"/>
  <c r="T64" i="42" s="1"/>
  <c r="U64" i="42" s="1"/>
  <c r="V64" i="42" s="1"/>
  <c r="G65" i="42"/>
  <c r="H65" i="42"/>
  <c r="I65" i="42" s="1"/>
  <c r="J65" i="42" s="1"/>
  <c r="K65" i="42" s="1"/>
  <c r="L65" i="42" s="1"/>
  <c r="M65" i="42" s="1"/>
  <c r="N65" i="42" s="1"/>
  <c r="O65" i="42" s="1"/>
  <c r="P65" i="42" s="1"/>
  <c r="Q65" i="42" s="1"/>
  <c r="R65" i="42" s="1"/>
  <c r="S65" i="42" s="1"/>
  <c r="T65" i="42" s="1"/>
  <c r="U65" i="42" s="1"/>
  <c r="V65" i="42" s="1"/>
  <c r="G66" i="42"/>
  <c r="H66" i="42"/>
  <c r="I66" i="42" s="1"/>
  <c r="J66" i="42" s="1"/>
  <c r="K66" i="42" s="1"/>
  <c r="L66" i="42" s="1"/>
  <c r="M66" i="42" s="1"/>
  <c r="N66" i="42" s="1"/>
  <c r="O66" i="42" s="1"/>
  <c r="P66" i="42" s="1"/>
  <c r="Q66" i="42" s="1"/>
  <c r="R66" i="42" s="1"/>
  <c r="S66" i="42" s="1"/>
  <c r="T66" i="42" s="1"/>
  <c r="U66" i="42" s="1"/>
  <c r="V66" i="42" s="1"/>
  <c r="G67" i="42"/>
  <c r="H67" i="42"/>
  <c r="I67" i="42" s="1"/>
  <c r="J67" i="42" s="1"/>
  <c r="K67" i="42" s="1"/>
  <c r="L67" i="42"/>
  <c r="M67" i="42" s="1"/>
  <c r="N67" i="42" s="1"/>
  <c r="O67" i="42" s="1"/>
  <c r="P67" i="42" s="1"/>
  <c r="Q67" i="42" s="1"/>
  <c r="R67" i="42" s="1"/>
  <c r="S67" i="42" s="1"/>
  <c r="T67" i="42" s="1"/>
  <c r="U67" i="42" s="1"/>
  <c r="V67" i="42" s="1"/>
  <c r="G68" i="42"/>
  <c r="H68" i="42"/>
  <c r="I68" i="42" s="1"/>
  <c r="J68" i="42" s="1"/>
  <c r="K68" i="42" s="1"/>
  <c r="L68" i="42" s="1"/>
  <c r="M68" i="42" s="1"/>
  <c r="N68" i="42" s="1"/>
  <c r="O68" i="42" s="1"/>
  <c r="P68" i="42" s="1"/>
  <c r="Q68" i="42" s="1"/>
  <c r="R68" i="42" s="1"/>
  <c r="S68" i="42" s="1"/>
  <c r="T68" i="42" s="1"/>
  <c r="U68" i="42" s="1"/>
  <c r="V68" i="42" s="1"/>
  <c r="G69" i="42"/>
  <c r="H69" i="42"/>
  <c r="I69" i="42" s="1"/>
  <c r="J69" i="42" s="1"/>
  <c r="K69" i="42" s="1"/>
  <c r="L69" i="42"/>
  <c r="M69" i="42" s="1"/>
  <c r="N69" i="42" s="1"/>
  <c r="O69" i="42" s="1"/>
  <c r="P69" i="42" s="1"/>
  <c r="Q69" i="42" s="1"/>
  <c r="R69" i="42" s="1"/>
  <c r="S69" i="42" s="1"/>
  <c r="T69" i="42" s="1"/>
  <c r="U69" i="42" s="1"/>
  <c r="V69" i="42" s="1"/>
  <c r="G70" i="42"/>
  <c r="H70" i="42"/>
  <c r="I70" i="42" s="1"/>
  <c r="J70" i="42" s="1"/>
  <c r="K70" i="42" s="1"/>
  <c r="L70" i="42"/>
  <c r="M70" i="42"/>
  <c r="N70" i="42" s="1"/>
  <c r="O70" i="42" s="1"/>
  <c r="P70" i="42" s="1"/>
  <c r="Q70" i="42" s="1"/>
  <c r="R70" i="42" s="1"/>
  <c r="S70" i="42" s="1"/>
  <c r="T70" i="42" s="1"/>
  <c r="U70" i="42" s="1"/>
  <c r="V70" i="42" s="1"/>
  <c r="G71" i="42"/>
  <c r="H71" i="42"/>
  <c r="I71" i="42" s="1"/>
  <c r="J71" i="42" s="1"/>
  <c r="K71" i="42" s="1"/>
  <c r="L71" i="42" s="1"/>
  <c r="M71" i="42" s="1"/>
  <c r="N71" i="42" s="1"/>
  <c r="O71" i="42" s="1"/>
  <c r="P71" i="42" s="1"/>
  <c r="Q71" i="42" s="1"/>
  <c r="R71" i="42" s="1"/>
  <c r="S71" i="42" s="1"/>
  <c r="T71" i="42" s="1"/>
  <c r="U71" i="42" s="1"/>
  <c r="V71" i="42" s="1"/>
  <c r="G72" i="42"/>
  <c r="H72" i="42"/>
  <c r="I72" i="42" s="1"/>
  <c r="J72" i="42" s="1"/>
  <c r="K72" i="42" s="1"/>
  <c r="L72" i="42"/>
  <c r="M72" i="42" s="1"/>
  <c r="N72" i="42" s="1"/>
  <c r="O72" i="42" s="1"/>
  <c r="P72" i="42" s="1"/>
  <c r="Q72" i="42" s="1"/>
  <c r="R72" i="42" s="1"/>
  <c r="S72" i="42" s="1"/>
  <c r="T72" i="42" s="1"/>
  <c r="U72" i="42" s="1"/>
  <c r="V72" i="42" s="1"/>
  <c r="G73" i="42"/>
  <c r="H73" i="42"/>
  <c r="I73" i="42" s="1"/>
  <c r="J73" i="42" s="1"/>
  <c r="K73" i="42" s="1"/>
  <c r="L73" i="42"/>
  <c r="M73" i="42"/>
  <c r="N73" i="42" s="1"/>
  <c r="O73" i="42" s="1"/>
  <c r="P73" i="42" s="1"/>
  <c r="Q73" i="42" s="1"/>
  <c r="R73" i="42" s="1"/>
  <c r="S73" i="42" s="1"/>
  <c r="T73" i="42" s="1"/>
  <c r="U73" i="42" s="1"/>
  <c r="V73" i="42" s="1"/>
  <c r="G74" i="42"/>
  <c r="H74" i="42"/>
  <c r="I74" i="42" s="1"/>
  <c r="J74" i="42" s="1"/>
  <c r="K74" i="42" s="1"/>
  <c r="L74" i="42" s="1"/>
  <c r="M74" i="42" s="1"/>
  <c r="N74" i="42" s="1"/>
  <c r="O74" i="42" s="1"/>
  <c r="P74" i="42" s="1"/>
  <c r="Q74" i="42" s="1"/>
  <c r="R74" i="42" s="1"/>
  <c r="S74" i="42" s="1"/>
  <c r="T74" i="42" s="1"/>
  <c r="U74" i="42" s="1"/>
  <c r="V74" i="42" s="1"/>
  <c r="G75" i="42"/>
  <c r="H75" i="42"/>
  <c r="I75" i="42" s="1"/>
  <c r="J75" i="42" s="1"/>
  <c r="K75" i="42" s="1"/>
  <c r="L75" i="42"/>
  <c r="M75" i="42" s="1"/>
  <c r="N75" i="42" s="1"/>
  <c r="O75" i="42" s="1"/>
  <c r="P75" i="42" s="1"/>
  <c r="Q75" i="42" s="1"/>
  <c r="R75" i="42" s="1"/>
  <c r="S75" i="42" s="1"/>
  <c r="T75" i="42" s="1"/>
  <c r="U75" i="42" s="1"/>
  <c r="V75" i="42" s="1"/>
  <c r="G76" i="42"/>
  <c r="H76" i="42"/>
  <c r="I76" i="42" s="1"/>
  <c r="J76" i="42" s="1"/>
  <c r="K76" i="42" s="1"/>
  <c r="L76" i="42" s="1"/>
  <c r="M76" i="42" s="1"/>
  <c r="N76" i="42" s="1"/>
  <c r="O76" i="42" s="1"/>
  <c r="P76" i="42" s="1"/>
  <c r="Q76" i="42" s="1"/>
  <c r="R76" i="42" s="1"/>
  <c r="S76" i="42" s="1"/>
  <c r="T76" i="42" s="1"/>
  <c r="U76" i="42" s="1"/>
  <c r="V76" i="42" s="1"/>
  <c r="G77" i="42"/>
  <c r="H77" i="42"/>
  <c r="I77" i="42" s="1"/>
  <c r="J77" i="42" s="1"/>
  <c r="K77" i="42" s="1"/>
  <c r="L77" i="42"/>
  <c r="M77" i="42" s="1"/>
  <c r="N77" i="42" s="1"/>
  <c r="O77" i="42" s="1"/>
  <c r="P77" i="42" s="1"/>
  <c r="Q77" i="42" s="1"/>
  <c r="R77" i="42" s="1"/>
  <c r="S77" i="42" s="1"/>
  <c r="T77" i="42" s="1"/>
  <c r="U77" i="42" s="1"/>
  <c r="V77" i="42" s="1"/>
  <c r="G78" i="42"/>
  <c r="H78" i="42"/>
  <c r="I78" i="42" s="1"/>
  <c r="J78" i="42" s="1"/>
  <c r="K78" i="42" s="1"/>
  <c r="L78" i="42"/>
  <c r="M78" i="42"/>
  <c r="N78" i="42" s="1"/>
  <c r="O78" i="42" s="1"/>
  <c r="P78" i="42" s="1"/>
  <c r="Q78" i="42" s="1"/>
  <c r="R78" i="42" s="1"/>
  <c r="S78" i="42" s="1"/>
  <c r="T78" i="42" s="1"/>
  <c r="U78" i="42" s="1"/>
  <c r="V78" i="42" s="1"/>
  <c r="G79" i="42"/>
  <c r="H79" i="42"/>
  <c r="I79" i="42" s="1"/>
  <c r="J79" i="42" s="1"/>
  <c r="K79" i="42" s="1"/>
  <c r="L79" i="42" s="1"/>
  <c r="M79" i="42" s="1"/>
  <c r="N79" i="42" s="1"/>
  <c r="O79" i="42" s="1"/>
  <c r="P79" i="42" s="1"/>
  <c r="Q79" i="42" s="1"/>
  <c r="R79" i="42" s="1"/>
  <c r="S79" i="42" s="1"/>
  <c r="T79" i="42" s="1"/>
  <c r="U79" i="42" s="1"/>
  <c r="V79" i="42" s="1"/>
  <c r="G80" i="42"/>
  <c r="H80" i="42"/>
  <c r="I80" i="42" s="1"/>
  <c r="J80" i="42" s="1"/>
  <c r="K80" i="42" s="1"/>
  <c r="L80" i="42"/>
  <c r="M80" i="42" s="1"/>
  <c r="N80" i="42" s="1"/>
  <c r="O80" i="42" s="1"/>
  <c r="P80" i="42" s="1"/>
  <c r="Q80" i="42" s="1"/>
  <c r="R80" i="42" s="1"/>
  <c r="S80" i="42" s="1"/>
  <c r="T80" i="42" s="1"/>
  <c r="U80" i="42" s="1"/>
  <c r="V80" i="42" s="1"/>
  <c r="G81" i="42"/>
  <c r="H81" i="42"/>
  <c r="I81" i="42" s="1"/>
  <c r="J81" i="42" s="1"/>
  <c r="K81" i="42" s="1"/>
  <c r="L81" i="42"/>
  <c r="M81" i="42"/>
  <c r="N81" i="42" s="1"/>
  <c r="O81" i="42" s="1"/>
  <c r="P81" i="42" s="1"/>
  <c r="Q81" i="42" s="1"/>
  <c r="R81" i="42" s="1"/>
  <c r="S81" i="42" s="1"/>
  <c r="T81" i="42" s="1"/>
  <c r="U81" i="42" s="1"/>
  <c r="V81" i="42" s="1"/>
  <c r="G82" i="42"/>
  <c r="H82" i="42"/>
  <c r="I82" i="42" s="1"/>
  <c r="J82" i="42" s="1"/>
  <c r="K82" i="42" s="1"/>
  <c r="L82" i="42" s="1"/>
  <c r="M82" i="42" s="1"/>
  <c r="N82" i="42" s="1"/>
  <c r="O82" i="42" s="1"/>
  <c r="P82" i="42" s="1"/>
  <c r="Q82" i="42" s="1"/>
  <c r="R82" i="42" s="1"/>
  <c r="S82" i="42" s="1"/>
  <c r="T82" i="42" s="1"/>
  <c r="U82" i="42" s="1"/>
  <c r="V82" i="42" s="1"/>
  <c r="G83" i="42"/>
  <c r="H83" i="42"/>
  <c r="I83" i="42" s="1"/>
  <c r="J83" i="42" s="1"/>
  <c r="K83" i="42" s="1"/>
  <c r="L83" i="42"/>
  <c r="M83" i="42" s="1"/>
  <c r="N83" i="42" s="1"/>
  <c r="O83" i="42" s="1"/>
  <c r="P83" i="42" s="1"/>
  <c r="Q83" i="42" s="1"/>
  <c r="R83" i="42" s="1"/>
  <c r="S83" i="42" s="1"/>
  <c r="T83" i="42" s="1"/>
  <c r="U83" i="42" s="1"/>
  <c r="V83" i="42" s="1"/>
  <c r="G84" i="42"/>
  <c r="H84" i="42"/>
  <c r="I84" i="42" s="1"/>
  <c r="J84" i="42" s="1"/>
  <c r="K84" i="42" s="1"/>
  <c r="L84" i="42" s="1"/>
  <c r="M84" i="42" s="1"/>
  <c r="N84" i="42" s="1"/>
  <c r="O84" i="42" s="1"/>
  <c r="P84" i="42" s="1"/>
  <c r="Q84" i="42" s="1"/>
  <c r="R84" i="42" s="1"/>
  <c r="S84" i="42" s="1"/>
  <c r="T84" i="42" s="1"/>
  <c r="U84" i="42" s="1"/>
  <c r="V84" i="42" s="1"/>
  <c r="G85" i="42"/>
  <c r="H85" i="42"/>
  <c r="I85" i="42" s="1"/>
  <c r="J85" i="42" s="1"/>
  <c r="K85" i="42" s="1"/>
  <c r="L85" i="42"/>
  <c r="M85" i="42" s="1"/>
  <c r="N85" i="42" s="1"/>
  <c r="O85" i="42" s="1"/>
  <c r="P85" i="42" s="1"/>
  <c r="Q85" i="42" s="1"/>
  <c r="R85" i="42" s="1"/>
  <c r="S85" i="42" s="1"/>
  <c r="T85" i="42" s="1"/>
  <c r="U85" i="42" s="1"/>
  <c r="V85" i="42" s="1"/>
  <c r="G86" i="42"/>
  <c r="H86" i="42"/>
  <c r="I86" i="42" s="1"/>
  <c r="J86" i="42" s="1"/>
  <c r="K86" i="42" s="1"/>
  <c r="L86" i="42"/>
  <c r="M86" i="42"/>
  <c r="N86" i="42" s="1"/>
  <c r="O86" i="42" s="1"/>
  <c r="P86" i="42" s="1"/>
  <c r="Q86" i="42" s="1"/>
  <c r="R86" i="42" s="1"/>
  <c r="S86" i="42" s="1"/>
  <c r="T86" i="42" s="1"/>
  <c r="U86" i="42" s="1"/>
  <c r="V86" i="42" s="1"/>
  <c r="G87" i="42"/>
  <c r="H87" i="42"/>
  <c r="I87" i="42" s="1"/>
  <c r="J87" i="42" s="1"/>
  <c r="K87" i="42" s="1"/>
  <c r="L87" i="42" s="1"/>
  <c r="M87" i="42" s="1"/>
  <c r="N87" i="42" s="1"/>
  <c r="O87" i="42" s="1"/>
  <c r="P87" i="42" s="1"/>
  <c r="Q87" i="42" s="1"/>
  <c r="R87" i="42" s="1"/>
  <c r="S87" i="42" s="1"/>
  <c r="T87" i="42" s="1"/>
  <c r="U87" i="42" s="1"/>
  <c r="V87" i="42" s="1"/>
  <c r="G88" i="42"/>
  <c r="H88" i="42"/>
  <c r="I88" i="42" s="1"/>
  <c r="J88" i="42" s="1"/>
  <c r="K88" i="42" s="1"/>
  <c r="L88" i="42"/>
  <c r="M88" i="42" s="1"/>
  <c r="N88" i="42" s="1"/>
  <c r="O88" i="42" s="1"/>
  <c r="P88" i="42" s="1"/>
  <c r="Q88" i="42" s="1"/>
  <c r="R88" i="42" s="1"/>
  <c r="S88" i="42" s="1"/>
  <c r="T88" i="42" s="1"/>
  <c r="U88" i="42" s="1"/>
  <c r="V88" i="42" s="1"/>
  <c r="G89" i="42"/>
  <c r="H89" i="42"/>
  <c r="I89" i="42" s="1"/>
  <c r="J89" i="42" s="1"/>
  <c r="K89" i="42" s="1"/>
  <c r="L89" i="42"/>
  <c r="M89" i="42"/>
  <c r="N89" i="42" s="1"/>
  <c r="O89" i="42" s="1"/>
  <c r="P89" i="42" s="1"/>
  <c r="Q89" i="42" s="1"/>
  <c r="R89" i="42" s="1"/>
  <c r="S89" i="42" s="1"/>
  <c r="T89" i="42" s="1"/>
  <c r="U89" i="42" s="1"/>
  <c r="V89" i="42" s="1"/>
  <c r="G90" i="42"/>
  <c r="H90" i="42"/>
  <c r="I90" i="42" s="1"/>
  <c r="J90" i="42" s="1"/>
  <c r="K90" i="42" s="1"/>
  <c r="L90" i="42" s="1"/>
  <c r="M90" i="42" s="1"/>
  <c r="N90" i="42" s="1"/>
  <c r="O90" i="42" s="1"/>
  <c r="P90" i="42" s="1"/>
  <c r="Q90" i="42" s="1"/>
  <c r="R90" i="42" s="1"/>
  <c r="S90" i="42" s="1"/>
  <c r="T90" i="42" s="1"/>
  <c r="U90" i="42" s="1"/>
  <c r="V90" i="42" s="1"/>
  <c r="G91" i="42"/>
  <c r="H91" i="42"/>
  <c r="I91" i="42" s="1"/>
  <c r="J91" i="42" s="1"/>
  <c r="K91" i="42" s="1"/>
  <c r="L91" i="42"/>
  <c r="M91" i="42" s="1"/>
  <c r="N91" i="42" s="1"/>
  <c r="O91" i="42" s="1"/>
  <c r="P91" i="42" s="1"/>
  <c r="Q91" i="42" s="1"/>
  <c r="R91" i="42" s="1"/>
  <c r="S91" i="42" s="1"/>
  <c r="T91" i="42" s="1"/>
  <c r="U91" i="42" s="1"/>
  <c r="V91" i="42" s="1"/>
  <c r="G92" i="42"/>
  <c r="H92" i="42"/>
  <c r="I92" i="42" s="1"/>
  <c r="J92" i="42" s="1"/>
  <c r="K92" i="42" s="1"/>
  <c r="L92" i="42" s="1"/>
  <c r="M92" i="42" s="1"/>
  <c r="N92" i="42" s="1"/>
  <c r="O92" i="42" s="1"/>
  <c r="P92" i="42" s="1"/>
  <c r="Q92" i="42" s="1"/>
  <c r="R92" i="42" s="1"/>
  <c r="S92" i="42" s="1"/>
  <c r="T92" i="42" s="1"/>
  <c r="U92" i="42" s="1"/>
  <c r="V92" i="42" s="1"/>
  <c r="G93" i="42"/>
  <c r="H93" i="42"/>
  <c r="I93" i="42" s="1"/>
  <c r="J93" i="42" s="1"/>
  <c r="K93" i="42" s="1"/>
  <c r="L93" i="42"/>
  <c r="M93" i="42" s="1"/>
  <c r="N93" i="42" s="1"/>
  <c r="O93" i="42" s="1"/>
  <c r="P93" i="42" s="1"/>
  <c r="Q93" i="42" s="1"/>
  <c r="R93" i="42" s="1"/>
  <c r="S93" i="42" s="1"/>
  <c r="T93" i="42" s="1"/>
  <c r="U93" i="42" s="1"/>
  <c r="V93" i="42" s="1"/>
  <c r="G94" i="42"/>
  <c r="H94" i="42"/>
  <c r="I94" i="42" s="1"/>
  <c r="J94" i="42"/>
  <c r="K94" i="42" s="1"/>
  <c r="L94" i="42"/>
  <c r="M94" i="42" s="1"/>
  <c r="N94" i="42" s="1"/>
  <c r="O94" i="42" s="1"/>
  <c r="P94" i="42" s="1"/>
  <c r="Q94" i="42" s="1"/>
  <c r="R94" i="42" s="1"/>
  <c r="S94" i="42" s="1"/>
  <c r="T94" i="42" s="1"/>
  <c r="U94" i="42" s="1"/>
  <c r="V94" i="42" s="1"/>
  <c r="G95" i="42"/>
  <c r="H95" i="42"/>
  <c r="I95" i="42" s="1"/>
  <c r="J95" i="42"/>
  <c r="K95" i="42" s="1"/>
  <c r="L95" i="42" s="1"/>
  <c r="M95" i="42" s="1"/>
  <c r="N95" i="42" s="1"/>
  <c r="O95" i="42" s="1"/>
  <c r="P95" i="42" s="1"/>
  <c r="Q95" i="42" s="1"/>
  <c r="R95" i="42" s="1"/>
  <c r="S95" i="42" s="1"/>
  <c r="T95" i="42" s="1"/>
  <c r="U95" i="42" s="1"/>
  <c r="V95" i="42" s="1"/>
  <c r="G96" i="42"/>
  <c r="H96" i="42"/>
  <c r="I96" i="42" s="1"/>
  <c r="J96" i="42" s="1"/>
  <c r="K96" i="42" s="1"/>
  <c r="L96" i="42" s="1"/>
  <c r="M96" i="42" s="1"/>
  <c r="N96" i="42" s="1"/>
  <c r="O96" i="42" s="1"/>
  <c r="P96" i="42" s="1"/>
  <c r="Q96" i="42" s="1"/>
  <c r="R96" i="42" s="1"/>
  <c r="S96" i="42" s="1"/>
  <c r="T96" i="42" s="1"/>
  <c r="U96" i="42" s="1"/>
  <c r="V96" i="42" s="1"/>
  <c r="G97" i="42"/>
  <c r="H97" i="42"/>
  <c r="I97" i="42" s="1"/>
  <c r="J97" i="42"/>
  <c r="K97" i="42" s="1"/>
  <c r="L97" i="42" s="1"/>
  <c r="M97" i="42" s="1"/>
  <c r="N97" i="42" s="1"/>
  <c r="O97" i="42" s="1"/>
  <c r="P97" i="42" s="1"/>
  <c r="Q97" i="42" s="1"/>
  <c r="R97" i="42" s="1"/>
  <c r="S97" i="42" s="1"/>
  <c r="T97" i="42" s="1"/>
  <c r="U97" i="42" s="1"/>
  <c r="V97" i="42" s="1"/>
  <c r="G98" i="42"/>
  <c r="H98" i="42"/>
  <c r="I98" i="42" s="1"/>
  <c r="J98" i="42" s="1"/>
  <c r="K98" i="42" s="1"/>
  <c r="L98" i="42" s="1"/>
  <c r="M98" i="42" s="1"/>
  <c r="N98" i="42" s="1"/>
  <c r="O98" i="42" s="1"/>
  <c r="P98" i="42" s="1"/>
  <c r="Q98" i="42" s="1"/>
  <c r="R98" i="42" s="1"/>
  <c r="S98" i="42" s="1"/>
  <c r="T98" i="42" s="1"/>
  <c r="U98" i="42" s="1"/>
  <c r="V98" i="42" s="1"/>
  <c r="G99" i="42"/>
  <c r="H99" i="42"/>
  <c r="I99" i="42" s="1"/>
  <c r="J99" i="42"/>
  <c r="K99" i="42" s="1"/>
  <c r="L99" i="42"/>
  <c r="M99" i="42" s="1"/>
  <c r="N99" i="42" s="1"/>
  <c r="O99" i="42" s="1"/>
  <c r="P99" i="42" s="1"/>
  <c r="Q99" i="42" s="1"/>
  <c r="R99" i="42" s="1"/>
  <c r="S99" i="42" s="1"/>
  <c r="T99" i="42" s="1"/>
  <c r="U99" i="42" s="1"/>
  <c r="V99" i="42" s="1"/>
  <c r="G100" i="42"/>
  <c r="H100" i="42"/>
  <c r="I100" i="42" s="1"/>
  <c r="J100" i="42"/>
  <c r="K100" i="42" s="1"/>
  <c r="L100" i="42" s="1"/>
  <c r="M100" i="42" s="1"/>
  <c r="N100" i="42" s="1"/>
  <c r="O100" i="42" s="1"/>
  <c r="P100" i="42" s="1"/>
  <c r="Q100" i="42" s="1"/>
  <c r="R100" i="42" s="1"/>
  <c r="S100" i="42" s="1"/>
  <c r="T100" i="42" s="1"/>
  <c r="U100" i="42" s="1"/>
  <c r="V100" i="42" s="1"/>
  <c r="G101" i="42"/>
  <c r="H101" i="42"/>
  <c r="I101" i="42" s="1"/>
  <c r="J101" i="42" s="1"/>
  <c r="K101" i="42" s="1"/>
  <c r="L101" i="42" s="1"/>
  <c r="M101" i="42" s="1"/>
  <c r="N101" i="42" s="1"/>
  <c r="O101" i="42" s="1"/>
  <c r="P101" i="42" s="1"/>
  <c r="Q101" i="42" s="1"/>
  <c r="R101" i="42" s="1"/>
  <c r="S101" i="42" s="1"/>
  <c r="T101" i="42" s="1"/>
  <c r="U101" i="42" s="1"/>
  <c r="V101" i="42" s="1"/>
  <c r="G102" i="42"/>
  <c r="H102" i="42"/>
  <c r="I102" i="42" s="1"/>
  <c r="J102" i="42"/>
  <c r="K102" i="42" s="1"/>
  <c r="L102" i="42"/>
  <c r="M102" i="42" s="1"/>
  <c r="N102" i="42" s="1"/>
  <c r="O102" i="42" s="1"/>
  <c r="P102" i="42" s="1"/>
  <c r="Q102" i="42" s="1"/>
  <c r="R102" i="42" s="1"/>
  <c r="S102" i="42" s="1"/>
  <c r="T102" i="42" s="1"/>
  <c r="U102" i="42" s="1"/>
  <c r="V102" i="42" s="1"/>
  <c r="F103" i="42"/>
  <c r="F110" i="42"/>
  <c r="F111" i="42" s="1"/>
  <c r="D104" i="42"/>
  <c r="B101" i="42"/>
  <c r="B95" i="42"/>
  <c r="B87" i="42"/>
  <c r="B65" i="42"/>
  <c r="B56" i="42"/>
  <c r="B48" i="42"/>
  <c r="B46" i="42"/>
  <c r="B43" i="42"/>
  <c r="B33" i="42"/>
  <c r="F17" i="42"/>
  <c r="F29" i="42"/>
  <c r="L23" i="42" s="1"/>
  <c r="G19" i="42"/>
  <c r="H19" i="42"/>
  <c r="R23" i="42" s="1"/>
  <c r="U23" i="42"/>
  <c r="O23" i="42"/>
  <c r="K23" i="42"/>
  <c r="G7" i="42"/>
  <c r="H7" i="42" s="1"/>
  <c r="F18" i="42"/>
  <c r="E18" i="42"/>
  <c r="E17" i="42"/>
  <c r="G32" i="40"/>
  <c r="H32" i="40"/>
  <c r="G33" i="40"/>
  <c r="H33" i="40"/>
  <c r="I33" i="40" s="1"/>
  <c r="J33" i="40" s="1"/>
  <c r="K33" i="40" s="1"/>
  <c r="L33" i="40" s="1"/>
  <c r="M33" i="40" s="1"/>
  <c r="N33" i="40" s="1"/>
  <c r="O33" i="40" s="1"/>
  <c r="P33" i="40" s="1"/>
  <c r="Q33" i="40" s="1"/>
  <c r="R33" i="40" s="1"/>
  <c r="S33" i="40" s="1"/>
  <c r="T33" i="40" s="1"/>
  <c r="U33" i="40" s="1"/>
  <c r="V33" i="40" s="1"/>
  <c r="W33" i="40" s="1"/>
  <c r="X33" i="40" s="1"/>
  <c r="I35" i="40"/>
  <c r="J35" i="40" s="1"/>
  <c r="K35" i="40" s="1"/>
  <c r="L35" i="40" s="1"/>
  <c r="M35" i="40" s="1"/>
  <c r="N35" i="40" s="1"/>
  <c r="O35" i="40" s="1"/>
  <c r="P35" i="40" s="1"/>
  <c r="Q35" i="40" s="1"/>
  <c r="R35" i="40" s="1"/>
  <c r="S35" i="40" s="1"/>
  <c r="T35" i="40" s="1"/>
  <c r="U35" i="40" s="1"/>
  <c r="V35" i="40" s="1"/>
  <c r="W35" i="40" s="1"/>
  <c r="X35" i="40" s="1"/>
  <c r="I34" i="40"/>
  <c r="J34" i="40" s="1"/>
  <c r="K34" i="40" s="1"/>
  <c r="L34" i="40" s="1"/>
  <c r="M34" i="40" s="1"/>
  <c r="N34" i="40" s="1"/>
  <c r="O34" i="40" s="1"/>
  <c r="P34" i="40" s="1"/>
  <c r="Q34" i="40" s="1"/>
  <c r="R34" i="40" s="1"/>
  <c r="S34" i="40" s="1"/>
  <c r="T34" i="40" s="1"/>
  <c r="U34" i="40" s="1"/>
  <c r="V34" i="40" s="1"/>
  <c r="W34" i="40" s="1"/>
  <c r="X34" i="40" s="1"/>
  <c r="G34" i="40"/>
  <c r="H34" i="40"/>
  <c r="G35" i="40"/>
  <c r="H35" i="40"/>
  <c r="I36" i="40"/>
  <c r="G36" i="40"/>
  <c r="H36" i="40" s="1"/>
  <c r="I37" i="40"/>
  <c r="J37" i="40" s="1"/>
  <c r="G37" i="40"/>
  <c r="H37" i="40"/>
  <c r="K37" i="40"/>
  <c r="L37" i="40" s="1"/>
  <c r="M37" i="40" s="1"/>
  <c r="N37" i="40" s="1"/>
  <c r="O37" i="40" s="1"/>
  <c r="P37" i="40" s="1"/>
  <c r="Q37" i="40" s="1"/>
  <c r="R37" i="40" s="1"/>
  <c r="S37" i="40" s="1"/>
  <c r="T37" i="40" s="1"/>
  <c r="U37" i="40" s="1"/>
  <c r="V37" i="40" s="1"/>
  <c r="W37" i="40" s="1"/>
  <c r="X37" i="40" s="1"/>
  <c r="I38" i="40"/>
  <c r="G38" i="40"/>
  <c r="H38" i="40"/>
  <c r="J38" i="40"/>
  <c r="K38" i="40" s="1"/>
  <c r="L38" i="40" s="1"/>
  <c r="M38" i="40" s="1"/>
  <c r="N38" i="40" s="1"/>
  <c r="O38" i="40" s="1"/>
  <c r="P38" i="40" s="1"/>
  <c r="Q38" i="40" s="1"/>
  <c r="R38" i="40" s="1"/>
  <c r="S38" i="40" s="1"/>
  <c r="T38" i="40" s="1"/>
  <c r="U38" i="40" s="1"/>
  <c r="V38" i="40" s="1"/>
  <c r="W38" i="40" s="1"/>
  <c r="X38" i="40" s="1"/>
  <c r="I39" i="40"/>
  <c r="G39" i="40"/>
  <c r="H39" i="40"/>
  <c r="J39" i="40"/>
  <c r="K39" i="40" s="1"/>
  <c r="L39" i="40" s="1"/>
  <c r="M39" i="40" s="1"/>
  <c r="N39" i="40" s="1"/>
  <c r="O39" i="40" s="1"/>
  <c r="P39" i="40" s="1"/>
  <c r="Q39" i="40" s="1"/>
  <c r="R39" i="40" s="1"/>
  <c r="S39" i="40" s="1"/>
  <c r="T39" i="40" s="1"/>
  <c r="U39" i="40" s="1"/>
  <c r="V39" i="40" s="1"/>
  <c r="W39" i="40" s="1"/>
  <c r="X39" i="40" s="1"/>
  <c r="I40" i="40"/>
  <c r="J40" i="40" s="1"/>
  <c r="K40" i="40" s="1"/>
  <c r="L40" i="40" s="1"/>
  <c r="M40" i="40" s="1"/>
  <c r="N40" i="40" s="1"/>
  <c r="O40" i="40" s="1"/>
  <c r="P40" i="40" s="1"/>
  <c r="Q40" i="40" s="1"/>
  <c r="R40" i="40" s="1"/>
  <c r="S40" i="40" s="1"/>
  <c r="T40" i="40" s="1"/>
  <c r="U40" i="40" s="1"/>
  <c r="V40" i="40" s="1"/>
  <c r="W40" i="40" s="1"/>
  <c r="X40" i="40" s="1"/>
  <c r="G40" i="40"/>
  <c r="H40" i="40"/>
  <c r="G42" i="40"/>
  <c r="F17" i="40"/>
  <c r="F31" i="40"/>
  <c r="E17" i="40"/>
  <c r="E31" i="40" s="1"/>
  <c r="P30" i="40"/>
  <c r="Q30" i="40" s="1"/>
  <c r="R30" i="40" s="1"/>
  <c r="S30" i="40" s="1"/>
  <c r="T30" i="40" s="1"/>
  <c r="U30" i="40" s="1"/>
  <c r="V30" i="40" s="1"/>
  <c r="W30" i="40" s="1"/>
  <c r="X30" i="40" s="1"/>
  <c r="M30" i="40"/>
  <c r="N30" i="40"/>
  <c r="G19" i="40"/>
  <c r="H19" i="40" s="1"/>
  <c r="I27" i="40"/>
  <c r="F18" i="40"/>
  <c r="V14" i="40" s="1"/>
  <c r="J18" i="40"/>
  <c r="K18" i="40" s="1"/>
  <c r="L18" i="40" s="1"/>
  <c r="M18" i="40" s="1"/>
  <c r="N18" i="40" s="1"/>
  <c r="O18" i="40" s="1"/>
  <c r="P18" i="40" s="1"/>
  <c r="Q18" i="40" s="1"/>
  <c r="R18" i="40" s="1"/>
  <c r="S18" i="40" s="1"/>
  <c r="T18" i="40" s="1"/>
  <c r="U18" i="40" s="1"/>
  <c r="V18" i="40" s="1"/>
  <c r="W18" i="40" s="1"/>
  <c r="X18" i="40" s="1"/>
  <c r="G18" i="40"/>
  <c r="H18" i="40" s="1"/>
  <c r="E18" i="40"/>
  <c r="G8" i="40"/>
  <c r="H8" i="40" s="1"/>
  <c r="K8" i="23"/>
  <c r="G37" i="39"/>
  <c r="H37" i="39" s="1"/>
  <c r="G36" i="39"/>
  <c r="H36" i="39" s="1"/>
  <c r="G35" i="39"/>
  <c r="H35" i="39"/>
  <c r="G34" i="39"/>
  <c r="H34" i="39"/>
  <c r="G33" i="39"/>
  <c r="H33" i="39" s="1"/>
  <c r="G32" i="39"/>
  <c r="H32" i="39" s="1"/>
  <c r="G31" i="39"/>
  <c r="H31" i="39"/>
  <c r="G30" i="39"/>
  <c r="H30" i="39"/>
  <c r="G29" i="39"/>
  <c r="H29" i="39" s="1"/>
  <c r="F28" i="39"/>
  <c r="E28" i="39"/>
  <c r="G18" i="39"/>
  <c r="H18" i="39"/>
  <c r="G8" i="39"/>
  <c r="H8" i="39"/>
  <c r="G7" i="39"/>
  <c r="H7" i="39" s="1"/>
  <c r="L49" i="5"/>
  <c r="L48" i="5"/>
  <c r="L47" i="5"/>
  <c r="L46" i="5"/>
  <c r="L45" i="5"/>
  <c r="L39" i="5"/>
  <c r="L38" i="5"/>
  <c r="L37" i="5"/>
  <c r="L36" i="5"/>
  <c r="L35" i="5"/>
  <c r="L34" i="5"/>
  <c r="L33" i="5"/>
  <c r="L32" i="5"/>
  <c r="L31" i="5"/>
  <c r="L30" i="5"/>
  <c r="L29" i="5"/>
  <c r="L28" i="5"/>
  <c r="G39" i="4"/>
  <c r="K48" i="4"/>
  <c r="F39" i="4"/>
  <c r="K47" i="4" s="1"/>
  <c r="E39" i="4"/>
  <c r="K46" i="4"/>
  <c r="D39" i="4"/>
  <c r="K45" i="4"/>
  <c r="C39" i="4"/>
  <c r="K44" i="4"/>
  <c r="B39" i="4"/>
  <c r="K43" i="4" s="1"/>
  <c r="N21" i="4"/>
  <c r="K38" i="4"/>
  <c r="M21" i="4"/>
  <c r="K37" i="4"/>
  <c r="L21" i="4"/>
  <c r="K36" i="4"/>
  <c r="K21" i="4"/>
  <c r="K35" i="4" s="1"/>
  <c r="J21" i="4"/>
  <c r="K34" i="4"/>
  <c r="I21" i="4"/>
  <c r="K33" i="4"/>
  <c r="H21" i="4"/>
  <c r="K32" i="4"/>
  <c r="G21" i="4"/>
  <c r="K31" i="4" s="1"/>
  <c r="F21" i="4"/>
  <c r="K30" i="4"/>
  <c r="E21" i="4"/>
  <c r="K29" i="4"/>
  <c r="D21" i="4"/>
  <c r="K28" i="4"/>
  <c r="C21" i="4"/>
  <c r="K27" i="4" s="1"/>
  <c r="B21" i="4"/>
  <c r="K26" i="4"/>
  <c r="D18" i="58"/>
  <c r="F56" i="63"/>
  <c r="L21" i="63" s="1"/>
  <c r="N21" i="63" s="1"/>
  <c r="V21" i="70" s="1"/>
  <c r="T21" i="70" s="1"/>
  <c r="D21" i="70" l="1"/>
  <c r="G196" i="55"/>
  <c r="G51" i="55"/>
  <c r="F99" i="55" s="1"/>
  <c r="G99" i="55" s="1"/>
  <c r="T90" i="68"/>
  <c r="U90" i="68" s="1"/>
  <c r="S88" i="68"/>
  <c r="G90" i="68"/>
  <c r="F88" i="68"/>
  <c r="R88" i="68"/>
  <c r="T88" i="68"/>
  <c r="D9" i="66"/>
  <c r="K9" i="66"/>
  <c r="K15" i="65"/>
  <c r="I25" i="70" s="1"/>
  <c r="I44" i="70" s="1"/>
  <c r="I43" i="70" s="1"/>
  <c r="H11" i="66"/>
  <c r="H9" i="66" s="1"/>
  <c r="AH189" i="64"/>
  <c r="AI189" i="64" s="1"/>
  <c r="AC187" i="64"/>
  <c r="L15" i="65"/>
  <c r="J25" i="70" s="1"/>
  <c r="J44" i="70" s="1"/>
  <c r="J43" i="70" s="1"/>
  <c r="I10" i="66"/>
  <c r="I9" i="66" s="1"/>
  <c r="L9" i="66"/>
  <c r="I15" i="65"/>
  <c r="G25" i="70" s="1"/>
  <c r="G44" i="70" s="1"/>
  <c r="G43" i="70" s="1"/>
  <c r="F10" i="66"/>
  <c r="F9" i="66" s="1"/>
  <c r="AH170" i="64"/>
  <c r="AI170" i="64" s="1"/>
  <c r="AJ170" i="64" s="1"/>
  <c r="N188" i="64"/>
  <c r="M187" i="64"/>
  <c r="L161" i="64"/>
  <c r="H160" i="64"/>
  <c r="AL102" i="64"/>
  <c r="AL99" i="64" s="1"/>
  <c r="AC152" i="64"/>
  <c r="AH152" i="64" s="1"/>
  <c r="AI152" i="64" s="1"/>
  <c r="AJ152" i="64" s="1"/>
  <c r="AK152" i="64" s="1"/>
  <c r="AL152" i="64" s="1"/>
  <c r="AM152" i="64" s="1"/>
  <c r="AN152" i="64" s="1"/>
  <c r="AO152" i="64" s="1"/>
  <c r="AP152" i="64" s="1"/>
  <c r="AQ152" i="64" s="1"/>
  <c r="AC148" i="64"/>
  <c r="AH148" i="64" s="1"/>
  <c r="AI148" i="64" s="1"/>
  <c r="AJ148" i="64" s="1"/>
  <c r="AK148" i="64" s="1"/>
  <c r="AL148" i="64" s="1"/>
  <c r="AM148" i="64" s="1"/>
  <c r="AN148" i="64" s="1"/>
  <c r="AO148" i="64" s="1"/>
  <c r="AP148" i="64" s="1"/>
  <c r="AQ148" i="64" s="1"/>
  <c r="AC144" i="64"/>
  <c r="AH144" i="64" s="1"/>
  <c r="AI144" i="64" s="1"/>
  <c r="G15" i="65"/>
  <c r="E25" i="70" s="1"/>
  <c r="K141" i="64"/>
  <c r="K140" i="64" s="1"/>
  <c r="J168" i="64"/>
  <c r="E25" i="65" s="1"/>
  <c r="H158" i="64"/>
  <c r="L158" i="64" s="1"/>
  <c r="M158" i="64" s="1"/>
  <c r="N158" i="64" s="1"/>
  <c r="H144" i="64"/>
  <c r="L144" i="64" s="1"/>
  <c r="M144" i="64" s="1"/>
  <c r="N144" i="64" s="1"/>
  <c r="O144" i="64" s="1"/>
  <c r="P144" i="64" s="1"/>
  <c r="Q144" i="64" s="1"/>
  <c r="R144" i="64" s="1"/>
  <c r="S144" i="64" s="1"/>
  <c r="T144" i="64" s="1"/>
  <c r="U144" i="64" s="1"/>
  <c r="H137" i="64"/>
  <c r="L137" i="64" s="1"/>
  <c r="M137" i="64" s="1"/>
  <c r="N137" i="64" s="1"/>
  <c r="O137" i="64" s="1"/>
  <c r="P137" i="64" s="1"/>
  <c r="Q137" i="64" s="1"/>
  <c r="R137" i="64" s="1"/>
  <c r="S137" i="64" s="1"/>
  <c r="T137" i="64" s="1"/>
  <c r="U137" i="64" s="1"/>
  <c r="AG140" i="64"/>
  <c r="AG118" i="64" s="1"/>
  <c r="V24" i="65" s="1"/>
  <c r="AM104" i="64"/>
  <c r="AC167" i="64"/>
  <c r="AH167" i="64" s="1"/>
  <c r="AI167" i="64" s="1"/>
  <c r="AJ167" i="64" s="1"/>
  <c r="AK167" i="64" s="1"/>
  <c r="AL167" i="64" s="1"/>
  <c r="AM167" i="64" s="1"/>
  <c r="AN167" i="64" s="1"/>
  <c r="AO167" i="64" s="1"/>
  <c r="AP167" i="64" s="1"/>
  <c r="AQ167" i="64" s="1"/>
  <c r="AC163" i="64"/>
  <c r="AC151" i="64"/>
  <c r="AH151" i="64" s="1"/>
  <c r="AI151" i="64" s="1"/>
  <c r="AJ151" i="64" s="1"/>
  <c r="AK151" i="64" s="1"/>
  <c r="AL151" i="64" s="1"/>
  <c r="AM151" i="64" s="1"/>
  <c r="AN151" i="64" s="1"/>
  <c r="AO151" i="64" s="1"/>
  <c r="AP151" i="64" s="1"/>
  <c r="AQ151" i="64" s="1"/>
  <c r="AC147" i="64"/>
  <c r="AC143" i="64"/>
  <c r="AH143" i="64" s="1"/>
  <c r="AC190" i="64"/>
  <c r="AH190" i="64" s="1"/>
  <c r="AI190" i="64" s="1"/>
  <c r="AJ190" i="64" s="1"/>
  <c r="AK190" i="64" s="1"/>
  <c r="AL190" i="64" s="1"/>
  <c r="AM190" i="64" s="1"/>
  <c r="AN190" i="64" s="1"/>
  <c r="AO190" i="64" s="1"/>
  <c r="AP190" i="64" s="1"/>
  <c r="AQ190" i="64" s="1"/>
  <c r="J140" i="64"/>
  <c r="H157" i="64"/>
  <c r="H143" i="64"/>
  <c r="L143" i="64" s="1"/>
  <c r="AC191" i="64"/>
  <c r="AH191" i="64" s="1"/>
  <c r="AI191" i="64" s="1"/>
  <c r="AJ191" i="64" s="1"/>
  <c r="AK191" i="64" s="1"/>
  <c r="AL191" i="64" s="1"/>
  <c r="AM191" i="64" s="1"/>
  <c r="AN191" i="64" s="1"/>
  <c r="AO191" i="64" s="1"/>
  <c r="AP191" i="64" s="1"/>
  <c r="AQ191" i="64" s="1"/>
  <c r="I141" i="64"/>
  <c r="AE118" i="64"/>
  <c r="T24" i="65" s="1"/>
  <c r="E9" i="66"/>
  <c r="G9" i="66"/>
  <c r="M9" i="66"/>
  <c r="AC150" i="64"/>
  <c r="AH150" i="64" s="1"/>
  <c r="AI150" i="64" s="1"/>
  <c r="AJ150" i="64" s="1"/>
  <c r="AK150" i="64" s="1"/>
  <c r="AL150" i="64" s="1"/>
  <c r="AM150" i="64" s="1"/>
  <c r="AN150" i="64" s="1"/>
  <c r="AO150" i="64" s="1"/>
  <c r="AP150" i="64" s="1"/>
  <c r="AQ150" i="64" s="1"/>
  <c r="AC130" i="64"/>
  <c r="AH130" i="64" s="1"/>
  <c r="AI130" i="64" s="1"/>
  <c r="AJ130" i="64" s="1"/>
  <c r="AK130" i="64" s="1"/>
  <c r="AL130" i="64" s="1"/>
  <c r="AM130" i="64" s="1"/>
  <c r="AN130" i="64" s="1"/>
  <c r="AO130" i="64" s="1"/>
  <c r="AP130" i="64" s="1"/>
  <c r="AQ130" i="64" s="1"/>
  <c r="K168" i="64"/>
  <c r="F25" i="65" s="1"/>
  <c r="AC185" i="64"/>
  <c r="AC181" i="64"/>
  <c r="AH181" i="64" s="1"/>
  <c r="AI181" i="64" s="1"/>
  <c r="AJ181" i="64" s="1"/>
  <c r="AK181" i="64" s="1"/>
  <c r="AL181" i="64" s="1"/>
  <c r="AM181" i="64" s="1"/>
  <c r="AN181" i="64" s="1"/>
  <c r="AO181" i="64" s="1"/>
  <c r="AP181" i="64" s="1"/>
  <c r="AQ181" i="64" s="1"/>
  <c r="AC161" i="64"/>
  <c r="AC126" i="64"/>
  <c r="AH126" i="64" s="1"/>
  <c r="AI126" i="64" s="1"/>
  <c r="AJ126" i="64" s="1"/>
  <c r="AK126" i="64" s="1"/>
  <c r="AL126" i="64" s="1"/>
  <c r="AM126" i="64" s="1"/>
  <c r="AN126" i="64" s="1"/>
  <c r="AO126" i="64" s="1"/>
  <c r="AP126" i="64" s="1"/>
  <c r="AQ126" i="64" s="1"/>
  <c r="AG168" i="64"/>
  <c r="V25" i="65" s="1"/>
  <c r="AC149" i="64"/>
  <c r="AH149" i="64" s="1"/>
  <c r="AI149" i="64" s="1"/>
  <c r="AJ149" i="64" s="1"/>
  <c r="AC177" i="64"/>
  <c r="AH177" i="64" s="1"/>
  <c r="AI177" i="64" s="1"/>
  <c r="AJ177" i="64" s="1"/>
  <c r="AK177" i="64" s="1"/>
  <c r="AL177" i="64" s="1"/>
  <c r="AM177" i="64" s="1"/>
  <c r="AN177" i="64" s="1"/>
  <c r="AO177" i="64" s="1"/>
  <c r="AP177" i="64" s="1"/>
  <c r="AQ177" i="64" s="1"/>
  <c r="AC125" i="64"/>
  <c r="AH125" i="64" s="1"/>
  <c r="AI125" i="64" s="1"/>
  <c r="AJ125" i="64" s="1"/>
  <c r="AK125" i="64" s="1"/>
  <c r="AL125" i="64" s="1"/>
  <c r="AM125" i="64" s="1"/>
  <c r="AN125" i="64" s="1"/>
  <c r="AO125" i="64" s="1"/>
  <c r="AP125" i="64" s="1"/>
  <c r="AQ125" i="64" s="1"/>
  <c r="H153" i="64"/>
  <c r="L153" i="64" s="1"/>
  <c r="M153" i="64" s="1"/>
  <c r="N153" i="64" s="1"/>
  <c r="O153" i="64" s="1"/>
  <c r="P153" i="64" s="1"/>
  <c r="Q153" i="64" s="1"/>
  <c r="R153" i="64" s="1"/>
  <c r="S153" i="64" s="1"/>
  <c r="T153" i="64" s="1"/>
  <c r="U153" i="64" s="1"/>
  <c r="H145" i="64"/>
  <c r="L145" i="64" s="1"/>
  <c r="M145" i="64" s="1"/>
  <c r="N145" i="64" s="1"/>
  <c r="O145" i="64" s="1"/>
  <c r="P145" i="64" s="1"/>
  <c r="Q145" i="64" s="1"/>
  <c r="R145" i="64" s="1"/>
  <c r="S145" i="64" s="1"/>
  <c r="T145" i="64" s="1"/>
  <c r="U145" i="64" s="1"/>
  <c r="H142" i="64"/>
  <c r="L147" i="64"/>
  <c r="M147" i="64" s="1"/>
  <c r="AH122" i="64"/>
  <c r="AI122" i="64" s="1"/>
  <c r="AC121" i="64"/>
  <c r="H15" i="64"/>
  <c r="O15" i="65"/>
  <c r="M25" i="70" s="1"/>
  <c r="M44" i="70" s="1"/>
  <c r="M43" i="70" s="1"/>
  <c r="D163" i="64"/>
  <c r="Y163" i="64" s="1"/>
  <c r="AO103" i="64"/>
  <c r="X11" i="66" s="1"/>
  <c r="AC135" i="64"/>
  <c r="AH135" i="64" s="1"/>
  <c r="AI135" i="64" s="1"/>
  <c r="AJ135" i="64" s="1"/>
  <c r="AK135" i="64" s="1"/>
  <c r="AL135" i="64" s="1"/>
  <c r="AM135" i="64" s="1"/>
  <c r="AN135" i="64" s="1"/>
  <c r="AO135" i="64" s="1"/>
  <c r="AP135" i="64" s="1"/>
  <c r="AQ135" i="64" s="1"/>
  <c r="H128" i="64"/>
  <c r="H55" i="64"/>
  <c r="H65" i="64"/>
  <c r="G91" i="64"/>
  <c r="H51" i="64"/>
  <c r="AN99" i="64"/>
  <c r="AQ102" i="64"/>
  <c r="H26" i="64"/>
  <c r="AC133" i="64"/>
  <c r="AH133" i="64" s="1"/>
  <c r="AI133" i="64" s="1"/>
  <c r="AJ133" i="64" s="1"/>
  <c r="AK133" i="64" s="1"/>
  <c r="AL133" i="64" s="1"/>
  <c r="AM133" i="64" s="1"/>
  <c r="AN133" i="64" s="1"/>
  <c r="AO133" i="64" s="1"/>
  <c r="AP133" i="64" s="1"/>
  <c r="AQ133" i="64" s="1"/>
  <c r="H138" i="64"/>
  <c r="L138" i="64" s="1"/>
  <c r="M138" i="64" s="1"/>
  <c r="N138" i="64" s="1"/>
  <c r="O138" i="64" s="1"/>
  <c r="P138" i="64" s="1"/>
  <c r="Q138" i="64" s="1"/>
  <c r="R138" i="64" s="1"/>
  <c r="S138" i="64" s="1"/>
  <c r="T138" i="64" s="1"/>
  <c r="U138" i="64" s="1"/>
  <c r="J15" i="65"/>
  <c r="H25" i="70" s="1"/>
  <c r="H44" i="70" s="1"/>
  <c r="H43" i="70" s="1"/>
  <c r="H15" i="65"/>
  <c r="F25" i="70" s="1"/>
  <c r="F44" i="70" s="1"/>
  <c r="F43" i="70" s="1"/>
  <c r="AC139" i="64"/>
  <c r="AH139" i="64" s="1"/>
  <c r="AI139" i="64" s="1"/>
  <c r="AJ139" i="64" s="1"/>
  <c r="AK139" i="64" s="1"/>
  <c r="AL139" i="64" s="1"/>
  <c r="AM139" i="64" s="1"/>
  <c r="AN139" i="64" s="1"/>
  <c r="AO139" i="64" s="1"/>
  <c r="AP139" i="64" s="1"/>
  <c r="AQ139" i="64" s="1"/>
  <c r="B21" i="70"/>
  <c r="U22" i="70"/>
  <c r="U15" i="70"/>
  <c r="U16" i="70"/>
  <c r="U17" i="70"/>
  <c r="U18" i="70"/>
  <c r="U19" i="70"/>
  <c r="U20" i="70"/>
  <c r="U21" i="70"/>
  <c r="H144" i="70"/>
  <c r="H126" i="62"/>
  <c r="I119" i="62" s="1"/>
  <c r="I117" i="62" s="1"/>
  <c r="E20" i="62" s="1"/>
  <c r="H39" i="62"/>
  <c r="I33" i="62" s="1"/>
  <c r="I31" i="62" s="1"/>
  <c r="H68" i="62"/>
  <c r="H69" i="62" s="1"/>
  <c r="I63" i="62" s="1"/>
  <c r="G64" i="61"/>
  <c r="G149" i="61"/>
  <c r="H143" i="61" s="1"/>
  <c r="H141" i="61" s="1"/>
  <c r="D16" i="61" s="1"/>
  <c r="G115" i="61"/>
  <c r="H110" i="61" s="1"/>
  <c r="H108" i="61" s="1"/>
  <c r="D15" i="61" s="1"/>
  <c r="G78" i="61"/>
  <c r="H174" i="60"/>
  <c r="D15" i="60" s="1"/>
  <c r="G67" i="60"/>
  <c r="G85" i="60"/>
  <c r="E89" i="61"/>
  <c r="G89" i="61"/>
  <c r="E77" i="61"/>
  <c r="G77" i="61" s="1"/>
  <c r="G101" i="60"/>
  <c r="G63" i="61"/>
  <c r="E102" i="61"/>
  <c r="G102" i="61"/>
  <c r="E88" i="61"/>
  <c r="G88" i="61"/>
  <c r="E76" i="61"/>
  <c r="G76" i="61" s="1"/>
  <c r="E59" i="61"/>
  <c r="G59" i="61" s="1"/>
  <c r="G64" i="60"/>
  <c r="E47" i="61"/>
  <c r="G47" i="61" s="1"/>
  <c r="E85" i="61"/>
  <c r="G85" i="61" s="1"/>
  <c r="G52" i="60"/>
  <c r="G102" i="60"/>
  <c r="G99" i="60"/>
  <c r="G117" i="60"/>
  <c r="G116" i="60"/>
  <c r="G82" i="60"/>
  <c r="G48" i="60"/>
  <c r="G60" i="59"/>
  <c r="G131" i="59"/>
  <c r="G130" i="59"/>
  <c r="G76" i="59"/>
  <c r="G124" i="59"/>
  <c r="F129" i="59"/>
  <c r="G75" i="59"/>
  <c r="F111" i="59"/>
  <c r="G111" i="59" s="1"/>
  <c r="G57" i="59"/>
  <c r="G127" i="59"/>
  <c r="G110" i="59"/>
  <c r="G56" i="59"/>
  <c r="G72" i="59"/>
  <c r="G71" i="59"/>
  <c r="G53" i="59"/>
  <c r="G52" i="59"/>
  <c r="G122" i="59"/>
  <c r="G68" i="59"/>
  <c r="I268" i="56"/>
  <c r="I213" i="56"/>
  <c r="I184" i="56"/>
  <c r="I171" i="56"/>
  <c r="I47" i="56"/>
  <c r="I392" i="56"/>
  <c r="I29" i="56"/>
  <c r="I367" i="56"/>
  <c r="I255" i="56"/>
  <c r="I210" i="56"/>
  <c r="I128" i="56"/>
  <c r="I159" i="56"/>
  <c r="I631" i="56"/>
  <c r="I628" i="56"/>
  <c r="I97" i="56"/>
  <c r="I398" i="56"/>
  <c r="I348" i="56"/>
  <c r="I78" i="56"/>
  <c r="I16" i="56"/>
  <c r="H76" i="56"/>
  <c r="I76" i="56" s="1"/>
  <c r="I75" i="56" s="1"/>
  <c r="I423" i="56"/>
  <c r="I379" i="56"/>
  <c r="I288" i="56"/>
  <c r="I252" i="56"/>
  <c r="I153" i="56"/>
  <c r="F237" i="56"/>
  <c r="G237" i="56" s="1"/>
  <c r="I410" i="56"/>
  <c r="I491" i="56"/>
  <c r="F267" i="56"/>
  <c r="I267" i="56" s="1"/>
  <c r="I258" i="56" s="1"/>
  <c r="I615" i="56"/>
  <c r="I274" i="56"/>
  <c r="I122" i="56"/>
  <c r="I634" i="56"/>
  <c r="I485" i="56"/>
  <c r="I190" i="56"/>
  <c r="I301" i="56"/>
  <c r="I271" i="56"/>
  <c r="I207" i="56"/>
  <c r="I140" i="56"/>
  <c r="I612" i="56"/>
  <c r="I407" i="56"/>
  <c r="I304" i="56"/>
  <c r="I307" i="56"/>
  <c r="I66" i="56"/>
  <c r="I35" i="56"/>
  <c r="I472" i="56"/>
  <c r="I454" i="56"/>
  <c r="I441" i="56"/>
  <c r="I60" i="56"/>
  <c r="I285" i="56"/>
  <c r="I46" i="56"/>
  <c r="I44" i="56" s="1"/>
  <c r="E593" i="56"/>
  <c r="F593" i="56" s="1"/>
  <c r="G593" i="56" s="1"/>
  <c r="H593" i="56" s="1"/>
  <c r="E594" i="56"/>
  <c r="F594" i="56" s="1"/>
  <c r="G594" i="56" s="1"/>
  <c r="H594" i="56" s="1"/>
  <c r="F626" i="56"/>
  <c r="I626" i="56" s="1"/>
  <c r="I469" i="56"/>
  <c r="I429" i="56"/>
  <c r="G185" i="55"/>
  <c r="G261" i="55"/>
  <c r="G313" i="55"/>
  <c r="F382" i="55" s="1"/>
  <c r="G382" i="55" s="1"/>
  <c r="G324" i="55"/>
  <c r="G118" i="55"/>
  <c r="G345" i="55"/>
  <c r="F384" i="55" s="1"/>
  <c r="G384" i="55" s="1"/>
  <c r="G167" i="55"/>
  <c r="G319" i="55"/>
  <c r="G269" i="55"/>
  <c r="G221" i="55"/>
  <c r="G232" i="55"/>
  <c r="F122" i="50"/>
  <c r="D128" i="50" s="1"/>
  <c r="D129" i="50" s="1"/>
  <c r="F44" i="63"/>
  <c r="H79" i="52"/>
  <c r="G33" i="52"/>
  <c r="H41" i="52"/>
  <c r="H51" i="52"/>
  <c r="H57" i="52"/>
  <c r="H62" i="52"/>
  <c r="H67" i="52"/>
  <c r="H71" i="52"/>
  <c r="H77" i="52"/>
  <c r="H42" i="52"/>
  <c r="H54" i="52"/>
  <c r="H63" i="52"/>
  <c r="H74" i="52"/>
  <c r="H194" i="52"/>
  <c r="H207" i="52"/>
  <c r="H222" i="52"/>
  <c r="H44" i="52"/>
  <c r="H56" i="52"/>
  <c r="H66" i="52"/>
  <c r="H76" i="52"/>
  <c r="H59" i="52"/>
  <c r="H189" i="52"/>
  <c r="H199" i="52"/>
  <c r="H229" i="52"/>
  <c r="H233" i="52"/>
  <c r="H257" i="52"/>
  <c r="J67" i="50"/>
  <c r="J63" i="50"/>
  <c r="J66" i="50"/>
  <c r="J62" i="50"/>
  <c r="J59" i="50"/>
  <c r="H55" i="52"/>
  <c r="H255" i="52"/>
  <c r="F81" i="50"/>
  <c r="G81" i="50" s="1"/>
  <c r="J90" i="50" s="1"/>
  <c r="H70" i="52"/>
  <c r="F76" i="50"/>
  <c r="G76" i="50" s="1"/>
  <c r="H48" i="52"/>
  <c r="H75" i="52"/>
  <c r="H43" i="52"/>
  <c r="H190" i="52"/>
  <c r="H58" i="52"/>
  <c r="H187" i="52"/>
  <c r="H191" i="52"/>
  <c r="H50" i="52"/>
  <c r="H68" i="52"/>
  <c r="E122" i="50"/>
  <c r="H65" i="52"/>
  <c r="H259" i="52"/>
  <c r="H273" i="52"/>
  <c r="H46" i="52"/>
  <c r="H61" i="52"/>
  <c r="H78" i="52"/>
  <c r="K27" i="40"/>
  <c r="R23" i="40"/>
  <c r="J23" i="40"/>
  <c r="U19" i="40"/>
  <c r="U21" i="40" s="1"/>
  <c r="Q19" i="40"/>
  <c r="Q21" i="40" s="1"/>
  <c r="M19" i="40"/>
  <c r="M21" i="40" s="1"/>
  <c r="I21" i="40"/>
  <c r="Q23" i="40"/>
  <c r="I23" i="40"/>
  <c r="X23" i="40"/>
  <c r="P23" i="40"/>
  <c r="X19" i="40"/>
  <c r="X21" i="40" s="1"/>
  <c r="T19" i="40"/>
  <c r="T21" i="40" s="1"/>
  <c r="P19" i="40"/>
  <c r="P21" i="40" s="1"/>
  <c r="L19" i="40"/>
  <c r="L21" i="40" s="1"/>
  <c r="W23" i="40"/>
  <c r="O23" i="40"/>
  <c r="V23" i="40"/>
  <c r="N23" i="40"/>
  <c r="W19" i="40"/>
  <c r="W21" i="40" s="1"/>
  <c r="S19" i="40"/>
  <c r="S21" i="40" s="1"/>
  <c r="O19" i="40"/>
  <c r="O21" i="40" s="1"/>
  <c r="K19" i="40"/>
  <c r="K21" i="40" s="1"/>
  <c r="U23" i="40"/>
  <c r="M23" i="40"/>
  <c r="T23" i="40"/>
  <c r="L23" i="40"/>
  <c r="V19" i="40"/>
  <c r="V21" i="40" s="1"/>
  <c r="R19" i="40"/>
  <c r="R21" i="40" s="1"/>
  <c r="N19" i="40"/>
  <c r="N21" i="40" s="1"/>
  <c r="J19" i="40"/>
  <c r="J21" i="40" s="1"/>
  <c r="S23" i="40"/>
  <c r="K23" i="40"/>
  <c r="I42" i="40"/>
  <c r="U14" i="40"/>
  <c r="M14" i="40"/>
  <c r="T14" i="40"/>
  <c r="L14" i="40"/>
  <c r="S14" i="40"/>
  <c r="K14" i="40"/>
  <c r="Q14" i="40"/>
  <c r="I14" i="40"/>
  <c r="X14" i="40"/>
  <c r="P14" i="40"/>
  <c r="A21" i="70"/>
  <c r="O14" i="40"/>
  <c r="W14" i="40"/>
  <c r="J32" i="40"/>
  <c r="G18" i="42"/>
  <c r="H18" i="42" s="1"/>
  <c r="M23" i="42"/>
  <c r="J36" i="40"/>
  <c r="K36" i="40" s="1"/>
  <c r="L36" i="40" s="1"/>
  <c r="M36" i="40" s="1"/>
  <c r="N36" i="40" s="1"/>
  <c r="O36" i="40" s="1"/>
  <c r="P36" i="40" s="1"/>
  <c r="Q36" i="40" s="1"/>
  <c r="R36" i="40" s="1"/>
  <c r="S36" i="40" s="1"/>
  <c r="T36" i="40" s="1"/>
  <c r="U36" i="40" s="1"/>
  <c r="V36" i="40" s="1"/>
  <c r="W36" i="40" s="1"/>
  <c r="X36" i="40" s="1"/>
  <c r="V20" i="42"/>
  <c r="Q23" i="42"/>
  <c r="J14" i="40"/>
  <c r="R14" i="40"/>
  <c r="G23" i="42"/>
  <c r="I23" i="42"/>
  <c r="S23" i="42"/>
  <c r="J23" i="42"/>
  <c r="T23" i="42"/>
  <c r="N14" i="40"/>
  <c r="V23" i="42"/>
  <c r="N23" i="42"/>
  <c r="V22" i="42"/>
  <c r="P23" i="42"/>
  <c r="H23" i="42"/>
  <c r="G30" i="42"/>
  <c r="G31" i="42"/>
  <c r="H31" i="42" s="1"/>
  <c r="I31" i="42" s="1"/>
  <c r="J31" i="42" s="1"/>
  <c r="K31" i="42" s="1"/>
  <c r="L31" i="42" s="1"/>
  <c r="M31" i="42" s="1"/>
  <c r="N31" i="42" s="1"/>
  <c r="O31" i="42" s="1"/>
  <c r="P31" i="42" s="1"/>
  <c r="Q31" i="42" s="1"/>
  <c r="R31" i="42" s="1"/>
  <c r="S31" i="42" s="1"/>
  <c r="T31" i="42" s="1"/>
  <c r="U31" i="42" s="1"/>
  <c r="V31" i="42" s="1"/>
  <c r="G32" i="42"/>
  <c r="H32" i="42" s="1"/>
  <c r="I32" i="42" s="1"/>
  <c r="J32" i="42" s="1"/>
  <c r="K32" i="42" s="1"/>
  <c r="L32" i="42" s="1"/>
  <c r="M32" i="42" s="1"/>
  <c r="N32" i="42" s="1"/>
  <c r="O32" i="42" s="1"/>
  <c r="P32" i="42" s="1"/>
  <c r="Q32" i="42" s="1"/>
  <c r="R32" i="42" s="1"/>
  <c r="S32" i="42" s="1"/>
  <c r="T32" i="42" s="1"/>
  <c r="U32" i="42" s="1"/>
  <c r="V32" i="42" s="1"/>
  <c r="G33" i="42"/>
  <c r="H33" i="42" s="1"/>
  <c r="I33" i="42" s="1"/>
  <c r="J33" i="42" s="1"/>
  <c r="K33" i="42" s="1"/>
  <c r="L33" i="42" s="1"/>
  <c r="M33" i="42" s="1"/>
  <c r="N33" i="42" s="1"/>
  <c r="O33" i="42" s="1"/>
  <c r="P33" i="42" s="1"/>
  <c r="Q33" i="42" s="1"/>
  <c r="R33" i="42" s="1"/>
  <c r="S33" i="42" s="1"/>
  <c r="T33" i="42" s="1"/>
  <c r="U33" i="42" s="1"/>
  <c r="V33" i="42" s="1"/>
  <c r="G34" i="42"/>
  <c r="H34" i="42" s="1"/>
  <c r="I34" i="42" s="1"/>
  <c r="J34" i="42" s="1"/>
  <c r="K34" i="42" s="1"/>
  <c r="L34" i="42" s="1"/>
  <c r="M34" i="42" s="1"/>
  <c r="N34" i="42" s="1"/>
  <c r="O34" i="42" s="1"/>
  <c r="P34" i="42" s="1"/>
  <c r="Q34" i="42" s="1"/>
  <c r="R34" i="42" s="1"/>
  <c r="S34" i="42" s="1"/>
  <c r="T34" i="42" s="1"/>
  <c r="U34" i="42" s="1"/>
  <c r="V34" i="42" s="1"/>
  <c r="G35" i="42"/>
  <c r="H35" i="42" s="1"/>
  <c r="I35" i="42" s="1"/>
  <c r="J35" i="42" s="1"/>
  <c r="K35" i="42" s="1"/>
  <c r="L35" i="42" s="1"/>
  <c r="M35" i="42" s="1"/>
  <c r="N35" i="42" s="1"/>
  <c r="O35" i="42" s="1"/>
  <c r="P35" i="42" s="1"/>
  <c r="Q35" i="42" s="1"/>
  <c r="R35" i="42" s="1"/>
  <c r="S35" i="42" s="1"/>
  <c r="T35" i="42" s="1"/>
  <c r="U35" i="42" s="1"/>
  <c r="V35" i="42" s="1"/>
  <c r="G36" i="42"/>
  <c r="H36" i="42" s="1"/>
  <c r="I36" i="42" s="1"/>
  <c r="J36" i="42" s="1"/>
  <c r="K36" i="42" s="1"/>
  <c r="L36" i="42" s="1"/>
  <c r="M36" i="42" s="1"/>
  <c r="N36" i="42" s="1"/>
  <c r="O36" i="42" s="1"/>
  <c r="P36" i="42" s="1"/>
  <c r="Q36" i="42" s="1"/>
  <c r="R36" i="42" s="1"/>
  <c r="S36" i="42" s="1"/>
  <c r="T36" i="42" s="1"/>
  <c r="U36" i="42" s="1"/>
  <c r="V36" i="42" s="1"/>
  <c r="G37" i="42"/>
  <c r="H37" i="42" s="1"/>
  <c r="I37" i="42" s="1"/>
  <c r="J37" i="42" s="1"/>
  <c r="K37" i="42" s="1"/>
  <c r="L37" i="42" s="1"/>
  <c r="M37" i="42" s="1"/>
  <c r="N37" i="42" s="1"/>
  <c r="O37" i="42" s="1"/>
  <c r="P37" i="42" s="1"/>
  <c r="Q37" i="42" s="1"/>
  <c r="R37" i="42" s="1"/>
  <c r="S37" i="42" s="1"/>
  <c r="T37" i="42" s="1"/>
  <c r="U37" i="42" s="1"/>
  <c r="V37" i="42" s="1"/>
  <c r="G38" i="42"/>
  <c r="H38" i="42" s="1"/>
  <c r="I38" i="42" s="1"/>
  <c r="J38" i="42" s="1"/>
  <c r="K38" i="42" s="1"/>
  <c r="L38" i="42" s="1"/>
  <c r="M38" i="42" s="1"/>
  <c r="N38" i="42" s="1"/>
  <c r="O38" i="42" s="1"/>
  <c r="P38" i="42" s="1"/>
  <c r="Q38" i="42" s="1"/>
  <c r="R38" i="42" s="1"/>
  <c r="S38" i="42" s="1"/>
  <c r="T38" i="42" s="1"/>
  <c r="U38" i="42" s="1"/>
  <c r="V38" i="42" s="1"/>
  <c r="G39" i="42"/>
  <c r="H39" i="42" s="1"/>
  <c r="I39" i="42" s="1"/>
  <c r="J39" i="42" s="1"/>
  <c r="K39" i="42" s="1"/>
  <c r="L39" i="42" s="1"/>
  <c r="M39" i="42" s="1"/>
  <c r="N39" i="42" s="1"/>
  <c r="O39" i="42" s="1"/>
  <c r="P39" i="42" s="1"/>
  <c r="Q39" i="42" s="1"/>
  <c r="R39" i="42" s="1"/>
  <c r="S39" i="42" s="1"/>
  <c r="T39" i="42" s="1"/>
  <c r="U39" i="42" s="1"/>
  <c r="V39" i="42" s="1"/>
  <c r="G40" i="42"/>
  <c r="H40" i="42" s="1"/>
  <c r="I40" i="42" s="1"/>
  <c r="J40" i="42" s="1"/>
  <c r="K40" i="42" s="1"/>
  <c r="L40" i="42" s="1"/>
  <c r="M40" i="42" s="1"/>
  <c r="N40" i="42" s="1"/>
  <c r="O40" i="42" s="1"/>
  <c r="P40" i="42" s="1"/>
  <c r="Q40" i="42" s="1"/>
  <c r="R40" i="42" s="1"/>
  <c r="S40" i="42" s="1"/>
  <c r="T40" i="42" s="1"/>
  <c r="U40" i="42" s="1"/>
  <c r="V40" i="42" s="1"/>
  <c r="G41" i="42"/>
  <c r="H41" i="42" s="1"/>
  <c r="I41" i="42" s="1"/>
  <c r="J41" i="42" s="1"/>
  <c r="K41" i="42" s="1"/>
  <c r="L41" i="42" s="1"/>
  <c r="M41" i="42" s="1"/>
  <c r="N41" i="42" s="1"/>
  <c r="O41" i="42" s="1"/>
  <c r="P41" i="42" s="1"/>
  <c r="Q41" i="42" s="1"/>
  <c r="R41" i="42" s="1"/>
  <c r="S41" i="42" s="1"/>
  <c r="T41" i="42" s="1"/>
  <c r="U41" i="42" s="1"/>
  <c r="V41" i="42" s="1"/>
  <c r="R30" i="47"/>
  <c r="I26" i="41"/>
  <c r="F26" i="41"/>
  <c r="I50" i="41"/>
  <c r="I51" i="41" s="1"/>
  <c r="K76" i="41"/>
  <c r="K77" i="41" s="1"/>
  <c r="C76" i="41"/>
  <c r="C77" i="41" s="1"/>
  <c r="C127" i="41"/>
  <c r="C128" i="41"/>
  <c r="E151" i="41"/>
  <c r="E152" i="41" s="1"/>
  <c r="F32" i="52"/>
  <c r="F30" i="52"/>
  <c r="G25" i="41"/>
  <c r="D25" i="41"/>
  <c r="D26" i="41" s="1"/>
  <c r="J76" i="41"/>
  <c r="J77" i="41" s="1"/>
  <c r="M76" i="41"/>
  <c r="M77" i="41" s="1"/>
  <c r="D76" i="41"/>
  <c r="D77" i="41"/>
  <c r="O76" i="41"/>
  <c r="H127" i="41"/>
  <c r="H128" i="41"/>
  <c r="F31" i="52"/>
  <c r="F33" i="52"/>
  <c r="H25" i="41"/>
  <c r="H26" i="41" s="1"/>
  <c r="I76" i="41"/>
  <c r="I77" i="41" s="1"/>
  <c r="O77" i="41"/>
  <c r="G151" i="41"/>
  <c r="G152" i="41" s="1"/>
  <c r="C25" i="41"/>
  <c r="C26" i="41" s="1"/>
  <c r="K50" i="41"/>
  <c r="K51" i="41" s="1"/>
  <c r="E76" i="41"/>
  <c r="E77" i="41" s="1"/>
  <c r="P76" i="41"/>
  <c r="P77" i="41" s="1"/>
  <c r="D103" i="41"/>
  <c r="D104" i="41" s="1"/>
  <c r="G26" i="41"/>
  <c r="G76" i="41"/>
  <c r="G77" i="41" s="1"/>
  <c r="H76" i="41"/>
  <c r="H77" i="41" s="1"/>
  <c r="D151" i="41"/>
  <c r="F152" i="41"/>
  <c r="E104" i="48"/>
  <c r="E25" i="41"/>
  <c r="E26" i="41" s="1"/>
  <c r="C103" i="41"/>
  <c r="C104" i="41" s="1"/>
  <c r="E103" i="41"/>
  <c r="K64" i="50"/>
  <c r="J64" i="50"/>
  <c r="D122" i="50"/>
  <c r="G28" i="52"/>
  <c r="G32" i="52" s="1"/>
  <c r="D111" i="50"/>
  <c r="C152" i="41"/>
  <c r="J65" i="50"/>
  <c r="H49" i="52"/>
  <c r="H69" i="52"/>
  <c r="I140" i="64"/>
  <c r="I118" i="64" s="1"/>
  <c r="D24" i="65" s="1"/>
  <c r="AF140" i="64"/>
  <c r="AF118" i="64" s="1"/>
  <c r="U24" i="65" s="1"/>
  <c r="Y15" i="65"/>
  <c r="Y25" i="70" s="1"/>
  <c r="Y44" i="70" s="1"/>
  <c r="Y43" i="70" s="1"/>
  <c r="S10" i="66"/>
  <c r="S9" i="66" s="1"/>
  <c r="AQ100" i="64"/>
  <c r="H108" i="70"/>
  <c r="H142" i="70" s="1"/>
  <c r="H141" i="70"/>
  <c r="U12" i="66"/>
  <c r="T12" i="66"/>
  <c r="J26" i="41"/>
  <c r="E104" i="41"/>
  <c r="J60" i="50"/>
  <c r="J68" i="50"/>
  <c r="E235" i="56"/>
  <c r="E240" i="56"/>
  <c r="F240" i="56" s="1"/>
  <c r="K234" i="56"/>
  <c r="J118" i="64"/>
  <c r="E24" i="65" s="1"/>
  <c r="K118" i="64"/>
  <c r="F24" i="65" s="1"/>
  <c r="AP105" i="64"/>
  <c r="L29" i="67"/>
  <c r="H26" i="67"/>
  <c r="H34" i="67" s="1"/>
  <c r="H40" i="67" s="1"/>
  <c r="M84" i="67"/>
  <c r="W12" i="66"/>
  <c r="AJ164" i="64"/>
  <c r="T11" i="66"/>
  <c r="AK108" i="64"/>
  <c r="AP104" i="64"/>
  <c r="AP103" i="64" s="1"/>
  <c r="Y11" i="66" s="1"/>
  <c r="L95" i="67"/>
  <c r="M94" i="67" s="1"/>
  <c r="H94" i="67"/>
  <c r="AK149" i="64"/>
  <c r="AL149" i="64" s="1"/>
  <c r="AM149" i="64" s="1"/>
  <c r="AN149" i="64" s="1"/>
  <c r="AO149" i="64" s="1"/>
  <c r="AP149" i="64" s="1"/>
  <c r="AQ149" i="64" s="1"/>
  <c r="R10" i="66"/>
  <c r="R9" i="66" s="1"/>
  <c r="X15" i="65"/>
  <c r="X25" i="70" s="1"/>
  <c r="X44" i="70" s="1"/>
  <c r="X43" i="70" s="1"/>
  <c r="AP102" i="64"/>
  <c r="M26" i="67"/>
  <c r="H112" i="70"/>
  <c r="H145" i="70"/>
  <c r="Z12" i="66"/>
  <c r="M15" i="65"/>
  <c r="K25" i="70" s="1"/>
  <c r="K44" i="70" s="1"/>
  <c r="K43" i="70" s="1"/>
  <c r="J10" i="66"/>
  <c r="J9" i="66" s="1"/>
  <c r="D152" i="41"/>
  <c r="J61" i="50"/>
  <c r="AP101" i="64"/>
  <c r="L81" i="67"/>
  <c r="M80" i="67" s="1"/>
  <c r="M100" i="67" s="1"/>
  <c r="M106" i="67" s="1"/>
  <c r="Q35" i="68" s="1"/>
  <c r="H80" i="67"/>
  <c r="H100" i="67" s="1"/>
  <c r="H106" i="67" s="1"/>
  <c r="D35" i="68" s="1"/>
  <c r="Q10" i="66"/>
  <c r="AN108" i="64"/>
  <c r="AQ104" i="64"/>
  <c r="AL103" i="64"/>
  <c r="U11" i="66" s="1"/>
  <c r="M15" i="67"/>
  <c r="M34" i="67" s="1"/>
  <c r="M40" i="67" s="1"/>
  <c r="AJ157" i="64"/>
  <c r="AI156" i="64"/>
  <c r="AI155" i="64" s="1"/>
  <c r="AH103" i="64"/>
  <c r="T10" i="66"/>
  <c r="AO102" i="64"/>
  <c r="AM105" i="64"/>
  <c r="AM103" i="64" s="1"/>
  <c r="V11" i="66" s="1"/>
  <c r="H140" i="70"/>
  <c r="AP107" i="64"/>
  <c r="AP106" i="64" s="1"/>
  <c r="AE14" i="65" s="1"/>
  <c r="AK188" i="64"/>
  <c r="AI169" i="64"/>
  <c r="AJ171" i="64"/>
  <c r="AK171" i="64" s="1"/>
  <c r="AL171" i="64" s="1"/>
  <c r="AM171" i="64" s="1"/>
  <c r="AN171" i="64" s="1"/>
  <c r="AO171" i="64" s="1"/>
  <c r="AP171" i="64" s="1"/>
  <c r="AQ171" i="64" s="1"/>
  <c r="N172" i="64"/>
  <c r="M169" i="64"/>
  <c r="M168" i="64" s="1"/>
  <c r="E15" i="66" s="1"/>
  <c r="Q123" i="64"/>
  <c r="AM101" i="64"/>
  <c r="AM99" i="64" s="1"/>
  <c r="AO107" i="64"/>
  <c r="AO106" i="64" s="1"/>
  <c r="AD14" i="65" s="1"/>
  <c r="AJ144" i="64"/>
  <c r="AK144" i="64" s="1"/>
  <c r="AL144" i="64" s="1"/>
  <c r="AM144" i="64" s="1"/>
  <c r="AN144" i="64" s="1"/>
  <c r="AO144" i="64" s="1"/>
  <c r="AP144" i="64" s="1"/>
  <c r="AQ144" i="64" s="1"/>
  <c r="AP100" i="64"/>
  <c r="AK170" i="64"/>
  <c r="S91" i="68"/>
  <c r="D164" i="64"/>
  <c r="AO100" i="64"/>
  <c r="AO99" i="64" s="1"/>
  <c r="AI187" i="64"/>
  <c r="AJ189" i="64"/>
  <c r="AK189" i="64" s="1"/>
  <c r="AL189" i="64" s="1"/>
  <c r="AM189" i="64" s="1"/>
  <c r="AN189" i="64" s="1"/>
  <c r="AO189" i="64" s="1"/>
  <c r="AP189" i="64" s="1"/>
  <c r="AQ189" i="64" s="1"/>
  <c r="T122" i="64"/>
  <c r="F579" i="56"/>
  <c r="G579" i="56" s="1"/>
  <c r="X89" i="68"/>
  <c r="T92" i="68"/>
  <c r="P15" i="65"/>
  <c r="N25" i="70" s="1"/>
  <c r="N44" i="70" s="1"/>
  <c r="N43" i="70" s="1"/>
  <c r="Q163" i="64"/>
  <c r="O158" i="64"/>
  <c r="P158" i="64" s="1"/>
  <c r="Q158" i="64" s="1"/>
  <c r="R158" i="64" s="1"/>
  <c r="S158" i="64" s="1"/>
  <c r="T158" i="64" s="1"/>
  <c r="U158" i="64" s="1"/>
  <c r="P170" i="64"/>
  <c r="O125" i="64"/>
  <c r="P125" i="64" s="1"/>
  <c r="Q125" i="64" s="1"/>
  <c r="R125" i="64" s="1"/>
  <c r="S125" i="64" s="1"/>
  <c r="T125" i="64" s="1"/>
  <c r="U125" i="64" s="1"/>
  <c r="N184" i="64"/>
  <c r="O185" i="64"/>
  <c r="N165" i="64"/>
  <c r="O165" i="64" s="1"/>
  <c r="P165" i="64" s="1"/>
  <c r="Q165" i="64" s="1"/>
  <c r="R165" i="64" s="1"/>
  <c r="S165" i="64" s="1"/>
  <c r="T165" i="64" s="1"/>
  <c r="U165" i="64" s="1"/>
  <c r="M162" i="64"/>
  <c r="G92" i="68"/>
  <c r="F91" i="68"/>
  <c r="H50" i="54"/>
  <c r="N15" i="65"/>
  <c r="L25" i="70" s="1"/>
  <c r="L44" i="70" s="1"/>
  <c r="L43" i="70" s="1"/>
  <c r="O188" i="64"/>
  <c r="N187" i="64"/>
  <c r="O164" i="64"/>
  <c r="N162" i="64"/>
  <c r="I438" i="56"/>
  <c r="G296" i="55"/>
  <c r="F381" i="55" s="1"/>
  <c r="G381" i="55" s="1"/>
  <c r="I361" i="56"/>
  <c r="I299" i="56"/>
  <c r="F300" i="56"/>
  <c r="I300" i="56" s="1"/>
  <c r="I460" i="56"/>
  <c r="I109" i="56"/>
  <c r="I345" i="56"/>
  <c r="I216" i="56"/>
  <c r="H108" i="56"/>
  <c r="I91" i="56"/>
  <c r="G19" i="71"/>
  <c r="D35" i="71" s="1"/>
  <c r="G17" i="71"/>
  <c r="G18" i="71"/>
  <c r="H115" i="62"/>
  <c r="I98" i="62" s="1"/>
  <c r="I89" i="62" s="1"/>
  <c r="I605" i="56"/>
  <c r="H643" i="56" s="1"/>
  <c r="F126" i="59"/>
  <c r="F109" i="59"/>
  <c r="G357" i="55"/>
  <c r="F385" i="55" s="1"/>
  <c r="G385" i="55" s="1"/>
  <c r="G373" i="55"/>
  <c r="F386" i="55" s="1"/>
  <c r="G386" i="55" s="1"/>
  <c r="G320" i="55"/>
  <c r="H87" i="62"/>
  <c r="I81" i="62" s="1"/>
  <c r="I79" i="62" s="1"/>
  <c r="G108" i="59"/>
  <c r="F45" i="63"/>
  <c r="G207" i="55"/>
  <c r="F276" i="55" s="1"/>
  <c r="G276" i="55" s="1"/>
  <c r="H77" i="62"/>
  <c r="I71" i="62" s="1"/>
  <c r="G244" i="55"/>
  <c r="I192" i="59"/>
  <c r="G70" i="55"/>
  <c r="F100" i="55" s="1"/>
  <c r="G100" i="55" s="1"/>
  <c r="F48" i="63"/>
  <c r="I13" i="56"/>
  <c r="G252" i="55"/>
  <c r="H49" i="62"/>
  <c r="H50" i="62" s="1"/>
  <c r="I44" i="62" s="1"/>
  <c r="I42" i="62" s="1"/>
  <c r="I144" i="59"/>
  <c r="I134" i="59" s="1"/>
  <c r="D15" i="59" s="1"/>
  <c r="G126" i="59"/>
  <c r="F46" i="63"/>
  <c r="G139" i="55"/>
  <c r="G129" i="59"/>
  <c r="G157" i="55"/>
  <c r="G94" i="55"/>
  <c r="F101" i="55" s="1"/>
  <c r="G101" i="55" s="1"/>
  <c r="H59" i="62"/>
  <c r="I53" i="62" s="1"/>
  <c r="G109" i="59"/>
  <c r="G77" i="59"/>
  <c r="G69" i="59"/>
  <c r="G58" i="59"/>
  <c r="G50" i="59"/>
  <c r="G118" i="60"/>
  <c r="G91" i="60"/>
  <c r="G83" i="60"/>
  <c r="AC156" i="64"/>
  <c r="AC155" i="64" s="1"/>
  <c r="AH155" i="64" s="1"/>
  <c r="F113" i="59"/>
  <c r="G113" i="59" s="1"/>
  <c r="F105" i="59"/>
  <c r="G105" i="59" s="1"/>
  <c r="G74" i="59"/>
  <c r="G55" i="59"/>
  <c r="G123" i="60"/>
  <c r="G115" i="60"/>
  <c r="G40" i="60"/>
  <c r="H26" i="60" s="1"/>
  <c r="H24" i="60" s="1"/>
  <c r="F47" i="63"/>
  <c r="H132" i="64"/>
  <c r="L132" i="64" s="1"/>
  <c r="M132" i="64" s="1"/>
  <c r="N132" i="64" s="1"/>
  <c r="O132" i="64" s="1"/>
  <c r="P132" i="64" s="1"/>
  <c r="Q132" i="64" s="1"/>
  <c r="R132" i="64" s="1"/>
  <c r="S132" i="64" s="1"/>
  <c r="T132" i="64" s="1"/>
  <c r="U132" i="64" s="1"/>
  <c r="G171" i="60"/>
  <c r="H137" i="60" s="1"/>
  <c r="H128" i="60" s="1"/>
  <c r="G104" i="60"/>
  <c r="AH169" i="64"/>
  <c r="G32" i="61"/>
  <c r="E46" i="61"/>
  <c r="G46" i="61" s="1"/>
  <c r="E98" i="61"/>
  <c r="G98" i="61" s="1"/>
  <c r="E84" i="61"/>
  <c r="G84" i="61" s="1"/>
  <c r="E72" i="61"/>
  <c r="E58" i="61"/>
  <c r="G58" i="61" s="1"/>
  <c r="F125" i="59"/>
  <c r="G125" i="59" s="1"/>
  <c r="G91" i="59"/>
  <c r="G96" i="59" s="1"/>
  <c r="I82" i="59" s="1"/>
  <c r="I80" i="59" s="1"/>
  <c r="G73" i="59"/>
  <c r="G54" i="59"/>
  <c r="I28" i="59"/>
  <c r="I26" i="59" s="1"/>
  <c r="G122" i="60"/>
  <c r="G107" i="60"/>
  <c r="G87" i="60"/>
  <c r="G92" i="60" s="1"/>
  <c r="H78" i="60" s="1"/>
  <c r="G54" i="60"/>
  <c r="I97" i="48"/>
  <c r="J97" i="48" s="1"/>
  <c r="K97" i="48" s="1"/>
  <c r="L97" i="48" s="1"/>
  <c r="M97" i="48" s="1"/>
  <c r="N97" i="48" s="1"/>
  <c r="O97" i="48" s="1"/>
  <c r="P97" i="48" s="1"/>
  <c r="Q97" i="48" s="1"/>
  <c r="R97" i="48" s="1"/>
  <c r="S97" i="48" s="1"/>
  <c r="T97" i="48" s="1"/>
  <c r="U97" i="48" s="1"/>
  <c r="V97" i="48" s="1"/>
  <c r="W97" i="48" s="1"/>
  <c r="X94" i="48" s="1"/>
  <c r="G70" i="59"/>
  <c r="G59" i="59"/>
  <c r="G51" i="59"/>
  <c r="G119" i="60"/>
  <c r="G100" i="60"/>
  <c r="G108" i="60" s="1"/>
  <c r="H94" i="60" s="1"/>
  <c r="F65" i="60"/>
  <c r="G65" i="60" s="1"/>
  <c r="F49" i="60"/>
  <c r="G49" i="60" s="1"/>
  <c r="F47" i="60"/>
  <c r="G47" i="60" s="1"/>
  <c r="F63" i="60"/>
  <c r="G63" i="60" s="1"/>
  <c r="F121" i="59"/>
  <c r="G121" i="59" s="1"/>
  <c r="F104" i="59"/>
  <c r="G104" i="59" s="1"/>
  <c r="F73" i="60"/>
  <c r="G73" i="60" s="1"/>
  <c r="F57" i="60"/>
  <c r="G57" i="60" s="1"/>
  <c r="F55" i="60"/>
  <c r="G55" i="60" s="1"/>
  <c r="F71" i="60"/>
  <c r="G71" i="60" s="1"/>
  <c r="F69" i="60"/>
  <c r="G69" i="60" s="1"/>
  <c r="F53" i="60"/>
  <c r="G53" i="60" s="1"/>
  <c r="I62" i="48"/>
  <c r="J62" i="48" s="1"/>
  <c r="K62" i="48" s="1"/>
  <c r="L62" i="48" s="1"/>
  <c r="M62" i="48" s="1"/>
  <c r="N62" i="48" s="1"/>
  <c r="O62" i="48" s="1"/>
  <c r="P62" i="48" s="1"/>
  <c r="Q62" i="48" s="1"/>
  <c r="R62" i="48" s="1"/>
  <c r="S62" i="48" s="1"/>
  <c r="T62" i="48" s="1"/>
  <c r="U62" i="48" s="1"/>
  <c r="V62" i="48" s="1"/>
  <c r="W62" i="48" s="1"/>
  <c r="J46" i="48"/>
  <c r="K46" i="48" s="1"/>
  <c r="L46" i="48" s="1"/>
  <c r="M46" i="48" s="1"/>
  <c r="N46" i="48" s="1"/>
  <c r="O46" i="48" s="1"/>
  <c r="P46" i="48" s="1"/>
  <c r="Q46" i="48" s="1"/>
  <c r="R46" i="48" s="1"/>
  <c r="S46" i="48" s="1"/>
  <c r="T46" i="48" s="1"/>
  <c r="U46" i="48" s="1"/>
  <c r="V46" i="48" s="1"/>
  <c r="W46" i="48" s="1"/>
  <c r="H39" i="47"/>
  <c r="I39" i="47" s="1"/>
  <c r="J39" i="47" s="1"/>
  <c r="L162" i="64"/>
  <c r="L146" i="64"/>
  <c r="G72" i="61"/>
  <c r="F51" i="60"/>
  <c r="G51" i="60" s="1"/>
  <c r="H71" i="47"/>
  <c r="I71" i="47" s="1"/>
  <c r="J71" i="47" s="1"/>
  <c r="H31" i="47"/>
  <c r="L187" i="64"/>
  <c r="L169" i="64"/>
  <c r="L168" i="64" s="1"/>
  <c r="D15" i="66" s="1"/>
  <c r="I58" i="48"/>
  <c r="J58" i="48" s="1"/>
  <c r="K58" i="48" s="1"/>
  <c r="L58" i="48" s="1"/>
  <c r="M58" i="48" s="1"/>
  <c r="N58" i="48" s="1"/>
  <c r="O58" i="48" s="1"/>
  <c r="P58" i="48" s="1"/>
  <c r="Q58" i="48" s="1"/>
  <c r="R58" i="48" s="1"/>
  <c r="S58" i="48" s="1"/>
  <c r="T58" i="48" s="1"/>
  <c r="U58" i="48" s="1"/>
  <c r="V58" i="48" s="1"/>
  <c r="W58" i="48" s="1"/>
  <c r="I34" i="48"/>
  <c r="J34" i="48" s="1"/>
  <c r="K34" i="48" s="1"/>
  <c r="L34" i="48" s="1"/>
  <c r="M34" i="48" s="1"/>
  <c r="N34" i="48" s="1"/>
  <c r="O34" i="48" s="1"/>
  <c r="P34" i="48" s="1"/>
  <c r="Q34" i="48" s="1"/>
  <c r="R34" i="48" s="1"/>
  <c r="S34" i="48" s="1"/>
  <c r="T34" i="48" s="1"/>
  <c r="U34" i="48" s="1"/>
  <c r="V34" i="48" s="1"/>
  <c r="W34" i="48" s="1"/>
  <c r="I70" i="48"/>
  <c r="J70" i="48" s="1"/>
  <c r="K70" i="48" s="1"/>
  <c r="L70" i="48" s="1"/>
  <c r="M70" i="48" s="1"/>
  <c r="N70" i="48" s="1"/>
  <c r="O70" i="48" s="1"/>
  <c r="P70" i="48" s="1"/>
  <c r="Q70" i="48" s="1"/>
  <c r="R70" i="48" s="1"/>
  <c r="S70" i="48" s="1"/>
  <c r="T70" i="48" s="1"/>
  <c r="U70" i="48" s="1"/>
  <c r="V70" i="48" s="1"/>
  <c r="W70" i="48" s="1"/>
  <c r="H67" i="47"/>
  <c r="I67" i="47" s="1"/>
  <c r="J67" i="47" s="1"/>
  <c r="H55" i="47"/>
  <c r="I55" i="47" s="1"/>
  <c r="J55" i="47" s="1"/>
  <c r="J45" i="48"/>
  <c r="K45" i="48" s="1"/>
  <c r="L45" i="48" s="1"/>
  <c r="M45" i="48" s="1"/>
  <c r="N45" i="48" s="1"/>
  <c r="O45" i="48" s="1"/>
  <c r="P45" i="48" s="1"/>
  <c r="Q45" i="48" s="1"/>
  <c r="R45" i="48" s="1"/>
  <c r="S45" i="48" s="1"/>
  <c r="T45" i="48" s="1"/>
  <c r="U45" i="48" s="1"/>
  <c r="V45" i="48" s="1"/>
  <c r="W45" i="48" s="1"/>
  <c r="X46" i="48" s="1"/>
  <c r="I66" i="48"/>
  <c r="J66" i="48" s="1"/>
  <c r="K66" i="48" s="1"/>
  <c r="L66" i="48" s="1"/>
  <c r="M66" i="48" s="1"/>
  <c r="N66" i="48" s="1"/>
  <c r="O66" i="48" s="1"/>
  <c r="P66" i="48" s="1"/>
  <c r="Q66" i="48" s="1"/>
  <c r="R66" i="48" s="1"/>
  <c r="S66" i="48" s="1"/>
  <c r="T66" i="48" s="1"/>
  <c r="U66" i="48" s="1"/>
  <c r="V66" i="48" s="1"/>
  <c r="W66" i="48" s="1"/>
  <c r="H63" i="47"/>
  <c r="I63" i="47" s="1"/>
  <c r="J63" i="47" s="1"/>
  <c r="H47" i="47"/>
  <c r="I47" i="47" s="1"/>
  <c r="J47" i="47" s="1"/>
  <c r="E74" i="61"/>
  <c r="G74" i="61" s="1"/>
  <c r="E52" i="61"/>
  <c r="G52" i="61" s="1"/>
  <c r="E50" i="61"/>
  <c r="G50" i="61" s="1"/>
  <c r="G38" i="61"/>
  <c r="E103" i="61"/>
  <c r="G103" i="61" s="1"/>
  <c r="E86" i="61"/>
  <c r="G86" i="61" s="1"/>
  <c r="E62" i="61"/>
  <c r="G62" i="61" s="1"/>
  <c r="G34" i="61"/>
  <c r="G37" i="61"/>
  <c r="E73" i="61"/>
  <c r="G73" i="61" s="1"/>
  <c r="E51" i="61"/>
  <c r="G51" i="61" s="1"/>
  <c r="N36" i="71" l="1"/>
  <c r="L12" i="63" s="1"/>
  <c r="N12" i="63" s="1"/>
  <c r="N37" i="71"/>
  <c r="N38" i="71" s="1"/>
  <c r="H90" i="68"/>
  <c r="G88" i="68"/>
  <c r="V90" i="68"/>
  <c r="U88" i="68"/>
  <c r="E44" i="70"/>
  <c r="E43" i="70" s="1"/>
  <c r="T128" i="50"/>
  <c r="T129" i="50" s="1"/>
  <c r="E19" i="53" s="1"/>
  <c r="I100" i="50"/>
  <c r="I101" i="50" s="1"/>
  <c r="I110" i="50" s="1"/>
  <c r="L29" i="52" s="1"/>
  <c r="L33" i="52" s="1"/>
  <c r="P128" i="50"/>
  <c r="P129" i="50" s="1"/>
  <c r="I128" i="50"/>
  <c r="I129" i="50" s="1"/>
  <c r="F128" i="50"/>
  <c r="F129" i="50" s="1"/>
  <c r="R128" i="50"/>
  <c r="R129" i="50" s="1"/>
  <c r="K128" i="50"/>
  <c r="K129" i="50" s="1"/>
  <c r="M143" i="64"/>
  <c r="L142" i="64"/>
  <c r="AH163" i="64"/>
  <c r="AC162" i="64"/>
  <c r="L160" i="64"/>
  <c r="M161" i="64"/>
  <c r="AJ169" i="64"/>
  <c r="L157" i="64"/>
  <c r="H156" i="64"/>
  <c r="H155" i="64" s="1"/>
  <c r="AH187" i="64"/>
  <c r="AC142" i="64"/>
  <c r="AC141" i="64" s="1"/>
  <c r="AC169" i="64"/>
  <c r="AC160" i="64"/>
  <c r="AH160" i="64" s="1"/>
  <c r="AH161" i="64"/>
  <c r="AI161" i="64" s="1"/>
  <c r="D71" i="64"/>
  <c r="D75" i="64" s="1"/>
  <c r="AH147" i="64"/>
  <c r="AC146" i="64"/>
  <c r="H146" i="64"/>
  <c r="AH185" i="64"/>
  <c r="AC184" i="64"/>
  <c r="L128" i="64"/>
  <c r="H121" i="64"/>
  <c r="L141" i="64"/>
  <c r="M146" i="64"/>
  <c r="N147" i="64"/>
  <c r="AI121" i="64"/>
  <c r="AJ122" i="64"/>
  <c r="AC132" i="64"/>
  <c r="H141" i="64"/>
  <c r="H140" i="64" s="1"/>
  <c r="AH121" i="64"/>
  <c r="Z15" i="65"/>
  <c r="Z25" i="70" s="1"/>
  <c r="Z44" i="70" s="1"/>
  <c r="Z43" i="70" s="1"/>
  <c r="H34" i="64"/>
  <c r="G40" i="64" s="1"/>
  <c r="AH142" i="64"/>
  <c r="AI143" i="64"/>
  <c r="I61" i="62"/>
  <c r="I29" i="62" s="1"/>
  <c r="H76" i="60"/>
  <c r="G132" i="59"/>
  <c r="I118" i="59" s="1"/>
  <c r="G78" i="59"/>
  <c r="I64" i="59" s="1"/>
  <c r="F627" i="56"/>
  <c r="I627" i="56" s="1"/>
  <c r="H107" i="56"/>
  <c r="I618" i="56"/>
  <c r="I637" i="56" s="1"/>
  <c r="I277" i="56"/>
  <c r="G330" i="56" s="1"/>
  <c r="H330" i="56" s="1"/>
  <c r="I291" i="56"/>
  <c r="I310" i="56" s="1"/>
  <c r="G331" i="56" s="1"/>
  <c r="H331" i="56" s="1"/>
  <c r="G318" i="55"/>
  <c r="G332" i="55" s="1"/>
  <c r="F383" i="55" s="1"/>
  <c r="G383" i="55" s="1"/>
  <c r="F275" i="55"/>
  <c r="G275" i="55" s="1"/>
  <c r="F277" i="55"/>
  <c r="G277" i="55" s="1"/>
  <c r="M128" i="50"/>
  <c r="M129" i="50" s="1"/>
  <c r="O128" i="50"/>
  <c r="O129" i="50" s="1"/>
  <c r="Q128" i="50"/>
  <c r="Q129" i="50" s="1"/>
  <c r="S128" i="50"/>
  <c r="S129" i="50" s="1"/>
  <c r="I90" i="50"/>
  <c r="I91" i="50" s="1"/>
  <c r="I109" i="50" s="1"/>
  <c r="H128" i="50"/>
  <c r="H129" i="50" s="1"/>
  <c r="J128" i="50"/>
  <c r="J129" i="50" s="1"/>
  <c r="L128" i="50"/>
  <c r="L129" i="50" s="1"/>
  <c r="N128" i="50"/>
  <c r="N129" i="50" s="1"/>
  <c r="E128" i="50"/>
  <c r="E129" i="50" s="1"/>
  <c r="G128" i="50"/>
  <c r="G129" i="50" s="1"/>
  <c r="G34" i="52"/>
  <c r="F9" i="63"/>
  <c r="F49" i="63" s="1"/>
  <c r="D14" i="70" s="1"/>
  <c r="L11" i="63"/>
  <c r="N11" i="63" s="1"/>
  <c r="E100" i="50"/>
  <c r="E101" i="50" s="1"/>
  <c r="E110" i="50" s="1"/>
  <c r="H29" i="52" s="1"/>
  <c r="H33" i="52" s="1"/>
  <c r="R100" i="50"/>
  <c r="R101" i="50" s="1"/>
  <c r="R110" i="50" s="1"/>
  <c r="U29" i="52" s="1"/>
  <c r="E18" i="53" s="1"/>
  <c r="O100" i="50"/>
  <c r="O101" i="50" s="1"/>
  <c r="O110" i="50" s="1"/>
  <c r="R29" i="52" s="1"/>
  <c r="R33" i="52" s="1"/>
  <c r="M90" i="50"/>
  <c r="M91" i="50" s="1"/>
  <c r="M109" i="50" s="1"/>
  <c r="N100" i="50"/>
  <c r="N101" i="50" s="1"/>
  <c r="N110" i="50" s="1"/>
  <c r="Q29" i="52" s="1"/>
  <c r="Q33" i="52" s="1"/>
  <c r="K100" i="50"/>
  <c r="K101" i="50" s="1"/>
  <c r="K110" i="50" s="1"/>
  <c r="N29" i="52" s="1"/>
  <c r="N33" i="52" s="1"/>
  <c r="H90" i="50"/>
  <c r="I93" i="50" s="1"/>
  <c r="E90" i="50"/>
  <c r="G100" i="50"/>
  <c r="G101" i="50" s="1"/>
  <c r="G110" i="50" s="1"/>
  <c r="J29" i="52" s="1"/>
  <c r="J33" i="52" s="1"/>
  <c r="R90" i="50"/>
  <c r="R91" i="50" s="1"/>
  <c r="R109" i="50" s="1"/>
  <c r="R111" i="50" s="1"/>
  <c r="M63" i="68" s="1"/>
  <c r="F100" i="50"/>
  <c r="F101" i="50" s="1"/>
  <c r="F110" i="50" s="1"/>
  <c r="I29" i="52" s="1"/>
  <c r="I33" i="52" s="1"/>
  <c r="P100" i="50"/>
  <c r="P101" i="50" s="1"/>
  <c r="P110" i="50" s="1"/>
  <c r="S29" i="52" s="1"/>
  <c r="S33" i="52" s="1"/>
  <c r="G90" i="50"/>
  <c r="G91" i="50" s="1"/>
  <c r="G109" i="50" s="1"/>
  <c r="M100" i="50"/>
  <c r="M101" i="50" s="1"/>
  <c r="M110" i="50" s="1"/>
  <c r="P29" i="52" s="1"/>
  <c r="P33" i="52" s="1"/>
  <c r="Q100" i="50"/>
  <c r="Q101" i="50" s="1"/>
  <c r="Q110" i="50" s="1"/>
  <c r="T29" i="52" s="1"/>
  <c r="T33" i="52" s="1"/>
  <c r="Q90" i="50"/>
  <c r="R93" i="50" s="1"/>
  <c r="E93" i="50"/>
  <c r="L100" i="50"/>
  <c r="L101" i="50" s="1"/>
  <c r="L110" i="50" s="1"/>
  <c r="O29" i="52" s="1"/>
  <c r="O33" i="52" s="1"/>
  <c r="N90" i="50"/>
  <c r="O93" i="50" s="1"/>
  <c r="O90" i="50"/>
  <c r="O91" i="50" s="1"/>
  <c r="O109" i="50" s="1"/>
  <c r="J100" i="50"/>
  <c r="J101" i="50" s="1"/>
  <c r="J110" i="50" s="1"/>
  <c r="M29" i="52" s="1"/>
  <c r="M33" i="52" s="1"/>
  <c r="H100" i="50"/>
  <c r="H101" i="50" s="1"/>
  <c r="H110" i="50" s="1"/>
  <c r="K29" i="52" s="1"/>
  <c r="K33" i="52" s="1"/>
  <c r="F90" i="50"/>
  <c r="K90" i="50"/>
  <c r="L93" i="50" s="1"/>
  <c r="P90" i="50"/>
  <c r="P91" i="50" s="1"/>
  <c r="P109" i="50" s="1"/>
  <c r="S28" i="52" s="1"/>
  <c r="S32" i="52" s="1"/>
  <c r="L90" i="50"/>
  <c r="M93" i="50" s="1"/>
  <c r="J91" i="50"/>
  <c r="J109" i="50" s="1"/>
  <c r="K93" i="50"/>
  <c r="G58" i="60"/>
  <c r="H44" i="60" s="1"/>
  <c r="D14" i="60"/>
  <c r="G278" i="55"/>
  <c r="F398" i="55" s="1"/>
  <c r="G398" i="55" s="1"/>
  <c r="H570" i="56"/>
  <c r="G91" i="61"/>
  <c r="H81" i="61" s="1"/>
  <c r="AM108" i="64"/>
  <c r="E19" i="62"/>
  <c r="G74" i="60"/>
  <c r="H60" i="60" s="1"/>
  <c r="G53" i="61"/>
  <c r="H43" i="61" s="1"/>
  <c r="G102" i="55"/>
  <c r="F397" i="55" s="1"/>
  <c r="G397" i="55" s="1"/>
  <c r="P164" i="64"/>
  <c r="O162" i="64"/>
  <c r="H92" i="68"/>
  <c r="G91" i="68"/>
  <c r="U92" i="68"/>
  <c r="T91" i="68"/>
  <c r="O172" i="64"/>
  <c r="N169" i="64"/>
  <c r="N168" i="64" s="1"/>
  <c r="F15" i="66" s="1"/>
  <c r="AK187" i="64"/>
  <c r="AL188" i="64"/>
  <c r="AK164" i="64"/>
  <c r="K26" i="41"/>
  <c r="I91" i="64"/>
  <c r="G55" i="48"/>
  <c r="I55" i="48" s="1"/>
  <c r="J55" i="48" s="1"/>
  <c r="K55" i="48" s="1"/>
  <c r="L55" i="48" s="1"/>
  <c r="M55" i="48" s="1"/>
  <c r="N55" i="48" s="1"/>
  <c r="O55" i="48" s="1"/>
  <c r="P55" i="48" s="1"/>
  <c r="Q55" i="48" s="1"/>
  <c r="R55" i="48" s="1"/>
  <c r="S55" i="48" s="1"/>
  <c r="T55" i="48" s="1"/>
  <c r="U55" i="48" s="1"/>
  <c r="V55" i="48" s="1"/>
  <c r="W55" i="48" s="1"/>
  <c r="X56" i="48" s="1"/>
  <c r="K55" i="47"/>
  <c r="L55" i="47" s="1"/>
  <c r="M55" i="47" s="1"/>
  <c r="N55" i="47" s="1"/>
  <c r="O55" i="47" s="1"/>
  <c r="P55" i="47" s="1"/>
  <c r="Q55" i="47" s="1"/>
  <c r="R55" i="47" s="1"/>
  <c r="S55" i="47" s="1"/>
  <c r="T55" i="47" s="1"/>
  <c r="U55" i="47" s="1"/>
  <c r="V55" i="47" s="1"/>
  <c r="W55" i="47" s="1"/>
  <c r="X55" i="47" s="1"/>
  <c r="Y55" i="47" s="1"/>
  <c r="G39" i="61"/>
  <c r="H29" i="61" s="1"/>
  <c r="H27" i="61" s="1"/>
  <c r="P188" i="64"/>
  <c r="O187" i="64"/>
  <c r="Y12" i="66"/>
  <c r="W10" i="66"/>
  <c r="W9" i="66" s="1"/>
  <c r="AC15" i="65"/>
  <c r="AC25" i="70" s="1"/>
  <c r="AC44" i="70" s="1"/>
  <c r="AC43" i="70" s="1"/>
  <c r="E105" i="48"/>
  <c r="I115" i="48"/>
  <c r="I116" i="48" s="1"/>
  <c r="G67" i="48"/>
  <c r="I67" i="48" s="1"/>
  <c r="J67" i="48" s="1"/>
  <c r="K67" i="48" s="1"/>
  <c r="L67" i="48" s="1"/>
  <c r="M67" i="48" s="1"/>
  <c r="N67" i="48" s="1"/>
  <c r="O67" i="48" s="1"/>
  <c r="P67" i="48" s="1"/>
  <c r="Q67" i="48" s="1"/>
  <c r="R67" i="48" s="1"/>
  <c r="S67" i="48" s="1"/>
  <c r="T67" i="48" s="1"/>
  <c r="U67" i="48" s="1"/>
  <c r="V67" i="48" s="1"/>
  <c r="W67" i="48" s="1"/>
  <c r="K67" i="47"/>
  <c r="L67" i="47" s="1"/>
  <c r="M67" i="47" s="1"/>
  <c r="N67" i="47" s="1"/>
  <c r="O67" i="47" s="1"/>
  <c r="P67" i="47" s="1"/>
  <c r="Q67" i="47" s="1"/>
  <c r="R67" i="47" s="1"/>
  <c r="S67" i="47" s="1"/>
  <c r="T67" i="47" s="1"/>
  <c r="U67" i="47" s="1"/>
  <c r="V67" i="47" s="1"/>
  <c r="W67" i="47" s="1"/>
  <c r="X67" i="47" s="1"/>
  <c r="Y67" i="47" s="1"/>
  <c r="G39" i="48"/>
  <c r="I39" i="48" s="1"/>
  <c r="J39" i="48" s="1"/>
  <c r="K39" i="48" s="1"/>
  <c r="L39" i="48" s="1"/>
  <c r="M39" i="48" s="1"/>
  <c r="N39" i="48" s="1"/>
  <c r="O39" i="48" s="1"/>
  <c r="P39" i="48" s="1"/>
  <c r="Q39" i="48" s="1"/>
  <c r="R39" i="48" s="1"/>
  <c r="S39" i="48" s="1"/>
  <c r="T39" i="48" s="1"/>
  <c r="U39" i="48" s="1"/>
  <c r="V39" i="48" s="1"/>
  <c r="W39" i="48" s="1"/>
  <c r="K39" i="47"/>
  <c r="L39" i="47" s="1"/>
  <c r="M39" i="47" s="1"/>
  <c r="N39" i="47" s="1"/>
  <c r="O39" i="47" s="1"/>
  <c r="P39" i="47" s="1"/>
  <c r="Q39" i="47" s="1"/>
  <c r="R39" i="47" s="1"/>
  <c r="S39" i="47" s="1"/>
  <c r="T39" i="47" s="1"/>
  <c r="U39" i="47" s="1"/>
  <c r="V39" i="47" s="1"/>
  <c r="W39" i="47" s="1"/>
  <c r="X39" i="47" s="1"/>
  <c r="Y39" i="47" s="1"/>
  <c r="G61" i="59"/>
  <c r="I47" i="59" s="1"/>
  <c r="I108" i="56"/>
  <c r="H139" i="56"/>
  <c r="AL170" i="64"/>
  <c r="AK169" i="64"/>
  <c r="X12" i="66"/>
  <c r="AK157" i="64"/>
  <c r="AJ156" i="64"/>
  <c r="AJ155" i="64" s="1"/>
  <c r="H120" i="64"/>
  <c r="H119" i="64" s="1"/>
  <c r="H118" i="64" s="1"/>
  <c r="G240" i="56"/>
  <c r="H240" i="56" s="1"/>
  <c r="K241" i="56"/>
  <c r="AQ105" i="64"/>
  <c r="AQ103" i="64" s="1"/>
  <c r="Z11" i="66" s="1"/>
  <c r="H30" i="42"/>
  <c r="G103" i="42"/>
  <c r="G110" i="42" s="1"/>
  <c r="G111" i="42" s="1"/>
  <c r="G47" i="48"/>
  <c r="I47" i="48" s="1"/>
  <c r="J47" i="48" s="1"/>
  <c r="K47" i="48" s="1"/>
  <c r="L47" i="48" s="1"/>
  <c r="M47" i="48" s="1"/>
  <c r="N47" i="48" s="1"/>
  <c r="O47" i="48" s="1"/>
  <c r="P47" i="48" s="1"/>
  <c r="Q47" i="48" s="1"/>
  <c r="R47" i="48" s="1"/>
  <c r="S47" i="48" s="1"/>
  <c r="T47" i="48" s="1"/>
  <c r="U47" i="48" s="1"/>
  <c r="V47" i="48" s="1"/>
  <c r="W47" i="48" s="1"/>
  <c r="X50" i="48" s="1"/>
  <c r="K47" i="47"/>
  <c r="L47" i="47" s="1"/>
  <c r="M47" i="47" s="1"/>
  <c r="N47" i="47" s="1"/>
  <c r="O47" i="47" s="1"/>
  <c r="P47" i="47" s="1"/>
  <c r="Q47" i="47" s="1"/>
  <c r="R47" i="47" s="1"/>
  <c r="S47" i="47" s="1"/>
  <c r="T47" i="47" s="1"/>
  <c r="U47" i="47" s="1"/>
  <c r="V47" i="47" s="1"/>
  <c r="W47" i="47" s="1"/>
  <c r="X47" i="47" s="1"/>
  <c r="Y47" i="47" s="1"/>
  <c r="I31" i="47"/>
  <c r="H103" i="47"/>
  <c r="G65" i="61"/>
  <c r="H55" i="61" s="1"/>
  <c r="G126" i="60"/>
  <c r="H112" i="60" s="1"/>
  <c r="H110" i="60" s="1"/>
  <c r="AH132" i="64"/>
  <c r="AI132" i="64" s="1"/>
  <c r="AC120" i="64"/>
  <c r="AC119" i="64" s="1"/>
  <c r="AO108" i="64"/>
  <c r="AL108" i="64"/>
  <c r="AC140" i="64"/>
  <c r="E241" i="56"/>
  <c r="F241" i="56" s="1"/>
  <c r="G241" i="56" s="1"/>
  <c r="H241" i="56" s="1"/>
  <c r="F235" i="56"/>
  <c r="G235" i="56" s="1"/>
  <c r="G63" i="48"/>
  <c r="I63" i="48" s="1"/>
  <c r="J63" i="48" s="1"/>
  <c r="K63" i="48" s="1"/>
  <c r="L63" i="48" s="1"/>
  <c r="M63" i="48" s="1"/>
  <c r="N63" i="48" s="1"/>
  <c r="O63" i="48" s="1"/>
  <c r="P63" i="48" s="1"/>
  <c r="Q63" i="48" s="1"/>
  <c r="R63" i="48" s="1"/>
  <c r="S63" i="48" s="1"/>
  <c r="T63" i="48" s="1"/>
  <c r="U63" i="48" s="1"/>
  <c r="V63" i="48" s="1"/>
  <c r="W63" i="48" s="1"/>
  <c r="K63" i="47"/>
  <c r="L63" i="47" s="1"/>
  <c r="M63" i="47" s="1"/>
  <c r="N63" i="47" s="1"/>
  <c r="O63" i="47" s="1"/>
  <c r="P63" i="47" s="1"/>
  <c r="Q63" i="47" s="1"/>
  <c r="R63" i="47" s="1"/>
  <c r="S63" i="47" s="1"/>
  <c r="T63" i="47" s="1"/>
  <c r="U63" i="47" s="1"/>
  <c r="V63" i="47" s="1"/>
  <c r="W63" i="47" s="1"/>
  <c r="X63" i="47" s="1"/>
  <c r="Y63" i="47" s="1"/>
  <c r="G71" i="48"/>
  <c r="I71" i="48" s="1"/>
  <c r="J71" i="48" s="1"/>
  <c r="K71" i="48" s="1"/>
  <c r="L71" i="48" s="1"/>
  <c r="M71" i="48" s="1"/>
  <c r="N71" i="48" s="1"/>
  <c r="O71" i="48" s="1"/>
  <c r="P71" i="48" s="1"/>
  <c r="Q71" i="48" s="1"/>
  <c r="R71" i="48" s="1"/>
  <c r="S71" i="48" s="1"/>
  <c r="T71" i="48" s="1"/>
  <c r="U71" i="48" s="1"/>
  <c r="V71" i="48" s="1"/>
  <c r="W71" i="48" s="1"/>
  <c r="K71" i="47"/>
  <c r="L71" i="47" s="1"/>
  <c r="M71" i="47" s="1"/>
  <c r="N71" i="47" s="1"/>
  <c r="O71" i="47" s="1"/>
  <c r="P71" i="47" s="1"/>
  <c r="Q71" i="47" s="1"/>
  <c r="R71" i="47" s="1"/>
  <c r="S71" i="47" s="1"/>
  <c r="T71" i="47" s="1"/>
  <c r="U71" i="47" s="1"/>
  <c r="V71" i="47" s="1"/>
  <c r="W71" i="47" s="1"/>
  <c r="X71" i="47" s="1"/>
  <c r="Y71" i="47" s="1"/>
  <c r="X72" i="48"/>
  <c r="H138" i="56"/>
  <c r="I107" i="56"/>
  <c r="G49" i="63"/>
  <c r="A9" i="63"/>
  <c r="D165" i="64"/>
  <c r="Y164" i="64"/>
  <c r="AP99" i="64"/>
  <c r="U10" i="66"/>
  <c r="U9" i="66" s="1"/>
  <c r="AA15" i="65"/>
  <c r="AA25" i="70" s="1"/>
  <c r="AA44" i="70" s="1"/>
  <c r="AA43" i="70" s="1"/>
  <c r="AQ101" i="64"/>
  <c r="AQ99" i="64" s="1"/>
  <c r="H113" i="70"/>
  <c r="H146" i="70"/>
  <c r="G115" i="59"/>
  <c r="I101" i="59" s="1"/>
  <c r="Q170" i="64"/>
  <c r="R163" i="64"/>
  <c r="Y89" i="68"/>
  <c r="U122" i="64"/>
  <c r="R123" i="64"/>
  <c r="T9" i="66"/>
  <c r="S30" i="47"/>
  <c r="G79" i="61"/>
  <c r="H69" i="61" s="1"/>
  <c r="G105" i="61"/>
  <c r="H95" i="61" s="1"/>
  <c r="H93" i="61" s="1"/>
  <c r="D16" i="59"/>
  <c r="D34" i="71"/>
  <c r="H15" i="71"/>
  <c r="H21" i="71" s="1"/>
  <c r="O184" i="64"/>
  <c r="P185" i="64"/>
  <c r="AJ187" i="64"/>
  <c r="AH108" i="64"/>
  <c r="K32" i="40"/>
  <c r="J42" i="40"/>
  <c r="G387" i="55" l="1"/>
  <c r="F399" i="55" s="1"/>
  <c r="G399" i="55" s="1"/>
  <c r="G400" i="55" s="1"/>
  <c r="A14" i="70"/>
  <c r="G14" i="63"/>
  <c r="W90" i="68"/>
  <c r="V88" i="68"/>
  <c r="I90" i="68"/>
  <c r="H88" i="68"/>
  <c r="U33" i="52"/>
  <c r="J93" i="50"/>
  <c r="U129" i="50"/>
  <c r="AJ161" i="64"/>
  <c r="AI160" i="64"/>
  <c r="N161" i="64"/>
  <c r="M160" i="64"/>
  <c r="AC168" i="64"/>
  <c r="AI185" i="64"/>
  <c r="AH184" i="64"/>
  <c r="AH168" i="64" s="1"/>
  <c r="Q15" i="66" s="1"/>
  <c r="AI163" i="64"/>
  <c r="AH162" i="64"/>
  <c r="AI147" i="64"/>
  <c r="AH146" i="64"/>
  <c r="AH141" i="64" s="1"/>
  <c r="AH140" i="64" s="1"/>
  <c r="L156" i="64"/>
  <c r="L155" i="64" s="1"/>
  <c r="L140" i="64" s="1"/>
  <c r="M157" i="64"/>
  <c r="M142" i="64"/>
  <c r="M141" i="64" s="1"/>
  <c r="N143" i="64"/>
  <c r="AH120" i="64"/>
  <c r="AH119" i="64" s="1"/>
  <c r="AJ143" i="64"/>
  <c r="AI142" i="64"/>
  <c r="AK122" i="64"/>
  <c r="AJ121" i="64"/>
  <c r="O147" i="64"/>
  <c r="N146" i="64"/>
  <c r="M128" i="64"/>
  <c r="L121" i="64"/>
  <c r="L120" i="64" s="1"/>
  <c r="L119" i="64" s="1"/>
  <c r="E18" i="62"/>
  <c r="E22" i="62" s="1"/>
  <c r="F52" i="63" s="1"/>
  <c r="D17" i="70" s="1"/>
  <c r="I129" i="62"/>
  <c r="H67" i="61"/>
  <c r="I99" i="59"/>
  <c r="I45" i="59"/>
  <c r="H644" i="56"/>
  <c r="H645" i="56" s="1"/>
  <c r="H333" i="56"/>
  <c r="G653" i="56" s="1"/>
  <c r="I106" i="56"/>
  <c r="N93" i="50"/>
  <c r="H91" i="50"/>
  <c r="H109" i="50" s="1"/>
  <c r="K28" i="52" s="1"/>
  <c r="K32" i="52" s="1"/>
  <c r="K34" i="52" s="1"/>
  <c r="Q93" i="50"/>
  <c r="P93" i="50"/>
  <c r="U28" i="52"/>
  <c r="E17" i="53" s="1"/>
  <c r="L91" i="50"/>
  <c r="L109" i="50" s="1"/>
  <c r="L111" i="50" s="1"/>
  <c r="G63" i="68" s="1"/>
  <c r="N91" i="50"/>
  <c r="N109" i="50" s="1"/>
  <c r="Q28" i="52" s="1"/>
  <c r="Q32" i="52" s="1"/>
  <c r="Q34" i="52" s="1"/>
  <c r="F93" i="50"/>
  <c r="E91" i="50"/>
  <c r="E109" i="50" s="1"/>
  <c r="H93" i="50"/>
  <c r="Q91" i="50"/>
  <c r="Q109" i="50" s="1"/>
  <c r="T28" i="52" s="1"/>
  <c r="T32" i="52" s="1"/>
  <c r="T34" i="52" s="1"/>
  <c r="K91" i="50"/>
  <c r="K109" i="50" s="1"/>
  <c r="N28" i="52" s="1"/>
  <c r="N32" i="52" s="1"/>
  <c r="N34" i="52" s="1"/>
  <c r="F91" i="50"/>
  <c r="F109" i="50" s="1"/>
  <c r="G93" i="50"/>
  <c r="S34" i="52"/>
  <c r="J111" i="50"/>
  <c r="E63" i="68" s="1"/>
  <c r="M28" i="52"/>
  <c r="M32" i="52" s="1"/>
  <c r="M34" i="52" s="1"/>
  <c r="M99" i="68"/>
  <c r="M98" i="68" s="1"/>
  <c r="Z63" i="68"/>
  <c r="Z99" i="68" s="1"/>
  <c r="Z98" i="68" s="1"/>
  <c r="P111" i="50"/>
  <c r="K63" i="68" s="1"/>
  <c r="G111" i="50"/>
  <c r="J28" i="52"/>
  <c r="J32" i="52" s="1"/>
  <c r="J34" i="52" s="1"/>
  <c r="R28" i="52"/>
  <c r="R32" i="52" s="1"/>
  <c r="R34" i="52" s="1"/>
  <c r="O111" i="50"/>
  <c r="J63" i="68" s="1"/>
  <c r="M111" i="50"/>
  <c r="H63" i="68" s="1"/>
  <c r="P28" i="52"/>
  <c r="P32" i="52" s="1"/>
  <c r="P34" i="52" s="1"/>
  <c r="AQ108" i="64"/>
  <c r="AL157" i="64"/>
  <c r="AK156" i="64"/>
  <c r="AK155" i="64" s="1"/>
  <c r="Y165" i="64"/>
  <c r="D166" i="64"/>
  <c r="Q185" i="64"/>
  <c r="P184" i="64"/>
  <c r="S123" i="64"/>
  <c r="S163" i="64"/>
  <c r="AC118" i="64"/>
  <c r="H170" i="56"/>
  <c r="I139" i="56"/>
  <c r="P172" i="64"/>
  <c r="O169" i="64"/>
  <c r="O168" i="64" s="1"/>
  <c r="G15" i="66" s="1"/>
  <c r="I92" i="68"/>
  <c r="H91" i="68"/>
  <c r="H114" i="70"/>
  <c r="H148" i="70" s="1"/>
  <c r="H147" i="70"/>
  <c r="T30" i="47"/>
  <c r="Z60" i="47"/>
  <c r="AJ132" i="64"/>
  <c r="AI120" i="64"/>
  <c r="AI119" i="64" s="1"/>
  <c r="I30" i="42"/>
  <c r="H103" i="42"/>
  <c r="H110" i="42" s="1"/>
  <c r="H111" i="42" s="1"/>
  <c r="V10" i="66"/>
  <c r="V9" i="66" s="1"/>
  <c r="AB15" i="65"/>
  <c r="AB25" i="70" s="1"/>
  <c r="AB44" i="70" s="1"/>
  <c r="AB43" i="70" s="1"/>
  <c r="L32" i="40"/>
  <c r="K42" i="40"/>
  <c r="R170" i="64"/>
  <c r="Q164" i="64"/>
  <c r="P162" i="64"/>
  <c r="D37" i="71"/>
  <c r="L13" i="63" s="1"/>
  <c r="N13" i="63" s="1"/>
  <c r="X10" i="66"/>
  <c r="X9" i="66" s="1"/>
  <c r="AD15" i="65"/>
  <c r="AD25" i="70" s="1"/>
  <c r="AD44" i="70" s="1"/>
  <c r="AD43" i="70" s="1"/>
  <c r="AL169" i="64"/>
  <c r="AM170" i="64"/>
  <c r="Q188" i="64"/>
  <c r="P187" i="64"/>
  <c r="Z89" i="68"/>
  <c r="Q11" i="66"/>
  <c r="Q9" i="66" s="1"/>
  <c r="W15" i="65"/>
  <c r="W25" i="70" s="1"/>
  <c r="AP108" i="64"/>
  <c r="H105" i="47"/>
  <c r="H110" i="47"/>
  <c r="H111" i="47" s="1"/>
  <c r="I111" i="50"/>
  <c r="L28" i="52"/>
  <c r="L32" i="52" s="1"/>
  <c r="L34" i="52" s="1"/>
  <c r="AL164" i="64"/>
  <c r="V92" i="68"/>
  <c r="U91" i="68"/>
  <c r="H41" i="61"/>
  <c r="H25" i="61" s="1"/>
  <c r="B14" i="70"/>
  <c r="I138" i="56"/>
  <c r="H169" i="56"/>
  <c r="J31" i="47"/>
  <c r="I103" i="47"/>
  <c r="I110" i="47" s="1"/>
  <c r="I111" i="47" s="1"/>
  <c r="AM188" i="64"/>
  <c r="AL187" i="64"/>
  <c r="H42" i="60"/>
  <c r="H22" i="60" s="1"/>
  <c r="G401" i="55" l="1"/>
  <c r="G402" i="55"/>
  <c r="J90" i="68"/>
  <c r="I88" i="68"/>
  <c r="X90" i="68"/>
  <c r="W88" i="68"/>
  <c r="W44" i="70"/>
  <c r="W43" i="70" s="1"/>
  <c r="H111" i="50"/>
  <c r="D63" i="68"/>
  <c r="Q63" i="68" s="1"/>
  <c r="Q99" i="68" s="1"/>
  <c r="Q98" i="68" s="1"/>
  <c r="AJ185" i="64"/>
  <c r="AI184" i="64"/>
  <c r="AI168" i="64" s="1"/>
  <c r="R15" i="66" s="1"/>
  <c r="AI141" i="64"/>
  <c r="AI140" i="64" s="1"/>
  <c r="AI118" i="64" s="1"/>
  <c r="AI146" i="64"/>
  <c r="AJ147" i="64"/>
  <c r="L118" i="64"/>
  <c r="AH118" i="64"/>
  <c r="AJ163" i="64"/>
  <c r="AI162" i="64"/>
  <c r="N160" i="64"/>
  <c r="O161" i="64"/>
  <c r="N142" i="64"/>
  <c r="O143" i="64"/>
  <c r="N141" i="64"/>
  <c r="AK161" i="64"/>
  <c r="AJ160" i="64"/>
  <c r="N157" i="64"/>
  <c r="M156" i="64"/>
  <c r="M155" i="64" s="1"/>
  <c r="M140" i="64" s="1"/>
  <c r="O146" i="64"/>
  <c r="P147" i="64"/>
  <c r="AK121" i="64"/>
  <c r="AL122" i="64"/>
  <c r="N128" i="64"/>
  <c r="M121" i="64"/>
  <c r="M120" i="64" s="1"/>
  <c r="M119" i="64" s="1"/>
  <c r="AK143" i="64"/>
  <c r="AJ142" i="64"/>
  <c r="B17" i="70"/>
  <c r="A17" i="70"/>
  <c r="L17" i="63"/>
  <c r="N17" i="63" s="1"/>
  <c r="V17" i="70" s="1"/>
  <c r="T17" i="70" s="1"/>
  <c r="I24" i="59"/>
  <c r="I137" i="56"/>
  <c r="O28" i="52"/>
  <c r="O32" i="52" s="1"/>
  <c r="O34" i="52" s="1"/>
  <c r="N111" i="50"/>
  <c r="I63" i="68" s="1"/>
  <c r="V63" i="68" s="1"/>
  <c r="V99" i="68" s="1"/>
  <c r="V98" i="68" s="1"/>
  <c r="U32" i="52"/>
  <c r="U34" i="52" s="1"/>
  <c r="Q111" i="50"/>
  <c r="L63" i="68" s="1"/>
  <c r="Y63" i="68" s="1"/>
  <c r="Y99" i="68" s="1"/>
  <c r="Y98" i="68" s="1"/>
  <c r="K111" i="50"/>
  <c r="F63" i="68" s="1"/>
  <c r="F99" i="68" s="1"/>
  <c r="F98" i="68" s="1"/>
  <c r="H28" i="52"/>
  <c r="H32" i="52" s="1"/>
  <c r="H34" i="52" s="1"/>
  <c r="E111" i="50"/>
  <c r="F111" i="50"/>
  <c r="I28" i="52"/>
  <c r="I32" i="52" s="1"/>
  <c r="I34" i="52" s="1"/>
  <c r="H99" i="68"/>
  <c r="H98" i="68" s="1"/>
  <c r="U63" i="68"/>
  <c r="U99" i="68" s="1"/>
  <c r="U98" i="68" s="1"/>
  <c r="T63" i="68"/>
  <c r="T99" i="68" s="1"/>
  <c r="T98" i="68" s="1"/>
  <c r="G99" i="68"/>
  <c r="G98" i="68" s="1"/>
  <c r="W63" i="68"/>
  <c r="W99" i="68" s="1"/>
  <c r="W98" i="68" s="1"/>
  <c r="J99" i="68"/>
  <c r="J98" i="68" s="1"/>
  <c r="K99" i="68"/>
  <c r="K98" i="68" s="1"/>
  <c r="X63" i="68"/>
  <c r="X99" i="68" s="1"/>
  <c r="X98" i="68" s="1"/>
  <c r="E99" i="68"/>
  <c r="E98" i="68" s="1"/>
  <c r="R63" i="68"/>
  <c r="R99" i="68" s="1"/>
  <c r="R98" i="68" s="1"/>
  <c r="D14" i="61"/>
  <c r="D18" i="61" s="1"/>
  <c r="F57" i="63" s="1"/>
  <c r="H151" i="61"/>
  <c r="AM187" i="64"/>
  <c r="AN188" i="64"/>
  <c r="S170" i="64"/>
  <c r="D167" i="64"/>
  <c r="Y166" i="64"/>
  <c r="Y10" i="66"/>
  <c r="Y9" i="66" s="1"/>
  <c r="AE15" i="65"/>
  <c r="AE25" i="70" s="1"/>
  <c r="AE44" i="70" s="1"/>
  <c r="AE43" i="70" s="1"/>
  <c r="I103" i="42"/>
  <c r="I110" i="42" s="1"/>
  <c r="I111" i="42" s="1"/>
  <c r="J30" i="42"/>
  <c r="J92" i="68"/>
  <c r="I91" i="68"/>
  <c r="W92" i="68"/>
  <c r="V91" i="68"/>
  <c r="D99" i="68"/>
  <c r="D98" i="68" s="1"/>
  <c r="AK132" i="64"/>
  <c r="AJ120" i="64"/>
  <c r="AJ119" i="64" s="1"/>
  <c r="Q172" i="64"/>
  <c r="P169" i="64"/>
  <c r="P168" i="64" s="1"/>
  <c r="H15" i="66" s="1"/>
  <c r="T163" i="64"/>
  <c r="R164" i="64"/>
  <c r="Q162" i="64"/>
  <c r="M32" i="40"/>
  <c r="L42" i="40"/>
  <c r="G31" i="48"/>
  <c r="K31" i="47"/>
  <c r="J103" i="47"/>
  <c r="J110" i="47" s="1"/>
  <c r="J111" i="47" s="1"/>
  <c r="AM164" i="64"/>
  <c r="I169" i="56"/>
  <c r="H205" i="56"/>
  <c r="I205" i="56" s="1"/>
  <c r="R188" i="64"/>
  <c r="Q187" i="64"/>
  <c r="D38" i="71"/>
  <c r="T123" i="64"/>
  <c r="AM157" i="64"/>
  <c r="AL156" i="64"/>
  <c r="AL155" i="64" s="1"/>
  <c r="K232" i="56"/>
  <c r="M232" i="56" s="1"/>
  <c r="D13" i="60"/>
  <c r="D17" i="60" s="1"/>
  <c r="F50" i="63" s="1"/>
  <c r="H190" i="60"/>
  <c r="AM169" i="64"/>
  <c r="AN170" i="64"/>
  <c r="L10" i="63"/>
  <c r="L14" i="63" s="1"/>
  <c r="U30" i="47"/>
  <c r="I170" i="56"/>
  <c r="H206" i="56"/>
  <c r="I206" i="56" s="1"/>
  <c r="R185" i="64"/>
  <c r="Q184" i="64"/>
  <c r="AF15" i="65"/>
  <c r="AF25" i="70" s="1"/>
  <c r="AF44" i="70" s="1"/>
  <c r="AF43" i="70" s="1"/>
  <c r="Z10" i="66"/>
  <c r="Z9" i="66" s="1"/>
  <c r="G403" i="55" l="1"/>
  <c r="G404" i="55"/>
  <c r="Y90" i="68"/>
  <c r="X88" i="68"/>
  <c r="K90" i="68"/>
  <c r="J88" i="68"/>
  <c r="I99" i="68"/>
  <c r="I98" i="68" s="1"/>
  <c r="S111" i="50"/>
  <c r="AI194" i="64"/>
  <c r="O157" i="64"/>
  <c r="N156" i="64"/>
  <c r="N155" i="64" s="1"/>
  <c r="AH194" i="64"/>
  <c r="N140" i="64"/>
  <c r="L194" i="64"/>
  <c r="O142" i="64"/>
  <c r="O141" i="64" s="1"/>
  <c r="P143" i="64"/>
  <c r="AJ141" i="64"/>
  <c r="AJ140" i="64" s="1"/>
  <c r="AJ118" i="64" s="1"/>
  <c r="AK147" i="64"/>
  <c r="AJ146" i="64"/>
  <c r="P161" i="64"/>
  <c r="O160" i="64"/>
  <c r="M118" i="64"/>
  <c r="AL161" i="64"/>
  <c r="AK160" i="64"/>
  <c r="AK163" i="64"/>
  <c r="AJ162" i="64"/>
  <c r="AK185" i="64"/>
  <c r="AJ184" i="64"/>
  <c r="AJ168" i="64" s="1"/>
  <c r="S15" i="66" s="1"/>
  <c r="AL143" i="64"/>
  <c r="AK142" i="64"/>
  <c r="O128" i="64"/>
  <c r="N121" i="64"/>
  <c r="N120" i="64" s="1"/>
  <c r="N119" i="64" s="1"/>
  <c r="N118" i="64" s="1"/>
  <c r="AL121" i="64"/>
  <c r="AM122" i="64"/>
  <c r="P146" i="64"/>
  <c r="Q147" i="64"/>
  <c r="D14" i="59"/>
  <c r="D17" i="59" s="1"/>
  <c r="F51" i="63" s="1"/>
  <c r="I226" i="59"/>
  <c r="L99" i="68"/>
  <c r="L98" i="68" s="1"/>
  <c r="S63" i="68"/>
  <c r="S99" i="68" s="1"/>
  <c r="S98" i="68" s="1"/>
  <c r="V30" i="47"/>
  <c r="U123" i="64"/>
  <c r="K92" i="68"/>
  <c r="J91" i="68"/>
  <c r="T170" i="64"/>
  <c r="I204" i="56"/>
  <c r="I219" i="56" s="1"/>
  <c r="AL132" i="64"/>
  <c r="AK120" i="64"/>
  <c r="AK119" i="64" s="1"/>
  <c r="X92" i="68"/>
  <c r="W91" i="68"/>
  <c r="K30" i="42"/>
  <c r="J103" i="42"/>
  <c r="J110" i="42" s="1"/>
  <c r="J111" i="42" s="1"/>
  <c r="L15" i="63"/>
  <c r="N15" i="63" s="1"/>
  <c r="V15" i="70" s="1"/>
  <c r="T15" i="70" s="1"/>
  <c r="D15" i="70"/>
  <c r="A15" i="70"/>
  <c r="I168" i="56"/>
  <c r="N32" i="40"/>
  <c r="M42" i="40"/>
  <c r="AO188" i="64"/>
  <c r="AN187" i="64"/>
  <c r="N10" i="63"/>
  <c r="N14" i="63" s="1"/>
  <c r="AN164" i="64"/>
  <c r="AN157" i="64"/>
  <c r="AM156" i="64"/>
  <c r="AM155" i="64" s="1"/>
  <c r="S188" i="64"/>
  <c r="R187" i="64"/>
  <c r="S164" i="64"/>
  <c r="R162" i="64"/>
  <c r="U163" i="64"/>
  <c r="D18" i="70"/>
  <c r="L18" i="63"/>
  <c r="N18" i="63" s="1"/>
  <c r="V18" i="70" s="1"/>
  <c r="T18" i="70" s="1"/>
  <c r="A18" i="70"/>
  <c r="Y167" i="64"/>
  <c r="D188" i="64"/>
  <c r="AO170" i="64"/>
  <c r="AN169" i="64"/>
  <c r="L31" i="47"/>
  <c r="K103" i="47"/>
  <c r="K110" i="47" s="1"/>
  <c r="K111" i="47" s="1"/>
  <c r="D22" i="70"/>
  <c r="L22" i="63"/>
  <c r="N22" i="63" s="1"/>
  <c r="V22" i="70" s="1"/>
  <c r="T22" i="70" s="1"/>
  <c r="A22" i="70"/>
  <c r="S185" i="64"/>
  <c r="R184" i="64"/>
  <c r="I31" i="48"/>
  <c r="J31" i="48" s="1"/>
  <c r="G103" i="48"/>
  <c r="G110" i="48" s="1"/>
  <c r="R172" i="64"/>
  <c r="Q169" i="64"/>
  <c r="Q168" i="64" s="1"/>
  <c r="I15" i="66" s="1"/>
  <c r="R14" i="66"/>
  <c r="R13" i="66" s="1"/>
  <c r="R17" i="66" s="1"/>
  <c r="X27" i="65"/>
  <c r="X24" i="70" s="1"/>
  <c r="G405" i="55" l="1"/>
  <c r="F54" i="63" s="1"/>
  <c r="D19" i="70" s="1"/>
  <c r="B19" i="70" s="1"/>
  <c r="I402" i="55"/>
  <c r="X23" i="70"/>
  <c r="X41" i="70"/>
  <c r="X39" i="70" s="1"/>
  <c r="X45" i="70" s="1"/>
  <c r="L90" i="68"/>
  <c r="K88" i="68"/>
  <c r="Z90" i="68"/>
  <c r="Z88" i="68" s="1"/>
  <c r="Y88" i="68"/>
  <c r="AJ194" i="64"/>
  <c r="AL185" i="64"/>
  <c r="AK184" i="64"/>
  <c r="AK168" i="64" s="1"/>
  <c r="T15" i="66" s="1"/>
  <c r="AL147" i="64"/>
  <c r="AK146" i="64"/>
  <c r="AK141" i="64" s="1"/>
  <c r="AK140" i="64" s="1"/>
  <c r="AK118" i="64" s="1"/>
  <c r="AL163" i="64"/>
  <c r="AK162" i="64"/>
  <c r="W27" i="65"/>
  <c r="W24" i="70" s="1"/>
  <c r="Q14" i="66"/>
  <c r="Q13" i="66" s="1"/>
  <c r="Q17" i="66" s="1"/>
  <c r="M194" i="64"/>
  <c r="AM161" i="64"/>
  <c r="AL160" i="64"/>
  <c r="P142" i="64"/>
  <c r="P141" i="64" s="1"/>
  <c r="Q143" i="64"/>
  <c r="P157" i="64"/>
  <c r="O156" i="64"/>
  <c r="O155" i="64" s="1"/>
  <c r="O140" i="64" s="1"/>
  <c r="Q161" i="64"/>
  <c r="P160" i="64"/>
  <c r="G27" i="65"/>
  <c r="E24" i="70" s="1"/>
  <c r="D14" i="66"/>
  <c r="D13" i="66" s="1"/>
  <c r="N194" i="64"/>
  <c r="P128" i="64"/>
  <c r="O121" i="64"/>
  <c r="O120" i="64" s="1"/>
  <c r="O119" i="64" s="1"/>
  <c r="Q146" i="64"/>
  <c r="R147" i="64"/>
  <c r="H27" i="65"/>
  <c r="F24" i="70" s="1"/>
  <c r="E14" i="66"/>
  <c r="E13" i="66" s="1"/>
  <c r="AM143" i="64"/>
  <c r="AL142" i="64"/>
  <c r="AN122" i="64"/>
  <c r="AM121" i="64"/>
  <c r="B22" i="70"/>
  <c r="B18" i="70"/>
  <c r="L16" i="63"/>
  <c r="N16" i="63" s="1"/>
  <c r="V16" i="70" s="1"/>
  <c r="T16" i="70" s="1"/>
  <c r="D16" i="70"/>
  <c r="A16" i="70"/>
  <c r="AO157" i="64"/>
  <c r="AN156" i="64"/>
  <c r="AN155" i="64" s="1"/>
  <c r="V14" i="70"/>
  <c r="G20" i="52"/>
  <c r="G22" i="52" s="1"/>
  <c r="G111" i="48"/>
  <c r="N42" i="40"/>
  <c r="O32" i="40"/>
  <c r="J103" i="48"/>
  <c r="K31" i="48"/>
  <c r="Y188" i="64"/>
  <c r="D189" i="64"/>
  <c r="AM132" i="64"/>
  <c r="AL120" i="64"/>
  <c r="AL119" i="64" s="1"/>
  <c r="U170" i="64"/>
  <c r="AP188" i="64"/>
  <c r="AO187" i="64"/>
  <c r="T164" i="64"/>
  <c r="S162" i="64"/>
  <c r="L30" i="42"/>
  <c r="K103" i="42"/>
  <c r="K110" i="42" s="1"/>
  <c r="K111" i="42" s="1"/>
  <c r="L92" i="68"/>
  <c r="K91" i="68"/>
  <c r="M31" i="47"/>
  <c r="L103" i="47"/>
  <c r="L110" i="47" s="1"/>
  <c r="L111" i="47" s="1"/>
  <c r="H226" i="56"/>
  <c r="W30" i="47"/>
  <c r="S172" i="64"/>
  <c r="R169" i="64"/>
  <c r="R168" i="64" s="1"/>
  <c r="J15" i="66" s="1"/>
  <c r="T185" i="64"/>
  <c r="S184" i="64"/>
  <c r="S187" i="64"/>
  <c r="T188" i="64"/>
  <c r="AO164" i="64"/>
  <c r="B15" i="70"/>
  <c r="Y92" i="68"/>
  <c r="X91" i="68"/>
  <c r="AO169" i="64"/>
  <c r="AP170" i="64"/>
  <c r="Y27" i="65"/>
  <c r="Y24" i="70" s="1"/>
  <c r="S14" i="66"/>
  <c r="S13" i="66" s="1"/>
  <c r="S17" i="66" s="1"/>
  <c r="A19" i="70" l="1"/>
  <c r="L19" i="63"/>
  <c r="N19" i="63" s="1"/>
  <c r="V19" i="70" s="1"/>
  <c r="T19" i="70" s="1"/>
  <c r="W41" i="70"/>
  <c r="W39" i="70" s="1"/>
  <c r="W45" i="70" s="1"/>
  <c r="Y23" i="70"/>
  <c r="Y41" i="70"/>
  <c r="Y39" i="70" s="1"/>
  <c r="Y45" i="70" s="1"/>
  <c r="M90" i="68"/>
  <c r="M88" i="68" s="1"/>
  <c r="L88" i="68"/>
  <c r="E41" i="70"/>
  <c r="F23" i="70"/>
  <c r="F41" i="70"/>
  <c r="AK194" i="64"/>
  <c r="P140" i="64"/>
  <c r="R143" i="64"/>
  <c r="Q142" i="64"/>
  <c r="Q141" i="64" s="1"/>
  <c r="AM163" i="64"/>
  <c r="AL162" i="64"/>
  <c r="R161" i="64"/>
  <c r="Q160" i="64"/>
  <c r="O118" i="64"/>
  <c r="O194" i="64" s="1"/>
  <c r="AN161" i="64"/>
  <c r="AM160" i="64"/>
  <c r="AM147" i="64"/>
  <c r="AL146" i="64"/>
  <c r="AL141" i="64" s="1"/>
  <c r="AL140" i="64" s="1"/>
  <c r="AL118" i="64" s="1"/>
  <c r="AM185" i="64"/>
  <c r="AL184" i="64"/>
  <c r="AL168" i="64" s="1"/>
  <c r="U15" i="66" s="1"/>
  <c r="Q157" i="64"/>
  <c r="P156" i="64"/>
  <c r="P155" i="64" s="1"/>
  <c r="AO122" i="64"/>
  <c r="AN121" i="64"/>
  <c r="AM142" i="64"/>
  <c r="AN143" i="64"/>
  <c r="Q128" i="64"/>
  <c r="P121" i="64"/>
  <c r="P120" i="64" s="1"/>
  <c r="P119" i="64" s="1"/>
  <c r="S147" i="64"/>
  <c r="R146" i="64"/>
  <c r="I27" i="65"/>
  <c r="G24" i="70" s="1"/>
  <c r="F14" i="66"/>
  <c r="F13" i="66" s="1"/>
  <c r="B16" i="70"/>
  <c r="AP164" i="64"/>
  <c r="Z27" i="65"/>
  <c r="Z24" i="70" s="1"/>
  <c r="T14" i="66"/>
  <c r="T13" i="66" s="1"/>
  <c r="T17" i="66" s="1"/>
  <c r="T187" i="64"/>
  <c r="U188" i="64"/>
  <c r="U187" i="64" s="1"/>
  <c r="AN132" i="64"/>
  <c r="AM120" i="64"/>
  <c r="AM119" i="64" s="1"/>
  <c r="Z92" i="68"/>
  <c r="Z91" i="68" s="1"/>
  <c r="Y91" i="68"/>
  <c r="X30" i="47"/>
  <c r="M30" i="42"/>
  <c r="L103" i="42"/>
  <c r="L110" i="42" s="1"/>
  <c r="L111" i="42" s="1"/>
  <c r="D190" i="64"/>
  <c r="Y189" i="64"/>
  <c r="AQ170" i="64"/>
  <c r="AQ169" i="64" s="1"/>
  <c r="AP169" i="64"/>
  <c r="N31" i="47"/>
  <c r="M103" i="47"/>
  <c r="M110" i="47" s="1"/>
  <c r="M111" i="47" s="1"/>
  <c r="AQ188" i="64"/>
  <c r="AQ187" i="64" s="1"/>
  <c r="AP187" i="64"/>
  <c r="P32" i="40"/>
  <c r="O42" i="40"/>
  <c r="T14" i="70"/>
  <c r="T184" i="64"/>
  <c r="U185" i="64"/>
  <c r="U184" i="64" s="1"/>
  <c r="L31" i="48"/>
  <c r="K103" i="48"/>
  <c r="D55" i="68"/>
  <c r="J110" i="48"/>
  <c r="AP157" i="64"/>
  <c r="AO156" i="64"/>
  <c r="AO155" i="64" s="1"/>
  <c r="T172" i="64"/>
  <c r="S169" i="64"/>
  <c r="S168" i="64" s="1"/>
  <c r="K15" i="66" s="1"/>
  <c r="M92" i="68"/>
  <c r="M91" i="68" s="1"/>
  <c r="L91" i="68"/>
  <c r="U164" i="64"/>
  <c r="U162" i="64" s="1"/>
  <c r="T162" i="64"/>
  <c r="Z23" i="70" l="1"/>
  <c r="Z41" i="70"/>
  <c r="Z39" i="70" s="1"/>
  <c r="Z45" i="70" s="1"/>
  <c r="G23" i="70"/>
  <c r="G41" i="70"/>
  <c r="F39" i="70"/>
  <c r="F45" i="70" s="1"/>
  <c r="E39" i="70"/>
  <c r="E45" i="70" s="1"/>
  <c r="AL194" i="64"/>
  <c r="Q140" i="64"/>
  <c r="Q156" i="64"/>
  <c r="Q155" i="64" s="1"/>
  <c r="R157" i="64"/>
  <c r="AN163" i="64"/>
  <c r="AM162" i="64"/>
  <c r="AN147" i="64"/>
  <c r="AM146" i="64"/>
  <c r="P118" i="64"/>
  <c r="AO161" i="64"/>
  <c r="AN160" i="64"/>
  <c r="R142" i="64"/>
  <c r="R141" i="64" s="1"/>
  <c r="S143" i="64"/>
  <c r="AM118" i="64"/>
  <c r="AM141" i="64"/>
  <c r="AM140" i="64" s="1"/>
  <c r="R160" i="64"/>
  <c r="S161" i="64"/>
  <c r="AN185" i="64"/>
  <c r="AM184" i="64"/>
  <c r="AM168" i="64" s="1"/>
  <c r="V15" i="66" s="1"/>
  <c r="R128" i="64"/>
  <c r="Q121" i="64"/>
  <c r="Q120" i="64" s="1"/>
  <c r="Q119" i="64" s="1"/>
  <c r="AO143" i="64"/>
  <c r="AN142" i="64"/>
  <c r="S146" i="64"/>
  <c r="T147" i="64"/>
  <c r="J27" i="65"/>
  <c r="H24" i="70" s="1"/>
  <c r="G14" i="66"/>
  <c r="G13" i="66" s="1"/>
  <c r="AO121" i="64"/>
  <c r="AP122" i="64"/>
  <c r="P194" i="64"/>
  <c r="U172" i="64"/>
  <c r="U169" i="64" s="1"/>
  <c r="U168" i="64" s="1"/>
  <c r="M15" i="66" s="1"/>
  <c r="T169" i="64"/>
  <c r="T168" i="64" s="1"/>
  <c r="L15" i="66" s="1"/>
  <c r="N30" i="42"/>
  <c r="M103" i="42"/>
  <c r="M110" i="42" s="1"/>
  <c r="M111" i="42" s="1"/>
  <c r="O31" i="47"/>
  <c r="N103" i="47"/>
  <c r="N110" i="47" s="1"/>
  <c r="N111" i="47" s="1"/>
  <c r="E55" i="68"/>
  <c r="K110" i="48"/>
  <c r="Y30" i="47"/>
  <c r="AM194" i="64"/>
  <c r="M31" i="48"/>
  <c r="L103" i="48"/>
  <c r="AO132" i="64"/>
  <c r="AN120" i="64"/>
  <c r="AN119" i="64" s="1"/>
  <c r="AQ157" i="64"/>
  <c r="AQ156" i="64" s="1"/>
  <c r="AQ155" i="64" s="1"/>
  <c r="AP156" i="64"/>
  <c r="AP155" i="64" s="1"/>
  <c r="AA27" i="65"/>
  <c r="AA24" i="70" s="1"/>
  <c r="U14" i="66"/>
  <c r="U13" i="66" s="1"/>
  <c r="U17" i="66" s="1"/>
  <c r="H20" i="52"/>
  <c r="H22" i="52" s="1"/>
  <c r="J111" i="48"/>
  <c r="Q32" i="40"/>
  <c r="P42" i="40"/>
  <c r="D95" i="68"/>
  <c r="D94" i="68" s="1"/>
  <c r="D102" i="68" s="1"/>
  <c r="D16" i="69" s="1"/>
  <c r="Q95" i="68"/>
  <c r="Q94" i="68" s="1"/>
  <c r="Q102" i="68" s="1"/>
  <c r="Q16" i="69" s="1"/>
  <c r="D191" i="64"/>
  <c r="Y191" i="64" s="1"/>
  <c r="Y190" i="64"/>
  <c r="AQ164" i="64"/>
  <c r="AA23" i="70" l="1"/>
  <c r="AA41" i="70"/>
  <c r="AA39" i="70" s="1"/>
  <c r="AA45" i="70" s="1"/>
  <c r="H23" i="70"/>
  <c r="H41" i="70"/>
  <c r="G39" i="70"/>
  <c r="G45" i="70" s="1"/>
  <c r="Q118" i="64"/>
  <c r="AO163" i="64"/>
  <c r="AN162" i="64"/>
  <c r="S142" i="64"/>
  <c r="S141" i="64" s="1"/>
  <c r="T143" i="64"/>
  <c r="AO185" i="64"/>
  <c r="AN184" i="64"/>
  <c r="AN168" i="64" s="1"/>
  <c r="W15" i="66" s="1"/>
  <c r="R156" i="64"/>
  <c r="R155" i="64" s="1"/>
  <c r="R140" i="64" s="1"/>
  <c r="S157" i="64"/>
  <c r="T161" i="64"/>
  <c r="S160" i="64"/>
  <c r="AO160" i="64"/>
  <c r="AP161" i="64"/>
  <c r="AN141" i="64"/>
  <c r="AN140" i="64" s="1"/>
  <c r="AN118" i="64" s="1"/>
  <c r="AO147" i="64"/>
  <c r="AN146" i="64"/>
  <c r="U147" i="64"/>
  <c r="U146" i="64" s="1"/>
  <c r="T146" i="64"/>
  <c r="K27" i="65"/>
  <c r="I24" i="70" s="1"/>
  <c r="H14" i="66"/>
  <c r="H13" i="66" s="1"/>
  <c r="AQ122" i="64"/>
  <c r="AQ121" i="64" s="1"/>
  <c r="AP121" i="64"/>
  <c r="AP143" i="64"/>
  <c r="AO142" i="64"/>
  <c r="Q194" i="64"/>
  <c r="S128" i="64"/>
  <c r="R121" i="64"/>
  <c r="R120" i="64" s="1"/>
  <c r="R119" i="64" s="1"/>
  <c r="E11" i="70"/>
  <c r="D18" i="69"/>
  <c r="AB27" i="65"/>
  <c r="AB24" i="70" s="1"/>
  <c r="V14" i="66"/>
  <c r="V13" i="66" s="1"/>
  <c r="V17" i="66" s="1"/>
  <c r="P31" i="47"/>
  <c r="O103" i="47"/>
  <c r="O110" i="47" s="1"/>
  <c r="O111" i="47" s="1"/>
  <c r="AP132" i="64"/>
  <c r="AO120" i="64"/>
  <c r="AO119" i="64" s="1"/>
  <c r="R32" i="40"/>
  <c r="Q42" i="40"/>
  <c r="I20" i="52"/>
  <c r="I22" i="52" s="1"/>
  <c r="K111" i="48"/>
  <c r="O30" i="42"/>
  <c r="N103" i="42"/>
  <c r="N110" i="42" s="1"/>
  <c r="N111" i="42" s="1"/>
  <c r="E95" i="68"/>
  <c r="E94" i="68" s="1"/>
  <c r="E102" i="68" s="1"/>
  <c r="E16" i="69" s="1"/>
  <c r="R95" i="68"/>
  <c r="R94" i="68" s="1"/>
  <c r="R102" i="68" s="1"/>
  <c r="R16" i="69" s="1"/>
  <c r="F55" i="68"/>
  <c r="L110" i="48"/>
  <c r="N31" i="48"/>
  <c r="M103" i="48"/>
  <c r="W11" i="70"/>
  <c r="Q18" i="69"/>
  <c r="AB23" i="70" l="1"/>
  <c r="AB41" i="70"/>
  <c r="AB39" i="70" s="1"/>
  <c r="AB45" i="70" s="1"/>
  <c r="I23" i="70"/>
  <c r="I41" i="70"/>
  <c r="H39" i="70"/>
  <c r="H45" i="70" s="1"/>
  <c r="AN194" i="64"/>
  <c r="R118" i="64"/>
  <c r="R194" i="64" s="1"/>
  <c r="AP185" i="64"/>
  <c r="AO184" i="64"/>
  <c r="AO168" i="64" s="1"/>
  <c r="X15" i="66" s="1"/>
  <c r="T142" i="64"/>
  <c r="T141" i="64" s="1"/>
  <c r="U143" i="64"/>
  <c r="U142" i="64" s="1"/>
  <c r="U141" i="64" s="1"/>
  <c r="U161" i="64"/>
  <c r="U160" i="64" s="1"/>
  <c r="T160" i="64"/>
  <c r="T157" i="64"/>
  <c r="S156" i="64"/>
  <c r="S155" i="64" s="1"/>
  <c r="S140" i="64" s="1"/>
  <c r="AP160" i="64"/>
  <c r="AQ161" i="64"/>
  <c r="AQ160" i="64" s="1"/>
  <c r="AP163" i="64"/>
  <c r="AO162" i="64"/>
  <c r="AO146" i="64"/>
  <c r="AO141" i="64" s="1"/>
  <c r="AO140" i="64" s="1"/>
  <c r="AO118" i="64" s="1"/>
  <c r="AP147" i="64"/>
  <c r="L27" i="65"/>
  <c r="J24" i="70" s="1"/>
  <c r="I14" i="66"/>
  <c r="I13" i="66" s="1"/>
  <c r="AQ143" i="64"/>
  <c r="AQ142" i="64" s="1"/>
  <c r="AP142" i="64"/>
  <c r="T128" i="64"/>
  <c r="S121" i="64"/>
  <c r="S120" i="64" s="1"/>
  <c r="S119" i="64" s="1"/>
  <c r="R42" i="40"/>
  <c r="S32" i="40"/>
  <c r="Q31" i="47"/>
  <c r="P103" i="47"/>
  <c r="P110" i="47" s="1"/>
  <c r="P111" i="47" s="1"/>
  <c r="P30" i="42"/>
  <c r="O103" i="42"/>
  <c r="O110" i="42" s="1"/>
  <c r="O111" i="42" s="1"/>
  <c r="O31" i="48"/>
  <c r="N103" i="48"/>
  <c r="L111" i="48"/>
  <c r="J20" i="52"/>
  <c r="J22" i="52" s="1"/>
  <c r="G55" i="68"/>
  <c r="M110" i="48"/>
  <c r="F95" i="68"/>
  <c r="F94" i="68" s="1"/>
  <c r="F102" i="68" s="1"/>
  <c r="F16" i="69" s="1"/>
  <c r="S95" i="68"/>
  <c r="S94" i="68" s="1"/>
  <c r="S102" i="68" s="1"/>
  <c r="S16" i="69" s="1"/>
  <c r="AC27" i="65"/>
  <c r="AC24" i="70" s="1"/>
  <c r="W14" i="66"/>
  <c r="W13" i="66" s="1"/>
  <c r="W17" i="66" s="1"/>
  <c r="X11" i="70"/>
  <c r="X10" i="70" s="1"/>
  <c r="X27" i="70" s="1"/>
  <c r="R18" i="69"/>
  <c r="AG189" i="70"/>
  <c r="Y189" i="70"/>
  <c r="X196" i="70"/>
  <c r="X192" i="70"/>
  <c r="AC189" i="70"/>
  <c r="X198" i="70"/>
  <c r="X194" i="70"/>
  <c r="X190" i="70"/>
  <c r="X193" i="70"/>
  <c r="AB189" i="70"/>
  <c r="AA189" i="70"/>
  <c r="X199" i="70"/>
  <c r="X191" i="70"/>
  <c r="Z189" i="70"/>
  <c r="W27" i="70"/>
  <c r="X197" i="70"/>
  <c r="AH189" i="70"/>
  <c r="AF189" i="70"/>
  <c r="X195" i="70"/>
  <c r="AE189" i="70"/>
  <c r="AD189" i="70"/>
  <c r="F11" i="70"/>
  <c r="F10" i="70" s="1"/>
  <c r="E18" i="69"/>
  <c r="AQ132" i="64"/>
  <c r="AQ120" i="64" s="1"/>
  <c r="AQ119" i="64" s="1"/>
  <c r="AP120" i="64"/>
  <c r="AP119" i="64" s="1"/>
  <c r="E27" i="70"/>
  <c r="F197" i="70"/>
  <c r="F193" i="70"/>
  <c r="F199" i="70"/>
  <c r="F195" i="70"/>
  <c r="F191" i="70"/>
  <c r="F207" i="70"/>
  <c r="F192" i="70"/>
  <c r="F198" i="70"/>
  <c r="F190" i="70"/>
  <c r="F196" i="70"/>
  <c r="L189" i="70"/>
  <c r="K189" i="70"/>
  <c r="F194" i="70"/>
  <c r="J189" i="70"/>
  <c r="I189" i="70"/>
  <c r="P189" i="70"/>
  <c r="H189" i="70"/>
  <c r="O189" i="70"/>
  <c r="G189" i="70"/>
  <c r="N189" i="70"/>
  <c r="M189" i="70"/>
  <c r="AC23" i="70" l="1"/>
  <c r="AC41" i="70"/>
  <c r="AC39" i="70" s="1"/>
  <c r="AC45" i="70" s="1"/>
  <c r="J23" i="70"/>
  <c r="J41" i="70"/>
  <c r="I39" i="70"/>
  <c r="I45" i="70" s="1"/>
  <c r="AO194" i="64"/>
  <c r="T140" i="64"/>
  <c r="S118" i="64"/>
  <c r="AQ147" i="64"/>
  <c r="AQ146" i="64" s="1"/>
  <c r="AQ141" i="64" s="1"/>
  <c r="AQ140" i="64" s="1"/>
  <c r="AQ118" i="64" s="1"/>
  <c r="AP146" i="64"/>
  <c r="T156" i="64"/>
  <c r="T155" i="64" s="1"/>
  <c r="U157" i="64"/>
  <c r="U156" i="64" s="1"/>
  <c r="U155" i="64" s="1"/>
  <c r="U140" i="64" s="1"/>
  <c r="AP184" i="64"/>
  <c r="AP168" i="64" s="1"/>
  <c r="Y15" i="66" s="1"/>
  <c r="AQ185" i="64"/>
  <c r="AQ184" i="64" s="1"/>
  <c r="AQ168" i="64" s="1"/>
  <c r="Z15" i="66" s="1"/>
  <c r="AP141" i="64"/>
  <c r="AP140" i="64" s="1"/>
  <c r="AP118" i="64" s="1"/>
  <c r="AQ163" i="64"/>
  <c r="AQ162" i="64" s="1"/>
  <c r="AP162" i="64"/>
  <c r="M27" i="65"/>
  <c r="K24" i="70" s="1"/>
  <c r="J14" i="66"/>
  <c r="J13" i="66" s="1"/>
  <c r="S194" i="64"/>
  <c r="U128" i="64"/>
  <c r="U121" i="64" s="1"/>
  <c r="U120" i="64" s="1"/>
  <c r="U119" i="64" s="1"/>
  <c r="T121" i="64"/>
  <c r="T120" i="64" s="1"/>
  <c r="T119" i="64" s="1"/>
  <c r="T118" i="64" s="1"/>
  <c r="AD27" i="65"/>
  <c r="AD24" i="70" s="1"/>
  <c r="X14" i="66"/>
  <c r="X13" i="66" s="1"/>
  <c r="X17" i="66" s="1"/>
  <c r="P31" i="48"/>
  <c r="O103" i="48"/>
  <c r="Y11" i="70"/>
  <c r="Y10" i="70" s="1"/>
  <c r="Y27" i="70" s="1"/>
  <c r="S18" i="69"/>
  <c r="G11" i="70"/>
  <c r="G10" i="70" s="1"/>
  <c r="O12" i="70" s="1"/>
  <c r="F18" i="69"/>
  <c r="Q30" i="42"/>
  <c r="P103" i="42"/>
  <c r="P110" i="42" s="1"/>
  <c r="P111" i="42" s="1"/>
  <c r="K20" i="52"/>
  <c r="K22" i="52" s="1"/>
  <c r="M111" i="48"/>
  <c r="K112" i="48" s="1"/>
  <c r="G95" i="68"/>
  <c r="G94" i="68" s="1"/>
  <c r="G102" i="68" s="1"/>
  <c r="G16" i="69" s="1"/>
  <c r="T95" i="68"/>
  <c r="T94" i="68" s="1"/>
  <c r="T102" i="68" s="1"/>
  <c r="T16" i="69" s="1"/>
  <c r="F227" i="70"/>
  <c r="M227" i="70" s="1"/>
  <c r="H227" i="70"/>
  <c r="E227" i="70"/>
  <c r="G227" i="70"/>
  <c r="I227" i="70"/>
  <c r="R31" i="47"/>
  <c r="Q103" i="47"/>
  <c r="Q110" i="47" s="1"/>
  <c r="Q111" i="47" s="1"/>
  <c r="T32" i="40"/>
  <c r="S42" i="40"/>
  <c r="F208" i="70"/>
  <c r="F27" i="70"/>
  <c r="H55" i="68"/>
  <c r="N110" i="48"/>
  <c r="AD23" i="70" l="1"/>
  <c r="AD41" i="70"/>
  <c r="AD39" i="70" s="1"/>
  <c r="AD45" i="70" s="1"/>
  <c r="J39" i="70"/>
  <c r="J45" i="70" s="1"/>
  <c r="K23" i="70"/>
  <c r="K41" i="70"/>
  <c r="AP194" i="64"/>
  <c r="AQ194" i="64"/>
  <c r="U118" i="64"/>
  <c r="T194" i="64"/>
  <c r="U194" i="64"/>
  <c r="N27" i="65"/>
  <c r="L24" i="70" s="1"/>
  <c r="K14" i="66"/>
  <c r="K13" i="66" s="1"/>
  <c r="AF27" i="65"/>
  <c r="AF24" i="70" s="1"/>
  <c r="Z14" i="66"/>
  <c r="Z13" i="66" s="1"/>
  <c r="Z17" i="66" s="1"/>
  <c r="F209" i="70"/>
  <c r="G27" i="70"/>
  <c r="S31" i="47"/>
  <c r="R103" i="47"/>
  <c r="R110" i="47" s="1"/>
  <c r="R111" i="47" s="1"/>
  <c r="T18" i="69"/>
  <c r="Z11" i="70"/>
  <c r="Z10" i="70" s="1"/>
  <c r="Z27" i="70" s="1"/>
  <c r="F228" i="70"/>
  <c r="M228" i="70" s="1"/>
  <c r="I228" i="70"/>
  <c r="H228" i="70"/>
  <c r="G228" i="70"/>
  <c r="E228" i="70"/>
  <c r="H11" i="70"/>
  <c r="H10" i="70" s="1"/>
  <c r="G18" i="69"/>
  <c r="I55" i="68"/>
  <c r="O110" i="48"/>
  <c r="Q31" i="48"/>
  <c r="P103" i="48"/>
  <c r="N111" i="48"/>
  <c r="J115" i="48" s="1"/>
  <c r="J116" i="48" s="1"/>
  <c r="L20" i="52"/>
  <c r="L22" i="52" s="1"/>
  <c r="T42" i="40"/>
  <c r="U32" i="40"/>
  <c r="AE27" i="65"/>
  <c r="AE24" i="70" s="1"/>
  <c r="Y14" i="66"/>
  <c r="Y13" i="66" s="1"/>
  <c r="Y17" i="66" s="1"/>
  <c r="J227" i="70"/>
  <c r="L227" i="70"/>
  <c r="K227" i="70"/>
  <c r="R30" i="42"/>
  <c r="Q103" i="42"/>
  <c r="Q110" i="42" s="1"/>
  <c r="Q111" i="42" s="1"/>
  <c r="H95" i="68"/>
  <c r="H94" i="68" s="1"/>
  <c r="H102" i="68" s="1"/>
  <c r="H16" i="69" s="1"/>
  <c r="U95" i="68"/>
  <c r="U94" i="68" s="1"/>
  <c r="U102" i="68" s="1"/>
  <c r="U16" i="69" s="1"/>
  <c r="AF23" i="70" l="1"/>
  <c r="AF41" i="70"/>
  <c r="AE23" i="70"/>
  <c r="AE41" i="70"/>
  <c r="AE39" i="70" s="1"/>
  <c r="AE45" i="70" s="1"/>
  <c r="K39" i="70"/>
  <c r="K45" i="70" s="1"/>
  <c r="L23" i="70"/>
  <c r="L41" i="70"/>
  <c r="P27" i="65"/>
  <c r="N24" i="70" s="1"/>
  <c r="M14" i="66"/>
  <c r="M13" i="66" s="1"/>
  <c r="O27" i="65"/>
  <c r="M24" i="70" s="1"/>
  <c r="L14" i="66"/>
  <c r="L13" i="66" s="1"/>
  <c r="J55" i="68"/>
  <c r="P110" i="48"/>
  <c r="J228" i="70"/>
  <c r="L228" i="70"/>
  <c r="K228" i="70"/>
  <c r="T31" i="47"/>
  <c r="S103" i="47"/>
  <c r="S110" i="47" s="1"/>
  <c r="S111" i="47" s="1"/>
  <c r="R31" i="48"/>
  <c r="Q103" i="48"/>
  <c r="I229" i="70"/>
  <c r="F229" i="70"/>
  <c r="M229" i="70" s="1"/>
  <c r="G229" i="70"/>
  <c r="H229" i="70"/>
  <c r="E229" i="70"/>
  <c r="U18" i="69"/>
  <c r="AA11" i="70"/>
  <c r="AA10" i="70" s="1"/>
  <c r="AA27" i="70" s="1"/>
  <c r="I11" i="70"/>
  <c r="I10" i="70" s="1"/>
  <c r="H18" i="69"/>
  <c r="M20" i="52"/>
  <c r="M22" i="52" s="1"/>
  <c r="O111" i="48"/>
  <c r="V32" i="40"/>
  <c r="U42" i="40"/>
  <c r="I95" i="68"/>
  <c r="I94" i="68" s="1"/>
  <c r="I102" i="68" s="1"/>
  <c r="I16" i="69" s="1"/>
  <c r="V95" i="68"/>
  <c r="V94" i="68" s="1"/>
  <c r="V102" i="68" s="1"/>
  <c r="V16" i="69" s="1"/>
  <c r="S30" i="42"/>
  <c r="R103" i="42"/>
  <c r="R110" i="42" s="1"/>
  <c r="R111" i="42" s="1"/>
  <c r="F210" i="70"/>
  <c r="H27" i="70"/>
  <c r="M23" i="70" l="1"/>
  <c r="M41" i="70"/>
  <c r="N23" i="70"/>
  <c r="N41" i="70"/>
  <c r="L39" i="70"/>
  <c r="L45" i="70" s="1"/>
  <c r="AB11" i="70"/>
  <c r="AB10" i="70" s="1"/>
  <c r="AB27" i="70" s="1"/>
  <c r="V18" i="69"/>
  <c r="I27" i="70"/>
  <c r="F211" i="70"/>
  <c r="K55" i="68"/>
  <c r="Q110" i="48"/>
  <c r="P111" i="48"/>
  <c r="N20" i="52"/>
  <c r="N22" i="52" s="1"/>
  <c r="S31" i="48"/>
  <c r="R103" i="48"/>
  <c r="J95" i="68"/>
  <c r="J94" i="68" s="1"/>
  <c r="J102" i="68" s="1"/>
  <c r="J16" i="69" s="1"/>
  <c r="W95" i="68"/>
  <c r="W94" i="68" s="1"/>
  <c r="W102" i="68" s="1"/>
  <c r="W16" i="69" s="1"/>
  <c r="L229" i="70"/>
  <c r="J229" i="70"/>
  <c r="K229" i="70"/>
  <c r="U31" i="47"/>
  <c r="T103" i="47"/>
  <c r="T110" i="47" s="1"/>
  <c r="T111" i="47" s="1"/>
  <c r="E230" i="70"/>
  <c r="F230" i="70"/>
  <c r="M230" i="70" s="1"/>
  <c r="I230" i="70"/>
  <c r="G230" i="70"/>
  <c r="H230" i="70"/>
  <c r="W32" i="40"/>
  <c r="V42" i="40"/>
  <c r="T30" i="42"/>
  <c r="S103" i="42"/>
  <c r="S110" i="42" s="1"/>
  <c r="S111" i="42" s="1"/>
  <c r="J11" i="70"/>
  <c r="J10" i="70" s="1"/>
  <c r="I18" i="69"/>
  <c r="M39" i="70" l="1"/>
  <c r="M45" i="70" s="1"/>
  <c r="O20" i="52"/>
  <c r="O22" i="52" s="1"/>
  <c r="Q111" i="48"/>
  <c r="J18" i="69"/>
  <c r="K11" i="70"/>
  <c r="K10" i="70" s="1"/>
  <c r="K230" i="70"/>
  <c r="J230" i="70"/>
  <c r="L230" i="70"/>
  <c r="L55" i="68"/>
  <c r="R110" i="48"/>
  <c r="H231" i="70"/>
  <c r="G231" i="70"/>
  <c r="E231" i="70"/>
  <c r="I231" i="70"/>
  <c r="F231" i="70"/>
  <c r="M231" i="70" s="1"/>
  <c r="V31" i="47"/>
  <c r="U103" i="47"/>
  <c r="U110" i="47" s="1"/>
  <c r="U111" i="47" s="1"/>
  <c r="T31" i="48"/>
  <c r="S103" i="48"/>
  <c r="U30" i="42"/>
  <c r="T103" i="42"/>
  <c r="T110" i="42" s="1"/>
  <c r="T111" i="42" s="1"/>
  <c r="K95" i="68"/>
  <c r="K94" i="68" s="1"/>
  <c r="K102" i="68" s="1"/>
  <c r="K16" i="69" s="1"/>
  <c r="X95" i="68"/>
  <c r="X94" i="68" s="1"/>
  <c r="X102" i="68" s="1"/>
  <c r="X16" i="69" s="1"/>
  <c r="X32" i="40"/>
  <c r="X42" i="40" s="1"/>
  <c r="W42" i="40"/>
  <c r="AC11" i="70"/>
  <c r="AC10" i="70" s="1"/>
  <c r="AC27" i="70" s="1"/>
  <c r="W18" i="69"/>
  <c r="F212" i="70"/>
  <c r="J27" i="70"/>
  <c r="I232" i="70" l="1"/>
  <c r="E232" i="70"/>
  <c r="H232" i="70"/>
  <c r="G232" i="70"/>
  <c r="F232" i="70"/>
  <c r="M232" i="70" s="1"/>
  <c r="V30" i="42"/>
  <c r="V103" i="42" s="1"/>
  <c r="U103" i="42"/>
  <c r="U110" i="42" s="1"/>
  <c r="U111" i="42" s="1"/>
  <c r="M55" i="68"/>
  <c r="S110" i="48"/>
  <c r="U31" i="48"/>
  <c r="T103" i="48"/>
  <c r="T110" i="48" s="1"/>
  <c r="K231" i="70"/>
  <c r="L231" i="70"/>
  <c r="J231" i="70"/>
  <c r="F213" i="70"/>
  <c r="K27" i="70"/>
  <c r="AD11" i="70"/>
  <c r="AD10" i="70" s="1"/>
  <c r="AD27" i="70" s="1"/>
  <c r="X18" i="69"/>
  <c r="R111" i="48"/>
  <c r="P20" i="52"/>
  <c r="P22" i="52" s="1"/>
  <c r="L11" i="70"/>
  <c r="L10" i="70" s="1"/>
  <c r="K18" i="69"/>
  <c r="W31" i="47"/>
  <c r="V103" i="47"/>
  <c r="V110" i="47" s="1"/>
  <c r="V111" i="47" s="1"/>
  <c r="L95" i="68"/>
  <c r="L94" i="68" s="1"/>
  <c r="L102" i="68" s="1"/>
  <c r="L16" i="69" s="1"/>
  <c r="Y95" i="68"/>
  <c r="Y94" i="68" s="1"/>
  <c r="Y102" i="68" s="1"/>
  <c r="Y16" i="69" s="1"/>
  <c r="T111" i="48" l="1"/>
  <c r="R20" i="52"/>
  <c r="R22" i="52" s="1"/>
  <c r="AE11" i="70"/>
  <c r="AE10" i="70" s="1"/>
  <c r="AE27" i="70" s="1"/>
  <c r="Y18" i="69"/>
  <c r="V31" i="48"/>
  <c r="U103" i="48"/>
  <c r="U110" i="48" s="1"/>
  <c r="Q20" i="52"/>
  <c r="Q22" i="52" s="1"/>
  <c r="S111" i="48"/>
  <c r="F233" i="70"/>
  <c r="M233" i="70" s="1"/>
  <c r="I233" i="70"/>
  <c r="E233" i="70"/>
  <c r="G233" i="70"/>
  <c r="H233" i="70"/>
  <c r="M95" i="68"/>
  <c r="M94" i="68" s="1"/>
  <c r="M102" i="68" s="1"/>
  <c r="M16" i="69" s="1"/>
  <c r="Z95" i="68"/>
  <c r="Z94" i="68" s="1"/>
  <c r="Z102" i="68" s="1"/>
  <c r="Z16" i="69" s="1"/>
  <c r="X31" i="47"/>
  <c r="W103" i="47"/>
  <c r="W110" i="47" s="1"/>
  <c r="W111" i="47" s="1"/>
  <c r="M11" i="70"/>
  <c r="M10" i="70" s="1"/>
  <c r="L18" i="69"/>
  <c r="W104" i="42"/>
  <c r="W105" i="42" s="1"/>
  <c r="Y105" i="42" s="1"/>
  <c r="V110" i="42"/>
  <c r="V111" i="42" s="1"/>
  <c r="K232" i="70"/>
  <c r="L232" i="70"/>
  <c r="J232" i="70"/>
  <c r="L27" i="70"/>
  <c r="F214" i="70"/>
  <c r="S20" i="52" l="1"/>
  <c r="S22" i="52" s="1"/>
  <c r="U111" i="48"/>
  <c r="W31" i="48"/>
  <c r="V103" i="48"/>
  <c r="V110" i="48" s="1"/>
  <c r="M27" i="70"/>
  <c r="F215" i="70"/>
  <c r="L233" i="70"/>
  <c r="J233" i="70"/>
  <c r="K233" i="70"/>
  <c r="F234" i="70"/>
  <c r="M234" i="70" s="1"/>
  <c r="E234" i="70"/>
  <c r="H234" i="70"/>
  <c r="I234" i="70"/>
  <c r="G234" i="70"/>
  <c r="Y31" i="47"/>
  <c r="X103" i="47"/>
  <c r="AF11" i="70"/>
  <c r="AF10" i="70" s="1"/>
  <c r="Z18" i="69"/>
  <c r="N11" i="70"/>
  <c r="N10" i="70" s="1"/>
  <c r="O10" i="70" s="1"/>
  <c r="M18" i="69"/>
  <c r="Y103" i="47" l="1"/>
  <c r="Z41" i="47"/>
  <c r="H235" i="70"/>
  <c r="G235" i="70"/>
  <c r="F235" i="70"/>
  <c r="M235" i="70" s="1"/>
  <c r="I235" i="70"/>
  <c r="E235" i="70"/>
  <c r="T20" i="52"/>
  <c r="T22" i="52" s="1"/>
  <c r="V111" i="48"/>
  <c r="F216" i="70"/>
  <c r="K234" i="70"/>
  <c r="J234" i="70"/>
  <c r="L234" i="70"/>
  <c r="X35" i="48"/>
  <c r="W103" i="48"/>
  <c r="Z103" i="47"/>
  <c r="X110" i="47"/>
  <c r="X111" i="47" s="1"/>
  <c r="AA103" i="47" l="1"/>
  <c r="AC103" i="47" s="1"/>
  <c r="Z105" i="47"/>
  <c r="AA107" i="47" s="1"/>
  <c r="AC101" i="47"/>
  <c r="F33" i="56"/>
  <c r="W110" i="48"/>
  <c r="Q55" i="68"/>
  <c r="X103" i="48"/>
  <c r="L235" i="70"/>
  <c r="K235" i="70"/>
  <c r="J235" i="70"/>
  <c r="Z103" i="48" l="1"/>
  <c r="T55" i="68" s="1"/>
  <c r="R55" i="68"/>
  <c r="U20" i="52"/>
  <c r="W111" i="48"/>
  <c r="K115" i="48" s="1"/>
  <c r="K116" i="48" s="1"/>
  <c r="F26" i="56"/>
  <c r="F64" i="56"/>
  <c r="I33" i="56"/>
  <c r="F34" i="56"/>
  <c r="I34" i="56" s="1"/>
  <c r="F95" i="56" l="1"/>
  <c r="F65" i="56"/>
  <c r="I65" i="56" s="1"/>
  <c r="I64" i="56"/>
  <c r="E16" i="53"/>
  <c r="E20" i="53" s="1"/>
  <c r="U22" i="52"/>
  <c r="I32" i="56"/>
  <c r="F57" i="56"/>
  <c r="F27" i="56"/>
  <c r="I26" i="56"/>
  <c r="J26" i="56"/>
  <c r="I63" i="56" l="1"/>
  <c r="F88" i="56"/>
  <c r="I57" i="56"/>
  <c r="F58" i="56"/>
  <c r="I27" i="56"/>
  <c r="F28" i="56"/>
  <c r="I28" i="56" s="1"/>
  <c r="I19" i="56" s="1"/>
  <c r="I38" i="56" s="1"/>
  <c r="F126" i="56"/>
  <c r="I95" i="56"/>
  <c r="F96" i="56"/>
  <c r="I96" i="56" s="1"/>
  <c r="I94" i="56" l="1"/>
  <c r="F157" i="56"/>
  <c r="I126" i="56"/>
  <c r="F127" i="56"/>
  <c r="I127" i="56" s="1"/>
  <c r="I58" i="56"/>
  <c r="F59" i="56"/>
  <c r="I59" i="56" s="1"/>
  <c r="I50" i="56" s="1"/>
  <c r="I69" i="56" s="1"/>
  <c r="F119" i="56"/>
  <c r="I88" i="56"/>
  <c r="F89" i="56"/>
  <c r="I125" i="56" l="1"/>
  <c r="F90" i="56"/>
  <c r="I90" i="56" s="1"/>
  <c r="I89" i="56"/>
  <c r="F188" i="56"/>
  <c r="F158" i="56"/>
  <c r="I158" i="56" s="1"/>
  <c r="I157" i="56"/>
  <c r="I81" i="56"/>
  <c r="I100" i="56" s="1"/>
  <c r="F150" i="56"/>
  <c r="F120" i="56"/>
  <c r="I119" i="56"/>
  <c r="I156" i="56" l="1"/>
  <c r="F365" i="56"/>
  <c r="I188" i="56"/>
  <c r="F189" i="56"/>
  <c r="I189" i="56" s="1"/>
  <c r="I120" i="56"/>
  <c r="F121" i="56"/>
  <c r="I121" i="56" s="1"/>
  <c r="I112" i="56" s="1"/>
  <c r="I131" i="56" s="1"/>
  <c r="F181" i="56"/>
  <c r="I150" i="56"/>
  <c r="F151" i="56"/>
  <c r="K152" i="56"/>
  <c r="I187" i="56" l="1"/>
  <c r="F396" i="56"/>
  <c r="I365" i="56"/>
  <c r="F366" i="56"/>
  <c r="I366" i="56" s="1"/>
  <c r="I151" i="56"/>
  <c r="F152" i="56"/>
  <c r="I152" i="56" s="1"/>
  <c r="F358" i="56"/>
  <c r="I181" i="56"/>
  <c r="F182" i="56"/>
  <c r="I364" i="56" l="1"/>
  <c r="I143" i="56"/>
  <c r="I162" i="56" s="1"/>
  <c r="I396" i="56"/>
  <c r="F397" i="56"/>
  <c r="I397" i="56" s="1"/>
  <c r="F427" i="56"/>
  <c r="F183" i="56"/>
  <c r="I183" i="56" s="1"/>
  <c r="I182" i="56"/>
  <c r="I358" i="56"/>
  <c r="F359" i="56"/>
  <c r="F389" i="56"/>
  <c r="I174" i="56" l="1"/>
  <c r="I193" i="56" s="1"/>
  <c r="F458" i="56"/>
  <c r="I427" i="56"/>
  <c r="F428" i="56"/>
  <c r="I428" i="56" s="1"/>
  <c r="I395" i="56"/>
  <c r="I389" i="56"/>
  <c r="F390" i="56"/>
  <c r="F420" i="56"/>
  <c r="I359" i="56"/>
  <c r="I351" i="56" s="1"/>
  <c r="I370" i="56" s="1"/>
  <c r="F360" i="56"/>
  <c r="I360" i="56" s="1"/>
  <c r="H225" i="56"/>
  <c r="H227" i="56" s="1"/>
  <c r="H653" i="56" s="1"/>
  <c r="I390" i="56" l="1"/>
  <c r="F391" i="56"/>
  <c r="I391" i="56" s="1"/>
  <c r="I426" i="56"/>
  <c r="F421" i="56"/>
  <c r="F451" i="56"/>
  <c r="I420" i="56"/>
  <c r="I458" i="56"/>
  <c r="F459" i="56"/>
  <c r="I459" i="56" s="1"/>
  <c r="F489" i="56"/>
  <c r="I382" i="56" l="1"/>
  <c r="I401" i="56" s="1"/>
  <c r="I457" i="56"/>
  <c r="I421" i="56"/>
  <c r="F422" i="56"/>
  <c r="I422" i="56" s="1"/>
  <c r="I489" i="56"/>
  <c r="F490" i="56"/>
  <c r="I490" i="56" s="1"/>
  <c r="F482" i="56"/>
  <c r="I451" i="56"/>
  <c r="F452" i="56"/>
  <c r="I413" i="56" l="1"/>
  <c r="I432" i="56" s="1"/>
  <c r="I452" i="56"/>
  <c r="F453" i="56"/>
  <c r="I453" i="56" s="1"/>
  <c r="I444" i="56" s="1"/>
  <c r="I463" i="56" s="1"/>
  <c r="I482" i="56"/>
  <c r="F483" i="56"/>
  <c r="I488" i="56"/>
  <c r="I483" i="56" l="1"/>
  <c r="F484" i="56"/>
  <c r="I484" i="56" s="1"/>
  <c r="I475" i="56" s="1"/>
  <c r="I494" i="56" s="1"/>
  <c r="G569" i="56" l="1"/>
  <c r="H569" i="56" s="1"/>
  <c r="H571" i="56" s="1"/>
  <c r="G654" i="56" l="1"/>
  <c r="H654" i="56" s="1"/>
  <c r="H655" i="56" s="1"/>
  <c r="H657" i="56" l="1"/>
  <c r="H656" i="56"/>
  <c r="H658" i="56" s="1"/>
  <c r="F55" i="63" s="1"/>
  <c r="L20" i="63" l="1"/>
  <c r="D20" i="70"/>
  <c r="A20" i="70"/>
  <c r="A24" i="70" s="1"/>
  <c r="F58" i="63"/>
  <c r="B20" i="70" l="1"/>
  <c r="B24" i="70" s="1"/>
  <c r="D13" i="70"/>
  <c r="D40" i="70" s="1"/>
  <c r="L24" i="63"/>
  <c r="C13" i="66"/>
  <c r="C17" i="66" s="1"/>
  <c r="N20" i="63"/>
  <c r="L23" i="63"/>
  <c r="B11" i="70" s="1"/>
  <c r="D39" i="70" l="1"/>
  <c r="D45" i="70" s="1"/>
  <c r="N42" i="70"/>
  <c r="N55" i="70" s="1"/>
  <c r="V20" i="70"/>
  <c r="N23" i="63"/>
  <c r="H170" i="70"/>
  <c r="I170" i="70"/>
  <c r="N206" i="70"/>
  <c r="M206" i="70"/>
  <c r="B13" i="70"/>
  <c r="H206" i="70"/>
  <c r="F174" i="70"/>
  <c r="F171" i="70"/>
  <c r="N170" i="70"/>
  <c r="G170" i="70"/>
  <c r="F175" i="70"/>
  <c r="F178" i="70"/>
  <c r="L170" i="70"/>
  <c r="D23" i="70"/>
  <c r="K206" i="70"/>
  <c r="O170" i="70"/>
  <c r="N26" i="70"/>
  <c r="N27" i="70" s="1"/>
  <c r="I206" i="70"/>
  <c r="L206" i="70"/>
  <c r="J170" i="70"/>
  <c r="M170" i="70"/>
  <c r="F177" i="70"/>
  <c r="F172" i="70"/>
  <c r="F179" i="70"/>
  <c r="F173" i="70"/>
  <c r="P170" i="70"/>
  <c r="P206" i="70"/>
  <c r="O206" i="70"/>
  <c r="F180" i="70"/>
  <c r="G206" i="70"/>
  <c r="K170" i="70"/>
  <c r="J206" i="70"/>
  <c r="F176" i="70"/>
  <c r="N56" i="70" l="1"/>
  <c r="P54" i="70"/>
  <c r="N39" i="70"/>
  <c r="N45" i="70" s="1"/>
  <c r="D47" i="70" s="1"/>
  <c r="E68" i="70" s="1"/>
  <c r="D27" i="70"/>
  <c r="B66" i="70"/>
  <c r="G236" i="70"/>
  <c r="E236" i="70"/>
  <c r="O27" i="70"/>
  <c r="I236" i="70"/>
  <c r="H236" i="70"/>
  <c r="F236" i="70"/>
  <c r="M236" i="70" s="1"/>
  <c r="P13" i="66"/>
  <c r="P17" i="66" s="1"/>
  <c r="S13" i="70"/>
  <c r="T20" i="70"/>
  <c r="T23" i="70" s="1"/>
  <c r="V13" i="70"/>
  <c r="V40" i="70" s="1"/>
  <c r="E50" i="70" l="1"/>
  <c r="AF42" i="70"/>
  <c r="AF55" i="70" s="1"/>
  <c r="V39" i="70"/>
  <c r="V45" i="70" s="1"/>
  <c r="E70" i="70"/>
  <c r="E74" i="70"/>
  <c r="D49" i="70"/>
  <c r="D30" i="70"/>
  <c r="E66" i="70" s="1"/>
  <c r="I225" i="70" s="1"/>
  <c r="D29" i="70"/>
  <c r="I104" i="70" s="1"/>
  <c r="E226" i="70"/>
  <c r="H226" i="70" s="1"/>
  <c r="B26" i="70"/>
  <c r="B65" i="70" s="1"/>
  <c r="K236" i="70"/>
  <c r="L236" i="70"/>
  <c r="J236" i="70"/>
  <c r="M238" i="70"/>
  <c r="M237" i="70"/>
  <c r="X173" i="70"/>
  <c r="AH170" i="70"/>
  <c r="X175" i="70"/>
  <c r="X171" i="70"/>
  <c r="X176" i="70"/>
  <c r="X178" i="70"/>
  <c r="X179" i="70"/>
  <c r="X177" i="70"/>
  <c r="Z170" i="70"/>
  <c r="AC170" i="70"/>
  <c r="V23" i="70"/>
  <c r="V27" i="70" s="1"/>
  <c r="AF170" i="70"/>
  <c r="AD170" i="70"/>
  <c r="X174" i="70"/>
  <c r="X180" i="70"/>
  <c r="AF26" i="70"/>
  <c r="AF27" i="70" s="1"/>
  <c r="T13" i="70"/>
  <c r="AA170" i="70"/>
  <c r="X172" i="70"/>
  <c r="AE170" i="70"/>
  <c r="Y170" i="70"/>
  <c r="AB170" i="70"/>
  <c r="AG170" i="70"/>
  <c r="AF56" i="70" l="1"/>
  <c r="V57" i="70" s="1"/>
  <c r="AH54" i="70"/>
  <c r="AF39" i="70"/>
  <c r="AF45" i="70" s="1"/>
  <c r="E237" i="70"/>
  <c r="E238" i="70"/>
  <c r="I226" i="70"/>
  <c r="I237" i="70" s="1"/>
  <c r="F226" i="70"/>
  <c r="F238" i="70" s="1"/>
  <c r="G226" i="70"/>
  <c r="G237" i="70" s="1"/>
  <c r="H138" i="70"/>
  <c r="I120" i="70"/>
  <c r="E65" i="70"/>
  <c r="F206" i="70" s="1"/>
  <c r="F170" i="70"/>
  <c r="J120" i="70"/>
  <c r="V30" i="70"/>
  <c r="V29" i="70"/>
  <c r="J237" i="70"/>
  <c r="J238" i="70"/>
  <c r="H237" i="70"/>
  <c r="H238" i="70"/>
  <c r="L238" i="70"/>
  <c r="L237" i="70"/>
  <c r="I238" i="70"/>
  <c r="K237" i="70"/>
  <c r="K238" i="70"/>
  <c r="AF47" i="70" l="1"/>
  <c r="V47" i="70"/>
  <c r="F237" i="70"/>
  <c r="G238" i="70"/>
  <c r="F66" i="70"/>
  <c r="F65" i="70"/>
  <c r="F189" i="70"/>
  <c r="X170" i="70"/>
  <c r="X189" i="70"/>
  <c r="F68" i="70" l="1"/>
  <c r="V49" i="70"/>
  <c r="F70" i="7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ORPI_PC0349</author>
  </authors>
  <commentList>
    <comment ref="C44" authorId="0" shapeId="0" xr:uid="{00000000-0006-0000-1400-000001000000}">
      <text>
        <r>
          <rPr>
            <b/>
            <sz val="9"/>
            <color indexed="81"/>
            <rFont val="Tahoma"/>
            <family val="2"/>
          </rPr>
          <t>GUIDO:</t>
        </r>
        <r>
          <rPr>
            <sz val="9"/>
            <color indexed="81"/>
            <rFont val="Tahoma"/>
            <family val="2"/>
          </rPr>
          <t xml:space="preserve">
APORTE A ESSALUD: El aporte a EsSalud equivale al 9% de la remuneración.
</t>
        </r>
        <r>
          <rPr>
            <i/>
            <sz val="9"/>
            <color indexed="81"/>
            <rFont val="Tahoma"/>
            <family val="2"/>
          </rPr>
          <t>Fuente: SUNAT</t>
        </r>
      </text>
    </comment>
    <comment ref="C60" authorId="0" shapeId="0" xr:uid="{00000000-0006-0000-1400-000002000000}">
      <text>
        <r>
          <rPr>
            <b/>
            <sz val="9"/>
            <color indexed="81"/>
            <rFont val="Tahoma"/>
            <family val="2"/>
          </rPr>
          <t>GUIDO:</t>
        </r>
        <r>
          <rPr>
            <sz val="9"/>
            <color indexed="81"/>
            <rFont val="Tahoma"/>
            <family val="2"/>
          </rPr>
          <t xml:space="preserve">
APORTE A ONP: El aporte a la ONP equivale al 13% de la remuneración.</t>
        </r>
      </text>
    </comment>
    <comment ref="C94" authorId="0" shapeId="0" xr:uid="{00000000-0006-0000-1400-000003000000}">
      <text>
        <r>
          <rPr>
            <b/>
            <sz val="9"/>
            <color indexed="81"/>
            <rFont val="Tahoma"/>
            <family val="2"/>
          </rPr>
          <t>GUIDO:</t>
        </r>
        <r>
          <rPr>
            <sz val="9"/>
            <color indexed="81"/>
            <rFont val="Tahoma"/>
            <family val="2"/>
          </rPr>
          <t xml:space="preserve">
Son vacaciones truncas cuando el trabajador ha cesado sin haber cumplido con el requisito de un año de servicios y el respectivo récord vacacional para generar derecho a vacaciones; en ese caso, se le abonará como vacaciones truncas tantos dozavos de la remuneración vacacional como meses efectivos haya laborado, las fracciones de mes (días) se calcularán por treintavos.</t>
        </r>
      </text>
    </comment>
  </commentList>
</comments>
</file>

<file path=xl/sharedStrings.xml><?xml version="1.0" encoding="utf-8"?>
<sst xmlns="http://schemas.openxmlformats.org/spreadsheetml/2006/main" count="7853" uniqueCount="2065">
  <si>
    <t>ANDAHUAYLAS</t>
  </si>
  <si>
    <t xml:space="preserve"> Total</t>
  </si>
  <si>
    <t>HUANCARAY</t>
  </si>
  <si>
    <t>HUAYANA</t>
  </si>
  <si>
    <t>PACUCHA</t>
  </si>
  <si>
    <t>PAMPACHIRI</t>
  </si>
  <si>
    <t>POMACOCHA</t>
  </si>
  <si>
    <t>TUMAY HUARACA</t>
  </si>
  <si>
    <t>TURPO</t>
  </si>
  <si>
    <t>AREA # 030601</t>
  </si>
  <si>
    <t>CHINCHEROS</t>
  </si>
  <si>
    <t>ANCO-HUALLO</t>
  </si>
  <si>
    <t>HUACCANA</t>
  </si>
  <si>
    <t>ONGOY</t>
  </si>
  <si>
    <t>URANMARCA</t>
  </si>
  <si>
    <t>EDADES</t>
  </si>
  <si>
    <t>S. A. DE CACHI</t>
  </si>
  <si>
    <t>S. M. DE CHICMO</t>
  </si>
  <si>
    <t>CENSO 1993</t>
  </si>
  <si>
    <t>PROVINCIAS</t>
  </si>
  <si>
    <t>DISTRITOS</t>
  </si>
  <si>
    <t>POBLACI{ON</t>
  </si>
  <si>
    <t>POBLACIÓN</t>
  </si>
  <si>
    <t>Dpto. Apurimac   Prov. Chincheros   Dist. Chincheros</t>
  </si>
  <si>
    <t xml:space="preserve"> De  0 a 4  años</t>
  </si>
  <si>
    <t xml:space="preserve"> De  5 a 9  años</t>
  </si>
  <si>
    <t xml:space="preserve"> De 10 a 14 años</t>
  </si>
  <si>
    <t xml:space="preserve"> De 15 a 19 años</t>
  </si>
  <si>
    <t xml:space="preserve"> De 20 a 24 años</t>
  </si>
  <si>
    <t xml:space="preserve"> De 25 a 29 años</t>
  </si>
  <si>
    <t xml:space="preserve"> De 30 a 34 años</t>
  </si>
  <si>
    <t xml:space="preserve"> De 35 a 39 años</t>
  </si>
  <si>
    <t xml:space="preserve"> De 40 a 44 años</t>
  </si>
  <si>
    <t xml:space="preserve"> De 45 a 49 años</t>
  </si>
  <si>
    <t xml:space="preserve"> De 50 a 54 años</t>
  </si>
  <si>
    <t xml:space="preserve"> De 55 a 59 años</t>
  </si>
  <si>
    <t xml:space="preserve"> De 60 a 64 años</t>
  </si>
  <si>
    <t xml:space="preserve"> De 65 a 69 años</t>
  </si>
  <si>
    <t xml:space="preserve"> De 70 a 74 años</t>
  </si>
  <si>
    <t xml:space="preserve"> De 75 a 79 años</t>
  </si>
  <si>
    <t>ANDARAPA</t>
  </si>
  <si>
    <t>HUANCARAMA</t>
  </si>
  <si>
    <t>KISHUARA</t>
  </si>
  <si>
    <t>RANRACANCHA</t>
  </si>
  <si>
    <t>TOTAL</t>
  </si>
  <si>
    <t>HUACARAMA</t>
  </si>
  <si>
    <t xml:space="preserve">Dpto. Apurimac   Prov. Andahuaylas   </t>
  </si>
  <si>
    <t>CENSO 2007</t>
  </si>
  <si>
    <t xml:space="preserve"> De 80 a mas</t>
  </si>
  <si>
    <t>KAQUIABAMBA</t>
  </si>
  <si>
    <t>2 años</t>
  </si>
  <si>
    <t>6 años</t>
  </si>
  <si>
    <t>7 años</t>
  </si>
  <si>
    <t>28 años</t>
  </si>
  <si>
    <t>29 años</t>
  </si>
  <si>
    <t>PROVINCIA ANDAHUAYLAS</t>
  </si>
  <si>
    <t>1 año</t>
  </si>
  <si>
    <t>3 años</t>
  </si>
  <si>
    <t>4 años</t>
  </si>
  <si>
    <t>5 años</t>
  </si>
  <si>
    <t>8 años</t>
  </si>
  <si>
    <t>9 años</t>
  </si>
  <si>
    <t>10 años</t>
  </si>
  <si>
    <t>11 años</t>
  </si>
  <si>
    <t>12 años</t>
  </si>
  <si>
    <t>13 años</t>
  </si>
  <si>
    <t>14 años</t>
  </si>
  <si>
    <t>15 años</t>
  </si>
  <si>
    <t>16 años</t>
  </si>
  <si>
    <t>17 años</t>
  </si>
  <si>
    <t>18 años</t>
  </si>
  <si>
    <t>19 años</t>
  </si>
  <si>
    <t>20 años</t>
  </si>
  <si>
    <t>21 años</t>
  </si>
  <si>
    <t>22 años</t>
  </si>
  <si>
    <t>23 años</t>
  </si>
  <si>
    <t>24 años</t>
  </si>
  <si>
    <t>25 años</t>
  </si>
  <si>
    <t>26 años</t>
  </si>
  <si>
    <t>27 años</t>
  </si>
  <si>
    <t>30 años</t>
  </si>
  <si>
    <t>31 años</t>
  </si>
  <si>
    <t>32 años</t>
  </si>
  <si>
    <t>33 años</t>
  </si>
  <si>
    <t>34 años</t>
  </si>
  <si>
    <t>35 años</t>
  </si>
  <si>
    <t>36 años</t>
  </si>
  <si>
    <t>37 años</t>
  </si>
  <si>
    <t>38 años</t>
  </si>
  <si>
    <t>39 años</t>
  </si>
  <si>
    <t>40 años</t>
  </si>
  <si>
    <t>41 años</t>
  </si>
  <si>
    <t>42 años</t>
  </si>
  <si>
    <t>43 años</t>
  </si>
  <si>
    <t>44 años</t>
  </si>
  <si>
    <t>45 años</t>
  </si>
  <si>
    <t>46 años</t>
  </si>
  <si>
    <t>47 años</t>
  </si>
  <si>
    <t>48 años</t>
  </si>
  <si>
    <t>49 años</t>
  </si>
  <si>
    <t>50 años</t>
  </si>
  <si>
    <t>51 años</t>
  </si>
  <si>
    <t>52 años</t>
  </si>
  <si>
    <t>53 años</t>
  </si>
  <si>
    <t>54 años</t>
  </si>
  <si>
    <t>55 años</t>
  </si>
  <si>
    <t>56 años</t>
  </si>
  <si>
    <t>57 años</t>
  </si>
  <si>
    <t>58 años</t>
  </si>
  <si>
    <t>59 años</t>
  </si>
  <si>
    <t>60 años</t>
  </si>
  <si>
    <t>61 años</t>
  </si>
  <si>
    <t>62 años</t>
  </si>
  <si>
    <t>63 años</t>
  </si>
  <si>
    <t>64 años</t>
  </si>
  <si>
    <t>65 años</t>
  </si>
  <si>
    <t>66 años</t>
  </si>
  <si>
    <t>67 años</t>
  </si>
  <si>
    <t>68 años</t>
  </si>
  <si>
    <t>69 años</t>
  </si>
  <si>
    <t>70 años</t>
  </si>
  <si>
    <t>71 años</t>
  </si>
  <si>
    <t>72 años</t>
  </si>
  <si>
    <t>73 años</t>
  </si>
  <si>
    <t>74 años</t>
  </si>
  <si>
    <t>75 años</t>
  </si>
  <si>
    <t>76 años</t>
  </si>
  <si>
    <t>77 años</t>
  </si>
  <si>
    <t>78 años</t>
  </si>
  <si>
    <t>79 años</t>
  </si>
  <si>
    <t>80 años</t>
  </si>
  <si>
    <t>81 años</t>
  </si>
  <si>
    <t>82 años</t>
  </si>
  <si>
    <t>83 años</t>
  </si>
  <si>
    <t>84 años</t>
  </si>
  <si>
    <t>85 años</t>
  </si>
  <si>
    <t>86 años</t>
  </si>
  <si>
    <t>87 años</t>
  </si>
  <si>
    <t>88 años</t>
  </si>
  <si>
    <t>89 años</t>
  </si>
  <si>
    <t>90 años</t>
  </si>
  <si>
    <t>91 años</t>
  </si>
  <si>
    <t>92 años</t>
  </si>
  <si>
    <t>93 años</t>
  </si>
  <si>
    <t>94 años</t>
  </si>
  <si>
    <t>95 años</t>
  </si>
  <si>
    <t>96 años</t>
  </si>
  <si>
    <t>97 años</t>
  </si>
  <si>
    <t>98 y más años</t>
  </si>
  <si>
    <t>PROVINCIA CHINCHEROS</t>
  </si>
  <si>
    <t>PROVINCIA ABANCAY</t>
  </si>
  <si>
    <t>PROVINCIA ANTABAMBA</t>
  </si>
  <si>
    <t>PROVINCIA AYMARAES</t>
  </si>
  <si>
    <t>PROVINCIA GRAU</t>
  </si>
  <si>
    <t>PROVINCIA COTABAMBAS</t>
  </si>
  <si>
    <t>PROVINCIA</t>
  </si>
  <si>
    <t>CHIARA</t>
  </si>
  <si>
    <t>PACOBAMBA</t>
  </si>
  <si>
    <t>TALAVERA</t>
  </si>
  <si>
    <t>COCHARCAS</t>
  </si>
  <si>
    <t>OCOBAMBA</t>
  </si>
  <si>
    <t>ABANCAY</t>
  </si>
  <si>
    <t>Abancay</t>
  </si>
  <si>
    <t>APURIMAC</t>
  </si>
  <si>
    <t>NACIONAL</t>
  </si>
  <si>
    <t>Tambobamba</t>
  </si>
  <si>
    <t>Chuquibambilla</t>
  </si>
  <si>
    <t>CALCULANDO LA TC</t>
  </si>
  <si>
    <t>CÁLCULO DE LA TASA DE CRECIMIENTO</t>
  </si>
  <si>
    <t>DISTRITO</t>
  </si>
  <si>
    <t>TCI</t>
  </si>
  <si>
    <t>.%</t>
  </si>
  <si>
    <t>CÁLCULO POBLACIÓN</t>
  </si>
  <si>
    <t>Proyección</t>
  </si>
  <si>
    <t>Año 1</t>
  </si>
  <si>
    <t>Año 2</t>
  </si>
  <si>
    <t>Año 3</t>
  </si>
  <si>
    <t>Año 4</t>
  </si>
  <si>
    <t>Año 5</t>
  </si>
  <si>
    <t>Año 6</t>
  </si>
  <si>
    <t>Año 7</t>
  </si>
  <si>
    <t>Año 8</t>
  </si>
  <si>
    <t>Año 9</t>
  </si>
  <si>
    <t>Año 10</t>
  </si>
  <si>
    <t>Circa</t>
  </si>
  <si>
    <t>Huanipaca</t>
  </si>
  <si>
    <t>Pichirhua</t>
  </si>
  <si>
    <t>Lambrama</t>
  </si>
  <si>
    <t>Distrito</t>
  </si>
  <si>
    <t>Provincia</t>
  </si>
  <si>
    <t>Chacoche</t>
  </si>
  <si>
    <t>Curahuasi</t>
  </si>
  <si>
    <t>San Pedro de Cachora</t>
  </si>
  <si>
    <t>Tamburco</t>
  </si>
  <si>
    <t>Capaya</t>
  </si>
  <si>
    <t>Caraybamba</t>
  </si>
  <si>
    <t>Chapimarca</t>
  </si>
  <si>
    <t>Colcabamba</t>
  </si>
  <si>
    <t>Cotaruse</t>
  </si>
  <si>
    <t>Lucre</t>
  </si>
  <si>
    <t>Pocohuanca</t>
  </si>
  <si>
    <t>Sañayca</t>
  </si>
  <si>
    <t>Soraya</t>
  </si>
  <si>
    <t>Tapairihua</t>
  </si>
  <si>
    <t>Tintay</t>
  </si>
  <si>
    <t>Toraya</t>
  </si>
  <si>
    <t>Yanaca</t>
  </si>
  <si>
    <t>Mara</t>
  </si>
  <si>
    <t>Challhuahuacho</t>
  </si>
  <si>
    <t>Curpahuasi</t>
  </si>
  <si>
    <t>Pataypampa</t>
  </si>
  <si>
    <t>Turpay</t>
  </si>
  <si>
    <t>Virundo</t>
  </si>
  <si>
    <t>CALCULO TC REGIONAL</t>
  </si>
  <si>
    <t>CÁLCULO TC PROVINCIAL</t>
  </si>
  <si>
    <t>CÁLCULO TC DISTRITAL</t>
  </si>
  <si>
    <t>ACTIVIDAD ECONOMICA EN PORCENTAJE DE POBLACION PARTICIPANTE - PROVINCIA DE ANDAHUAYLAS</t>
  </si>
  <si>
    <t>CATEGORIAS</t>
  </si>
  <si>
    <t>S.A. CACHI</t>
  </si>
  <si>
    <t>S. M. CHICMO</t>
  </si>
  <si>
    <t xml:space="preserve"> Agri.ganadería, </t>
  </si>
  <si>
    <t xml:space="preserve"> Pesca</t>
  </si>
  <si>
    <t xml:space="preserve"> Explotación de minas y canteras</t>
  </si>
  <si>
    <t xml:space="preserve"> Industrias manufactureras</t>
  </si>
  <si>
    <t xml:space="preserve"> Suministro electricidad, gas y agua</t>
  </si>
  <si>
    <t xml:space="preserve"> Construcción</t>
  </si>
  <si>
    <t xml:space="preserve"> Venta,mant.y rep.veh.autom.y motoc.</t>
  </si>
  <si>
    <t xml:space="preserve"> Comercio por mayor</t>
  </si>
  <si>
    <t xml:space="preserve"> Comercio por menor</t>
  </si>
  <si>
    <t xml:space="preserve"> Hoteles y restaurantes</t>
  </si>
  <si>
    <t xml:space="preserve"> Transp.almac.y comunicaciones</t>
  </si>
  <si>
    <t xml:space="preserve"> Intermediación financiera</t>
  </si>
  <si>
    <t xml:space="preserve"> Activit.inmobil.,empres.y alquileres</t>
  </si>
  <si>
    <t xml:space="preserve"> Admin.pub.y defensa;p.segur.soc.afil.</t>
  </si>
  <si>
    <t xml:space="preserve"> Enseñanza</t>
  </si>
  <si>
    <t xml:space="preserve"> Servicios sociales y de salud</t>
  </si>
  <si>
    <t xml:space="preserve"> Otras activi. serv.comun.,soc.y personales</t>
  </si>
  <si>
    <t xml:space="preserve"> Hogares privados y servicios domésticos</t>
  </si>
  <si>
    <t xml:space="preserve"> Organiz.y organos extraterritoriales</t>
  </si>
  <si>
    <t xml:space="preserve"> Actividad económica no especificada</t>
  </si>
  <si>
    <t>ACTIVIDAD ECONOMICA EN PORCENTAJE DE POBLACION PARTICIPANTE - PROVINCIA DE CHINCHEROS</t>
  </si>
  <si>
    <t>ANCCO-HUAYLLO</t>
  </si>
  <si>
    <t>ROCCHACC</t>
  </si>
  <si>
    <t xml:space="preserve"> Agri.ganadería, caza y silvicultura</t>
  </si>
  <si>
    <t>ACTIVIDAD ECONOMICA EN PORCENTAJE DE POBLACION PARTICIPANTE - PROVINCIA DE ABANCAY</t>
  </si>
  <si>
    <t>SAN JERÓNIMO</t>
  </si>
  <si>
    <t>S.M. CHACCRAMPA</t>
  </si>
  <si>
    <t>ACTIVIDAD ECONOMICA EN PORCENTAJE DE POBLACION PARTICIPANTE - PROVINCIA DE AYMARAES</t>
  </si>
  <si>
    <t>ACTIVIDAD ECONOMICA EN PORCENTAJE DE POBLACION PARTICIPANTE - PROVINCIA DE COTABAMBAS</t>
  </si>
  <si>
    <t>ACTIVIDAD ECONOMICA EN PORCENTAJE DE POBLACION PARTICIPANTE - PROVINCIA DE GRAU</t>
  </si>
  <si>
    <t>%</t>
  </si>
  <si>
    <t>DETALLE</t>
  </si>
  <si>
    <t>Total</t>
  </si>
  <si>
    <t>CIRCA</t>
  </si>
  <si>
    <t>PICHIRHUA</t>
  </si>
  <si>
    <t>LAMBRAMA</t>
  </si>
  <si>
    <t>Localidad CP</t>
  </si>
  <si>
    <t>Año 0</t>
  </si>
  <si>
    <t>PROV. ABANCAY</t>
  </si>
  <si>
    <t>5/</t>
  </si>
  <si>
    <t>% AE</t>
  </si>
  <si>
    <t>Ejecución</t>
  </si>
  <si>
    <t>……….</t>
  </si>
  <si>
    <t>Funcionamiento</t>
  </si>
  <si>
    <t>Componentes</t>
  </si>
  <si>
    <t>Formulación y Evaluación</t>
  </si>
  <si>
    <t>Seguimiento y Monitoreo del Proyecto</t>
  </si>
  <si>
    <t>Año 0 (36 meses)</t>
  </si>
  <si>
    <t>WIRACOCHA VIRACOCHAPATA</t>
  </si>
  <si>
    <t>QUISAPATA BAJA</t>
  </si>
  <si>
    <t>QUISAPATA ALTA</t>
  </si>
  <si>
    <t>COTARMA</t>
  </si>
  <si>
    <t>HUAYRAPAMPA</t>
  </si>
  <si>
    <t>CHACOCHE</t>
  </si>
  <si>
    <t>EL PORVENIR</t>
  </si>
  <si>
    <t>CHANCAS</t>
  </si>
  <si>
    <t>Iguayllo</t>
  </si>
  <si>
    <t>N° Distritos</t>
  </si>
  <si>
    <t>N° CP</t>
  </si>
  <si>
    <t>ANCHICHA</t>
  </si>
  <si>
    <t>SANTA ISABEL DE CAYPE</t>
  </si>
  <si>
    <t>ATANCAMA</t>
  </si>
  <si>
    <t>TACCACCA</t>
  </si>
  <si>
    <t>SAN GABRIEL</t>
  </si>
  <si>
    <t>TAMBURQUI</t>
  </si>
  <si>
    <t>APINUHUAYLLA</t>
  </si>
  <si>
    <t>CURAHUASI</t>
  </si>
  <si>
    <t>ANTILLA</t>
  </si>
  <si>
    <t>ASMAYACU</t>
  </si>
  <si>
    <t>CCOLLPA</t>
  </si>
  <si>
    <t>OCCORURO</t>
  </si>
  <si>
    <t>PUCA PUCA</t>
  </si>
  <si>
    <t>HUANIPACA</t>
  </si>
  <si>
    <t>LIMANQUI</t>
  </si>
  <si>
    <t>TACMARA</t>
  </si>
  <si>
    <t>CCOTAQUI</t>
  </si>
  <si>
    <t>SAN PEDRO DE CACHORA</t>
  </si>
  <si>
    <t>AGUAS BLANCAS</t>
  </si>
  <si>
    <t>ASIL</t>
  </si>
  <si>
    <t>VIRACOCHAN</t>
  </si>
  <si>
    <t>MARJUPATA BAJA</t>
  </si>
  <si>
    <t>MARJUPATA ALTA</t>
  </si>
  <si>
    <t>SALCCANTAY</t>
  </si>
  <si>
    <t>TAMBURCO</t>
  </si>
  <si>
    <t>CCANABAMBA BAJA</t>
  </si>
  <si>
    <t>CCORHUANI</t>
  </si>
  <si>
    <t>VIRGEN DEL CARMEN</t>
  </si>
  <si>
    <t>CCANABAMBA ALTA (WARA CCOÑA)</t>
  </si>
  <si>
    <t>HUAYLLABAMBA</t>
  </si>
  <si>
    <t>CCARCCATERA</t>
  </si>
  <si>
    <t>ASILLO</t>
  </si>
  <si>
    <t>CUITAPE</t>
  </si>
  <si>
    <t>MARJUNI</t>
  </si>
  <si>
    <t>SECCEBAMBA</t>
  </si>
  <si>
    <t>TRIGO ORCCO</t>
  </si>
  <si>
    <t>HUANIMA</t>
  </si>
  <si>
    <t>CCOLLO TARANI</t>
  </si>
  <si>
    <t>ABANCAY, PICHIRHUA, CHACOCHE, LAMBRAMA, CIRCA, CURAHUASI,HUANIPACA, SAN PEDRO DE CACHORA Y TAMBURCO.</t>
  </si>
  <si>
    <t>N° Productores Año 1</t>
  </si>
  <si>
    <t>N° Productores Año 10</t>
  </si>
  <si>
    <t>MINISTERIO DE AGRICULTURA - DIAGNÓSTICO DE BRECHAS IDENTIFICADAS - PMI 2019 - 2021</t>
  </si>
  <si>
    <t>TOTAL DE PROBLACIÓN AGRÍCOLA</t>
  </si>
  <si>
    <t>DE LA POBLACIÓN TOTAL</t>
  </si>
  <si>
    <t>REGIÓN APURÍMAC          =</t>
  </si>
  <si>
    <t>PACCHACCPATA</t>
  </si>
  <si>
    <t>LLAÑUCANCHA</t>
  </si>
  <si>
    <t>CHILLCAPAMPA</t>
  </si>
  <si>
    <t>AYAORCCO</t>
  </si>
  <si>
    <t>TANCARPATA</t>
  </si>
  <si>
    <t>AHUANCCOY</t>
  </si>
  <si>
    <t>HUIRAHUACHO (HUIRAHACHO)</t>
  </si>
  <si>
    <t>CCORIPAMPA</t>
  </si>
  <si>
    <t>LLAULLIPATA</t>
  </si>
  <si>
    <t>ACCORAN</t>
  </si>
  <si>
    <t>NISPEROCNIYOC</t>
  </si>
  <si>
    <t>SERRANA</t>
  </si>
  <si>
    <t>CHALLHUAHUACHO</t>
  </si>
  <si>
    <t>SAN JUAN DE DIOS</t>
  </si>
  <si>
    <t>PALMIRA</t>
  </si>
  <si>
    <t>TRANCAPATA ALTA</t>
  </si>
  <si>
    <t>BACAS</t>
  </si>
  <si>
    <t>PUCA ORCCO</t>
  </si>
  <si>
    <t>TRANCAPATA BAJA</t>
  </si>
  <si>
    <t>CCOCHUA ALTA</t>
  </si>
  <si>
    <t>CHILLICPAMPA</t>
  </si>
  <si>
    <t>CCOC HUA CENTRO</t>
  </si>
  <si>
    <t>SULBARIO</t>
  </si>
  <si>
    <t>HUANCHULLA</t>
  </si>
  <si>
    <t>CHAQUICCOCHA</t>
  </si>
  <si>
    <t>SORCCA</t>
  </si>
  <si>
    <t>PICHIUCA</t>
  </si>
  <si>
    <t>COMUNPATA</t>
  </si>
  <si>
    <t>ACCO</t>
  </si>
  <si>
    <t>PANTIPATA ALTA</t>
  </si>
  <si>
    <t>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t>
  </si>
  <si>
    <t xml:space="preserve">NIÑOS MENORES DE 05 AÑOS CON DESNUTRICION CRONICA_DISTRITOS/ I  SEMESTRE_2019
SISTEMA DE INFORMACION DE ESTADO NUTRICIONAL "SIEN" DIRESA APURIMAC 
</t>
  </si>
  <si>
    <t>D.Cronico</t>
  </si>
  <si>
    <t>Excluido</t>
  </si>
  <si>
    <t>Normal</t>
  </si>
  <si>
    <t>TAMIZADOS</t>
  </si>
  <si>
    <t>PREVALENCIA</t>
  </si>
  <si>
    <t xml:space="preserve"> ANTABAMBA</t>
  </si>
  <si>
    <t xml:space="preserve"> COTABAMBAS</t>
  </si>
  <si>
    <t xml:space="preserve"> CHINCHEROS</t>
  </si>
  <si>
    <t xml:space="preserve"> AYMARAES</t>
  </si>
  <si>
    <t xml:space="preserve"> GRAU</t>
  </si>
  <si>
    <t xml:space="preserve"> ANDAHUAYLAS</t>
  </si>
  <si>
    <t xml:space="preserve"> ABANCAY</t>
  </si>
  <si>
    <t>ESTADO NUTRICIONAL DE LA GESTANTE _PROVINCIA - DISTRITO/I SEMESTRE_2019</t>
  </si>
  <si>
    <t>Deficit</t>
  </si>
  <si>
    <t>No Evaluado</t>
  </si>
  <si>
    <t>SobrePeso</t>
  </si>
  <si>
    <t>Total general</t>
  </si>
  <si>
    <t>EVALUADOS</t>
  </si>
  <si>
    <t>% SOBRE PESO</t>
  </si>
  <si>
    <t>% DEFICIT</t>
  </si>
  <si>
    <t>Total ABANCAY</t>
  </si>
  <si>
    <t>Total ANDAHUAYLAS</t>
  </si>
  <si>
    <t>Total ANTABAMBA</t>
  </si>
  <si>
    <t>Total AYMARAES</t>
  </si>
  <si>
    <t>Total CHINCHEROS</t>
  </si>
  <si>
    <t>Total COTABAMBAS</t>
  </si>
  <si>
    <t>Total GRAU</t>
  </si>
  <si>
    <t>(en blanco)</t>
  </si>
  <si>
    <t>Total (en blanco)</t>
  </si>
  <si>
    <t>La intervención con el proyecto sera a los niños con desnutrición crónica y gestantes de bajo peso</t>
  </si>
  <si>
    <t>PROYECCIÓN DE LA POBLACIÓN DE NIÑOS MENORES DE 05 AÑOS CON DESNUTRICIÓN CRÓNICA</t>
  </si>
  <si>
    <t>PROYECCIÓN DE LA POBLACIÓN DE MADRES CON DESNUTRICIÓN CRÓNICA</t>
  </si>
  <si>
    <t>SUMATORIA DE PROYECCIÓN DE NIÑOS MENORES DE 05 AÑOS CON DESNUTRICIÓN CRÓNICA Y  MADRES GESTANTES</t>
  </si>
  <si>
    <t>NIÑOS MENORES DE 05 AÑOS CON DESNUTRICIÓN CRÓNICA</t>
  </si>
  <si>
    <t>MADRES CON DESNUTRICIÓN CRÓNICA</t>
  </si>
  <si>
    <t>NIÑOS/EDADES</t>
  </si>
  <si>
    <t>NIÑOS MENORES DE 05 AÑOS - INEI - 2017</t>
  </si>
  <si>
    <t>NIÑOS MENORES DE 05 AÑOS - PROVINCIA DE ABANCAY</t>
  </si>
  <si>
    <t>DEMANDA DE  PRODUCTORES AGROPECUARIOS QUE REQUIEREN EL SERVICIO DE ASISTENCIA TÉCNICA</t>
  </si>
  <si>
    <t>PROYECCIÓN DE NIÑOS MENORES DE 05 AÑOS - PROVINCIA DE ABANCAY</t>
  </si>
  <si>
    <t>DESCRICIÓN</t>
  </si>
  <si>
    <t>UNIDAD</t>
  </si>
  <si>
    <t>ITEM</t>
  </si>
  <si>
    <t>1.1.2.</t>
  </si>
  <si>
    <t>1.2.</t>
  </si>
  <si>
    <t>1.1.</t>
  </si>
  <si>
    <t>Und.</t>
  </si>
  <si>
    <t>2.1.1</t>
  </si>
  <si>
    <t>2.1.2</t>
  </si>
  <si>
    <t>2.1.3</t>
  </si>
  <si>
    <t>IMPLEMENTACIÓN DE EQUIPAMIENTO PARA LA PLANTA MODELO DE PROCESAMIENTO DE  ESPIRULINA   EN POLVO</t>
  </si>
  <si>
    <t>2.2.1</t>
  </si>
  <si>
    <t>2.2.2</t>
  </si>
  <si>
    <t>2.2.3</t>
  </si>
  <si>
    <t>2.3.1</t>
  </si>
  <si>
    <t>Glb.</t>
  </si>
  <si>
    <t>3.1.1</t>
  </si>
  <si>
    <t>3.2.1</t>
  </si>
  <si>
    <t>IMPLEMENTACION DE HERRAMIENTAS E INSUMOS DE LOS MODULOS DE PRODUCCION  DE ALIMENTOS AGROPECUARIOS</t>
  </si>
  <si>
    <t>4.1.1</t>
  </si>
  <si>
    <t>4.2.1</t>
  </si>
  <si>
    <t xml:space="preserve">ASISTENCIA TECNICA Y CAPACITACION </t>
  </si>
  <si>
    <t>Elaboración de un Plan de Análisis de Riesgos y Control de Puntos Críticos (HACCP) para la planta modelo de procesamiento de  Espirulina   en polvo.</t>
  </si>
  <si>
    <t>Elaboración de un Manual de Procedimientos Operativos Estandarizados de Saneamiento (POES) para la planta modelo de procesamiento de  Espirulina   en polvo.</t>
  </si>
  <si>
    <t>Elaboración de un Manual de Manejo Adecuado de Almacenamiento (PEPS) para la planta modelo de procesamiento de  Espirulina   en polvo.</t>
  </si>
  <si>
    <t>ARTICULACION MULTISECTORIAL PARA GARANTIZAR EL USO DE LA ESPIRULA.</t>
  </si>
  <si>
    <t xml:space="preserve"> </t>
  </si>
  <si>
    <t>OFERTA DE  PRODUCTORES AGROPECUARIOS QUE RECIBEN EL SERVICIO DE ASISTENCIA TÉCNICA</t>
  </si>
  <si>
    <t>OFERTA DE DE LOS SERVICIOS DE SEGURIDAD ALIMENTARIA (NIÑOS MENORES DE 05 AÑOS CON DESNUTRICIÓN CRÓNICA Y  MADRES GESTANTES)</t>
  </si>
  <si>
    <t>BRECHA</t>
  </si>
  <si>
    <t>DEMANDA</t>
  </si>
  <si>
    <t>SERVICIO</t>
  </si>
  <si>
    <t>OFERTA</t>
  </si>
  <si>
    <t>BRECHA DE  PRODUCTORES AGROPECUARIOS QUE RECIBEN EL SERVICIO DE ASISTENCIA TÉCNICA</t>
  </si>
  <si>
    <t>BRECHA DE DE LOS SERVICIOS DE SEGURIDAD ALIMENTARIA (NIÑOS MENORES DE 05 AÑOS CON DESNUTRICIÓN CRÓNICA Y  MADRES GESTANTES)</t>
  </si>
  <si>
    <t>Área de envasado</t>
  </si>
  <si>
    <t xml:space="preserve">Sistema de tuberías </t>
  </si>
  <si>
    <t>Sistema de filtración de agua</t>
  </si>
  <si>
    <t>Conductimetro</t>
  </si>
  <si>
    <t>Bomba de presión</t>
  </si>
  <si>
    <t>microscopio</t>
  </si>
  <si>
    <t>estufa</t>
  </si>
  <si>
    <t>pHmetro</t>
  </si>
  <si>
    <t>mesa de acero inox</t>
  </si>
  <si>
    <t>Espectrofotometro UV-VIS</t>
  </si>
  <si>
    <t>armario</t>
  </si>
  <si>
    <t>mesa de madera</t>
  </si>
  <si>
    <t>sillas</t>
  </si>
  <si>
    <t>Cronometro</t>
  </si>
  <si>
    <t>mecheros de alcohol</t>
  </si>
  <si>
    <t>refrigeradora</t>
  </si>
  <si>
    <t>material de vidrio</t>
  </si>
  <si>
    <t>Reactivos varios</t>
  </si>
  <si>
    <t>Calefactores</t>
  </si>
  <si>
    <t>Mangueras</t>
  </si>
  <si>
    <t>Sistemas de agitación del agua (motor y paleta)</t>
  </si>
  <si>
    <t>Coches trasportadores inox.</t>
  </si>
  <si>
    <t xml:space="preserve">Montacarga manual </t>
  </si>
  <si>
    <t>Termohigrometros</t>
  </si>
  <si>
    <t>Material Volumétrico (jarras, probetas. Vasos, etc.)</t>
  </si>
  <si>
    <t>Bombas de agua</t>
  </si>
  <si>
    <t>Balanza de plataforma (500 Kg)</t>
  </si>
  <si>
    <t>Material de limpieza (varios)</t>
  </si>
  <si>
    <t xml:space="preserve">Extractores de aire </t>
  </si>
  <si>
    <t>Ventiladores</t>
  </si>
  <si>
    <t>Lavamanos colectivo</t>
  </si>
  <si>
    <t>Dispensador de jabón</t>
  </si>
  <si>
    <t>Dispensador de papel</t>
  </si>
  <si>
    <t>Insecto captor</t>
  </si>
  <si>
    <t>Cortinas PVC</t>
  </si>
  <si>
    <t>Pediluvio</t>
  </si>
  <si>
    <t>m.</t>
  </si>
  <si>
    <t xml:space="preserve">ALMACEN DE MATERIA PRIMA </t>
  </si>
  <si>
    <t xml:space="preserve">Parihuelas </t>
  </si>
  <si>
    <t>Cámara de frio</t>
  </si>
  <si>
    <t>Carrito trasportador</t>
  </si>
  <si>
    <t xml:space="preserve">Balanza de plataforma </t>
  </si>
  <si>
    <t>Tacho de basura</t>
  </si>
  <si>
    <t>Balanza</t>
  </si>
  <si>
    <t>Filtro prensa</t>
  </si>
  <si>
    <t>Centrifuga</t>
  </si>
  <si>
    <t>Secador por rociada atomizador</t>
  </si>
  <si>
    <t>Mesa de acero inoxidable</t>
  </si>
  <si>
    <t>Secador de mano aire caliente</t>
  </si>
  <si>
    <t>Insectocaptor</t>
  </si>
  <si>
    <t>Manguera</t>
  </si>
  <si>
    <t>Escobilla de lavado</t>
  </si>
  <si>
    <t>Escoba de hule</t>
  </si>
  <si>
    <t>Contenedor de basura</t>
  </si>
  <si>
    <t>LABORATORIO DE CONTROL DE CALIDAD</t>
  </si>
  <si>
    <t>Microscopio</t>
  </si>
  <si>
    <t>Estufa</t>
  </si>
  <si>
    <t>Mesa de acero inox</t>
  </si>
  <si>
    <t>Bloquer</t>
  </si>
  <si>
    <t>Armario</t>
  </si>
  <si>
    <t>Mesa de madera</t>
  </si>
  <si>
    <t>Sillas</t>
  </si>
  <si>
    <t>Cuenta colonias</t>
  </si>
  <si>
    <t>Mecheros de alcohol</t>
  </si>
  <si>
    <t>Refrigeradora</t>
  </si>
  <si>
    <t>Material de vidrio</t>
  </si>
  <si>
    <t>Agares varios</t>
  </si>
  <si>
    <t>ÁREA DE ENVASADO</t>
  </si>
  <si>
    <t>Envasadora doypack</t>
  </si>
  <si>
    <t>Encapsuladora</t>
  </si>
  <si>
    <t>Tinas de trasporte</t>
  </si>
  <si>
    <t>Impresora de etiquetas</t>
  </si>
  <si>
    <t>Carro con retención</t>
  </si>
  <si>
    <t>ALMACEN DE PRODUCTO TERMINADO.</t>
  </si>
  <si>
    <t>Parihuela</t>
  </si>
  <si>
    <t>Termohigrometro</t>
  </si>
  <si>
    <t>Balanza de plataforma</t>
  </si>
  <si>
    <t>ALMACEN DE INSUMOS Y ENVASES</t>
  </si>
  <si>
    <t>VESTUARIO</t>
  </si>
  <si>
    <t>Bloquers</t>
  </si>
  <si>
    <t>Armarios</t>
  </si>
  <si>
    <t>OFICINA ADMINISTRATIVA</t>
  </si>
  <si>
    <t>Computadora</t>
  </si>
  <si>
    <t>Mesa de madera escritorio</t>
  </si>
  <si>
    <t>Cortinas</t>
  </si>
  <si>
    <t>Impresora</t>
  </si>
  <si>
    <t>Útiles de oficina</t>
  </si>
  <si>
    <t>OFICINA DE COMERCIALIZACIÓN</t>
  </si>
  <si>
    <t>SALA O AUDITORIO</t>
  </si>
  <si>
    <t>Ecram y pizarra</t>
  </si>
  <si>
    <t>Proyector multimedia</t>
  </si>
  <si>
    <t>Sillas ACOLCHADAS</t>
  </si>
  <si>
    <t>Atril</t>
  </si>
  <si>
    <t>Parlantes</t>
  </si>
  <si>
    <t>Juego</t>
  </si>
  <si>
    <t>GUARDIANÍA</t>
  </si>
  <si>
    <t>Cama</t>
  </si>
  <si>
    <t>Mesa</t>
  </si>
  <si>
    <t>CASETA DE CONTROL</t>
  </si>
  <si>
    <t xml:space="preserve">Reloj Controlador </t>
  </si>
  <si>
    <t>Dispensador de jabon</t>
  </si>
  <si>
    <t>IMPLEMENTACIÓN DE EQUIPAMIENTO DEL SISTEMA DE ALMACENAMIENTO Y PURIFICACIÓN DE AGUA.</t>
  </si>
  <si>
    <t xml:space="preserve">Indicar el criterio o factor condicionante del tamaño del proyecto. </t>
  </si>
  <si>
    <t xml:space="preserve">N° </t>
  </si>
  <si>
    <t>Alternativa de tamaño</t>
  </si>
  <si>
    <t>Unidad de Medida</t>
  </si>
  <si>
    <t>Valor*</t>
  </si>
  <si>
    <t>ANÁLISIS DE TAMAÑO (¿Cuánto producir?)</t>
  </si>
  <si>
    <t>PRODUCTORES ASISTIDOS/AÑO</t>
  </si>
  <si>
    <t>Criterio o factor condicionante empleado</t>
  </si>
  <si>
    <t>NIÑOS MENORES DE 05 AÑOS CON DESNUTRICIÓN CRÓNICA /AÑO</t>
  </si>
  <si>
    <t>MADRES GESTANTES CON DESNUTRICIÓN CRÓNICA/AÑO</t>
  </si>
  <si>
    <t xml:space="preserve">Indicar el criterio o factor condicionante de la localización del proyecto. </t>
  </si>
  <si>
    <t>Solo en los casos que sea posible analizar más de una alternativa de localización, se debe describir tales alternativas de localización en la siguiente tabla:</t>
  </si>
  <si>
    <t>N°</t>
  </si>
  <si>
    <t>Descripción de las alternativas de localización</t>
  </si>
  <si>
    <t>Coordenadas*</t>
  </si>
  <si>
    <t>ANÁLISIS DE LOCALIZACIÓN (¿Dónde producir?)</t>
  </si>
  <si>
    <t xml:space="preserve">La ubicación de los módulos demostrativos de la instalación de los módulos demostrativos de fitotoldos estará ubicado en los 09 distritos de la provincia de Abancay. La Instalación de la planta de procesamiento de Espirulina estara ubicado en el distrito de Abancay fundo San Gabriel. </t>
  </si>
  <si>
    <t>Distrito de Abancay</t>
  </si>
  <si>
    <t>Distrito de Pichirhua</t>
  </si>
  <si>
    <t>Distrito de Chacoche</t>
  </si>
  <si>
    <t>Distrito de Lambrama</t>
  </si>
  <si>
    <t xml:space="preserve">Distrito de Circa </t>
  </si>
  <si>
    <t>Distrito de Curahuasi</t>
  </si>
  <si>
    <t>Distrito de Huanipaca</t>
  </si>
  <si>
    <t>Distrito de San Pedro de Cachora</t>
  </si>
  <si>
    <t>Distrito de Tamburco</t>
  </si>
  <si>
    <t>Se cuenta con terreno propio.</t>
  </si>
  <si>
    <t>Distrito de Abancay - Fundo San Gabriel - Planta de Procesamiento de Espirulina.</t>
  </si>
  <si>
    <t>MINISTERIO DE LA PRODUCCIÓN</t>
  </si>
  <si>
    <t>ACTIVIDAD ECONÓMICA AGRICULTURA, CAZA Y SILVICULTURA</t>
  </si>
  <si>
    <t>Relación Pob. Agrícola/Pob. Total</t>
  </si>
  <si>
    <t>TOTAL DE PROBLACIÓN AGRÍCOLA DEDICADA A LA HORTICULTURA - REGIÓN APURÍMAC</t>
  </si>
  <si>
    <t>DE LA POBLACIÓN AGRÍCOLA</t>
  </si>
  <si>
    <t>DIRECCIÓN REGIONAL DE AGRICULTURA</t>
  </si>
  <si>
    <t>PRODUCTORES AGROPECUARIOS QUE REQUIEREN EL SERVICIO DE ASISTENCIA TÉCNICA.</t>
  </si>
  <si>
    <t>MADRES GESTANTES CON DESNUTRICIÓN CRÓNICA.</t>
  </si>
  <si>
    <t>NIÑOS MENORES DE 05 AÑOS CON DESNUTRICIÓN CRÓNICA.</t>
  </si>
  <si>
    <t>NIÑOS MENORES DE 05 AÑOS POTENCIALES BENEFICIARIOS EN RIESGO DE DESNUTRICIÓN CRÓNICA /AÑO</t>
  </si>
  <si>
    <t>NIÑOS MENORES DE 05 AÑOS - PROVINCIA DE ABANCAY - POTENCIALES BENEFICIARIOS EN RIESGO DE DESNUTRICIÓN CRÓNICA.</t>
  </si>
  <si>
    <t>Apurímac</t>
  </si>
  <si>
    <t>Periodo óptimo de diseño</t>
  </si>
  <si>
    <t>C1:</t>
  </si>
  <si>
    <t>C2:</t>
  </si>
  <si>
    <t>C3:</t>
  </si>
  <si>
    <t>C4:</t>
  </si>
  <si>
    <t>C5:</t>
  </si>
  <si>
    <t>C6:</t>
  </si>
  <si>
    <t>Se considerará Centros poblados mayores a los 3,000 m.s.n.m. y con poblaciones mayores a 50 habitantes ó Centros Poblados con 10 familias,,,según el INEI el número de miembros del hogar es de 05 integrantes. Resultados Definitivos de los Censos Nacionales 2017 - INEI. https://www.inei.gob.pe/media/MenuRecursivo/publicaciones_digitales/Est/Lib1557/</t>
  </si>
  <si>
    <t>Según la oficina de información agraria de la DRA del 100% de los agricultores el 74.8% de los agricultores destina el 30% de sus terrenos a la siembra de hortalizas.</t>
  </si>
  <si>
    <r>
      <t xml:space="preserve">Se debe tener en cuenta que para el dimensionamiento de la planta procesadora de espirulina está en funcion a lo siguiente:                                                                                                                                                    (1) Se ha determinado las proyecciones de niños menores de 05 años de la provincia de Abancay, que al año </t>
    </r>
    <r>
      <rPr>
        <sz val="10"/>
        <color rgb="FFFF0000"/>
        <rFont val="Arial Narrow"/>
        <family val="2"/>
      </rPr>
      <t xml:space="preserve">"10" son 11, 780 niños, </t>
    </r>
    <r>
      <rPr>
        <sz val="10"/>
        <rFont val="Arial Narrow"/>
        <family val="2"/>
      </rPr>
      <t>que pueden estar en riesgo de adquirir la desnutricón crónica.                                                                    (2) Se ha determinado las proyecciones de niños menores de 05 años con desnutrición crónica de la provincia de abancay, que al año</t>
    </r>
    <r>
      <rPr>
        <sz val="10"/>
        <color rgb="FFFF0000"/>
        <rFont val="Arial Narrow"/>
        <family val="2"/>
      </rPr>
      <t xml:space="preserve"> "10" se 1, 324 niños</t>
    </r>
    <r>
      <rPr>
        <sz val="10"/>
        <rFont val="Arial Narrow"/>
        <family val="2"/>
      </rPr>
      <t xml:space="preserve"> con desnutriciión crónica.                                                                    (3) Se ha determinado las proyecciones de madres gestantes con desnutrición crónica de la provincia de abancay, que al año </t>
    </r>
    <r>
      <rPr>
        <sz val="10"/>
        <color rgb="FFFF0000"/>
        <rFont val="Arial Narrow"/>
        <family val="2"/>
      </rPr>
      <t>"10" se 86 madres</t>
    </r>
    <r>
      <rPr>
        <sz val="10"/>
        <rFont val="Arial Narrow"/>
        <family val="2"/>
      </rPr>
      <t xml:space="preserve"> con desnutrición crónica.                                                                                                                                                                                                                                                                                                                                                                                                          De acuerdo a los cálculos realizados para el dimensionamiento de la planta, se tuvo como limitante el terreno por lo que se determinó teniendo los siguientes criterios:                                                                                           (1) Existen</t>
    </r>
    <r>
      <rPr>
        <sz val="10"/>
        <color rgb="FFFF0000"/>
        <rFont val="Arial Narrow"/>
        <family val="2"/>
      </rPr>
      <t xml:space="preserve"> 11, 780 niños</t>
    </r>
    <r>
      <rPr>
        <sz val="10"/>
        <rFont val="Arial Narrow"/>
        <family val="2"/>
      </rPr>
      <t xml:space="preserve"> (en riesgo de adquirir la desnutrición crónica) proyectados al año</t>
    </r>
    <r>
      <rPr>
        <sz val="10"/>
        <color rgb="FFFF0000"/>
        <rFont val="Arial Narrow"/>
        <family val="2"/>
      </rPr>
      <t xml:space="preserve"> "10" </t>
    </r>
    <r>
      <rPr>
        <sz val="10"/>
        <rFont val="Arial Narrow"/>
        <family val="2"/>
      </rPr>
      <t>de la provincia de Abancay, que dentro de esa población estan los niños con desnutrición crónica.                                                     (2) Para el dimensionamiento de la planta se considerará a las madres gestantes.                                                                                                                                                                                                                            (3) De acuerdo a los Cálculos realizados el limitante es el terreno por lo que se atendera a 1, 324 niños con desnutrición crónica y 86 madres con desnutrición crónica (total 1, 410 beneficiarios) niños potenciales beneficiarios</t>
    </r>
    <r>
      <rPr>
        <sz val="10"/>
        <color rgb="FFFF0000"/>
        <rFont val="Arial Narrow"/>
        <family val="2"/>
      </rPr>
      <t xml:space="preserve">.                                                                                                                                                                                                                                                                   </t>
    </r>
    <r>
      <rPr>
        <sz val="10"/>
        <rFont val="Arial Narrow"/>
        <family val="2"/>
      </rPr>
      <t>(4) El tamaño de planta esta dimensionado en función a atender a los 1, 410 beneficiarios (niños y madres con desnutrición crónica) , y como limitante es el terreno ya que solamente tenemos 01 Ha, que producira 10 TM de espirulina en polvo queabastecera a 1,370 beneficiarios, quedando un deficit de 40 benefciarios sin atender.</t>
    </r>
  </si>
  <si>
    <t>DESCRIPCIÓN/AMBIENTE</t>
  </si>
  <si>
    <t>1.1.1.</t>
  </si>
  <si>
    <t>Captación de agua</t>
  </si>
  <si>
    <t>Desarenador y sedimentador</t>
  </si>
  <si>
    <t>1.1.3.</t>
  </si>
  <si>
    <t>Filtro lento</t>
  </si>
  <si>
    <t>1.1.4.</t>
  </si>
  <si>
    <t>Reservorio de agua tratada</t>
  </si>
  <si>
    <r>
      <t>m</t>
    </r>
    <r>
      <rPr>
        <vertAlign val="superscript"/>
        <sz val="10"/>
        <color theme="1"/>
        <rFont val="Arial Narrow"/>
        <family val="2"/>
      </rPr>
      <t>3</t>
    </r>
  </si>
  <si>
    <t>1.2.1.</t>
  </si>
  <si>
    <t>Laboratorio de propagación</t>
  </si>
  <si>
    <r>
      <t>m</t>
    </r>
    <r>
      <rPr>
        <vertAlign val="superscript"/>
        <sz val="10"/>
        <color theme="1"/>
        <rFont val="Arial Narrow"/>
        <family val="2"/>
      </rPr>
      <t>2</t>
    </r>
  </si>
  <si>
    <t>1.3.</t>
  </si>
  <si>
    <t>1.3.1.</t>
  </si>
  <si>
    <t>Techado de invernadero (estructura de la planta de producción de espirulina).</t>
  </si>
  <si>
    <t>1.3.2</t>
  </si>
  <si>
    <t>Posas de cultivo</t>
  </si>
  <si>
    <t xml:space="preserve">Und. </t>
  </si>
  <si>
    <t>1.3.3.</t>
  </si>
  <si>
    <t>Posas de iniciación de cultivo</t>
  </si>
  <si>
    <t>1.3.4.</t>
  </si>
  <si>
    <t>Almacen de insumos</t>
  </si>
  <si>
    <t>1.4.</t>
  </si>
  <si>
    <t>1.4.1.</t>
  </si>
  <si>
    <t>CONSTRUCCION DEL AREA DE PROCESAMIENTO DE ESPIRULINA EN POLVO</t>
  </si>
  <si>
    <t>1.4.1.1.</t>
  </si>
  <si>
    <t>Almacén de materia prima.</t>
  </si>
  <si>
    <t>1.4.1.2.</t>
  </si>
  <si>
    <t xml:space="preserve">Sala de proceso </t>
  </si>
  <si>
    <t>1.4.1.3.</t>
  </si>
  <si>
    <t>Control de calidad</t>
  </si>
  <si>
    <t>1.4.1.4.</t>
  </si>
  <si>
    <t>Almacen de envases</t>
  </si>
  <si>
    <t>1.4.1.5.</t>
  </si>
  <si>
    <t>1.4.1.6.</t>
  </si>
  <si>
    <t>Almacen de productos terminados</t>
  </si>
  <si>
    <r>
      <t>m</t>
    </r>
    <r>
      <rPr>
        <vertAlign val="superscript"/>
        <sz val="10"/>
        <color rgb="FFFF0000"/>
        <rFont val="Arial Narrow"/>
        <family val="2"/>
      </rPr>
      <t>2</t>
    </r>
  </si>
  <si>
    <t>1.5.</t>
  </si>
  <si>
    <t>CONSTRUCCION DEL AREA DE HIGIENIZACION</t>
  </si>
  <si>
    <t>1.5.1.</t>
  </si>
  <si>
    <t>Áreas de Higienización.</t>
  </si>
  <si>
    <t>1.5.2.</t>
  </si>
  <si>
    <t xml:space="preserve">Vestuarios </t>
  </si>
  <si>
    <t>1.5.3.</t>
  </si>
  <si>
    <t>Servicios Higiénicos</t>
  </si>
  <si>
    <t>Oficina administrativa.</t>
  </si>
  <si>
    <t>Oficina de comercialización.</t>
  </si>
  <si>
    <t>Sala de reuniones.</t>
  </si>
  <si>
    <t>Guardianía.</t>
  </si>
  <si>
    <t xml:space="preserve">Veredas </t>
  </si>
  <si>
    <t>Casetas de control</t>
  </si>
  <si>
    <r>
      <t>m</t>
    </r>
    <r>
      <rPr>
        <vertAlign val="superscript"/>
        <sz val="10"/>
        <color rgb="FF000000"/>
        <rFont val="Arial Narrow"/>
        <family val="2"/>
      </rPr>
      <t>2</t>
    </r>
  </si>
  <si>
    <t>Cerco perimétrico</t>
  </si>
  <si>
    <t>ml</t>
  </si>
  <si>
    <t>1.6.</t>
  </si>
  <si>
    <t>CONSTRUCCIÓN DEL ÁREA DE SERVICIOS</t>
  </si>
  <si>
    <t>1.6.1.</t>
  </si>
  <si>
    <t>1.6.2.</t>
  </si>
  <si>
    <t>1.6.3</t>
  </si>
  <si>
    <t>1.6.4.</t>
  </si>
  <si>
    <t>1.6.5.</t>
  </si>
  <si>
    <t>1.6.6.</t>
  </si>
  <si>
    <t>1.6.7.</t>
  </si>
  <si>
    <t>1.7.</t>
  </si>
  <si>
    <t>1.2.2.</t>
  </si>
  <si>
    <t>1.2.3.</t>
  </si>
  <si>
    <t>DESCRIPCIÓN</t>
  </si>
  <si>
    <t>CANTIDAD</t>
  </si>
  <si>
    <t>COSTO TOTAL(s/.)</t>
  </si>
  <si>
    <t>COSTO DIRECTO (INFRAESTRUCTURA)</t>
  </si>
  <si>
    <t>Techado del Invernadero</t>
  </si>
  <si>
    <t>Almacén de materia prima</t>
  </si>
  <si>
    <t>Sala de proceso</t>
  </si>
  <si>
    <t>Almacén de envases</t>
  </si>
  <si>
    <t>Almacén de productos terminados</t>
  </si>
  <si>
    <t>Vestuarios</t>
  </si>
  <si>
    <t>SS.HH</t>
  </si>
  <si>
    <t>Oficina administrativa</t>
  </si>
  <si>
    <t>Oficina de comercialización</t>
  </si>
  <si>
    <t>Sala de reuniones</t>
  </si>
  <si>
    <t>Guardianía</t>
  </si>
  <si>
    <t>Veredas</t>
  </si>
  <si>
    <t>Caseta de control</t>
  </si>
  <si>
    <t>m2</t>
  </si>
  <si>
    <t>m3</t>
  </si>
  <si>
    <t>METRADO</t>
  </si>
  <si>
    <t>-</t>
  </si>
  <si>
    <t>áreas de higienización</t>
  </si>
  <si>
    <r>
      <t xml:space="preserve">Posas grandes </t>
    </r>
    <r>
      <rPr>
        <sz val="10"/>
        <color rgb="FFFF0000"/>
        <rFont val="Arial Narrow"/>
        <family val="2"/>
      </rPr>
      <t>(50 m3 c/u)</t>
    </r>
  </si>
  <si>
    <r>
      <t xml:space="preserve">Posas chicas </t>
    </r>
    <r>
      <rPr>
        <sz val="10"/>
        <color rgb="FFFF0000"/>
        <rFont val="Arial Narrow"/>
        <family val="2"/>
      </rPr>
      <t>(5 m3 c/u)</t>
    </r>
  </si>
  <si>
    <t>COSTOS DE INFRAESTRUCTURA:</t>
  </si>
  <si>
    <t>COSTOS DE EQUIPAMIENTO:</t>
  </si>
  <si>
    <t>EQUIPAMIENTO DEL ÁREA DE PROCESAMIENTO DE ESPIRULINA EN POLVO - SALA DE PROCESO.</t>
  </si>
  <si>
    <t>IMPLEMENTACION DE EQUIPAMIENTO  DEL  AREA DE HIGENIZACION DE LA PLANTA</t>
  </si>
  <si>
    <t>SERVICIOS HIGIENICOS</t>
  </si>
  <si>
    <t>IMPLEMENTACION DE EQUIPAMIENTO  DEL AREA DE SERVICIOS</t>
  </si>
  <si>
    <t>ALMACÉN DE INSUMOS Y ENVASES</t>
  </si>
  <si>
    <t>Pariuela</t>
  </si>
  <si>
    <t>Carro con retencion</t>
  </si>
  <si>
    <t>EQUIPAMIENTO</t>
  </si>
  <si>
    <t>MEDIDA</t>
  </si>
  <si>
    <t>PRECIO UNITARIO</t>
  </si>
  <si>
    <t xml:space="preserve">PRECIO TOTAL </t>
  </si>
  <si>
    <t xml:space="preserve">Bomba de presion </t>
  </si>
  <si>
    <t xml:space="preserve">Sistema de tuberias </t>
  </si>
  <si>
    <t>Sistema de filtracion de agua</t>
  </si>
  <si>
    <t>Coches trasportadores inox</t>
  </si>
  <si>
    <t>Material Volumnetrico (jarras, orovetas. Vasos, etc)</t>
  </si>
  <si>
    <t>2.1.</t>
  </si>
  <si>
    <t>ALMACEN DE MATERIA PRIMA</t>
  </si>
  <si>
    <t>Camara de frio</t>
  </si>
  <si>
    <t>SALA DE PROCESO</t>
  </si>
  <si>
    <t>ÁREA DE EMBASADO</t>
  </si>
  <si>
    <t>Emcapsuladora</t>
  </si>
  <si>
    <t>ALMACEN DE PRODUCTO TERMINADO</t>
  </si>
  <si>
    <t>ALMACEN DE INSUMOS Y EMBASES</t>
  </si>
  <si>
    <t xml:space="preserve">TOTAL </t>
  </si>
  <si>
    <t>2.2.</t>
  </si>
  <si>
    <t>2.3.</t>
  </si>
  <si>
    <t>OFICINA ADMINISTRATIVO</t>
  </si>
  <si>
    <t xml:space="preserve">Reloj ontrolador </t>
  </si>
  <si>
    <t>RESUMEN DE COSTOS DE IMPLEMENTACIÓN DE EQUIPAMIENTO PARA EL SISTEMA CONTROLADO DE PRODUCCION DEL ALGA ESPIRULINA</t>
  </si>
  <si>
    <t>RESUMEN DE COSTOS DE IMPLEMENTACIÓN DE EQUIPAMIENTO PARA LA PLANTA MODELO DE PROCESAMIENTO DE  ESPIRULINA   EN POLVO</t>
  </si>
  <si>
    <t>RESUMEN DE COSTOS DE DE HERRAMIENTAS E INSUMOS DE LOS MODULOS DE PRODUCCION  DE ALIMENTOS AGROPECUARIOS</t>
  </si>
  <si>
    <t>RESUMEN TOTAL DE LOS COSTOS DE EQUIPAMIENTO</t>
  </si>
  <si>
    <t>COSTOS DE CAPACITACIÓN:</t>
  </si>
  <si>
    <t>Costo del Equipamiento</t>
  </si>
  <si>
    <t>COSTO DIRECTO</t>
  </si>
  <si>
    <t>Flete de transporte (% de CE)</t>
  </si>
  <si>
    <t>Gastos administrativos  (% de CD)</t>
  </si>
  <si>
    <t>Gastos de monitoreo      (% de CD)</t>
  </si>
  <si>
    <t>3.1.</t>
  </si>
  <si>
    <t>3.1.1.</t>
  </si>
  <si>
    <t>Pofesional de la Salud (médico, obstetra)</t>
  </si>
  <si>
    <t>Asistente (enfermero)</t>
  </si>
  <si>
    <t>PROFESIONALES CONTRATADOS EN PLANTA</t>
  </si>
  <si>
    <t>VIÁTICOS</t>
  </si>
  <si>
    <t>Viático Asistente  (enfermero)</t>
  </si>
  <si>
    <t>Viático del profesional de la salud (médico, obstetra)</t>
  </si>
  <si>
    <t>TIEMPO - DÍAS</t>
  </si>
  <si>
    <t>MATERIALES DE ESCRITORIO</t>
  </si>
  <si>
    <t>Papelote cuadriculado</t>
  </si>
  <si>
    <t>Plumones gruesos de punta gruesa de diferentes colores</t>
  </si>
  <si>
    <t>caja</t>
  </si>
  <si>
    <t>Cartulinas de colores</t>
  </si>
  <si>
    <t>plumones delgados de diferentes colores</t>
  </si>
  <si>
    <t>estuche</t>
  </si>
  <si>
    <t>Cinta masking de 1"</t>
  </si>
  <si>
    <t>papel bond A4</t>
  </si>
  <si>
    <t>millar</t>
  </si>
  <si>
    <t>COSTO UNITARIO</t>
  </si>
  <si>
    <t>3.2.</t>
  </si>
  <si>
    <t>3.3.</t>
  </si>
  <si>
    <t>3.4.</t>
  </si>
  <si>
    <t>3.5.</t>
  </si>
  <si>
    <t>3.6.</t>
  </si>
  <si>
    <t>MATERIALES E INSUMOS</t>
  </si>
  <si>
    <t>Cámara fotográfica - alquiler</t>
  </si>
  <si>
    <t>Proyector multimedia - alquiler</t>
  </si>
  <si>
    <t>4.1.</t>
  </si>
  <si>
    <t>4.2.</t>
  </si>
  <si>
    <t>Almuerzos</t>
  </si>
  <si>
    <t xml:space="preserve">Refrigerios </t>
  </si>
  <si>
    <t>5.1.</t>
  </si>
  <si>
    <t>MOVILIDAD Y TRANSPORTE</t>
  </si>
  <si>
    <t>ALIMENTACIÓN</t>
  </si>
  <si>
    <t>dia</t>
  </si>
  <si>
    <t>Alquiler de camioneta</t>
  </si>
  <si>
    <t>Combustible</t>
  </si>
  <si>
    <t>Galon</t>
  </si>
  <si>
    <t>6.1.</t>
  </si>
  <si>
    <t>6.2.</t>
  </si>
  <si>
    <t>3.7.</t>
  </si>
  <si>
    <t xml:space="preserve">Lapiceros </t>
  </si>
  <si>
    <t>Servicio de impresión de folletos</t>
  </si>
  <si>
    <t>Folder manila</t>
  </si>
  <si>
    <t>3.1.2.</t>
  </si>
  <si>
    <t>3.1.3.</t>
  </si>
  <si>
    <t>3.1.4.</t>
  </si>
  <si>
    <t>3.1.5.</t>
  </si>
  <si>
    <t>3.1.6.</t>
  </si>
  <si>
    <t>3.2.1.</t>
  </si>
  <si>
    <t>SERVICIOS</t>
  </si>
  <si>
    <t>Servicio de difución en radio</t>
  </si>
  <si>
    <t>Servicio de difución en TV</t>
  </si>
  <si>
    <t>RESUMEN DE COSTOS DE CAPACITACIÓN DEL COMPONENTE "3"  ADECUADO CONTROL, SEGUIMIENTO Y SENSIBILIZACIÓN EN SALUD  A LA POBLACION</t>
  </si>
  <si>
    <t>MESES</t>
  </si>
  <si>
    <t>3.2.2.</t>
  </si>
  <si>
    <t>TIEMPO DE CONTRATO - REDONDEO</t>
  </si>
  <si>
    <t>TIEMPO DE CONTRATO DE LOS PROFESIONALES - MESES</t>
  </si>
  <si>
    <t>PROGRAMA DE CONTRATACIÓN DE LOS PROFESIONALES EN PLANTA POR LOCACIÓN DE SERVICIOS</t>
  </si>
  <si>
    <t xml:space="preserve">Asistente </t>
  </si>
  <si>
    <t>4.1.1.</t>
  </si>
  <si>
    <t>PROFESIONALES PROPUESTOS</t>
  </si>
  <si>
    <t>4.2.1.</t>
  </si>
  <si>
    <t>4.3.</t>
  </si>
  <si>
    <t>4.3.1.</t>
  </si>
  <si>
    <t>Servicio</t>
  </si>
  <si>
    <t>Pofesional Especialista (Ing. Agroindustrial, Ing. En Industrias Alimentarias, con grado de Maestría y/o Doctorado en Biotecnología) - asitente.</t>
  </si>
  <si>
    <r>
      <t>LAS CAPACITACIONES REFERIDAS A LA META "4.1 Y 4.2" DE  CAPACITACION AL PERSONAL PARA LA OPERACIÓN Y MANTENIMIENTO DEL  SISTEMA CONTROLADO DE PRODUCCION  DEL  ALGA ESPIRULINA Y  LA  CAPACITACION AL PERSONAL PARA LA OPERACIÓN Y MANTENIMIENTO DE LA PLANTA MODELO DE PROCESAMIENTO DE  ESPIRULINA   EN POLVO,  Y SUS RESPECTIVAS ACCIONES  CAPACITACION EN MANEJO, CONSERVACION, PROPAGACION Y COSECHA DE SEPAS DE ESPIRULINA Y LA CAPACITACION EN BUENAS PRACTICAS DE MANUFACTURA PARA LA OBTENCION DE ESPIRULINA EN POLVO, SERAN REALIZADAS POR PROFESIONALES ESPECIALISTAS POR LO QUE EL PAGO SERÁ EL MONTO ESTIMADO. LOS PROFESIONALES ESPECIALISTAS DEBEN TENER LA DOCUMENTACION Y CERTIFICACIÓN NECESARIA PARA PROCEDER A CONTRATARLOS</t>
    </r>
    <r>
      <rPr>
        <i/>
        <sz val="10"/>
        <color rgb="FFFF0000"/>
        <rFont val="Arial Narrow"/>
        <family val="2"/>
      </rPr>
      <t xml:space="preserve"> CON EXPERIENCIA EN PRODUCCIÓN Y/O TRABAJOS DE INVESTIGACION EN ESPIRULINA </t>
    </r>
    <r>
      <rPr>
        <i/>
        <sz val="10"/>
        <color theme="1"/>
        <rFont val="Arial Narrow"/>
        <family val="2"/>
      </rPr>
      <t xml:space="preserve">CON GRADO DE MAESTRIA Y/O DOCTORADO EN BIOTECNOLIGÍA DE UNIVERSIDADES DE PRESTIGIO. LA CONTRATACIÓN DE LOS PROFESIONALES SERA MUY APARTE E INDEPENDIENTE DE LOS DEMAS TEMAS DE CAPACITACIÓN DEL PROYECTO. </t>
    </r>
  </si>
  <si>
    <t>4.3.2.</t>
  </si>
  <si>
    <t xml:space="preserve">Servicio </t>
  </si>
  <si>
    <t>5.2.</t>
  </si>
  <si>
    <t xml:space="preserve">Pofesional Especialista </t>
  </si>
  <si>
    <t xml:space="preserve"> RESUMEN DE COSTOS DE CAPACITACIÓN DEL COMPONENTE "5" SUFICIENTES CONOCIMIENTOS EN ORGANIZACION Y GESTION ALIMENTARIA  PARA EL DESARROLLO DE PRODUCTOS NUTRITIVOS</t>
  </si>
  <si>
    <t>RESUMEN DE COSTOS DE CAPACITACIÓN DE LOS COMPONENTES "3, 4 Y 5"</t>
  </si>
  <si>
    <t>Costo de Capacitación</t>
  </si>
  <si>
    <t>COSTO TOTAL DE EQUIPAMIENTO (A TODO COSTO)</t>
  </si>
  <si>
    <t>COSTO TOTAL DE CAPACITACIÓN  (A TODO COSTO)</t>
  </si>
  <si>
    <t>DESCRIPCION</t>
  </si>
  <si>
    <t>Pofesional Especialista (Ing. Agroindustrial y/o Ing. En Industrias Alimentarias y/o Biólogo Pesquero con grado de Maestría y/o Doctorado en Biotecnología).</t>
  </si>
  <si>
    <t>Pofesional Especialista (Ing. Agroindustrial y/o Ing. En Industrias Alimentarias y/o Biólogo Pesquero, con grado de Maestría y/o Doctorado en Biotecnología).</t>
  </si>
  <si>
    <t>DÍAS CALENDARIO</t>
  </si>
  <si>
    <t>Plan de contingencia</t>
  </si>
  <si>
    <t>S/.</t>
  </si>
  <si>
    <t>Gestión del expediente técnico</t>
  </si>
  <si>
    <t>Gestión de adquisición de equipamiento y mobiliario</t>
  </si>
  <si>
    <t>Gestión de capacitación</t>
  </si>
  <si>
    <t>COSTO (s/.)</t>
  </si>
  <si>
    <t>Conciliaciones</t>
  </si>
  <si>
    <t>Materiales de escritorio</t>
  </si>
  <si>
    <t>ELABORACION EXPEDIENTE TECNICO</t>
  </si>
  <si>
    <t xml:space="preserve">RESUMEN  ANALISIS DE COSTOS </t>
  </si>
  <si>
    <t>FTE.FTO</t>
  </si>
  <si>
    <t xml:space="preserve">:PRODUCCION </t>
  </si>
  <si>
    <t>UNIDAD GEST.</t>
  </si>
  <si>
    <t xml:space="preserve">FUNCION </t>
  </si>
  <si>
    <t>PROGRAMA</t>
  </si>
  <si>
    <t>SUB-PROGRAMA</t>
  </si>
  <si>
    <t>PROYECTO</t>
  </si>
  <si>
    <t>CÓDIGO</t>
  </si>
  <si>
    <t>ESPECIFICA DE GASTOS</t>
  </si>
  <si>
    <t>G. ET</t>
  </si>
  <si>
    <t>COSTO CONSTRUCCION POR CONTRATA - PERSONAL</t>
  </si>
  <si>
    <t>COSTO CONSTRUCCION POR CONTRATA - BIENES</t>
  </si>
  <si>
    <t>COSTO CONSTRUCCION POR CONTRATA - SERVICIOS</t>
  </si>
  <si>
    <t>COSTO CONSTRUCCION POR CONTRATA - OTROS</t>
  </si>
  <si>
    <t>TOTAL GASTOS - ELABORACION EXP. TEC.</t>
  </si>
  <si>
    <t>DESAGREGADO  DEL  PRESUPUESTO  ANALÍTICO</t>
  </si>
  <si>
    <t>01</t>
  </si>
  <si>
    <t>REMUNERACIONES</t>
  </si>
  <si>
    <t>01.01</t>
  </si>
  <si>
    <t>RETRIBUCIONES COMPLEMENTARIAS-CONTRATOS A PLAZO FIJO</t>
  </si>
  <si>
    <t>JORNAL BASICO DEL EMPLEADO EVENTUAL</t>
  </si>
  <si>
    <t>CARGO</t>
  </si>
  <si>
    <t>N° DE PERSONAS</t>
  </si>
  <si>
    <t>COSTO</t>
  </si>
  <si>
    <t>SUB TOTAL</t>
  </si>
  <si>
    <t>ING. ESPECIALISTA EN ESTRUCTURAS</t>
  </si>
  <si>
    <t>ING.ESPECIALISTA EN INSTALACIONES ELECTRICAS</t>
  </si>
  <si>
    <t>TECNICO ESPECIALISTA EN AUTOCAD</t>
  </si>
  <si>
    <t>TOPOGRAFO</t>
  </si>
  <si>
    <t>01.02</t>
  </si>
  <si>
    <t>GASTOS VARIABLES Y OCACIONALES</t>
  </si>
  <si>
    <t>BENEFICIOS DEL EMPLEADO EVENTUAL (COMPENSACION POR TIEMPO DE SERVICIOS) (1)/12</t>
  </si>
  <si>
    <t>BENEFICIOS DEL EMPLEADO EVENTUAL (VACACIONES TRUNCAS) (1)/12</t>
  </si>
  <si>
    <t>01.03</t>
  </si>
  <si>
    <t>ESCOLARIDAD AGUINALDOS Y GRATIFICACIONES</t>
  </si>
  <si>
    <t>GRATIFICACIONES DEL EMPLEADO EVENTUAL POR FIESTAS PATRIAS, NAVIDAD Y ESCOLARIDAD</t>
  </si>
  <si>
    <t>01.04</t>
  </si>
  <si>
    <t>OBLIGACIONES DEL EMPLEADOR</t>
  </si>
  <si>
    <t>TRANSF. CORRIENTE: SCRT (6.75%)  DEL EMPLEADO EVENTUAL</t>
  </si>
  <si>
    <t>TRANSF. CORRIENTE: SNPS (9%) DEL EMPLEADO EVENTUAL</t>
  </si>
  <si>
    <t>02</t>
  </si>
  <si>
    <t>BIENES</t>
  </si>
  <si>
    <t>02.01</t>
  </si>
  <si>
    <t>VESTUARIO Y ELEMENTOS DE SEGURIDAD</t>
  </si>
  <si>
    <t>UND.</t>
  </si>
  <si>
    <t>P.U.</t>
  </si>
  <si>
    <t>BOTAS DE CUERO  CAT</t>
  </si>
  <si>
    <t>PAR</t>
  </si>
  <si>
    <t>CASCOS DE PROTECCION TIPO KW COLOR BLANCO</t>
  </si>
  <si>
    <t>UND</t>
  </si>
  <si>
    <t>IMPLEMENTOS DE SEGURIDAD</t>
  </si>
  <si>
    <t>GLB</t>
  </si>
  <si>
    <t>02.02</t>
  </si>
  <si>
    <t>BIENES DE CONSUMO</t>
  </si>
  <si>
    <t>MATERIALES MEDICOS Y MEDICINAS</t>
  </si>
  <si>
    <t>AGUA OXIGENADA</t>
  </si>
  <si>
    <t>FRASCO</t>
  </si>
  <si>
    <t xml:space="preserve">ALCOHOL </t>
  </si>
  <si>
    <t>LTS</t>
  </si>
  <si>
    <t>ALGODON X 250 GR.</t>
  </si>
  <si>
    <t>PQTE</t>
  </si>
  <si>
    <t>GASA FRACCIONADA X 10 PZAS.</t>
  </si>
  <si>
    <t>YODO</t>
  </si>
  <si>
    <t>MATERIALES IMPRESIÓN Y FOTOGRÁFICOS</t>
  </si>
  <si>
    <t>CARGADOR DE BATERIAS</t>
  </si>
  <si>
    <t>BATERIA PARA CAMARA FOTOGRAFICA</t>
  </si>
  <si>
    <t>BORRADOR BR40</t>
  </si>
  <si>
    <t>CDS</t>
  </si>
  <si>
    <t>CINTA MASKING X 1/2"</t>
  </si>
  <si>
    <t>LIBRETA TOPOGRÁFICA LEVEL BOOK</t>
  </si>
  <si>
    <t>CORRECTOR</t>
  </si>
  <si>
    <t>ESPIRALES DE 7 MM</t>
  </si>
  <si>
    <t>FASTENERX50 UND</t>
  </si>
  <si>
    <t>FOLDER MANILA</t>
  </si>
  <si>
    <t>LAPICERO AZUL/NEGRO 033 FABER CASTELL</t>
  </si>
  <si>
    <t>LIBRETA DE CAMPO</t>
  </si>
  <si>
    <t>PAPEL FOTOCOPIA 80 GR A-4</t>
  </si>
  <si>
    <t>MLL</t>
  </si>
  <si>
    <t>PAPEL PLOTER 80 gr. 0.91 X 150.00 m</t>
  </si>
  <si>
    <t>RLL</t>
  </si>
  <si>
    <t>PEGAMENTO EN BARRA</t>
  </si>
  <si>
    <t>MICA</t>
  </si>
  <si>
    <t>PLUMON INDELEBLE DELGADO DIFER. COLORES</t>
  </si>
  <si>
    <t>RESALTADOR</t>
  </si>
  <si>
    <t>THONER PARA IMPRESORA</t>
  </si>
  <si>
    <t>TINTA PLOTER HP 500 NEGRO</t>
  </si>
  <si>
    <t>OTROS</t>
  </si>
  <si>
    <t>IMPREVISTOS</t>
  </si>
  <si>
    <t>03</t>
  </si>
  <si>
    <t>03.01</t>
  </si>
  <si>
    <t>SERVICIO DE TERCEROS</t>
  </si>
  <si>
    <t>DOC</t>
  </si>
  <si>
    <t>ESTUDIOS DE IMPACTO AMBIENTAL</t>
  </si>
  <si>
    <t>ESTUDIOS DE CIRA</t>
  </si>
  <si>
    <t>ESTUDIOS DE GEOLOGICO Y ANALISIS DE RIESGO</t>
  </si>
  <si>
    <t>ALQUILER DE ESTACIÓN TOTAL</t>
  </si>
  <si>
    <t>DIA</t>
  </si>
  <si>
    <t>ALQUILER DE OFICINA</t>
  </si>
  <si>
    <t>MES</t>
  </si>
  <si>
    <t>INTERNET</t>
  </si>
  <si>
    <t>IMPRESORA LASER JET</t>
  </si>
  <si>
    <t>03.02</t>
  </si>
  <si>
    <t>EQUIPAMIENTO Y BIENES DURADEROS</t>
  </si>
  <si>
    <t>COMPUTADORA CORE "I7 LAPTOP</t>
  </si>
  <si>
    <t>ESCRITORIO</t>
  </si>
  <si>
    <t>SILLAS</t>
  </si>
  <si>
    <t>CAMARA DIGITAL</t>
  </si>
  <si>
    <t>MEMORIA USB 16 GB</t>
  </si>
  <si>
    <t>SCANNER</t>
  </si>
  <si>
    <t>IMPREVISTOS OTROS</t>
  </si>
  <si>
    <t>03.03</t>
  </si>
  <si>
    <t>ALQUILER DE MOVILIDAD</t>
  </si>
  <si>
    <t>DIAS</t>
  </si>
  <si>
    <t>ALQUILER DE CAMIONETA</t>
  </si>
  <si>
    <t>TOTAL GASTOS DIRECTOS - ELABORACION EXPEDIENTE TECNICO</t>
  </si>
  <si>
    <t>SUB-PROGRAMA                 :</t>
  </si>
  <si>
    <t>PROGRAMA                        :</t>
  </si>
  <si>
    <t>FUNCION                           :</t>
  </si>
  <si>
    <t>ING. AGROINDUSTRIAL Y/O ING. EN INDUSTRIAS ALIMENTARIAS - JEFE DE PROYECTO</t>
  </si>
  <si>
    <t xml:space="preserve">ARQUITECTO </t>
  </si>
  <si>
    <t>ESPECIALISTA COSTOS Y PESUPUESTO</t>
  </si>
  <si>
    <t>ING. AGROINDUSTRIAL Y/O ING. EN INDUSTRIAS ALIMENTARIAS - ESPECIALISTA EN DISEÑO DE PLANTAS</t>
  </si>
  <si>
    <t>ASISTENTE ADMINISTRATIVO</t>
  </si>
  <si>
    <t>ING. AGROINDUSTRIAL Y/O ING. EN INDUSTRIAS ALIMENTARIAS - ESPECIALISTA EN PROCESOS</t>
  </si>
  <si>
    <t>:</t>
  </si>
  <si>
    <t>G. G</t>
  </si>
  <si>
    <t>04</t>
  </si>
  <si>
    <t>TOTAL GASTOS DE SUPERVISION</t>
  </si>
  <si>
    <t>DESAGREGADO  DEL  PRESUPUESTO  ANALÍTICO DE GASTOS GENERALES</t>
  </si>
  <si>
    <t>JORNAL  DEL EMPLEADO EVENTUAL</t>
  </si>
  <si>
    <t>ASISTENTE TECNICO</t>
  </si>
  <si>
    <t xml:space="preserve">ESPECIALISTA CAPACITACION DE PLANTRAS INDUSTRIALES </t>
  </si>
  <si>
    <t xml:space="preserve">MAESTRO DE OBRA </t>
  </si>
  <si>
    <t>GUARDIAN</t>
  </si>
  <si>
    <t xml:space="preserve">ALMACENERO </t>
  </si>
  <si>
    <t>ESSALUD (9%) DEL EMPLEADO EVENTUAL</t>
  </si>
  <si>
    <t>SEGURO COMPLEMENTARIO TRABAJO DE RIESGO (1.55%) DEL EMPLEADO EVENTUAL</t>
  </si>
  <si>
    <t>GASTOS VARIABLES Y OCASIONALES</t>
  </si>
  <si>
    <t>BENEFICIOS (COMPENSACION POR TIEMPO DE SERVICIOS CTS) DEL EMPLEADO EVENTUAL</t>
  </si>
  <si>
    <t>VACACIONES TRUNCAS</t>
  </si>
  <si>
    <t>01.05</t>
  </si>
  <si>
    <t>AGUINALDOS Y GRATIFICACIONES</t>
  </si>
  <si>
    <t>AGUINALDOS POR FIESTAS PATRIAS Y NAVIDAD DEL EMPLEADO EVENTUAL</t>
  </si>
  <si>
    <t>CUMPUTADORA COREL I7</t>
  </si>
  <si>
    <t>IMPRESORA A COLOR MULTIFUNCIONAL</t>
  </si>
  <si>
    <t>ARCHIVADOR DE LOMO ANCHO PARA FORMATO A-4</t>
  </si>
  <si>
    <t>ANILLOS DE 5/8"</t>
  </si>
  <si>
    <t>CD R</t>
  </si>
  <si>
    <t xml:space="preserve">LIBRETA TOPOGRÁFICA </t>
  </si>
  <si>
    <t>CUADERNO 50 HOJAS</t>
  </si>
  <si>
    <t>CUADERNO DE OBRA 1X3 AUTOCOPIAS X 50 HOJAS</t>
  </si>
  <si>
    <t>CUADERNO ESPIRALADO TAMAÑO A4 200 HJAS</t>
  </si>
  <si>
    <t>CUTER GRANDE</t>
  </si>
  <si>
    <t>ENGRAMPADOR</t>
  </si>
  <si>
    <t>FILES</t>
  </si>
  <si>
    <t>PARTES DIARIOS MAQUINARIA 1X3 AUTOCOPIAS</t>
  </si>
  <si>
    <t>BLOCK</t>
  </si>
  <si>
    <t>NOTAS ENTRADA DE ALMACEN 1X3 AUTOCOPIAS</t>
  </si>
  <si>
    <t>NOTAS DE SALIDAS DE ALMACEN 1X3 AUTOCOPIAS</t>
  </si>
  <si>
    <t>TARJETAS VISIBLES DE ALMACEN 1X3 AUTOCOPIAS</t>
  </si>
  <si>
    <t>PLUMONES DELGADOS FC 45</t>
  </si>
  <si>
    <t>PLUMON INDELEBLE GRUESO DIFER. COLORES</t>
  </si>
  <si>
    <t>PORTAMINAS</t>
  </si>
  <si>
    <t>REPUESTOS PARA PORTAMINAS</t>
  </si>
  <si>
    <t>SELLO DE OBRA</t>
  </si>
  <si>
    <t>OTROS SERVICIOS</t>
  </si>
  <si>
    <t>LEGALIZACION DE CUADERNO DE OBRAS</t>
  </si>
  <si>
    <t>FOTOCOPIAS</t>
  </si>
  <si>
    <t>gbl</t>
  </si>
  <si>
    <t>IMPRESIÓN DE PLANOS</t>
  </si>
  <si>
    <t>TOTAL GASTOS GENERALES</t>
  </si>
  <si>
    <t xml:space="preserve">: </t>
  </si>
  <si>
    <t>05</t>
  </si>
  <si>
    <t>06</t>
  </si>
  <si>
    <t>07</t>
  </si>
  <si>
    <t>08</t>
  </si>
  <si>
    <t>09</t>
  </si>
  <si>
    <t>10</t>
  </si>
  <si>
    <t>11</t>
  </si>
  <si>
    <t>12</t>
  </si>
  <si>
    <t>ING. CIVIL RESIDENTE DE OBRA</t>
  </si>
  <si>
    <t>PROYECTO                          :  “MEJORAMIENTO DEL SERVICIO  DE SEGURIDAD ALIMENTARIA  PARA LA REDUCCION DE LA DESNUTRICION  EN LA PROVINCIA DE ABANCAY, DEPARTAMENTO DE APURIMAC"</t>
  </si>
  <si>
    <t>ET</t>
  </si>
  <si>
    <t>AGROIN</t>
  </si>
  <si>
    <t>EQUIPA</t>
  </si>
  <si>
    <t>PUESTA MARCHA</t>
  </si>
  <si>
    <t>GESTIÓN DE DOCUMENTO DE INICIO DE OBRA</t>
  </si>
  <si>
    <t>GESTIÓN DE DOCUMENTO PARA PUESTA EN MARCHA</t>
  </si>
  <si>
    <t>INICIO DE OBRA</t>
  </si>
  <si>
    <t>X</t>
  </si>
  <si>
    <t>ING. AGRÓNOMO</t>
  </si>
  <si>
    <t>ING. ESPECIALISTA EN INSTALACIONES SANITARIAS Y/O MECÁNICA DE FLUIDOS</t>
  </si>
  <si>
    <t>ING. MECÁNICO ELECTRICISTA - INSTALACIONES ESPECIALES</t>
  </si>
  <si>
    <t>ING. AGROINDUSTRIAL Y/O ING. EN INDUSTRIAS ALIMENTARIAS - ESPECIALISTA EN INSTALACIÓN DE PROYECTOS AGROINDUSTRIALES</t>
  </si>
  <si>
    <t>CAPACITA</t>
  </si>
  <si>
    <t>G. SUP</t>
  </si>
  <si>
    <t>COSTO CONSTRUCCION POR CONTRTA - SERVICIOS</t>
  </si>
  <si>
    <t>TOTAL GASTOS DE INSPECCION</t>
  </si>
  <si>
    <t>DESAGREGADO  DEL  PRESUPUESTO  ANALÍTICO DE SUPERVISION</t>
  </si>
  <si>
    <t>JORNAL DEL EMPLEADO EVENTUAL</t>
  </si>
  <si>
    <t>OBSERV.</t>
  </si>
  <si>
    <t>ING.CIVIL SUPERVISOR DE OBRA</t>
  </si>
  <si>
    <t>.</t>
  </si>
  <si>
    <t>SEGURO COMPLEMENTARIO DE TRABAJO DE RIESGO (1.55%) DEL EMPLEADO EVENTUAL</t>
  </si>
  <si>
    <t>BENEFICIOS (COMPENSACION POR TIEMPO DE SERVICIOS) DEL EMPLEADO EVENTUAL</t>
  </si>
  <si>
    <t>VACACIONES TRUNCAS DEL EMPLEADO EVENTUAL</t>
  </si>
  <si>
    <t xml:space="preserve">CD RW </t>
  </si>
  <si>
    <t>CINTA MASKING 2"</t>
  </si>
  <si>
    <t>LAPICERO AZUL/NEGRO 031 FABER CASTELL</t>
  </si>
  <si>
    <t>CUADERNO CON ESPIRAL</t>
  </si>
  <si>
    <t>POST IT CUADRADO COLORES</t>
  </si>
  <si>
    <t>GBL</t>
  </si>
  <si>
    <t>13</t>
  </si>
  <si>
    <t>14</t>
  </si>
  <si>
    <t>15</t>
  </si>
  <si>
    <t>16</t>
  </si>
  <si>
    <t>17</t>
  </si>
  <si>
    <t>18</t>
  </si>
  <si>
    <t>19</t>
  </si>
  <si>
    <t>20</t>
  </si>
  <si>
    <t>21</t>
  </si>
  <si>
    <t>22</t>
  </si>
  <si>
    <t>23</t>
  </si>
  <si>
    <t>24</t>
  </si>
  <si>
    <t>25</t>
  </si>
  <si>
    <t>26</t>
  </si>
  <si>
    <t>27</t>
  </si>
  <si>
    <t>28</t>
  </si>
  <si>
    <t>29</t>
  </si>
  <si>
    <t>30</t>
  </si>
  <si>
    <t>31</t>
  </si>
  <si>
    <t>ING. AGROINDUSTRIAL Y/O ING. EN INDUSTRIAS ALIMENTARIAS - ESPECIALISTA EN INSTALACIÓN DE PROYECTOS AGROINDUSTRIALES - SUPERVISOR</t>
  </si>
  <si>
    <t>ARQ. SUPERVISOR  - SUPERVISOR</t>
  </si>
  <si>
    <t>ING. SANITARIO Y/O MECÁNICO DE FLUIDOS</t>
  </si>
  <si>
    <t>ING MECÁNICO ELECTRICO.SUPERVISOR</t>
  </si>
  <si>
    <t>ING SANITARIO Y/O MECÁNICO DE FLUIDOS - SUPERVISOR</t>
  </si>
  <si>
    <t>LIQUIDACIÓN</t>
  </si>
  <si>
    <t>GASTOS DE LIQUIDACION</t>
  </si>
  <si>
    <t xml:space="preserve">RESUMEN  PRESUPUESTO ANALITICO </t>
  </si>
  <si>
    <t>CÓD.</t>
  </si>
  <si>
    <t>G. LIQUID</t>
  </si>
  <si>
    <t>COSTO CONSTRUCCION POR ADMINISTRACION DIRECTA - PERSONAL</t>
  </si>
  <si>
    <t>COSTO CONSTRUCCION POR ADMINISTRACION DIRECTA - BIENES</t>
  </si>
  <si>
    <t>COSTO CONSTRUCCION POR ADMINISTRACION DIRECTA - SERVICIOS</t>
  </si>
  <si>
    <t>COSTO CONSTRUCCION POR ADMINISTRACION DIRECTA - OTROS</t>
  </si>
  <si>
    <t>TOTAL GASTOS DE LIQUIDACION</t>
  </si>
  <si>
    <t>ESPECIALISTA EN LIQUIDACION</t>
  </si>
  <si>
    <t>ESPECIALISTA FINANCIERO</t>
  </si>
  <si>
    <t>SEGURO COMPLEMENTARIO DE TRABAJO DE RIESGO (1.55%)</t>
  </si>
  <si>
    <t>ESCOLARIDAD, AGUINALDOS Y GRATIFICACIONES</t>
  </si>
  <si>
    <t>COMPUTADORA PORTATIL LAPTOP</t>
  </si>
  <si>
    <t>LIBRETA TOPOGRÁFICA FIELD BOOK</t>
  </si>
  <si>
    <t>PZA</t>
  </si>
  <si>
    <t>IMPRESIÓNES</t>
  </si>
  <si>
    <t>SE CONSIDERA 02 MESES PARA LA  PRE - LIQU.</t>
  </si>
  <si>
    <t>Factor 
Corrección</t>
  </si>
  <si>
    <t>INFRAESTRUCTURA</t>
  </si>
  <si>
    <t>MITIGACIÓN AMBIENTAL (A TODO COSTO)</t>
  </si>
  <si>
    <t>EQUIPAMIENTO (A TODO COSTO)</t>
  </si>
  <si>
    <t>Taller</t>
  </si>
  <si>
    <t>Gestión de contrato de obra</t>
  </si>
  <si>
    <t>Gestión  de contrato de Liquidación</t>
  </si>
  <si>
    <t>Gestión  de contrato de Supervisión</t>
  </si>
  <si>
    <t>UNIDAD DE MEDIDA</t>
  </si>
  <si>
    <t>COSTOS A PRECIOS DE MERCADO (s/.)</t>
  </si>
  <si>
    <t>COSTOS A PRECIOS SOCIALES (s/.)</t>
  </si>
  <si>
    <t>GASTOS GENERALES</t>
  </si>
  <si>
    <t xml:space="preserve">COSTO DEL EXPEDIENTE TÉCNICO </t>
  </si>
  <si>
    <t>GESTIÓN DE PROYECTO</t>
  </si>
  <si>
    <t>GASTOS DE SUPERVISIÓN</t>
  </si>
  <si>
    <t xml:space="preserve">COSTO DE LIQUIDACIÓN </t>
  </si>
  <si>
    <t>MANO DE OBRA CALIFICADA</t>
  </si>
  <si>
    <t>MANO DE OBRA NO CALIFICADA</t>
  </si>
  <si>
    <t>COSTO DIRECTO INFRAESTRUCTURA</t>
  </si>
  <si>
    <t>MONTO DE INVERSIÓN A PRECIOS DE MERCADO</t>
  </si>
  <si>
    <t>MONTO DE INVERSIÓN A PRECIOS SOCIALES</t>
  </si>
  <si>
    <t>CAPACITACIÓN  (A TODO COSTO)</t>
  </si>
  <si>
    <t>COSTOS DE OPERACIÓN Y MANTENIMENTO:</t>
  </si>
  <si>
    <t xml:space="preserve">PRODUCCION DE ALGA COMO MATERIA PRIMA </t>
  </si>
  <si>
    <t xml:space="preserve">COSTOS UNITARIOS DE PRODUCCION AL AÑO EN SOLES. </t>
  </si>
  <si>
    <t>RUBROS</t>
  </si>
  <si>
    <t>Unidad</t>
  </si>
  <si>
    <t>Cantidad</t>
  </si>
  <si>
    <t>Precio Unitario</t>
  </si>
  <si>
    <t xml:space="preserve">Precio Total </t>
  </si>
  <si>
    <t>I.COSTOS DE PRODUCCION</t>
  </si>
  <si>
    <t xml:space="preserve">  A.COSTOS DIRECTOS</t>
  </si>
  <si>
    <t>Kilos</t>
  </si>
  <si>
    <t xml:space="preserve">  B.COSTOS INDIRECTOS</t>
  </si>
  <si>
    <t xml:space="preserve">     Agua</t>
  </si>
  <si>
    <t xml:space="preserve">     Energía eléctrica luces</t>
  </si>
  <si>
    <t>KW/h</t>
  </si>
  <si>
    <t xml:space="preserve">     Energía eléctrica motores</t>
  </si>
  <si>
    <t>Kw/h</t>
  </si>
  <si>
    <t xml:space="preserve">     Mano de obra indirecta</t>
  </si>
  <si>
    <t>global</t>
  </si>
  <si>
    <t xml:space="preserve">     Mantenimiento y repuesto</t>
  </si>
  <si>
    <t>Global</t>
  </si>
  <si>
    <t xml:space="preserve">     Depreciaciones</t>
  </si>
  <si>
    <t xml:space="preserve">     Imprevistos</t>
  </si>
  <si>
    <t>COSTO TOTAL</t>
  </si>
  <si>
    <t>Total de alga proiducida al año : 40,000 KILOGRAMOS</t>
  </si>
  <si>
    <t>COSTO UNITARIO POR KILOGRAMO</t>
  </si>
  <si>
    <t xml:space="preserve">PRODUCCION DE ALGA COMO PRODUCTO TERMINADO </t>
  </si>
  <si>
    <t xml:space="preserve">COSTOS DE PRODUCCION DE ESPIRULINA EN POLVO </t>
  </si>
  <si>
    <t xml:space="preserve">     a.Mangas Poliet. envasar''</t>
  </si>
  <si>
    <t>Millar</t>
  </si>
  <si>
    <t xml:space="preserve">     b.Polietileno alta dens.</t>
  </si>
  <si>
    <t>Bobina</t>
  </si>
  <si>
    <t xml:space="preserve">     c.Cajas de carton.</t>
  </si>
  <si>
    <t xml:space="preserve">     d.Energía eléctrica</t>
  </si>
  <si>
    <t xml:space="preserve">     e.Agua</t>
  </si>
  <si>
    <t xml:space="preserve">     g.Mantenimiento y repuesto</t>
  </si>
  <si>
    <t xml:space="preserve">     i.Depreciaciones</t>
  </si>
  <si>
    <t xml:space="preserve">     j.Imprevistos</t>
  </si>
  <si>
    <t>II.COSTOS DE OPERACION</t>
  </si>
  <si>
    <t xml:space="preserve">  A.COSTOS DE COMERCIALIZACION</t>
  </si>
  <si>
    <t xml:space="preserve">     a.Publicidad</t>
  </si>
  <si>
    <t>III.COSTOS FINANCIEROS</t>
  </si>
  <si>
    <t>Intereses 0</t>
  </si>
  <si>
    <t xml:space="preserve">COSTO UNITARIO </t>
  </si>
  <si>
    <t xml:space="preserve">COSTOS POR PERSONAL A EMPLEAR EN LA PLANTA </t>
  </si>
  <si>
    <t>Personal</t>
  </si>
  <si>
    <t>Precio Unitario (S/)</t>
  </si>
  <si>
    <t>Total (S/)</t>
  </si>
  <si>
    <t>Jefe de producción de alga (1) - Ing. Agroindustrial y/o Ing. En Industrias Alimentarias.</t>
  </si>
  <si>
    <t xml:space="preserve">Sueldo </t>
  </si>
  <si>
    <t>Laboratorista (1) - ng. Agroindustrial y/o Ing. En Industrias Alimentarias y/o Biólogo.</t>
  </si>
  <si>
    <t>Seguridad  y mantenimiento (1) - Guardía de día</t>
  </si>
  <si>
    <t>Jefe de planta (1) - Ing. Agroindustrial y/o Ing. En Industrias Alimentarias.</t>
  </si>
  <si>
    <t>Operador de planta (2) - Técnico en Industrias Alimentarias y/o Agropecuario.</t>
  </si>
  <si>
    <t>Administrativo (1)</t>
  </si>
  <si>
    <t>Oficina de ventas o distribuidor (1)</t>
  </si>
  <si>
    <t>Seguridad  (1) - Guardía de Noche</t>
  </si>
  <si>
    <t>Total al año</t>
  </si>
  <si>
    <t>ACTIVIDAD</t>
  </si>
  <si>
    <t>COSTOS DE OPERACIÓN</t>
  </si>
  <si>
    <t>Remuneraciones</t>
  </si>
  <si>
    <t>COSTO UNITARIO (s/.)</t>
  </si>
  <si>
    <t>TOTAL (s/.)</t>
  </si>
  <si>
    <t>AÑO 1</t>
  </si>
  <si>
    <t>AÑO 2</t>
  </si>
  <si>
    <t>AÑO 3</t>
  </si>
  <si>
    <t>AÑO 4</t>
  </si>
  <si>
    <t>AÑO 5</t>
  </si>
  <si>
    <t>AÑO 6</t>
  </si>
  <si>
    <t>AÑO 7</t>
  </si>
  <si>
    <t>AÑO 8</t>
  </si>
  <si>
    <t>AÑO 9</t>
  </si>
  <si>
    <t>AÑO 10</t>
  </si>
  <si>
    <t>AÑOS - PROYECIÓN</t>
  </si>
  <si>
    <t xml:space="preserve">     Espirulina</t>
  </si>
  <si>
    <t xml:space="preserve">     Mano de obra directa (4)</t>
  </si>
  <si>
    <t xml:space="preserve">     b. Trasnporte productos term</t>
  </si>
  <si>
    <t xml:space="preserve">     c.Utiles de oficina</t>
  </si>
  <si>
    <t xml:space="preserve">      Alga</t>
  </si>
  <si>
    <t xml:space="preserve">      NaHCO3</t>
  </si>
  <si>
    <t xml:space="preserve">      K2HPO4</t>
  </si>
  <si>
    <t xml:space="preserve">      NaNO3</t>
  </si>
  <si>
    <t xml:space="preserve">      NaCl</t>
  </si>
  <si>
    <t xml:space="preserve">      MgSO4</t>
  </si>
  <si>
    <t xml:space="preserve">      FeSO4</t>
  </si>
  <si>
    <t xml:space="preserve">      K2SO4</t>
  </si>
  <si>
    <t xml:space="preserve">      CaCl2</t>
  </si>
  <si>
    <t xml:space="preserve">      EDTA</t>
  </si>
  <si>
    <t>Costo de Producción de Alga como Materia Prima</t>
  </si>
  <si>
    <t>Costo de Producción de Espirulina en Polvo</t>
  </si>
  <si>
    <t>COSTOS DE MANTENIMIENTO</t>
  </si>
  <si>
    <t xml:space="preserve">Mantenimiento de la infraestructura </t>
  </si>
  <si>
    <t>Pintura esmalte</t>
  </si>
  <si>
    <t>Pintura látex</t>
  </si>
  <si>
    <t>Rodillo</t>
  </si>
  <si>
    <t>Brochas</t>
  </si>
  <si>
    <t>Tiner</t>
  </si>
  <si>
    <t>Vidrio</t>
  </si>
  <si>
    <t>Bisagra para puertas</t>
  </si>
  <si>
    <t>Candados</t>
  </si>
  <si>
    <t>Calamina</t>
  </si>
  <si>
    <t xml:space="preserve">Accesorios para agua </t>
  </si>
  <si>
    <t>Accesorios instalaciones eléctricas</t>
  </si>
  <si>
    <t>Servicio de mantenimiento de infraestructura</t>
  </si>
  <si>
    <t xml:space="preserve">Servicio de mantenimiento de instalaciones eléctricas </t>
  </si>
  <si>
    <t xml:space="preserve">Servicio de mantenimiento de instalaciones sanitarias </t>
  </si>
  <si>
    <t>REPOSICIÓN</t>
  </si>
  <si>
    <t>Gln.</t>
  </si>
  <si>
    <t>Unid.</t>
  </si>
  <si>
    <t>Lt</t>
  </si>
  <si>
    <t>p2</t>
  </si>
  <si>
    <t>Glob</t>
  </si>
  <si>
    <t xml:space="preserve">Mantenimiento del equipamiento </t>
  </si>
  <si>
    <t>Servicio de mantenimiento de las posas de producción y ambientes de procesamiento</t>
  </si>
  <si>
    <t>Servicio de mantenimiento  de equipo de equipos y máquinas</t>
  </si>
  <si>
    <t>COSTO TOTAL DE OPERACIÓN Y MANTENIMIENTO</t>
  </si>
  <si>
    <t>Reposición de Equipos</t>
  </si>
  <si>
    <r>
      <t xml:space="preserve">COSTOS DE O&amp;M </t>
    </r>
    <r>
      <rPr>
        <b/>
        <sz val="26"/>
        <color theme="1"/>
        <rFont val="Arial Narrow"/>
        <family val="2"/>
      </rPr>
      <t>CON</t>
    </r>
    <r>
      <rPr>
        <b/>
        <sz val="18"/>
        <color theme="1"/>
        <rFont val="Arial Narrow"/>
        <family val="2"/>
      </rPr>
      <t xml:space="preserve"> PROYECTO - PRECIOS DE MERCADO</t>
    </r>
  </si>
  <si>
    <r>
      <t xml:space="preserve">COSTOS DE O&amp;M </t>
    </r>
    <r>
      <rPr>
        <b/>
        <sz val="26"/>
        <color theme="1"/>
        <rFont val="Arial Narrow"/>
        <family val="2"/>
      </rPr>
      <t>SIN</t>
    </r>
    <r>
      <rPr>
        <b/>
        <sz val="18"/>
        <color theme="1"/>
        <rFont val="Arial Narrow"/>
        <family val="2"/>
      </rPr>
      <t xml:space="preserve"> PROYECTO - PRECIOS DE MERCADO</t>
    </r>
  </si>
  <si>
    <r>
      <t xml:space="preserve">COSTOS DE O&amp;M </t>
    </r>
    <r>
      <rPr>
        <b/>
        <sz val="26"/>
        <color theme="1"/>
        <rFont val="Arial Narrow"/>
        <family val="2"/>
      </rPr>
      <t>SIN</t>
    </r>
    <r>
      <rPr>
        <b/>
        <sz val="18"/>
        <color theme="1"/>
        <rFont val="Arial Narrow"/>
        <family val="2"/>
      </rPr>
      <t xml:space="preserve"> PROYECTO - PRECIOS SOCIALES</t>
    </r>
  </si>
  <si>
    <t>FACTOR DE CORRECCIÓN</t>
  </si>
  <si>
    <t>Costo de Operación en Biohuertos</t>
  </si>
  <si>
    <t>Adquisición de insumos (semillas)</t>
  </si>
  <si>
    <t>Mano de Obra Calificada (Asistencia Técnica)</t>
  </si>
  <si>
    <t>Mano de Obra No Calificada</t>
  </si>
  <si>
    <t>Adquisición de los componentes del sistema de riego</t>
  </si>
  <si>
    <t>Mantenimiento del Biohuerto bajo fitotoldo</t>
  </si>
  <si>
    <t>Herramientas</t>
  </si>
  <si>
    <t>Mantenimiento del módulo de producción de compos</t>
  </si>
  <si>
    <t xml:space="preserve">     Mano de obra Indirecta (2)</t>
  </si>
  <si>
    <t>Mantenimiento del Biohuerto</t>
  </si>
  <si>
    <r>
      <t xml:space="preserve">COSTOS DE O&amp;M </t>
    </r>
    <r>
      <rPr>
        <b/>
        <sz val="26"/>
        <color theme="1"/>
        <rFont val="Arial Narrow"/>
        <family val="2"/>
      </rPr>
      <t>CON</t>
    </r>
    <r>
      <rPr>
        <b/>
        <sz val="18"/>
        <color theme="1"/>
        <rFont val="Arial Narrow"/>
        <family val="2"/>
      </rPr>
      <t xml:space="preserve"> PROYECTO - PRECIOS SOCIALES</t>
    </r>
  </si>
  <si>
    <t>Operación de camas almacigueras</t>
  </si>
  <si>
    <t>Operación de módulos de producción de hortalizas</t>
  </si>
  <si>
    <t>Certificaciones de la planta de procesamiento</t>
  </si>
  <si>
    <t>Permisos para la operación de la planta de procesamiento</t>
  </si>
  <si>
    <t xml:space="preserve">COSTOS INCREMENTALES: </t>
  </si>
  <si>
    <t>COSTOS INCREMENTALES - PRECIOS DE MERCADO</t>
  </si>
  <si>
    <t>Años</t>
  </si>
  <si>
    <t>SIN PROYECTO</t>
  </si>
  <si>
    <t>Operación</t>
  </si>
  <si>
    <t>Mantenimiento</t>
  </si>
  <si>
    <t>Reposición</t>
  </si>
  <si>
    <t>CON PROYECTO</t>
  </si>
  <si>
    <t>Flujo de costos incrementales</t>
  </si>
  <si>
    <t>COSTOS INCREMENTALES - PRECIOS SOCIALES</t>
  </si>
  <si>
    <t>COSTOS DE PRODUCCIÓN:</t>
  </si>
  <si>
    <t>Total de Espirulina en polvo al año : 10,000 KILOGRAMOS</t>
  </si>
  <si>
    <t>Fc</t>
  </si>
  <si>
    <t>Precio Social</t>
  </si>
  <si>
    <t xml:space="preserve">Precio Social Total </t>
  </si>
  <si>
    <t>COSTO UNITARIO KILOGRAMO.</t>
  </si>
  <si>
    <t>DEMANDA - DESNUTRICIÓN:</t>
  </si>
  <si>
    <t>ANÁLISIS DE LA OFERTA:</t>
  </si>
  <si>
    <t>BRECHA:</t>
  </si>
  <si>
    <t>COSTOS DE MITIGACIÓN AMBIENTAL:</t>
  </si>
  <si>
    <t>COSTOS DE GESTIÓN DEL PROYECTO:</t>
  </si>
  <si>
    <t>COSTO DE ELABORACION EXPEDIENTE TECNICO:</t>
  </si>
  <si>
    <t>RESUMEN  PRESUPUESTO ANALÍTICO DE GASTOS GENERALES:</t>
  </si>
  <si>
    <t>RESUMEN  PRESUPUESTO ANALITICO DE INSPECCION:</t>
  </si>
  <si>
    <t>GASTOS DE LIQUIDACION:</t>
  </si>
  <si>
    <t>RESUMEN DEL MONTO DE INVERSIÓN DEL PROYECTO:</t>
  </si>
  <si>
    <t>RESUMEN DE LOS COSTOS DE OPERACIÓN Y MANTENIMIENTO:</t>
  </si>
  <si>
    <t>BENEFICIOS A PRECIOS DE MERCADO:</t>
  </si>
  <si>
    <t>Kg.</t>
  </si>
  <si>
    <t>De los resultados de los balances de materia y de la demanda en funcion al limitante terreno se tiene lo siguiente como peroducto terminado:</t>
  </si>
  <si>
    <t>(1) TOTAL DE ALGA ESPIRULINA PRODUCIDA AL AÑO =</t>
  </si>
  <si>
    <t>(2) PRODUCCIÓN DE ESPIRULINA EN POLVO AL AÑO =</t>
  </si>
  <si>
    <t>Espirulina en polvo para consumo humano directo</t>
  </si>
  <si>
    <t>Peso (gr)</t>
  </si>
  <si>
    <t>250 gr</t>
  </si>
  <si>
    <t>200 gr</t>
  </si>
  <si>
    <t>100 gr</t>
  </si>
  <si>
    <t>Precio Soles/Kg (sin IGV)</t>
  </si>
  <si>
    <t>Marca</t>
  </si>
  <si>
    <t>Febico</t>
  </si>
  <si>
    <t>Purasana</t>
  </si>
  <si>
    <t>Espiruvida</t>
  </si>
  <si>
    <t>Empresa comercializadora en Perú</t>
  </si>
  <si>
    <t>Soluciones alternativas de vida SAC</t>
  </si>
  <si>
    <t>(importación directa)</t>
  </si>
  <si>
    <t>Healeat EIRL</t>
  </si>
  <si>
    <t>Empresa origen</t>
  </si>
  <si>
    <t>Far East Bio Tec. Co. Ltd. (Taiwan)</t>
  </si>
  <si>
    <t>Purasana Ltd (Bélgica)</t>
  </si>
  <si>
    <t>Empresa Arequipeña</t>
  </si>
  <si>
    <t>Procedencia del Alga</t>
  </si>
  <si>
    <t>Taiwán</t>
  </si>
  <si>
    <t>India</t>
  </si>
  <si>
    <t>Piura - Perú</t>
  </si>
  <si>
    <t>Formato de presentación en Polvo</t>
  </si>
  <si>
    <t>Comparativo de presentaciones y precios Espirulina consumo humano en Lima - Perú</t>
  </si>
  <si>
    <t>Fuente: ESAN - GRADUATE SCHOOL OF BUSINESS</t>
  </si>
  <si>
    <t>COSTO PROMEDIO DE ESPIRULINA EN POLVO Soles/kg (sin IGV) =</t>
  </si>
  <si>
    <t>COSTO PROMEDIO DE ESPIRULINA EN POLVO Soles/kg (con IGV) =</t>
  </si>
  <si>
    <t>COSTO UNITARIO KILOGRAMO =</t>
  </si>
  <si>
    <t>COSTO DE PRODUCCIÓN DE ESPIRULINA EN POLVO PARA CONSUMO HUMANO EN LA PLANTA PROCESADORA  DEL GOBIERNO REGIONAL DE APURÍMAC:</t>
  </si>
  <si>
    <t>COSTO DE VENTA AL PUBLICO (Kg) =</t>
  </si>
  <si>
    <t>soles</t>
  </si>
  <si>
    <t>COMPARATIVO DE PRESENTACIONES Y PRECIOS ESPIRULINA CONSUMO HUMANO EN LIMA - PERÚ</t>
  </si>
  <si>
    <t>SUB PRODUCTOS (RESIDUOS) DEL PROCESAMIENTO DEL ALGA ESPIRULINA</t>
  </si>
  <si>
    <t>SUB PRODUCTO DE ALGA Kg. /AÑO =</t>
  </si>
  <si>
    <t>BENEFICIOS SIN PROYECTO A PRECIOS DE MERCADO</t>
  </si>
  <si>
    <t>Venta de sub productos (residuos)</t>
  </si>
  <si>
    <r>
      <t xml:space="preserve">FLUJO DE BENEFICIOS </t>
    </r>
    <r>
      <rPr>
        <b/>
        <sz val="20"/>
        <color theme="1"/>
        <rFont val="Arial Narrow"/>
        <family val="2"/>
      </rPr>
      <t>CON</t>
    </r>
    <r>
      <rPr>
        <b/>
        <sz val="10"/>
        <color theme="1"/>
        <rFont val="Arial Narrow"/>
        <family val="2"/>
      </rPr>
      <t xml:space="preserve"> PROYECTO A PRECIOS DE MERCADO</t>
    </r>
  </si>
  <si>
    <t>Beneficios de venta de la Espirulina en polvo</t>
  </si>
  <si>
    <t>Espirulina en polvo (kg.)</t>
  </si>
  <si>
    <t>Costo de venta (s/.)</t>
  </si>
  <si>
    <t>Beneficios de venta de sub productos (residuos)</t>
  </si>
  <si>
    <t>Sub productos - residuos (Kg.)</t>
  </si>
  <si>
    <t>Beneficios de venta de espirulina en polvo</t>
  </si>
  <si>
    <r>
      <t xml:space="preserve">FLUJO DE BENEFICIOS </t>
    </r>
    <r>
      <rPr>
        <b/>
        <sz val="18"/>
        <color theme="1"/>
        <rFont val="Arial Narrow"/>
        <family val="2"/>
      </rPr>
      <t>SIN</t>
    </r>
    <r>
      <rPr>
        <b/>
        <sz val="10"/>
        <color theme="1"/>
        <rFont val="Arial Narrow"/>
        <family val="2"/>
      </rPr>
      <t xml:space="preserve"> PROYECTO A PRECIOS DE MERCADO</t>
    </r>
  </si>
  <si>
    <t>BENEFICIOS DE LA PRODUCCIÓN DE HORTALIZAS A NIVEL FAMILIAR</t>
  </si>
  <si>
    <t>NÚMERO DE PRODUCTORES DE HORTALIZAS Y/O FAMILIAS</t>
  </si>
  <si>
    <t>Beneficios de la Producción de hortalizas a nivel familiar</t>
  </si>
  <si>
    <t>Beneficios de la produccion de hortalizas a nivel familiar</t>
  </si>
  <si>
    <t>Número de productores de hortalizas y/o familias</t>
  </si>
  <si>
    <t>Ahorro en la compra de hortalizas por mes</t>
  </si>
  <si>
    <t>Meses</t>
  </si>
  <si>
    <t>BENEFICIOS A PRECIOS SOCIALES:</t>
  </si>
  <si>
    <r>
      <t xml:space="preserve">FLUJO DE BENEFICIOS </t>
    </r>
    <r>
      <rPr>
        <b/>
        <sz val="20"/>
        <rFont val="Arial Narrow"/>
        <family val="2"/>
      </rPr>
      <t>CON</t>
    </r>
    <r>
      <rPr>
        <b/>
        <sz val="10"/>
        <rFont val="Arial Narrow"/>
        <family val="2"/>
      </rPr>
      <t xml:space="preserve"> PROYECTO A PRECIOS SOCIALES</t>
    </r>
  </si>
  <si>
    <r>
      <t xml:space="preserve">FLUJO DE BENEFICIOS </t>
    </r>
    <r>
      <rPr>
        <b/>
        <sz val="18"/>
        <rFont val="Arial Narrow"/>
        <family val="2"/>
      </rPr>
      <t>SIN</t>
    </r>
    <r>
      <rPr>
        <b/>
        <sz val="10"/>
        <rFont val="Arial Narrow"/>
        <family val="2"/>
      </rPr>
      <t xml:space="preserve"> PROYECTO A PRECIOS SOCIALES</t>
    </r>
  </si>
  <si>
    <t>BENEFICIOS CON PROYECTO A PRECIOS DE MERCADO</t>
  </si>
  <si>
    <t>FLUJO DE BENEFICIOS INCREMENTALES:</t>
  </si>
  <si>
    <t>BENEFICIOS CON PROYECTO</t>
  </si>
  <si>
    <t>BENEFICIOS SIN PROYECTO</t>
  </si>
  <si>
    <t>BENEFICIOS INCREMENTALES A PRECIOS DE MERCADO</t>
  </si>
  <si>
    <t>BENEFICIOS INCREMENTALES A PRECIOS SOCIALES</t>
  </si>
  <si>
    <r>
      <t xml:space="preserve">FLUJO DE BENEFICIOS </t>
    </r>
    <r>
      <rPr>
        <b/>
        <sz val="20"/>
        <color theme="1"/>
        <rFont val="Arial Narrow"/>
        <family val="2"/>
      </rPr>
      <t xml:space="preserve">INCREMENTALES </t>
    </r>
    <r>
      <rPr>
        <b/>
        <sz val="10"/>
        <color theme="1"/>
        <rFont val="Arial Narrow"/>
        <family val="2"/>
      </rPr>
      <t>A PRECIOS DE MERCADO</t>
    </r>
  </si>
  <si>
    <r>
      <t xml:space="preserve">FLUJO DE BENEFICIOS </t>
    </r>
    <r>
      <rPr>
        <b/>
        <sz val="20"/>
        <rFont val="Arial Narrow"/>
        <family val="2"/>
      </rPr>
      <t xml:space="preserve"> INCREMENTALES</t>
    </r>
    <r>
      <rPr>
        <b/>
        <sz val="10"/>
        <rFont val="Arial Narrow"/>
        <family val="2"/>
      </rPr>
      <t xml:space="preserve"> A PRECIOS SOCIALES</t>
    </r>
  </si>
  <si>
    <t>FLUJO</t>
  </si>
  <si>
    <t>A Ñ O S</t>
  </si>
  <si>
    <t>INVERSION</t>
  </si>
  <si>
    <t>COSTOS INCREMENTALES</t>
  </si>
  <si>
    <t>VALOR RESIDUAL</t>
  </si>
  <si>
    <t>FLUJO NETO</t>
  </si>
  <si>
    <t>VAN</t>
  </si>
  <si>
    <t>TIR</t>
  </si>
  <si>
    <t>BENEFICIOS INCREMENTALES</t>
  </si>
  <si>
    <t>PRESUPUESTO DE OBRA - COSTO DIRECTO</t>
  </si>
  <si>
    <t>TSD</t>
  </si>
  <si>
    <t>FLUJO DE EVALUACIÓN A PRECIOS DE MERCADO - COSTO BENEFICIO</t>
  </si>
  <si>
    <t>FLUJO DE EVALUACIÓN A PRECIOS SOCIALES - COSTO BENEFICIO</t>
  </si>
  <si>
    <t>INDICADORES</t>
  </si>
  <si>
    <t>A PRECIOS (S/.)</t>
  </si>
  <si>
    <t>PRIVADOS</t>
  </si>
  <si>
    <t>SOCIALES</t>
  </si>
  <si>
    <t>ALTERNATIVA ÚNICA</t>
  </si>
  <si>
    <t>RESUMEN DE INDICADORES DE RENTABILIDAD:</t>
  </si>
  <si>
    <r>
      <t xml:space="preserve">AHORRO DE LA </t>
    </r>
    <r>
      <rPr>
        <b/>
        <sz val="14"/>
        <color theme="1"/>
        <rFont val="Arial Narrow"/>
        <family val="2"/>
      </rPr>
      <t>NO</t>
    </r>
    <r>
      <rPr>
        <sz val="10"/>
        <color theme="1"/>
        <rFont val="Arial Narrow"/>
        <family val="2"/>
      </rPr>
      <t xml:space="preserve"> COMPRA DE HORTALIZAS POR MES (s/.) =</t>
    </r>
  </si>
  <si>
    <t>BENEFICIOS EN LA REDUCCIÓN DE LA MORBILIDAD EN NIÑOR MENORES DE 05 AÑOS</t>
  </si>
  <si>
    <t>AHORRO EN LA REDUCCIÓN DE LA MORBILIDAD EN NIÑOS MENORES DE 05 AÑOS  (s/) =</t>
  </si>
  <si>
    <t>Fuente: HIS - INDICADORES DE MORBILIDAD DEL MINSA - 2018</t>
  </si>
  <si>
    <t>BENEFICIOS EN LA REDUCCIÓN DE LA MORBILIDAD EN NIÑOs MENORES DE 05 AÑOS</t>
  </si>
  <si>
    <t>Beneficios en la reducción de la Morbilidad en niños menores de 05 años</t>
  </si>
  <si>
    <t>Número de niños menores de 05 años</t>
  </si>
  <si>
    <t>Ahorro al mes</t>
  </si>
  <si>
    <t xml:space="preserve">ANALISIS DE SENSIBILIDAD A PRECIOS DE MERCADO </t>
  </si>
  <si>
    <t>AÑOS</t>
  </si>
  <si>
    <t>VARIACION DE LA INVERSION</t>
  </si>
  <si>
    <t>VAR MAX.</t>
  </si>
  <si>
    <t>VARIACION DE LOS BENEFICIOS</t>
  </si>
  <si>
    <t>VAR. 10%</t>
  </si>
  <si>
    <t>VAR. 20%</t>
  </si>
  <si>
    <t xml:space="preserve">VAR. 30% </t>
  </si>
  <si>
    <t>VAR. -10%</t>
  </si>
  <si>
    <t>VAR. -20%</t>
  </si>
  <si>
    <t xml:space="preserve">VAR. -30% </t>
  </si>
  <si>
    <t>PERIODO "0"</t>
  </si>
  <si>
    <t xml:space="preserve">PERIODO "0" - 3 AÑOS DE EJECUCIÓN </t>
  </si>
  <si>
    <t>MONTO DE INVERSIÓN (+)</t>
  </si>
  <si>
    <t>MONTO DE INVERSION (-)</t>
  </si>
  <si>
    <t>BENEFICIOS (+)</t>
  </si>
  <si>
    <t>ANÁLISIS DE SENSIBILIDAD</t>
  </si>
  <si>
    <t>ANÁLISIS DE SENSIBILIDAD - PRECIOS PRIVADOS</t>
  </si>
  <si>
    <t>BEMEFICIOS (-)</t>
  </si>
  <si>
    <t>DATOS:</t>
  </si>
  <si>
    <t>Inversión Total s/.</t>
  </si>
  <si>
    <t>Activo fijo</t>
  </si>
  <si>
    <t>Capital de trabajo</t>
  </si>
  <si>
    <t>% de inversión a ser financiada</t>
  </si>
  <si>
    <t>Tasa de Impuesto a la Renta</t>
  </si>
  <si>
    <t>Costo Accionista (Koa)</t>
  </si>
  <si>
    <t>Vida útil</t>
  </si>
  <si>
    <t>Vta. Activo fijo (al final)  s/.</t>
  </si>
  <si>
    <t>Utilidad Operativa (sin depreciación) s/.</t>
  </si>
  <si>
    <t>Horizonte del proyecto (años)</t>
  </si>
  <si>
    <t>Años operativos</t>
  </si>
  <si>
    <t>años</t>
  </si>
  <si>
    <t>SOLUCIÓN</t>
  </si>
  <si>
    <t>SIMULACIÓN</t>
  </si>
  <si>
    <t>: Variables críticas</t>
  </si>
  <si>
    <t>I.- ANÁLISIS DE PUNTOS CRÍTICOS</t>
  </si>
  <si>
    <t>A) ¿ En que monto de inversión se alcanza un VAN igual a cero?</t>
  </si>
  <si>
    <t>Respuesta        =</t>
  </si>
  <si>
    <t>B) ¿ Cuál debería ser la Utilidad Operativa (sin depreciación) para optener un VAN igual a cero?</t>
  </si>
  <si>
    <t>endeudamiento</t>
  </si>
  <si>
    <t>TEA === TSD</t>
  </si>
  <si>
    <t>para VANF finan</t>
  </si>
  <si>
    <t>Depreciación                                         Lineal</t>
  </si>
  <si>
    <t>C) ¿ Cuál debería ser el % de inversión a ser financiada para optener un VAN  IGUAL s/. 142,000</t>
  </si>
  <si>
    <t xml:space="preserve">A) ¿Como varía el  VAN al modificarse los valores de la utilidad operativa (sin depreciación)? </t>
  </si>
  <si>
    <t>UTILIDAD OPERATIVA</t>
  </si>
  <si>
    <t xml:space="preserve">B) ¿Como varía el  VAN y la TIR al modificarse los valores del % a ser financiada? </t>
  </si>
  <si>
    <t>% DE INVERSIÓN A FINANCIARSE</t>
  </si>
  <si>
    <t>II.- ANÁLISIS DE SENSIBILIDAD - UNIDIMENCIONAL</t>
  </si>
  <si>
    <t>¿Cómo varía el VAN al modificarse la Utilidad Operativa (sin depreciación) y el % de inversión financiada?</t>
  </si>
  <si>
    <t>% de Inversión a financiarse</t>
  </si>
  <si>
    <t>III.- ANÁLISIS DE SENSIBILIDAD - BIDIMENCIONAL</t>
  </si>
  <si>
    <t>III.- ANÁLISIS DE ESCENARIOS</t>
  </si>
  <si>
    <t>Variables</t>
  </si>
  <si>
    <t>Moderado</t>
  </si>
  <si>
    <t>Optimista</t>
  </si>
  <si>
    <t>Pesimista</t>
  </si>
  <si>
    <t>ESCENARIO</t>
  </si>
  <si>
    <t>Monto de la inversión</t>
  </si>
  <si>
    <t xml:space="preserve">% de activos fijos </t>
  </si>
  <si>
    <t>% de Inv. a financiarse</t>
  </si>
  <si>
    <t>TEA</t>
  </si>
  <si>
    <t>Ut. Operativa (sin depre.)</t>
  </si>
  <si>
    <t>Construcción  de un sistema de  riego  por  goteo</t>
  </si>
  <si>
    <t xml:space="preserve">Construcción  de un modulo de produccion de abonos organicos </t>
  </si>
  <si>
    <t xml:space="preserve">construccion  de camas almacigeras  para la produccion  de almacigos  de hortalizas </t>
  </si>
  <si>
    <t>Instalación  de almácigos de hortalizas  para el fitotoldo  o invernadero</t>
  </si>
  <si>
    <t xml:space="preserve">Instalación de plantones  de hortalizas   en campo definitivo bajo fototoldo </t>
  </si>
  <si>
    <t xml:space="preserve">Construcción de módulos de  invernaderos o fitotoldo para producción de hortalizas  </t>
  </si>
  <si>
    <t>1.7.3</t>
  </si>
  <si>
    <t>1.7.6</t>
  </si>
  <si>
    <t>2.3.4</t>
  </si>
  <si>
    <t>2.3.6</t>
  </si>
  <si>
    <t>implementacion de  herramientas  e insumos del modulo del invernadero  o fitotoldo para la producion de hortalizas.</t>
  </si>
  <si>
    <t>kit</t>
  </si>
  <si>
    <t>Kit</t>
  </si>
  <si>
    <t>Implementación  de equipos  de modulos de sistemas  de riegopor goteo.</t>
  </si>
  <si>
    <t xml:space="preserve">Implementación  de  kit de herramientas  e insumos  de modulos  de produccion de abonos organicos. </t>
  </si>
  <si>
    <t>implementacion de kit de semillas  de hortalizas (8 variedades).</t>
  </si>
  <si>
    <t xml:space="preserve">Implementación  de  kit de heramientas  de modulos  de produccion de almacigos  de hortalizas. </t>
  </si>
  <si>
    <t xml:space="preserve">implementacion de kit de heramientas e insumos del modulo  de producion de hortalizas en fitotoldo. </t>
  </si>
  <si>
    <t>4.3.3.</t>
  </si>
  <si>
    <t>4.3.4.</t>
  </si>
  <si>
    <t>4.3.5.</t>
  </si>
  <si>
    <t>Capacitacion  sobre  operación y matenimiento de fitotoldos.</t>
  </si>
  <si>
    <t xml:space="preserve">Capacitacion   sobre  la produccion de abonos organicos. </t>
  </si>
  <si>
    <t>Capacitacion  sobre manejo y  producion  de hortalizas bajo fitotoldo.</t>
  </si>
  <si>
    <t xml:space="preserve">Capacitacion   sobre la produccion de almacigos  de hortalizas. </t>
  </si>
  <si>
    <t>Capacitacion  sobre   sistemas de riego  (goteo).</t>
  </si>
  <si>
    <t>Implementación  de equipos  de modulos de sistemas  de riego por goteo.</t>
  </si>
  <si>
    <t>Viático del profesional de la salud (Ing. Agrónomo y/o afines)</t>
  </si>
  <si>
    <t>Pofesional Especialista (Ing. Agrícola)</t>
  </si>
  <si>
    <t>Asistente (Ing. Agrónomo)</t>
  </si>
  <si>
    <t>Pofesional Especialista (Ing. Agronómo y/o a fin)</t>
  </si>
  <si>
    <t>Pofesional Especialista (Ing. Agrónomo y/o afines)</t>
  </si>
  <si>
    <t>4.3.1.1.</t>
  </si>
  <si>
    <t>4.3.2.1</t>
  </si>
  <si>
    <t>4.3.2.1.</t>
  </si>
  <si>
    <t>4.3.3.1.</t>
  </si>
  <si>
    <t>4.3.3.2.</t>
  </si>
  <si>
    <t>4.3.4.1.</t>
  </si>
  <si>
    <t>4.3.4.2.</t>
  </si>
  <si>
    <t>4.3.5.1.</t>
  </si>
  <si>
    <t>4.3.5.2.</t>
  </si>
  <si>
    <t>Pofesional Especialista</t>
  </si>
  <si>
    <t xml:space="preserve">Elaboración de un Plan de Análisis de Riesgos y Control de Puntos Críticos (HACCP) - (Ing. Agroindustrial y/o Ing. En Industrias Alimentarias, con grado de Maestría y/o Doctorado). </t>
  </si>
  <si>
    <t xml:space="preserve">Elaboración de un Manual de Procedimientos Operativos Estandarizados de Saneamiento (POES)  - (Ing. Agroindustrial y/o Ing. En Industrias Alimentarias, con grado de Maestría y/o Doctorado). </t>
  </si>
  <si>
    <t xml:space="preserve">Elaboración de un manual de manejo adecuado de almacenamiento (PEPS) para la planta modelo de procesamiento de Espirulina   en polvo  - (Ing. Agroindustrial y/o , Ing. En Industrias Alimentarias y/o Ing. Industrial, con grado de Maestría y/o Doctorado). </t>
  </si>
  <si>
    <t>EQUIPOS Y HERRAMIENTAS</t>
  </si>
  <si>
    <t>INSUMOS</t>
  </si>
  <si>
    <t xml:space="preserve">Modulo demostrativo de sistema de  riego  por  goteo para la producion de hortalizas </t>
  </si>
  <si>
    <t xml:space="preserve">Modulo demostrativo de produccion de abonos organicos  para la producion de  hortalizas </t>
  </si>
  <si>
    <t>Modulo demostrativo  de producion de almácigos de hortalizas  para el fitotoldo  o invernadero</t>
  </si>
  <si>
    <t xml:space="preserve">Modulo demostrativo  de producion  de hortalizas en campo definitivo bajo invernadero o fitotoldo </t>
  </si>
  <si>
    <t>MOVIMIENTO DE TIERRA</t>
  </si>
  <si>
    <t xml:space="preserve">Escavacion  manual </t>
  </si>
  <si>
    <t>OBRAS DE CONCRETO SIMPLE</t>
  </si>
  <si>
    <t>Encofrado y desencofrado normal</t>
  </si>
  <si>
    <t>Concreto fc=140kg/cm2</t>
  </si>
  <si>
    <t>SUMINISTRO E INSTALACION DE ACCESORIOS</t>
  </si>
  <si>
    <t>Suministro e instalacion  de accesorios de riego</t>
  </si>
  <si>
    <t xml:space="preserve">CARPINTERIA  METALICA </t>
  </si>
  <si>
    <t>E=1/8" de  0.30 x 0.30m</t>
  </si>
  <si>
    <t xml:space="preserve">DESCRIPCION </t>
  </si>
  <si>
    <t>Costo Unitario (s/.)</t>
  </si>
  <si>
    <t>Sub Total (s/.)</t>
  </si>
  <si>
    <t>Total  de Jornales</t>
  </si>
  <si>
    <t xml:space="preserve">Preparacion de terreno </t>
  </si>
  <si>
    <t>Jornal</t>
  </si>
  <si>
    <t>Apertura de zanjas o pozos para compost (3x2X1.50mt)</t>
  </si>
  <si>
    <t xml:space="preserve">Formacion de camas o pilas con residuos organicos </t>
  </si>
  <si>
    <t>Inoculacion  de los residuos organicos (microorganismos  eficaces)</t>
  </si>
  <si>
    <t xml:space="preserve">Volteo, control de humedad y temperatura </t>
  </si>
  <si>
    <t xml:space="preserve">Cosecha del EM- compost </t>
  </si>
  <si>
    <t xml:space="preserve">Modulo demistrativo de camas almacigeras  para la produccion  de almacigos  de hortalizas </t>
  </si>
  <si>
    <t xml:space="preserve">Apertura de hoyos para postes </t>
  </si>
  <si>
    <t>Instalcion de postes de metal  para tiglado (tubos de 2")</t>
  </si>
  <si>
    <t>Instalcion de cobertura dePlastico agricola agrofilm (un 1/4 de rollo)</t>
  </si>
  <si>
    <t>Rollo</t>
  </si>
  <si>
    <t>Tubo galvanizado de 2"  y 3m de largo</t>
  </si>
  <si>
    <t>Alambre  galvanizado Nº16</t>
  </si>
  <si>
    <t>Kg</t>
  </si>
  <si>
    <t xml:space="preserve">Construcion de camas de  almacigueras </t>
  </si>
  <si>
    <t xml:space="preserve">Preparacion de sustrato  para almacigos </t>
  </si>
  <si>
    <t>Desinfeccion de sustrato</t>
  </si>
  <si>
    <t>Trazo y replanteo de camas de almacigos</t>
  </si>
  <si>
    <t>Preparacion de camas almacigueras</t>
  </si>
  <si>
    <t>Surcado</t>
  </si>
  <si>
    <t>Siembra de almacigos (almacigado)</t>
  </si>
  <si>
    <t>labobres culturales  en almacigos</t>
  </si>
  <si>
    <t xml:space="preserve">Riego de almacigos </t>
  </si>
  <si>
    <t xml:space="preserve">Riego y trasplante de plantulas  en campo definitivo </t>
  </si>
  <si>
    <t xml:space="preserve">Labores culturales </t>
  </si>
  <si>
    <t>Cosecha de hortalizas</t>
  </si>
  <si>
    <t>DESAGREGADO DE COSTOS</t>
  </si>
  <si>
    <t>Wincha  de 30 mts</t>
  </si>
  <si>
    <t xml:space="preserve">Termometro </t>
  </si>
  <si>
    <t>Tutores(rollo de 100mts)</t>
  </si>
  <si>
    <t>Zapa pico</t>
  </si>
  <si>
    <t>Rastrillo</t>
  </si>
  <si>
    <t xml:space="preserve">Pala recta </t>
  </si>
  <si>
    <t xml:space="preserve">Lampa tipo cuchara </t>
  </si>
  <si>
    <t>cable agrolay de plastico de (500ml)</t>
  </si>
  <si>
    <t>un peniluvio 0.50x0.50</t>
  </si>
  <si>
    <t>Implementación  de equipos  de modulos de sistemas  de riego por goteo</t>
  </si>
  <si>
    <t>Canastilla  pvc 4x2</t>
  </si>
  <si>
    <t>Adaptador pvc de 2</t>
  </si>
  <si>
    <t>Adaptador  compuerta de 63mm</t>
  </si>
  <si>
    <t>Maguera 63mmx 100mts</t>
  </si>
  <si>
    <t>Mts</t>
  </si>
  <si>
    <t xml:space="preserve">Valvula conpuerta  63mm </t>
  </si>
  <si>
    <t>Adaptador de conpuerta  de 63mm</t>
  </si>
  <si>
    <t xml:space="preserve">Filtro  grande helex </t>
  </si>
  <si>
    <t>Tanque rotoplast  de 1100 lt</t>
  </si>
  <si>
    <t>Manguera 32mm x100 mt</t>
  </si>
  <si>
    <t>Cinta de goteo  de 16 aquatrax 3962mt</t>
  </si>
  <si>
    <t>Minivalvula  de 16mm cinta</t>
  </si>
  <si>
    <t>Tapon cinta  16mm</t>
  </si>
  <si>
    <t xml:space="preserve">Implementación  de  kit de herramientas  e insumos  de modulos  de produccion de abonos organicos </t>
  </si>
  <si>
    <t>Materiales</t>
  </si>
  <si>
    <t xml:space="preserve">Rastrojos </t>
  </si>
  <si>
    <t>Ton</t>
  </si>
  <si>
    <t>Estiércol de ganado</t>
  </si>
  <si>
    <t>Cal</t>
  </si>
  <si>
    <t>Sacos</t>
  </si>
  <si>
    <t>Plástico negro</t>
  </si>
  <si>
    <t>Microorganismos Efectivos</t>
  </si>
  <si>
    <t>Sobre</t>
  </si>
  <si>
    <t>Equipos y herramientas</t>
  </si>
  <si>
    <t>Carretilla</t>
  </si>
  <si>
    <t>Pala</t>
  </si>
  <si>
    <t>Malla metalica /Tamiz 1.50 X1mts</t>
  </si>
  <si>
    <t xml:space="preserve">Cinta  metrica </t>
  </si>
  <si>
    <t>Flete</t>
  </si>
  <si>
    <t>Viaje</t>
  </si>
  <si>
    <t>Beterraga (lata x 500 gr)</t>
  </si>
  <si>
    <t xml:space="preserve">Unidad </t>
  </si>
  <si>
    <t>Espinaca (lata x 100 gr)</t>
  </si>
  <si>
    <t>Brócoli (lata x 500 gr)</t>
  </si>
  <si>
    <t>Zanahoria (lata x 500 gr)</t>
  </si>
  <si>
    <t>Repollo (lata x 500 gr)</t>
  </si>
  <si>
    <t>Cebolla (lata x 500 gr)</t>
  </si>
  <si>
    <t>lechuga (lata x 500 gr)</t>
  </si>
  <si>
    <t xml:space="preserve">Implementación  de  kit de heramientas  e insumos de modulos  de produccion de almacigos  de hortalizas </t>
  </si>
  <si>
    <t>Manguera de riego (100.mts)</t>
  </si>
  <si>
    <t>Conector para caño</t>
  </si>
  <si>
    <t xml:space="preserve">Caño </t>
  </si>
  <si>
    <t>Regadora</t>
  </si>
  <si>
    <t>Mochila puverizador</t>
  </si>
  <si>
    <t>cilindro de 100 lts para biol o biosidas</t>
  </si>
  <si>
    <t>Pala recta</t>
  </si>
  <si>
    <t>Tigera  pequeña de podar</t>
  </si>
  <si>
    <t xml:space="preserve">Jabas de plastico para cosechar hortalizas </t>
  </si>
  <si>
    <t>Repicador</t>
  </si>
  <si>
    <t xml:space="preserve">Botas </t>
  </si>
  <si>
    <t>Oberoles o mameluco</t>
  </si>
  <si>
    <t xml:space="preserve"> Implementacion de  herramientas  e insumos del modulo del invernadero  o fitotoldo para la producion de hortalizas.</t>
  </si>
  <si>
    <t>2.4.</t>
  </si>
  <si>
    <t>2.5.</t>
  </si>
  <si>
    <t>Cantidad*</t>
  </si>
  <si>
    <t>NOTA:  *   SON 11 FITOTOLDO/VIVEROS</t>
  </si>
  <si>
    <t>Proyecto: "MEJORAMIENTO DE LOS PROCESOS DE INDUSTRIALIZACION Y ADIESTRAMIENTO EN PRODUCCION DE LA ESPIRULINA EN 7 PROVINCIAS DEL DEPARTAMENTO DE APURIMAC"</t>
  </si>
  <si>
    <t>COSTO HORA HOMBRE</t>
  </si>
  <si>
    <t xml:space="preserve">PARTICIPACION </t>
  </si>
  <si>
    <t xml:space="preserve">INCIDENCIA </t>
  </si>
  <si>
    <t>Estudio Técnico</t>
  </si>
  <si>
    <t>Unitario</t>
  </si>
  <si>
    <t xml:space="preserve"> Parcial</t>
  </si>
  <si>
    <t xml:space="preserve">Total </t>
  </si>
  <si>
    <t>Unid</t>
  </si>
  <si>
    <t>CDHM : 25% del CD</t>
  </si>
  <si>
    <t xml:space="preserve">DESCRIPCION DE MANO DE OBRA </t>
  </si>
  <si>
    <t>Operario</t>
  </si>
  <si>
    <t>hm</t>
  </si>
  <si>
    <t>Oficial</t>
  </si>
  <si>
    <t xml:space="preserve">Peon </t>
  </si>
  <si>
    <t>*** fuente: RESOLUCION EJECUTIVA REGIONAL N° 608-2019-GR.APURIMAC/GR</t>
  </si>
  <si>
    <t>ITEMS DE PRODUCCIÓN DE ALIMENTOS</t>
  </si>
  <si>
    <t>COSTO TOTAL DE LA PLANTA PROCESADORA =</t>
  </si>
  <si>
    <t>VIVEROS   = 1</t>
  </si>
  <si>
    <t>TOTAL DE DIVEROS                                =</t>
  </si>
  <si>
    <t>COSTO TOTAL DE VIVEROS               =</t>
  </si>
  <si>
    <t>COSTOS</t>
  </si>
  <si>
    <t>MANO DE OBRA CALIFICADA NO CALIFICADA</t>
  </si>
  <si>
    <t>COMPONENTE N° 01: ADECUADAS PRÁCTICAS DE PRODUCCIÓN DE ALIMENTOS  DE ALTO VALOR NUTRITIVO</t>
  </si>
  <si>
    <t>Instalación de un sistema controlado de producción de microalgas Espirulina.</t>
  </si>
  <si>
    <t>1.1.1</t>
  </si>
  <si>
    <t>Construcción de un sistema de purificación y almacenamiento de agua.</t>
  </si>
  <si>
    <t>1.1.2</t>
  </si>
  <si>
    <t>Construcción de un laboratorio de propagación de microalgas Espirulina.</t>
  </si>
  <si>
    <t>1.1.3</t>
  </si>
  <si>
    <t>Instalación  de una planta modelo de procesamiento de microalgas Espirulina.</t>
  </si>
  <si>
    <t>1.2.1</t>
  </si>
  <si>
    <t>Construcción del área de procesamiento de  microalgas Espirulina en polvo.</t>
  </si>
  <si>
    <t>Construcción del área de higienización de la planta modelo de procesamiento.</t>
  </si>
  <si>
    <t>Instalación de módulos de producción  de alimentos  nutritivos.</t>
  </si>
  <si>
    <t>1.3.1</t>
  </si>
  <si>
    <t>Implementación de equipamiento del sistema de purificación y almacenamiento de agua.</t>
  </si>
  <si>
    <t>Implementación de equipamiento  del laboratorio de propagación de microalgas Espirulina.</t>
  </si>
  <si>
    <t xml:space="preserve">Implementación de equipamiento del  invernadero de la producción del microalga Espirulina. </t>
  </si>
  <si>
    <t>Equipamiento de la planta modelo de procesamiento de  microalga Espirulina.</t>
  </si>
  <si>
    <t>Implementación de equipamiento  del área de procesamiento de microalgas Espirulina en polvo.</t>
  </si>
  <si>
    <t>Implementación de equipamiento  del  área de higienización de la planta modelo de procesamiento.</t>
  </si>
  <si>
    <t>Implementación de equipamiento  del área de servicios de la planta modelo de procesamiento</t>
  </si>
  <si>
    <t>Implementación de herramientas e insumos de los módulos de producción de alimentos nutritivos.</t>
  </si>
  <si>
    <t>Implementación de programas de control y seguimiento del estado nutricional de las familias.</t>
  </si>
  <si>
    <t>Capacitación en educación saludable a la población.</t>
  </si>
  <si>
    <t>Capacitación a madres en salud y seguridad alimentaria</t>
  </si>
  <si>
    <t>Consejería y asesoría en alimentación saludable</t>
  </si>
  <si>
    <t>Capacitación sobre valor nutritivo de alimentos</t>
  </si>
  <si>
    <t>Capacitación de sensibilización en maternidad gestantes saludable</t>
  </si>
  <si>
    <t>Implementación de programas y entrega de suplementos alimenticios a los niños y madres gestantes</t>
  </si>
  <si>
    <t>Campañas de sensibilización y promoción sobre el consumo de las microalgas Espirulina en la dieta alimenticia.</t>
  </si>
  <si>
    <t>Capacitación para la operación y mantenimiento del  sistema controlado de producción  de  microalga Espirulina.</t>
  </si>
  <si>
    <t>Capacitación en propagación, conservación, manejo, producción y transformación de sepas de Espirulina.</t>
  </si>
  <si>
    <t>Capacitación para la operación y mantenimiento de la planta modelo de procesamiento de microalga Espirulina.</t>
  </si>
  <si>
    <t>Elaboración de instrumentos de gestión.</t>
  </si>
  <si>
    <t xml:space="preserve">Articulación multisectorial para garantizar la seguridad alimentaria </t>
  </si>
  <si>
    <t>Programa de articulación multisectorial para la lucha contra la desnutrición y la anemia.</t>
  </si>
  <si>
    <t xml:space="preserve">Construcción de un módulo tipo invernadero para la producción del microalgas Espirulina. </t>
  </si>
  <si>
    <t>Construcción del área de servicios de la planta modelo de procesamiento.</t>
  </si>
  <si>
    <t>2.3.2</t>
  </si>
  <si>
    <t>2.3.3</t>
  </si>
  <si>
    <t>Implementacion de kit de semillas  de hortalizas (8 variedades)</t>
  </si>
  <si>
    <t>2.3.5</t>
  </si>
  <si>
    <t xml:space="preserve">Implementacion de kit de heramientas e insumos del modulo  de producion de hortalizas en fitotoldo </t>
  </si>
  <si>
    <t>COMPONENTE 3.- MAYOR ACCESO A ESPACIOS VIVENCIALES SALUDABLES DE LAS FAMILIAS</t>
  </si>
  <si>
    <t>Campaña de sensibilización en cuidado y atención del niño en los establecimientos de salud - 09 distritos</t>
  </si>
  <si>
    <t>Capacitación sobre operación y mantenimiento de fitotoldos</t>
  </si>
  <si>
    <t>Capacitación sobre sistemas de riego (goteo)</t>
  </si>
  <si>
    <t>Capacitación sobre producción de abonos orgánicos</t>
  </si>
  <si>
    <t>Capacitación sobre producción de almácigos de hortalizas</t>
  </si>
  <si>
    <t>Capacitación sobre manejo y producción de hortalizas bajo fitotoldo</t>
  </si>
  <si>
    <t>COMPONENTE 5: ADECUADA ARTICULACIÓN INSTITUCIONAL PARA GARANTIZAR LA SEGURIDAD ALIMENTARIA DE LA POBLACIÓN</t>
  </si>
  <si>
    <t>5.1.1.</t>
  </si>
  <si>
    <t>5.1.2.</t>
  </si>
  <si>
    <t>5.1.3.</t>
  </si>
  <si>
    <t>5.2.1.</t>
  </si>
  <si>
    <t>Módulo de invernaderos o fitotoldo  para producción de hortalizas</t>
  </si>
  <si>
    <t>Módulo demostrativo de sistema de riego por goteo para la producción de hortalizas</t>
  </si>
  <si>
    <t>Módulo demostrativo de producción de abonos orgánicos para la producción de hortalizas</t>
  </si>
  <si>
    <t xml:space="preserve">Módulo demostrativo de camas almacigueras para la producción de almácigos de hortalizas </t>
  </si>
  <si>
    <t>Módulo demostrativo de producción de almácigos de hortalizas  para el fitotoldo  o invernadero</t>
  </si>
  <si>
    <t>Módulo demostrativo de producción de hortalizas en campo definitivo bajo invernadero o fitotoldo</t>
  </si>
  <si>
    <t>Capacitación en buenas prácticas de manufactura para la obtención y comercialización de Espirulina en polvo.</t>
  </si>
  <si>
    <t>1.3.3</t>
  </si>
  <si>
    <t>1.3.4</t>
  </si>
  <si>
    <t>1.3.5</t>
  </si>
  <si>
    <t>1.3.6</t>
  </si>
  <si>
    <t>DEMANDA DE SUFICIENTE Y ADECUADA INFRAESTRUCTURA PARA LA PRESTACIÓN DEL SERVICIO EN LA DIRECCIÓN DE INDUSTRIA</t>
  </si>
  <si>
    <t>DEMANDA DE ADECUADO EQUIPAMIENTO DE LA DIRECCIÓN DE INDUSTRIA</t>
  </si>
  <si>
    <r>
      <t>D</t>
    </r>
    <r>
      <rPr>
        <sz val="10"/>
        <rFont val="Arial Narrow"/>
        <family val="2"/>
      </rPr>
      <t xml:space="preserve">EMANDA DE SUFICIENTES CONOCIMIENTOS DEL RECURSO HUMANO EN LA DIRECCIÓN DE INDUSTRIA </t>
    </r>
  </si>
  <si>
    <t>DEMANDA DE  MAYOR ACTIVIDAD DE SENSIBILIZACIÓN DE LA POBLACIÓN BENEFICIARIA</t>
  </si>
  <si>
    <t>1. DEMANDA DE SUFICIENTE Y ADECUADA INFRAESTRUCTURA PARA LA PRESTACIÓN DEL SERVICIO EN LA DIRECCIÓN DE INDUSTRIA</t>
  </si>
  <si>
    <t>2. DEMANDA DE ADECUADO EQUIPAMIENTO DE LA DIRECCIÓN DE INDUSTRIA</t>
  </si>
  <si>
    <t xml:space="preserve">3. DEMANDA DE SUFICIENTES CONOCIMIENTOS DEL RECURSO HUMANO EN LA DIRECCIÓN DE INDUSTRIA </t>
  </si>
  <si>
    <t>4. DEMANDA DE  MAYOR ACTIVIDAD DE SENSIBILIZACIÓN DE LA POBLACIÓN BENEFICIARIA</t>
  </si>
  <si>
    <t>EQUIPAMIENTO DE LA DIRECCIÓN DE INDUSTRIA</t>
  </si>
  <si>
    <t>Equipo de Cómputo</t>
  </si>
  <si>
    <t>Laptops</t>
  </si>
  <si>
    <t>Impresora multifuncional</t>
  </si>
  <si>
    <t xml:space="preserve">Escritorio </t>
  </si>
  <si>
    <t>Silla de oficina giratoria</t>
  </si>
  <si>
    <t>Silla fija</t>
  </si>
  <si>
    <t xml:space="preserve">Mesa de reuniones de12 sillas </t>
  </si>
  <si>
    <t xml:space="preserve">Estante </t>
  </si>
  <si>
    <t>Cámara digital</t>
  </si>
  <si>
    <t xml:space="preserve">Moto lineal </t>
  </si>
  <si>
    <t xml:space="preserve">Global </t>
  </si>
  <si>
    <t>CONSTRUCCION DE UN SISTEMA CERRADO TIPO IMBERNADERO PARA LA PRODUCCION DE LA MICROALGA ESPIRULINA</t>
  </si>
  <si>
    <t>IMPLEMENTACIÓN DE EQUIPAMIENTO DEL  INVERNADERO DE LA PRODUCCIÓN DE LA MICROALGA ESPIRULINA.</t>
  </si>
  <si>
    <t>IMPLEMENTACIÓN DE EQUIPAMIENTO  DEL LABORATORIO DE PROPAGACIÓN DE LA MICROALGA ESPIRULINA.</t>
  </si>
  <si>
    <t>CAPACITACIÓN EN OPERACIÓN Y MANTENIMIENTO DEL SISTEMA CONTROLADO PARA LA PRODUCCIÓN DE LA MICRO ALGA ESPIRULINA</t>
  </si>
  <si>
    <t>Capacitación en operación y mantenimiento del sistema controlado para la producción de la MICRO ALGA ESPIRULINA</t>
  </si>
  <si>
    <t>CAPACITACIÓN EN OPERACIÓN Y MANTENIMIENTO DE LA PLANTA MODELO DE PROCESAMIENTO PARA LA OBTENCIÓN DE LA ESPIRULINA EN POLVO</t>
  </si>
  <si>
    <t>ELABORACIÓN DE INSTRUMENTOS DE DE GESTIÓN</t>
  </si>
  <si>
    <t>3.3.1</t>
  </si>
  <si>
    <t>3.3.2.</t>
  </si>
  <si>
    <t>3.3.3</t>
  </si>
  <si>
    <t>4.1.2</t>
  </si>
  <si>
    <t>4.1.3</t>
  </si>
  <si>
    <t>4.1.4</t>
  </si>
  <si>
    <t>4.1.5</t>
  </si>
  <si>
    <t>1.1.4</t>
  </si>
  <si>
    <t>1.4.1.1</t>
  </si>
  <si>
    <t>1.4.1.2</t>
  </si>
  <si>
    <t>1.4.1.3</t>
  </si>
  <si>
    <t>1.4.1.4</t>
  </si>
  <si>
    <t>1.4.1.5</t>
  </si>
  <si>
    <t>1.5.1</t>
  </si>
  <si>
    <t>1.5.2</t>
  </si>
  <si>
    <t>1.5.3</t>
  </si>
  <si>
    <t>1.6.1</t>
  </si>
  <si>
    <t>1.6.2</t>
  </si>
  <si>
    <t>1.6.4</t>
  </si>
  <si>
    <t>1.6.5</t>
  </si>
  <si>
    <t>1.6.6</t>
  </si>
  <si>
    <t>1.6.7</t>
  </si>
  <si>
    <t>1.7.1</t>
  </si>
  <si>
    <t>1.7.2</t>
  </si>
  <si>
    <t>1.7.4</t>
  </si>
  <si>
    <t>1.7.5</t>
  </si>
  <si>
    <t>Programa de Articulación Multisectorial para la lucha contra la desnutrición y anemia.</t>
  </si>
  <si>
    <t>4.2.2</t>
  </si>
  <si>
    <t>Campañas de sensibilización y promoción sobre el consumo de la Espirulina en polvo en la dieta alimenticia.</t>
  </si>
  <si>
    <t>OFERTA DE  DE SUFICIENTE Y ADECUADA INFRAESTRUCTURA PARA LA PRESTACIÓN DEL SERVICIO EN LA DIRECCIÓN DE INDUSTRIA</t>
  </si>
  <si>
    <t>CONSTRUCCION DE  UN SISTEMA CONTROLADO DE PRODUCCION  DE LA MICROALGA ESPIRULINA:</t>
  </si>
  <si>
    <t>CONSTRUCCION DE UN LABORATORIO DE PROPAGACION DE LA MICROALGA ESPIRULINA</t>
  </si>
  <si>
    <t>CONSTRUCCION DE  UN SISTEMA CONTROLADO DE TRANSFORMACIÓN  DE LA  MICROALGA ESPIRULINA</t>
  </si>
  <si>
    <t>OFERTA DE DE ADECUADO EQUIPAMIENTO DE LA DIRECCIÓN DE INDUSTRIA</t>
  </si>
  <si>
    <t>IMPLEMENTACIÓN DE EQUIPAMIENTO PARA EL SISTEMA CONTROLADO DE PRODUCCION DE LA MICROALGA ESPIRULINA</t>
  </si>
  <si>
    <t>2.4.1</t>
  </si>
  <si>
    <t>2.4.4</t>
  </si>
  <si>
    <t>2.4.6</t>
  </si>
  <si>
    <t xml:space="preserve">OFERTA DE DE SUFICIENTES CONOCIMIENTOS DEL RECURSO HUMANO EN LA DIRECCIÓN DE INDUSTRIA </t>
  </si>
  <si>
    <t>BRECHA DE DE SUFICIENTE Y ADECUADA INFRAESTRUCTURA PARA LA PRESTACIÓN DEL SERVICIO EN LA DIRECCIÓN DE INDUSTRIA</t>
  </si>
  <si>
    <t>BRECHA DE ADECUADO EQUIPAMIENTO DE LA DIRECCIÓN DE INDUSTRIA</t>
  </si>
  <si>
    <t>OFERTA DE MAYOR ACTIVIDAD DE SENSIBILIZACIÓN DE LA POBLACIÓN BENEFICIARIA</t>
  </si>
  <si>
    <t>BRECHA DE DE MAYOR ACTIVIDAD DE SENSIBILIZACIÓN DE LA POBLACIÓN BENEFICIARIA</t>
  </si>
  <si>
    <t>BRECHA DE MAYOR ACTIVIDAD DE SENSIBILIZACIÓN DE LA POBLACIÓN BENEFICIARIA</t>
  </si>
  <si>
    <t>Tipo de población</t>
  </si>
  <si>
    <t>POBLACIÓN DE APURIMAC</t>
  </si>
  <si>
    <t>POBLACIÓN DE LA PROVINCIA DE ABANCAY</t>
  </si>
  <si>
    <t>Población de referencia  (Región Apurímac)</t>
  </si>
  <si>
    <t>Población demandante potencial (Provincia de Abancay)</t>
  </si>
  <si>
    <t>Población demandante efectiva (atenciones/año)</t>
  </si>
  <si>
    <t>% de la población de la provincia de Abancay que recibe atenciones (Fuente: PRODUCE).</t>
  </si>
  <si>
    <r>
      <t xml:space="preserve">El proyecto de inversión se enmarca en LOS SERVICIOS OPERATIVOS Y MISIONALES INSTITUCIONALES CON CAPACIDAD OPERATIVA INADECUADA CON BRECHA IDENTIFICADA Y PRIORIZADA, cuyo INDICADOR DE BRECHA DE ACCESOS A SERVICIOS es </t>
    </r>
    <r>
      <rPr>
        <b/>
        <sz val="10"/>
        <color rgb="FF0000CC"/>
        <rFont val="Arial Narrow"/>
        <family val="2"/>
      </rPr>
      <t>BENEFICIARIOS/AÑO</t>
    </r>
    <r>
      <rPr>
        <sz val="10"/>
        <color rgb="FF0000CC"/>
        <rFont val="Arial Narrow"/>
        <family val="2"/>
      </rPr>
      <t>. En ese sentido la Oferta del servicio es CERO "0" atención a beneficiarios</t>
    </r>
    <r>
      <rPr>
        <b/>
        <i/>
        <sz val="10"/>
        <color rgb="FF0000CC"/>
        <rFont val="Arial Narrow"/>
        <family val="2"/>
      </rPr>
      <t>.</t>
    </r>
  </si>
  <si>
    <t>ANÁLISIS DE LA DEMANDA:</t>
  </si>
  <si>
    <t>Población demandante Objetivo (Beneficiarios del sector manufactura con actividad económica - INDUSTRIA (Beneficiarios/año)) - APURÍMAC.</t>
  </si>
  <si>
    <t>% de Crecimiento del sector Industria - Empresas de actividad económica manufacturera, (Fuente: PRODUCE).</t>
  </si>
  <si>
    <t>La Oferta del servicio es CERO "0" ya que el servicio de atención al beneficiario del sector industria es deficiente y no cumple con los estandares de calidad.</t>
  </si>
  <si>
    <t>ANÁLISIS DE LA DEMANDA DEL SERVICIO</t>
  </si>
  <si>
    <t>ANÁLISIS DE LA OFERTA DEL SERVICIO - BENEFICIARIOS/AÑO</t>
  </si>
  <si>
    <t>BRECHA BENEFICIARIOS/AÑO</t>
  </si>
  <si>
    <t>TAMAÑO</t>
  </si>
  <si>
    <r>
      <t xml:space="preserve">El tamaño es la atención a los Beneficiarios del sector manufactura con actividad económica - INDUSTRIA que se traduce en Beneficiarios/año, que se dará en función a la sumatoria del año "1" al año "10", que da como rsultado atender </t>
    </r>
    <r>
      <rPr>
        <sz val="10"/>
        <color rgb="FFFF0000"/>
        <rFont val="Arial Narrow"/>
        <family val="2"/>
      </rPr>
      <t>23,001 benefiarios</t>
    </r>
  </si>
  <si>
    <t>COMPONENTE 2: ADECUADO EQUIPAMIENTO DE LA DIRECCIÓN DE INDUSTRIA</t>
  </si>
  <si>
    <t>Equipamiento del sistema controlado de producción de la microalga Espirulina.</t>
  </si>
  <si>
    <t>Implementación de módulo para el mejoramiento de la dirección de industria</t>
  </si>
  <si>
    <t>Equipo de Cómputo de escritorio de tecnología multinucle</t>
  </si>
  <si>
    <t>Proyector multimedia de tiro corto</t>
  </si>
  <si>
    <t>RESUMEN DE COSTOS DE IMPLEMENTACIÓN DE LA DIRECCIÓN DE INDUSTRIA</t>
  </si>
  <si>
    <t xml:space="preserve">COMPONENTE 3.- SUFICIENTES CONOCIMIENTOS DEL RECURSO HUMANO EN LA DIRECCIÓN DE INDUSTRIA </t>
  </si>
  <si>
    <t xml:space="preserve">3.1. </t>
  </si>
  <si>
    <t xml:space="preserve"> RESUMEN DE COSTOS DEL COMPONENTE 3.- SUFICIENTES CONOCIMIENTOS DEL RECURSO HUMANO EN LA DIRECCIÓN DE INDUSTRIA </t>
  </si>
  <si>
    <t>COMPONENTE 4.- MAYOR ACTIVIDAD DE SENSIBILIZACIÓN DE LA POBLACIÓN BENEFICIARIA</t>
  </si>
  <si>
    <t>Modulos de capacitación en producción de hortalizas</t>
  </si>
  <si>
    <t>4.1.2.</t>
  </si>
  <si>
    <t>4.1.3.</t>
  </si>
  <si>
    <t>4.1.4.</t>
  </si>
  <si>
    <t>4.1.5.</t>
  </si>
  <si>
    <t>Viático del profesional de la salud (médico, obstetra, etc.)</t>
  </si>
  <si>
    <t>Pofesional Especialista de la salud (médico, obstetra, etc.)</t>
  </si>
  <si>
    <t>Asistente    (enfermero)</t>
  </si>
  <si>
    <t>Programa de articulación multisectorial para la lucha contra la desnutrición y anemia.</t>
  </si>
  <si>
    <t>Tripticos</t>
  </si>
  <si>
    <t>DIFUCIÓN RADIAL Y TELEVISIVA</t>
  </si>
  <si>
    <t>Difusión radial</t>
  </si>
  <si>
    <t>Difusión televisiva</t>
  </si>
  <si>
    <t>meses</t>
  </si>
  <si>
    <t>4.2.2.</t>
  </si>
  <si>
    <t xml:space="preserve"> RESUMEN DE COSTOS DEL COMPONENTE "4".- MAYOR ACTIVIDAD DE SENSIBILIZACIÓN DE LA POBLACIÓN BENEFICIARIA</t>
  </si>
  <si>
    <t>ESTUDIOS DE MECANICA DE SUELOS</t>
  </si>
  <si>
    <t>VACT</t>
  </si>
  <si>
    <t>IE</t>
  </si>
  <si>
    <t>COSTO/EFECTIVIDAD</t>
  </si>
  <si>
    <t>COSTOS CON PROYECTO</t>
  </si>
  <si>
    <t>OPERACIÓN</t>
  </si>
  <si>
    <t>Bienes</t>
  </si>
  <si>
    <t>Servicios</t>
  </si>
  <si>
    <t>Otros</t>
  </si>
  <si>
    <t>MANTENIMIENTO</t>
  </si>
  <si>
    <t>Actividades</t>
  </si>
  <si>
    <t>COSTOS DE OPERACIÓN Y MANTENIMIENTO "SIN PROYECTO"</t>
  </si>
  <si>
    <t>COSTOS DE OPERACIÓN Y MANTENIMIENTO "CON PROYECTO"</t>
  </si>
  <si>
    <t>Rubros</t>
  </si>
  <si>
    <t>U.M.</t>
  </si>
  <si>
    <t>Monto (S/. Mes)</t>
  </si>
  <si>
    <t>Monto (S/. Año)</t>
  </si>
  <si>
    <t>Fuente de Financiamiento</t>
  </si>
  <si>
    <t>Documento compromiso o sustentatorio</t>
  </si>
  <si>
    <t>Total operación</t>
  </si>
  <si>
    <t>Actas de compromiso de la DIREPRO</t>
  </si>
  <si>
    <t>Remuneración:</t>
  </si>
  <si>
    <t>Director (a)</t>
  </si>
  <si>
    <t>DIREPRO</t>
  </si>
  <si>
    <t>Personal nombrado nombrados</t>
  </si>
  <si>
    <t>Personal administrativo</t>
  </si>
  <si>
    <t>Servicios:</t>
  </si>
  <si>
    <t xml:space="preserve">Agua </t>
  </si>
  <si>
    <t>Luz</t>
  </si>
  <si>
    <t>Total Mantenimiento</t>
  </si>
  <si>
    <t>Material de limpieza</t>
  </si>
  <si>
    <t>Recursos propios</t>
  </si>
  <si>
    <t>Ugel de Grau y APAFA</t>
  </si>
  <si>
    <t>Pintura y otros materiales</t>
  </si>
  <si>
    <t>Mantenimiento de equipos</t>
  </si>
  <si>
    <t>INCREMENTAL</t>
  </si>
  <si>
    <t>* Agregar anexo de costos</t>
  </si>
  <si>
    <t>TOTAL O&amp;M</t>
  </si>
  <si>
    <t>Profesional</t>
  </si>
  <si>
    <t>Factor de Coreeción</t>
  </si>
  <si>
    <t>Precios Sociales</t>
  </si>
  <si>
    <t>A PRECIOS DE MERCADO</t>
  </si>
  <si>
    <t>A PRECIOS DE SOCIALES</t>
  </si>
  <si>
    <t>COSTOS SIN PROYECTO</t>
  </si>
  <si>
    <t>EVALUACIÓN COSTO BENEFICIO</t>
  </si>
  <si>
    <t>EVALUACIÓN COSTO EFECTIVIDAD</t>
  </si>
  <si>
    <t>El proyecto de inversión se enmarca en LOS SERVICIOS OPERATIVOS Y MISIONALES INSTITUCIONALES CON CAPACIDAD OPERATIVA INADECUADA CON BRECHA IDENTIFICADA Y PRIORIZADA, cuyo INDICADOR DE BRECHA DE ACCESOS A SERVICIOS es BENEFICIARIOS/AÑO. En ese sentido el indicador de BRECHA es atención a beneficiarios/año.</t>
  </si>
  <si>
    <r>
      <t xml:space="preserve">El proyecto de inversión se enmarca en LOS SERVICIOS OPERATIVOS Y MISIONALES INSTITUCIONALES CON CAPACIDAD OPERATIVA INADECUADA CON BRECHA IDENTIFICADA Y PRIORIZADA, cuyo INDICADOR DE BRECHA DE ACCESOS A SERVICIOS es </t>
    </r>
    <r>
      <rPr>
        <b/>
        <sz val="10"/>
        <color rgb="FF0000CC"/>
        <rFont val="Arial Narrow"/>
        <family val="2"/>
      </rPr>
      <t>BENEFICIARIOS/AÑO</t>
    </r>
    <r>
      <rPr>
        <sz val="10"/>
        <color rgb="FF0000CC"/>
        <rFont val="Arial Narrow"/>
        <family val="2"/>
      </rPr>
      <t>. En ese sentido el indicador de BRECHA es atención a beneficiarios/año.</t>
    </r>
  </si>
  <si>
    <t>Población total  (Región Apurímac)</t>
  </si>
  <si>
    <t>Población de la Provincia de Abancay</t>
  </si>
  <si>
    <t>Población demandante Objetivo (Beneficiarios del sector manufactura con actividad económica - INDUSTRIA (Beneficiarios/año)) - APURÍMAC. Fuente PRODUCE.</t>
  </si>
  <si>
    <t>Población Referencial (20% dedicado  al sector Industria/Manufactura - Región Apurímac) Fuente: PRODUCE.</t>
  </si>
  <si>
    <t>Población demandante efectiva, beneficiarios que se dedican a alguna actividad de Industria/Manufactura (registrados y no registrados por la SUNAT) es igual a la población potencial.</t>
  </si>
  <si>
    <t>Población demandante potencial (Región Apurímac), beneficiarios que se dedican a alguna actividad de Industria/Manufactura (registrados y no registrados por la SUNAT).</t>
  </si>
  <si>
    <t>Descripción</t>
  </si>
  <si>
    <t>Metrado</t>
  </si>
  <si>
    <t>Precio S/</t>
  </si>
  <si>
    <t>Total s/</t>
  </si>
  <si>
    <t>MITIGACIÓN AMBIENTAL</t>
  </si>
  <si>
    <t>Plan de Monitoreo Ambiental</t>
  </si>
  <si>
    <t>Monitoreo de la calidad agua superficial (02 puntos)</t>
  </si>
  <si>
    <t>Glb</t>
  </si>
  <si>
    <t>Monitoreo de la  calidad de aire  (02 puntos)</t>
  </si>
  <si>
    <t>Monitoreo de ruido (02 puntos)</t>
  </si>
  <si>
    <t>Monitoreo de la calidad de suelo (02puntos)</t>
  </si>
  <si>
    <t>Plan de participación ciudadana</t>
  </si>
  <si>
    <t>Participación ciudadana, difusión y gestión ambiental</t>
  </si>
  <si>
    <t>Talleres</t>
  </si>
  <si>
    <t>Educación Ambiental y capacitación en temas socioambientales</t>
  </si>
  <si>
    <t>capacitación</t>
  </si>
  <si>
    <t>Plan de seguridad laboral y salud</t>
  </si>
  <si>
    <t>Implementación de señalética en obra (temporal)</t>
  </si>
  <si>
    <t>Charlas diarias y específicas de incidentes y/o accidentes</t>
  </si>
  <si>
    <t>charlas</t>
  </si>
  <si>
    <t>Adquisición de equipos de Protección individual</t>
  </si>
  <si>
    <t>Und</t>
  </si>
  <si>
    <t xml:space="preserve">programa de auditoría interna </t>
  </si>
  <si>
    <t>Formación e información al personal</t>
  </si>
  <si>
    <t xml:space="preserve">Humedecimiento de terreno y agregados para evitar generación de polvos </t>
  </si>
  <si>
    <t>Implementación de una unidad de contingencia</t>
  </si>
  <si>
    <t>Capacitación al personal y simulacros</t>
  </si>
  <si>
    <t>Plan de manejo de residuos</t>
  </si>
  <si>
    <t xml:space="preserve">Gestión de residuos sólidos </t>
  </si>
  <si>
    <t xml:space="preserve">Transporte de residuos sólidos peligrosos, </t>
  </si>
  <si>
    <t>Acondicionamiento de área para el almacenamiento temporal de RRSS.</t>
  </si>
  <si>
    <t>Adquisición de  contenedores de residuos sólidos</t>
  </si>
  <si>
    <t>Manejo de aguas residuales</t>
  </si>
  <si>
    <t>alquiler de baños temporales</t>
  </si>
  <si>
    <t>Plan de seguimiento y vigilancia (PVA)</t>
  </si>
  <si>
    <t>Elaboración del PVA</t>
  </si>
  <si>
    <t>Plan de cierre de obra</t>
  </si>
  <si>
    <t>Revegetación con plantas del lugar</t>
  </si>
  <si>
    <t>Talleres de capacitación en procedimiento previsto en medidas de cierre y abandono</t>
  </si>
  <si>
    <t>costo directo</t>
  </si>
  <si>
    <t>Elaboración del estudio de  Evaluación Preliminar (EVAP) y trámites</t>
  </si>
  <si>
    <t>U</t>
  </si>
  <si>
    <t>Gastos generales (8%CD)</t>
  </si>
  <si>
    <t>Utilidad (8%CD)</t>
  </si>
  <si>
    <t>sub total</t>
  </si>
  <si>
    <t>IGV (18%)</t>
  </si>
  <si>
    <t>Valor Referencial</t>
  </si>
  <si>
    <t>Supervisión (3%)</t>
  </si>
  <si>
    <t>IMPACTO AMBIENTAL A TODO COSTO</t>
  </si>
  <si>
    <t>Ítem</t>
  </si>
  <si>
    <t>1.4.1</t>
  </si>
  <si>
    <t>1.4.2</t>
  </si>
  <si>
    <t>1.5.1.1</t>
  </si>
  <si>
    <t>1.5.1.2</t>
  </si>
  <si>
    <t>1.5.1.3</t>
  </si>
  <si>
    <t>1.5.2.1</t>
  </si>
  <si>
    <t>1.8.1</t>
  </si>
  <si>
    <t>1.8.2</t>
  </si>
  <si>
    <t>1.8.3</t>
  </si>
  <si>
    <t>Planes</t>
  </si>
  <si>
    <t>costo</t>
  </si>
  <si>
    <t>TOTAL (S/)</t>
  </si>
  <si>
    <t>Desmontaje de instalaciones provisionales</t>
  </si>
  <si>
    <t>COSTOS DE O&amp;M. CON PROYECTO</t>
  </si>
  <si>
    <t>COSTOS DE O&amp;M. SIN PROYECTO</t>
  </si>
  <si>
    <t>FLUJO DE EVALUACIÓN A PRECIOS DE MERCADO - COSTO EFECTIVIDAD</t>
  </si>
  <si>
    <t>FLUJO DE EVALUACIÓN A PRECIOS SOCIALES - COSTO EFETCIVIDAD</t>
  </si>
  <si>
    <t>Costos de Mantenimiento Incremental</t>
  </si>
  <si>
    <t>Costos de Operación Incremental</t>
  </si>
  <si>
    <t>Valor Residual</t>
  </si>
  <si>
    <t>1.7.7</t>
  </si>
  <si>
    <t>Mejoramiento y adecuación de la planta piloto de procesamiento de frutas y hortalizas</t>
  </si>
  <si>
    <t>INSTALACION Y MEJORAMIENTO DE MODULOS DE PRODUCCION  DE ALIMENTOS NUTRITIVOS</t>
  </si>
  <si>
    <t>Equipamiento de la planta piloto de procesamiento de frutas y hortalizas</t>
  </si>
  <si>
    <t>EQUIPAMIENTO DE LA PLANTA PILOTO DE PROCESMIENTO DE FRUTAS Y HORTALIZAS</t>
  </si>
  <si>
    <t>Implementación de maquina dosificad. de jugos</t>
  </si>
  <si>
    <t>Implementación de equipos y materiales para el laboratorio de Análisis microbiológico</t>
  </si>
  <si>
    <t>Implementación de equipos y materiales para e laboratorio de Análisis fisicoquímico</t>
  </si>
  <si>
    <t>Módulo</t>
  </si>
  <si>
    <t>2.4.2</t>
  </si>
  <si>
    <t>2.4.3</t>
  </si>
  <si>
    <t>2.4.5</t>
  </si>
  <si>
    <t>2.4.7</t>
  </si>
  <si>
    <t>2.4.7.1.</t>
  </si>
  <si>
    <t>2.4.7.2.</t>
  </si>
  <si>
    <t>2.4.8.</t>
  </si>
  <si>
    <t>2.4.8.1.</t>
  </si>
  <si>
    <t>2.4.8.2.</t>
  </si>
  <si>
    <t>2.4.8.3.</t>
  </si>
  <si>
    <t>2.4.8.4.</t>
  </si>
  <si>
    <t>2.4.8.5.</t>
  </si>
  <si>
    <t>2.4.8.6.</t>
  </si>
  <si>
    <t>2.5.1</t>
  </si>
  <si>
    <t>2.5.2.</t>
  </si>
  <si>
    <t>2.5.3.</t>
  </si>
  <si>
    <t>2.5.4</t>
  </si>
  <si>
    <t>2.5.5.</t>
  </si>
  <si>
    <t>2.5.6</t>
  </si>
  <si>
    <t>IMPLEMENTACION DE HERRAMIENTAS E INSUMOS DE LOS MODULOS DE PRODUCCION  DE ALIMENTOS NUTRITIVOS</t>
  </si>
  <si>
    <t>INSTALACION Y MEJORAMIENTOS DE MODULOS DE PRODUCCION  DE ALIMENTOS NUTRITIVOS</t>
  </si>
  <si>
    <t>1.3.7</t>
  </si>
  <si>
    <t>Implementación con una máquina dosificadora, embotelladora de nectares e Implementación con una máquina dosificadora y sachetera de mermeladas.</t>
  </si>
  <si>
    <t xml:space="preserve">2.1.2. </t>
  </si>
  <si>
    <t>EQUIPOS Y MATERIALES PARA EL AREA DE CONTROL DE CALIDAD</t>
  </si>
  <si>
    <t>A. ANALISIS MICROBIOLÓGICO</t>
  </si>
  <si>
    <t>1.-</t>
  </si>
  <si>
    <t>EQUIPOS</t>
  </si>
  <si>
    <t>EQUIPO</t>
  </si>
  <si>
    <t>Autoclave</t>
  </si>
  <si>
    <t>Contador de colonias (quebec de campo oscuro)</t>
  </si>
  <si>
    <t>Baño de agua</t>
  </si>
  <si>
    <t>Homo microondas</t>
  </si>
  <si>
    <t>Balanza analitoica con capacidad de 2500g y de 0.1g de sencibilidad</t>
  </si>
  <si>
    <t>Incubadora thermo Scientific</t>
  </si>
  <si>
    <t>2.-</t>
  </si>
  <si>
    <t>MATERIALES</t>
  </si>
  <si>
    <t>INSTRUMENTOS</t>
  </si>
  <si>
    <t>Recipiente de vidrio de un 1lt de capacidad, con tapa, resistente a las temperaturas de esterilizacion en auntoclave.</t>
  </si>
  <si>
    <t>Recipiente de vidrio de 500lt de capacidad, con tapa, resistente a las temperaturas de esterilizacion en autoclave.</t>
  </si>
  <si>
    <t>Recipiente de vidrio de 250lt de capacidad, con tapa, resistente a las temperaturas de esterilizacion en autoclave.</t>
  </si>
  <si>
    <t>Pipetas bactereológicas e 1ml</t>
  </si>
  <si>
    <t>Pipetas bactereológicas e 10ml</t>
  </si>
  <si>
    <t>Pipetas bactereológicas e 11ml</t>
  </si>
  <si>
    <t>Tubos de ensayo de 20ml de capacidad</t>
  </si>
  <si>
    <t>Placas de petri de cristal (100 x 15mm)</t>
  </si>
  <si>
    <t>Tubos Durhan</t>
  </si>
  <si>
    <t>Asa de inoculacion, con anillo de 3mm de diametro.</t>
  </si>
  <si>
    <t>Papel filto Whatman N°2 (un pliego)</t>
  </si>
  <si>
    <t>Espatulas</t>
  </si>
  <si>
    <t>Caja portaobjetos de vidrio de 5 x 7.5 cm</t>
  </si>
  <si>
    <t>Gradillas.</t>
  </si>
  <si>
    <t>Mechero Bunsen</t>
  </si>
  <si>
    <t>Matraces Erlenmeyer de 500ml de capacidad.</t>
  </si>
  <si>
    <t>Buretas de 20ml</t>
  </si>
  <si>
    <t>Buretas de 10ml</t>
  </si>
  <si>
    <t>Aguja de inoculacion con alambre de nicrom</t>
  </si>
  <si>
    <t>Papel indicador de PH  de 6,0 - 8,0 (caja)</t>
  </si>
  <si>
    <t xml:space="preserve">Barillas de vidrio </t>
  </si>
  <si>
    <t>Tijeras</t>
  </si>
  <si>
    <t>Cucharas</t>
  </si>
  <si>
    <t>Pliegos de papel kraf</t>
  </si>
  <si>
    <t>MEDIOS DE CULTIVO</t>
  </si>
  <si>
    <t>BRAND</t>
  </si>
  <si>
    <t>ITEM N°</t>
  </si>
  <si>
    <t>NOMBRE</t>
  </si>
  <si>
    <t>PRECIO S/.</t>
  </si>
  <si>
    <t>Bacto</t>
  </si>
  <si>
    <t>Bacto Agar.</t>
  </si>
  <si>
    <t>454g</t>
  </si>
  <si>
    <t>Difco</t>
  </si>
  <si>
    <t>Baird Parker Agar Base.</t>
  </si>
  <si>
    <t>500g</t>
  </si>
  <si>
    <t>BBL</t>
  </si>
  <si>
    <t>Brain Heart infusion.</t>
  </si>
  <si>
    <t>Brillante Green BILE 2%</t>
  </si>
  <si>
    <t>Giolitti - Cantoni Broth B.</t>
  </si>
  <si>
    <t>Lauryl Sulfate Broth.</t>
  </si>
  <si>
    <t>Lactose Broth.</t>
  </si>
  <si>
    <t>Macconkey Agar.</t>
  </si>
  <si>
    <t>Peptone Water.</t>
  </si>
  <si>
    <t>Plate Count Agar.</t>
  </si>
  <si>
    <t>Violet Red Bile Agair.</t>
  </si>
  <si>
    <t>Salmonella Shigella Agar.</t>
  </si>
  <si>
    <t>OGYE Agar Base.</t>
  </si>
  <si>
    <t>RESUMEN</t>
  </si>
  <si>
    <t>SUB TOTAL - EQUIPOS</t>
  </si>
  <si>
    <t>SUB TOTAL - MATERIALES</t>
  </si>
  <si>
    <t>SUB TOTAL - MEDIOS DE CULTIVO</t>
  </si>
  <si>
    <t>ANÁLISIS MICROBIOLÓGICO</t>
  </si>
  <si>
    <t>EQUIPOS Y MATERIALES PARA UN LABORATORIO DE CONTROL DE CALIDAD</t>
  </si>
  <si>
    <t>B. ANALISIS FISICO QUÍMICO</t>
  </si>
  <si>
    <t>PRECIO TOTAL</t>
  </si>
  <si>
    <t>Balanza analitica. Capacidad 200 gr.</t>
  </si>
  <si>
    <t>Balanza casera</t>
  </si>
  <si>
    <t>Mufla</t>
  </si>
  <si>
    <t>Cocinilla electrica</t>
  </si>
  <si>
    <t>Destilador</t>
  </si>
  <si>
    <t>Campana de enfriamiento (desecador)</t>
  </si>
  <si>
    <t>PH - metro</t>
  </si>
  <si>
    <t>Titulador</t>
  </si>
  <si>
    <t>Refractometro</t>
  </si>
  <si>
    <t>Espectrofotometro</t>
  </si>
  <si>
    <t>Equipo soxhiet</t>
  </si>
  <si>
    <t>UTENSILIOS</t>
  </si>
  <si>
    <t>Tubos de ensayo</t>
  </si>
  <si>
    <t>Pipetas. (5 ml)</t>
  </si>
  <si>
    <t>Pipetas (10 ml)</t>
  </si>
  <si>
    <t xml:space="preserve">Placas petri </t>
  </si>
  <si>
    <t>Matraz erlenmeyer (100 ml)</t>
  </si>
  <si>
    <t>Matraz erlenmeyer (250 ml)</t>
  </si>
  <si>
    <t>Matraz erlenmeyer (500 ml)</t>
  </si>
  <si>
    <t>Probeta (500 ml)</t>
  </si>
  <si>
    <t>Probeta (1 lt)</t>
  </si>
  <si>
    <t xml:space="preserve">Agitador </t>
  </si>
  <si>
    <t>Embudo de vidrio de vastago corto</t>
  </si>
  <si>
    <t>Embudo de vidrio de vastago largo</t>
  </si>
  <si>
    <t>Mortero de porcelana</t>
  </si>
  <si>
    <t>Tripode</t>
  </si>
  <si>
    <t>Pinza metalica</t>
  </si>
  <si>
    <t>Gradilla para tubos de  ensayo</t>
  </si>
  <si>
    <t>Gradilla apra pipetas</t>
  </si>
  <si>
    <t>Crisoles</t>
  </si>
  <si>
    <t>Papel filtro</t>
  </si>
  <si>
    <t>Soporte universal</t>
  </si>
  <si>
    <t>Frascos de vidrio</t>
  </si>
  <si>
    <t>Tijera</t>
  </si>
  <si>
    <t>Pizeta</t>
  </si>
  <si>
    <t>Vaso de precipitado</t>
  </si>
  <si>
    <t>Balon de vidrio</t>
  </si>
  <si>
    <t>Balon de destilacion</t>
  </si>
  <si>
    <t>Capsula de porcelana</t>
  </si>
  <si>
    <t>Escobillon para buretra</t>
  </si>
  <si>
    <t>Buretra</t>
  </si>
  <si>
    <t>Escobillon para matraz aforado</t>
  </si>
  <si>
    <t>Escobillon para tubo de ensayo</t>
  </si>
  <si>
    <t>Mechero bunsen</t>
  </si>
  <si>
    <t>Termometro</t>
  </si>
  <si>
    <t>Frasco gotero</t>
  </si>
  <si>
    <t>Frasco para reactivos</t>
  </si>
  <si>
    <t>COSTO FINAL</t>
  </si>
  <si>
    <t>LABORATORIOS</t>
  </si>
  <si>
    <t>FISICOQUIMICA</t>
  </si>
  <si>
    <t>ANÁLISIS FISICO QUÍMICO</t>
  </si>
  <si>
    <t>PRESUPUESTO PARA EL MANTENIMIENTO DE LA PLANTA PILOTO</t>
  </si>
  <si>
    <t>Item</t>
  </si>
  <si>
    <t>Precio Total</t>
  </si>
  <si>
    <t>Mantenimiento de servicios higiénicos varones</t>
  </si>
  <si>
    <t>Mantenimiento de servicios higiénicos mujeres</t>
  </si>
  <si>
    <t>Mantenimiento de ducha de varones</t>
  </si>
  <si>
    <t>Mantenimiento de ducha de mujeres</t>
  </si>
  <si>
    <t>Mejoramiento del patio de maniobras</t>
  </si>
  <si>
    <t>Instalación de portón de ingreso y salida de materia prima y producto final</t>
  </si>
  <si>
    <t>Instalación de puerta de ingreso del personal de planta</t>
  </si>
  <si>
    <t>Mejoramiento de instalaciones eléctricas</t>
  </si>
  <si>
    <t>Mejoramiento de instalaciones sanitarias</t>
  </si>
  <si>
    <t>Mantenimiento de ambientes internos de la planta piloto</t>
  </si>
  <si>
    <t>Instalación de cortinas industriales</t>
  </si>
  <si>
    <t>Instalación de extractores de aire</t>
  </si>
  <si>
    <t>Pintado de paded interior de la planta (pintura especial epoxica)</t>
  </si>
  <si>
    <t>Otras adecuaciones para el mejor funcionamiento de la planta piloto</t>
  </si>
  <si>
    <t>PLANTA PILOTO</t>
  </si>
  <si>
    <t>PRESUPUESTO PARA LA IMPLEMENTACIÓN DE LA PLANTA PILOTO DE LA DIRECCIÓN DE INDUSTRIA</t>
  </si>
  <si>
    <t>Implementación con una máquina dosificadora, embotelladora de nectares</t>
  </si>
  <si>
    <t>Implementación con una máquina dosificadora y sachetera de mermeladas</t>
  </si>
  <si>
    <t>Análisis microbiológico</t>
  </si>
  <si>
    <t>Análisis fisicoquímico</t>
  </si>
  <si>
    <t>Adecuación de local</t>
  </si>
  <si>
    <t>RESUMEN TODO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</si>
</sst>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3" formatCode="_-* #,##0.00_-;\-* #,##0.00_-;_-* &quot;-&quot;??_-;_-@_-"/>
    <numFmt numFmtId="164" formatCode="_(&quot;S/.&quot;* #,##0.00_);_(&quot;S/.&quot;* \(#,##0.00\);_(&quot;S/.&quot;* &quot;-&quot;??_);_(@_)"/>
    <numFmt numFmtId="165" formatCode="_(* #,##0.00_);_(* \(#,##0.00\);_(* &quot;-&quot;??_);_(@_)"/>
    <numFmt numFmtId="166" formatCode="_ * #,##0.00_ ;_ * \-#,##0.00_ ;_ * &quot;-&quot;??_ ;_ @_ "/>
    <numFmt numFmtId="167" formatCode="&quot;S/.&quot;\ #,##0.00;[Red]&quot;S/.&quot;\ \-#,##0.00"/>
    <numFmt numFmtId="168" formatCode="_ &quot;S/.&quot;\ * #,##0.00_ ;_ &quot;S/.&quot;\ * \-#,##0.00_ ;_ &quot;S/.&quot;\ * &quot;-&quot;??_ ;_ @_ "/>
    <numFmt numFmtId="169" formatCode="#\ ###\ ##0"/>
    <numFmt numFmtId="170" formatCode="##,###,###,###,##0"/>
    <numFmt numFmtId="171" formatCode="_ * #,##0.000000_ ;_ * \-#,##0.000000_ ;_ * &quot;-&quot;??_ ;_ @_ "/>
    <numFmt numFmtId="172" formatCode="_-* #,##0\ _P_t_s_-;\-* #,##0\ _P_t_s_-;_-* &quot;-&quot;??\ _P_t_s_-;_-@_-"/>
    <numFmt numFmtId="173" formatCode="_-* #,##0_-;\-* #,##0_-;_-* &quot;-&quot;??_-;_-@_-"/>
    <numFmt numFmtId="174" formatCode="_ [$€]* #,##0.00_ ;_ [$€]* \-#,##0.00_ ;_ [$€]* &quot;-&quot;??_ ;_ @_ "/>
    <numFmt numFmtId="175" formatCode="_-* #,##0.00\ _€_-;\-* #,##0.00\ _€_-;_-* &quot;-&quot;??\ _€_-;_-@_-"/>
    <numFmt numFmtId="176" formatCode="_(&quot;S/.&quot;\ * #,##0.00_);_(&quot;S/.&quot;\ * \(#,##0.00\);_(&quot;S/.&quot;\ * &quot;-&quot;??_);_(@_)"/>
    <numFmt numFmtId="177" formatCode="_ * #,##0.00000_ ;_ * \-#,##0.00000_ ;_ * &quot;-&quot;??_ ;_ @_ "/>
    <numFmt numFmtId="178" formatCode="0.000"/>
    <numFmt numFmtId="179" formatCode="0.0%"/>
    <numFmt numFmtId="180" formatCode="_ * #,##0.0000_ ;_ * \-#,##0.0000_ ;_ * &quot;-&quot;??_ ;_ @_ "/>
    <numFmt numFmtId="181" formatCode="&quot;S/.&quot;\ #,##0.00"/>
    <numFmt numFmtId="182" formatCode="General_)"/>
    <numFmt numFmtId="183" formatCode="0.00_)"/>
    <numFmt numFmtId="184" formatCode="_ [$S/.-280A]\ * #,##0.00_ ;_ [$S/.-280A]\ * \-#,##0.00_ ;_ [$S/.-280A]\ * &quot;-&quot;??_ ;_ @_ "/>
    <numFmt numFmtId="185" formatCode="#,##0.00;[Red]#,##0.00"/>
    <numFmt numFmtId="186" formatCode="#,##0.0000"/>
    <numFmt numFmtId="187" formatCode="0.0"/>
    <numFmt numFmtId="188" formatCode="#,##0.000"/>
    <numFmt numFmtId="189" formatCode="#,##0.0"/>
    <numFmt numFmtId="190" formatCode="_ * #,##0.0_ ;_ * \-#,##0.0_ ;_ * &quot;-&quot;??_ ;_ @_ "/>
    <numFmt numFmtId="191" formatCode="_(* #,##0.00000000_);_(* \(#,##0.00000000\);_(* &quot;-&quot;??_);_(@_)"/>
    <numFmt numFmtId="193" formatCode="0.000%"/>
    <numFmt numFmtId="194" formatCode="_ * #,##0_ ;_ * \-#,##0_ ;_ * &quot;-&quot;??_ ;_ @_ "/>
    <numFmt numFmtId="195" formatCode="_-[$S/-280A]* #,##0.00_-;\-[$S/-280A]* #,##0.00_-;_-[$S/-280A]* &quot;-&quot;??_-;_-@_-"/>
  </numFmts>
  <fonts count="118" x14ac:knownFonts="1">
    <font>
      <sz val="11"/>
      <color theme="1"/>
      <name val="Calibri"/>
      <family val="2"/>
      <scheme val="minor"/>
    </font>
    <font>
      <sz val="7"/>
      <color theme="1"/>
      <name val="Century Gothic"/>
      <family val="2"/>
    </font>
    <font>
      <sz val="10"/>
      <name val="Arial"/>
      <family val="2"/>
    </font>
    <font>
      <sz val="11"/>
      <color theme="1"/>
      <name val="Calibri"/>
      <family val="2"/>
      <scheme val="minor"/>
    </font>
    <font>
      <b/>
      <sz val="11"/>
      <color theme="1"/>
      <name val="Calibri"/>
      <family val="2"/>
      <scheme val="minor"/>
    </font>
    <font>
      <b/>
      <sz val="7.5"/>
      <color theme="1"/>
      <name val="Arial"/>
      <family val="2"/>
    </font>
    <font>
      <b/>
      <sz val="7.5"/>
      <color rgb="FF000000"/>
      <name val="Arial"/>
      <family val="2"/>
    </font>
    <font>
      <sz val="7.5"/>
      <color theme="1"/>
      <name val="Arial"/>
      <family val="2"/>
    </font>
    <font>
      <sz val="7.5"/>
      <color rgb="FF000000"/>
      <name val="Arial"/>
      <family val="2"/>
    </font>
    <font>
      <b/>
      <sz val="10"/>
      <color theme="1"/>
      <name val="Arial Narrow"/>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0"/>
      <name val="Monospac821 BT"/>
      <family val="3"/>
    </font>
    <font>
      <sz val="10"/>
      <name val="Monospac821 BT"/>
      <family val="3"/>
    </font>
    <font>
      <sz val="10"/>
      <color theme="1"/>
      <name val="Monospac821 BT"/>
      <family val="3"/>
    </font>
    <font>
      <sz val="10"/>
      <color theme="1"/>
      <name val="Arial"/>
      <family val="2"/>
    </font>
    <font>
      <b/>
      <sz val="10"/>
      <name val="Cambria"/>
      <family val="2"/>
      <scheme val="major"/>
    </font>
    <font>
      <sz val="10"/>
      <color theme="1"/>
      <name val="Cambria"/>
      <family val="2"/>
      <scheme val="major"/>
    </font>
    <font>
      <sz val="11"/>
      <color indexed="8"/>
      <name val="Calibri"/>
      <family val="2"/>
    </font>
    <font>
      <sz val="12"/>
      <name val="Arial"/>
      <family val="2"/>
    </font>
    <font>
      <sz val="10"/>
      <color indexed="8"/>
      <name val="Arial"/>
      <family val="2"/>
    </font>
    <font>
      <sz val="10"/>
      <name val="Arial Narrow"/>
      <family val="2"/>
    </font>
    <font>
      <sz val="10"/>
      <color theme="1"/>
      <name val="Arial Narrow"/>
      <family val="2"/>
    </font>
    <font>
      <b/>
      <sz val="10"/>
      <name val="Arial Narrow"/>
      <family val="2"/>
    </font>
    <font>
      <b/>
      <u/>
      <sz val="10"/>
      <name val="Arial Narrow"/>
      <family val="2"/>
    </font>
    <font>
      <sz val="5"/>
      <color theme="1"/>
      <name val="Arial Narrow"/>
      <family val="2"/>
    </font>
    <font>
      <sz val="10"/>
      <color rgb="FFFF0000"/>
      <name val="Arial Narrow"/>
      <family val="2"/>
    </font>
    <font>
      <b/>
      <sz val="10"/>
      <color rgb="FFFF0000"/>
      <name val="Arial Narrow"/>
      <family val="2"/>
    </font>
    <font>
      <b/>
      <sz val="7.5"/>
      <color rgb="FFFF0000"/>
      <name val="Arial"/>
      <family val="2"/>
    </font>
    <font>
      <sz val="7.5"/>
      <color rgb="FFFF0000"/>
      <name val="Arial"/>
      <family val="2"/>
    </font>
    <font>
      <sz val="5"/>
      <name val="Arial Narrow"/>
      <family val="2"/>
    </font>
    <font>
      <sz val="10"/>
      <color indexed="8"/>
      <name val="Arial Narrow"/>
      <family val="2"/>
    </font>
    <font>
      <b/>
      <sz val="10"/>
      <color indexed="8"/>
      <name val="Arial Narrow"/>
      <family val="2"/>
    </font>
    <font>
      <b/>
      <sz val="10"/>
      <color indexed="9"/>
      <name val="Arial Narrow"/>
      <family val="2"/>
    </font>
    <font>
      <b/>
      <i/>
      <sz val="10"/>
      <color theme="1"/>
      <name val="Arial Narrow"/>
      <family val="2"/>
    </font>
    <font>
      <i/>
      <sz val="10"/>
      <color theme="1"/>
      <name val="Arial Narrow"/>
      <family val="2"/>
    </font>
    <font>
      <sz val="10"/>
      <color rgb="FF000000"/>
      <name val="Arial Narrow"/>
      <family val="2"/>
    </font>
    <font>
      <b/>
      <u/>
      <sz val="10"/>
      <color theme="1"/>
      <name val="Arial Narrow"/>
      <family val="2"/>
    </font>
    <font>
      <b/>
      <sz val="7"/>
      <name val="Arial Narrow"/>
      <family val="2"/>
    </font>
    <font>
      <vertAlign val="superscript"/>
      <sz val="10"/>
      <color theme="1"/>
      <name val="Arial Narrow"/>
      <family val="2"/>
    </font>
    <font>
      <vertAlign val="superscript"/>
      <sz val="10"/>
      <color rgb="FFFF0000"/>
      <name val="Arial Narrow"/>
      <family val="2"/>
    </font>
    <font>
      <vertAlign val="superscript"/>
      <sz val="10"/>
      <color rgb="FF000000"/>
      <name val="Arial Narrow"/>
      <family val="2"/>
    </font>
    <font>
      <b/>
      <sz val="10"/>
      <color rgb="FF000000"/>
      <name val="Arial Narrow"/>
      <family val="2"/>
    </font>
    <font>
      <b/>
      <u/>
      <sz val="10"/>
      <color rgb="FF000000"/>
      <name val="Arial Narrow"/>
      <family val="2"/>
    </font>
    <font>
      <sz val="8"/>
      <name val="Calibri"/>
      <family val="2"/>
      <scheme val="minor"/>
    </font>
    <font>
      <b/>
      <i/>
      <u/>
      <sz val="10"/>
      <color theme="1"/>
      <name val="Arial Narrow"/>
      <family val="2"/>
    </font>
    <font>
      <b/>
      <i/>
      <u/>
      <sz val="10"/>
      <name val="Arial Narrow"/>
      <family val="2"/>
    </font>
    <font>
      <i/>
      <sz val="10"/>
      <color rgb="FFFF0000"/>
      <name val="Arial Narrow"/>
      <family val="2"/>
    </font>
    <font>
      <sz val="10"/>
      <color rgb="FF000000"/>
      <name val="Arial"/>
      <family val="2"/>
    </font>
    <font>
      <b/>
      <sz val="9"/>
      <color indexed="81"/>
      <name val="Tahoma"/>
      <family val="2"/>
    </font>
    <font>
      <sz val="9"/>
      <color indexed="81"/>
      <name val="Tahoma"/>
      <family val="2"/>
    </font>
    <font>
      <i/>
      <sz val="9"/>
      <color indexed="81"/>
      <name val="Tahoma"/>
      <family val="2"/>
    </font>
    <font>
      <sz val="8"/>
      <color theme="1"/>
      <name val="Monospac821 BT"/>
      <family val="3"/>
    </font>
    <font>
      <sz val="9"/>
      <color rgb="FF000000"/>
      <name val="Arial"/>
      <family val="2"/>
    </font>
    <font>
      <b/>
      <sz val="8"/>
      <name val="Monospac821 BT"/>
      <family val="3"/>
    </font>
    <font>
      <sz val="8"/>
      <name val="Monospac821 BT"/>
      <family val="3"/>
    </font>
    <font>
      <b/>
      <sz val="18"/>
      <color theme="1"/>
      <name val="Arial Narrow"/>
      <family val="2"/>
    </font>
    <font>
      <b/>
      <sz val="26"/>
      <color theme="1"/>
      <name val="Arial Narrow"/>
      <family val="2"/>
    </font>
    <font>
      <i/>
      <u/>
      <sz val="10"/>
      <color theme="1"/>
      <name val="Arial Narrow"/>
      <family val="2"/>
    </font>
    <font>
      <b/>
      <sz val="20"/>
      <color theme="1"/>
      <name val="Arial Narrow"/>
      <family val="2"/>
    </font>
    <font>
      <b/>
      <u/>
      <sz val="22"/>
      <color theme="1"/>
      <name val="Arial Narrow"/>
      <family val="2"/>
    </font>
    <font>
      <b/>
      <sz val="18"/>
      <name val="Arial Narrow"/>
      <family val="2"/>
    </font>
    <font>
      <b/>
      <sz val="20"/>
      <name val="Arial Narrow"/>
      <family val="2"/>
    </font>
    <font>
      <b/>
      <i/>
      <sz val="10"/>
      <color indexed="8"/>
      <name val="Arial Narrow"/>
      <family val="2"/>
    </font>
    <font>
      <b/>
      <i/>
      <u/>
      <sz val="18"/>
      <color theme="1"/>
      <name val="Arial Narrow"/>
      <family val="2"/>
    </font>
    <font>
      <b/>
      <sz val="14"/>
      <color theme="1"/>
      <name val="Arial Narrow"/>
      <family val="2"/>
    </font>
    <font>
      <b/>
      <i/>
      <u/>
      <sz val="10"/>
      <color indexed="8"/>
      <name val="Arial Narrow"/>
      <family val="2"/>
    </font>
    <font>
      <sz val="10"/>
      <color rgb="FF0000CC"/>
      <name val="Arial Narrow"/>
      <family val="2"/>
    </font>
    <font>
      <b/>
      <sz val="10"/>
      <color rgb="FF0000CC"/>
      <name val="Arial Narrow"/>
      <family val="2"/>
    </font>
    <font>
      <i/>
      <sz val="10"/>
      <color theme="4"/>
      <name val="Arial Narrow"/>
      <family val="2"/>
    </font>
    <font>
      <b/>
      <sz val="12"/>
      <color theme="1"/>
      <name val="Calibri"/>
      <family val="2"/>
      <scheme val="minor"/>
    </font>
    <font>
      <sz val="9"/>
      <color theme="1"/>
      <name val="Calibri"/>
      <family val="2"/>
      <scheme val="minor"/>
    </font>
    <font>
      <b/>
      <sz val="9"/>
      <color theme="1"/>
      <name val="Maiandra GD"/>
      <family val="2"/>
    </font>
    <font>
      <sz val="9"/>
      <color theme="1"/>
      <name val="Maiandra GD"/>
      <family val="2"/>
    </font>
    <font>
      <b/>
      <sz val="9"/>
      <name val="Maiandra GD"/>
      <family val="2"/>
    </font>
    <font>
      <sz val="9"/>
      <name val="Maiandra GD"/>
      <family val="2"/>
    </font>
    <font>
      <sz val="9"/>
      <color rgb="FF0000FF"/>
      <name val="Maiandra GD"/>
      <family val="2"/>
    </font>
    <font>
      <b/>
      <sz val="9"/>
      <color theme="1"/>
      <name val="Calibri"/>
      <family val="2"/>
      <scheme val="minor"/>
    </font>
    <font>
      <b/>
      <sz val="14"/>
      <color theme="1"/>
      <name val="Calibri"/>
      <family val="2"/>
      <scheme val="minor"/>
    </font>
    <font>
      <b/>
      <i/>
      <u/>
      <sz val="10"/>
      <color rgb="FF0000CC"/>
      <name val="Arial Narrow"/>
      <family val="2"/>
    </font>
    <font>
      <sz val="11"/>
      <color theme="1"/>
      <name val="Arial Narrow"/>
      <family val="2"/>
    </font>
    <font>
      <b/>
      <sz val="10"/>
      <name val="Arial"/>
      <family val="2"/>
    </font>
    <font>
      <sz val="11"/>
      <name val="Calibri"/>
      <family val="2"/>
      <scheme val="minor"/>
    </font>
    <font>
      <sz val="11"/>
      <name val="Arial Narrow"/>
      <family val="2"/>
    </font>
    <font>
      <b/>
      <i/>
      <sz val="10"/>
      <color rgb="FF0000CC"/>
      <name val="Arial Narrow"/>
      <family val="2"/>
    </font>
    <font>
      <b/>
      <sz val="10"/>
      <color rgb="FF000000"/>
      <name val="Arial"/>
      <family val="2"/>
    </font>
    <font>
      <b/>
      <sz val="12"/>
      <color theme="0"/>
      <name val="Arial"/>
      <family val="2"/>
    </font>
    <font>
      <b/>
      <sz val="18"/>
      <name val="Arial"/>
      <family val="2"/>
    </font>
    <font>
      <b/>
      <sz val="8"/>
      <color rgb="FF000000"/>
      <name val="Arial"/>
      <family val="2"/>
    </font>
    <font>
      <b/>
      <sz val="8"/>
      <color theme="1"/>
      <name val="Arial"/>
      <family val="2"/>
    </font>
    <font>
      <b/>
      <sz val="8"/>
      <color rgb="FF377953"/>
      <name val="Calibri"/>
      <family val="2"/>
      <scheme val="minor"/>
    </font>
    <font>
      <b/>
      <sz val="8"/>
      <color rgb="FF377953"/>
      <name val="Arial"/>
      <family val="2"/>
    </font>
    <font>
      <b/>
      <sz val="8"/>
      <color rgb="FFFF0000"/>
      <name val="Arial"/>
      <family val="2"/>
    </font>
    <font>
      <sz val="8"/>
      <color rgb="FF0000FF"/>
      <name val="Arial"/>
      <family val="2"/>
    </font>
    <font>
      <sz val="8"/>
      <color rgb="FFFF0000"/>
      <name val="Arial"/>
      <family val="2"/>
    </font>
    <font>
      <sz val="8"/>
      <color rgb="FF000000"/>
      <name val="Arial"/>
      <family val="2"/>
    </font>
    <font>
      <sz val="8"/>
      <color theme="1"/>
      <name val="Arial"/>
      <family val="2"/>
    </font>
    <font>
      <sz val="8"/>
      <name val="Arial"/>
      <family val="2"/>
    </font>
    <font>
      <u val="double"/>
      <sz val="8"/>
      <color theme="1"/>
      <name val="Arial"/>
      <family val="2"/>
    </font>
    <font>
      <b/>
      <sz val="8"/>
      <name val="Arial"/>
      <family val="2"/>
    </font>
    <font>
      <b/>
      <u/>
      <sz val="11"/>
      <color theme="1"/>
      <name val="Calibri"/>
      <family val="2"/>
      <scheme val="minor"/>
    </font>
    <font>
      <b/>
      <u/>
      <sz val="10"/>
      <color theme="1"/>
      <name val="Calibri"/>
      <family val="2"/>
      <scheme val="minor"/>
    </font>
    <font>
      <u/>
      <sz val="11"/>
      <color theme="1"/>
      <name val="Calibri"/>
      <family val="2"/>
      <scheme val="minor"/>
    </font>
  </fonts>
  <fills count="8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9E5"/>
        <bgColor indexed="64"/>
      </patternFill>
    </fill>
    <fill>
      <patternFill patternType="solid">
        <fgColor rgb="FF00B0F0"/>
        <bgColor indexed="64"/>
      </patternFill>
    </fill>
    <fill>
      <patternFill patternType="solid">
        <fgColor indexed="9"/>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CFF33"/>
        <bgColor indexed="64"/>
      </patternFill>
    </fill>
    <fill>
      <patternFill patternType="solid">
        <fgColor rgb="FFFFFF99"/>
        <bgColor indexed="64"/>
      </patternFill>
    </fill>
    <fill>
      <patternFill patternType="solid">
        <fgColor rgb="FFFF00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8"/>
        <bgColor indexed="64"/>
      </patternFill>
    </fill>
    <fill>
      <patternFill patternType="solid">
        <fgColor rgb="FF0070C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2"/>
        <bgColor indexed="64"/>
      </patternFill>
    </fill>
    <fill>
      <patternFill patternType="solid">
        <fgColor rgb="FFDAEEF3"/>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B7DEE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indexed="42"/>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FF66CC"/>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0000CC"/>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left>
      <right style="thin">
        <color theme="4"/>
      </right>
      <top style="thin">
        <color theme="4"/>
      </top>
      <bottom style="thin">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0" tint="-0.34998626667073579"/>
      </left>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rgb="FF999999"/>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0" tint="-0.34998626667073579"/>
      </top>
      <bottom style="thin">
        <color theme="0" tint="-0.34998626667073579"/>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style="thin">
        <color theme="8" tint="-0.249977111117893"/>
      </left>
      <right style="thin">
        <color theme="8" tint="-0.249977111117893"/>
      </right>
      <top/>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thin">
        <color rgb="FFFF0000"/>
      </left>
      <right style="thin">
        <color rgb="FFFF0000"/>
      </right>
      <top style="thin">
        <color rgb="FFFF0000"/>
      </top>
      <bottom style="thin">
        <color rgb="FFFF0000"/>
      </bottom>
      <diagonal/>
    </border>
    <border>
      <left style="thin">
        <color theme="8" tint="-0.249977111117893"/>
      </left>
      <right/>
      <top style="thin">
        <color theme="8" tint="-0.249977111117893"/>
      </top>
      <bottom/>
      <diagonal/>
    </border>
    <border>
      <left style="thin">
        <color rgb="FFFF0000"/>
      </left>
      <right style="thin">
        <color rgb="FFFF0000"/>
      </right>
      <top style="thin">
        <color rgb="FFFF0000"/>
      </top>
      <bottom style="thin">
        <color indexed="64"/>
      </bottom>
      <diagonal/>
    </border>
    <border>
      <left style="thin">
        <color theme="8" tint="-0.249977111117893"/>
      </left>
      <right/>
      <top/>
      <bottom style="thin">
        <color theme="8" tint="-0.249977111117893"/>
      </bottom>
      <diagonal/>
    </border>
    <border>
      <left/>
      <right style="thick">
        <color rgb="FFFF0000"/>
      </right>
      <top/>
      <bottom/>
      <diagonal/>
    </border>
    <border>
      <left style="thick">
        <color rgb="FFFF0000"/>
      </left>
      <right/>
      <top/>
      <bottom/>
      <diagonal/>
    </border>
    <border>
      <left style="thin">
        <color rgb="FFFF0000"/>
      </left>
      <right style="thin">
        <color rgb="FFFF0000"/>
      </right>
      <top style="thin">
        <color rgb="FFFF0000"/>
      </top>
      <bottom/>
      <diagonal/>
    </border>
    <border>
      <left/>
      <right style="thick">
        <color rgb="FFFF0000"/>
      </right>
      <top/>
      <bottom style="thin">
        <color indexed="64"/>
      </bottom>
      <diagonal/>
    </border>
    <border>
      <left/>
      <right style="thin">
        <color rgb="FFFF0000"/>
      </right>
      <top style="thin">
        <color rgb="FFFF0000"/>
      </top>
      <bottom style="thin">
        <color rgb="FFFF0000"/>
      </bottom>
      <diagonal/>
    </border>
    <border>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style="hair">
        <color auto="1"/>
      </left>
      <right style="thin">
        <color auto="1"/>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indexed="64"/>
      </left>
      <right style="hair">
        <color indexed="64"/>
      </right>
      <top style="hair">
        <color indexed="64"/>
      </top>
      <bottom style="thin">
        <color indexed="64"/>
      </bottom>
      <diagonal/>
    </border>
    <border>
      <left style="hair">
        <color auto="1"/>
      </left>
      <right style="thin">
        <color indexed="64"/>
      </right>
      <top style="hair">
        <color auto="1"/>
      </top>
      <bottom style="thin">
        <color indexed="64"/>
      </bottom>
      <diagonal/>
    </border>
    <border>
      <left/>
      <right style="hair">
        <color auto="1"/>
      </right>
      <top/>
      <bottom style="hair">
        <color auto="1"/>
      </bottom>
      <diagonal/>
    </border>
    <border>
      <left style="hair">
        <color indexed="64"/>
      </left>
      <right style="hair">
        <color indexed="64"/>
      </right>
      <top/>
      <bottom style="hair">
        <color indexed="64"/>
      </bottom>
      <diagonal/>
    </border>
    <border>
      <left style="hair">
        <color auto="1"/>
      </left>
      <right style="thin">
        <color auto="1"/>
      </right>
      <top/>
      <bottom style="hair">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double">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101">
    <xf numFmtId="0" fontId="0"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14" fillId="10"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12" applyNumberFormat="0" applyAlignment="0" applyProtection="0"/>
    <xf numFmtId="0" fontId="18" fillId="14" borderId="13" applyNumberFormat="0" applyAlignment="0" applyProtection="0"/>
    <xf numFmtId="0" fontId="19" fillId="14" borderId="12" applyNumberFormat="0" applyAlignment="0" applyProtection="0"/>
    <xf numFmtId="0" fontId="20" fillId="0" borderId="14" applyNumberFormat="0" applyFill="0" applyAlignment="0" applyProtection="0"/>
    <xf numFmtId="0" fontId="21" fillId="15" borderId="15" applyNumberFormat="0" applyAlignment="0" applyProtection="0"/>
    <xf numFmtId="0" fontId="22" fillId="0" borderId="0" applyNumberFormat="0" applyFill="0" applyBorder="0" applyAlignment="0" applyProtection="0"/>
    <xf numFmtId="0" fontId="3" fillId="16" borderId="16" applyNumberFormat="0" applyFont="0" applyAlignment="0" applyProtection="0"/>
    <xf numFmtId="0" fontId="23" fillId="0" borderId="0" applyNumberFormat="0" applyFill="0" applyBorder="0" applyAlignment="0" applyProtection="0"/>
    <xf numFmtId="0" fontId="4" fillId="0" borderId="17" applyNumberFormat="0" applyFill="0" applyAlignment="0" applyProtection="0"/>
    <xf numFmtId="0" fontId="24"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4" fillId="40"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0" fontId="2" fillId="0" borderId="0"/>
    <xf numFmtId="9" fontId="3" fillId="0" borderId="0" applyFont="0" applyFill="0" applyBorder="0" applyAlignment="0" applyProtection="0"/>
    <xf numFmtId="165" fontId="2" fillId="0" borderId="0" applyFont="0" applyFill="0" applyBorder="0" applyAlignment="0" applyProtection="0"/>
    <xf numFmtId="174"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75" fontId="3"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8" fontId="33" fillId="0" borderId="0" applyFont="0" applyFill="0" applyBorder="0" applyAlignment="0" applyProtection="0"/>
    <xf numFmtId="176" fontId="2" fillId="0" borderId="0" applyFont="0" applyFill="0" applyBorder="0" applyAlignment="0" applyProtection="0"/>
    <xf numFmtId="168" fontId="3" fillId="0" borderId="0" applyFont="0" applyFill="0" applyBorder="0" applyAlignment="0" applyProtection="0"/>
    <xf numFmtId="0" fontId="34" fillId="0" borderId="0"/>
    <xf numFmtId="0" fontId="3" fillId="0" borderId="0"/>
    <xf numFmtId="0" fontId="35" fillId="0" borderId="0">
      <alignment vertical="top"/>
    </xf>
    <xf numFmtId="0" fontId="3"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164" fontId="3" fillId="0" borderId="0" applyFont="0" applyFill="0" applyBorder="0" applyAlignment="0" applyProtection="0"/>
  </cellStyleXfs>
  <cellXfs count="2000">
    <xf numFmtId="0" fontId="0" fillId="0" borderId="0" xfId="0"/>
    <xf numFmtId="0" fontId="1" fillId="0" borderId="1" xfId="0" applyFont="1" applyBorder="1" applyAlignment="1">
      <alignment horizontal="left"/>
    </xf>
    <xf numFmtId="0" fontId="1" fillId="0" borderId="1" xfId="0" applyFont="1" applyFill="1" applyBorder="1" applyAlignment="1">
      <alignment horizontal="center"/>
    </xf>
    <xf numFmtId="0" fontId="1" fillId="0" borderId="1" xfId="0" applyFont="1" applyBorder="1" applyAlignment="1">
      <alignment horizontal="center"/>
    </xf>
    <xf numFmtId="0" fontId="1" fillId="0" borderId="6" xfId="0" applyFont="1" applyFill="1" applyBorder="1" applyAlignment="1">
      <alignment horizontal="center"/>
    </xf>
    <xf numFmtId="0" fontId="0" fillId="0" borderId="0" xfId="0"/>
    <xf numFmtId="0" fontId="1" fillId="0" borderId="1" xfId="0" applyFont="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xf>
    <xf numFmtId="0" fontId="1" fillId="0" borderId="1" xfId="0" applyFont="1" applyBorder="1" applyAlignment="1">
      <alignment horizontal="center"/>
    </xf>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xf numFmtId="0" fontId="4" fillId="0" borderId="0" xfId="0" applyFont="1"/>
    <xf numFmtId="0" fontId="1" fillId="5" borderId="2" xfId="0" applyFont="1" applyFill="1" applyBorder="1" applyAlignment="1"/>
    <xf numFmtId="0" fontId="1" fillId="5" borderId="3" xfId="0" applyFont="1" applyFill="1" applyBorder="1" applyAlignment="1"/>
    <xf numFmtId="0" fontId="1" fillId="5" borderId="4" xfId="0" applyFont="1" applyFill="1" applyBorder="1" applyAlignment="1"/>
    <xf numFmtId="0" fontId="1" fillId="5" borderId="1" xfId="0" applyFont="1" applyFill="1" applyBorder="1" applyAlignment="1">
      <alignment horizontal="center"/>
    </xf>
    <xf numFmtId="0" fontId="5" fillId="0" borderId="0" xfId="0" applyFont="1" applyBorder="1" applyAlignment="1">
      <alignment horizontal="left" indent="1"/>
    </xf>
    <xf numFmtId="0" fontId="7" fillId="0" borderId="0" xfId="0" applyFont="1" applyBorder="1" applyAlignment="1">
      <alignment horizontal="left" indent="1"/>
    </xf>
    <xf numFmtId="169" fontId="6" fillId="5" borderId="0" xfId="3" applyNumberFormat="1" applyFont="1" applyFill="1" applyBorder="1" applyAlignment="1">
      <alignment horizontal="right" vertical="top"/>
    </xf>
    <xf numFmtId="169" fontId="8" fillId="5" borderId="0" xfId="3" applyNumberFormat="1" applyFont="1" applyFill="1" applyBorder="1" applyAlignment="1">
      <alignment horizontal="right" vertical="top"/>
    </xf>
    <xf numFmtId="169" fontId="8" fillId="7" borderId="0" xfId="3" applyNumberFormat="1" applyFont="1" applyFill="1" applyBorder="1" applyAlignment="1">
      <alignment horizontal="right" vertical="top"/>
    </xf>
    <xf numFmtId="0" fontId="5" fillId="5" borderId="0" xfId="0" applyFont="1" applyFill="1" applyBorder="1"/>
    <xf numFmtId="0" fontId="5" fillId="5" borderId="0" xfId="0" applyFont="1" applyFill="1" applyBorder="1" applyAlignment="1">
      <alignment horizontal="left" indent="1"/>
    </xf>
    <xf numFmtId="169" fontId="5" fillId="5" borderId="0" xfId="0" applyNumberFormat="1" applyFont="1" applyFill="1" applyBorder="1" applyAlignment="1">
      <alignment horizontal="left" indent="1"/>
    </xf>
    <xf numFmtId="0" fontId="7" fillId="5" borderId="0" xfId="0" applyFont="1" applyFill="1" applyBorder="1" applyAlignment="1">
      <alignment horizontal="left" indent="1"/>
    </xf>
    <xf numFmtId="0" fontId="7" fillId="7" borderId="0" xfId="0" applyFont="1" applyFill="1" applyBorder="1" applyAlignment="1">
      <alignment horizontal="left" indent="1"/>
    </xf>
    <xf numFmtId="0" fontId="25" fillId="41" borderId="0" xfId="0" applyFont="1" applyFill="1"/>
    <xf numFmtId="0" fontId="26" fillId="41" borderId="0" xfId="0" applyFont="1" applyFill="1"/>
    <xf numFmtId="0" fontId="26" fillId="3" borderId="0" xfId="0" applyFont="1" applyFill="1"/>
    <xf numFmtId="0" fontId="27" fillId="9" borderId="18" xfId="0" applyFont="1" applyFill="1" applyBorder="1" applyAlignment="1">
      <alignment horizontal="center" vertical="center"/>
    </xf>
    <xf numFmtId="0" fontId="28" fillId="3" borderId="18" xfId="0" applyFont="1" applyFill="1" applyBorder="1" applyAlignment="1">
      <alignment horizontal="justify" vertical="center"/>
    </xf>
    <xf numFmtId="170" fontId="2" fillId="3" borderId="18" xfId="58" applyNumberFormat="1" applyFont="1" applyFill="1" applyBorder="1" applyAlignment="1">
      <alignment horizontal="center" vertical="center"/>
    </xf>
    <xf numFmtId="171" fontId="29" fillId="3" borderId="18" xfId="56" applyNumberFormat="1" applyFont="1" applyFill="1" applyBorder="1" applyAlignment="1">
      <alignment horizontal="center" vertical="center" wrapText="1"/>
    </xf>
    <xf numFmtId="0" fontId="26" fillId="42" borderId="0" xfId="0" applyFont="1" applyFill="1"/>
    <xf numFmtId="0" fontId="31" fillId="43" borderId="1" xfId="0" applyFont="1" applyFill="1" applyBorder="1" applyAlignment="1">
      <alignment horizontal="center" vertical="center"/>
    </xf>
    <xf numFmtId="0" fontId="9" fillId="45" borderId="1" xfId="0" applyFont="1" applyFill="1" applyBorder="1" applyAlignment="1">
      <alignment vertical="center" wrapText="1"/>
    </xf>
    <xf numFmtId="172" fontId="9" fillId="46" borderId="1" xfId="56" applyNumberFormat="1" applyFont="1" applyFill="1" applyBorder="1"/>
    <xf numFmtId="172" fontId="9" fillId="0" borderId="1" xfId="56" applyNumberFormat="1" applyFont="1" applyBorder="1"/>
    <xf numFmtId="171" fontId="29" fillId="3" borderId="1" xfId="56" applyNumberFormat="1" applyFont="1" applyFill="1" applyBorder="1" applyAlignment="1">
      <alignment horizontal="center" vertical="center" wrapText="1"/>
    </xf>
    <xf numFmtId="172" fontId="9" fillId="3" borderId="1" xfId="56" applyNumberFormat="1" applyFont="1" applyFill="1" applyBorder="1"/>
    <xf numFmtId="10" fontId="32" fillId="3" borderId="1" xfId="59" applyNumberFormat="1" applyFont="1" applyFill="1" applyBorder="1" applyAlignment="1">
      <alignment horizontal="center" vertical="center"/>
    </xf>
    <xf numFmtId="10" fontId="30" fillId="3" borderId="18" xfId="59" applyNumberFormat="1" applyFont="1" applyFill="1" applyBorder="1" applyAlignment="1">
      <alignment horizontal="center" vertical="center"/>
    </xf>
    <xf numFmtId="1" fontId="36" fillId="0" borderId="1" xfId="0" applyNumberFormat="1" applyFont="1" applyBorder="1"/>
    <xf numFmtId="0" fontId="9" fillId="3" borderId="0" xfId="0" applyFont="1" applyFill="1" applyBorder="1" applyAlignment="1">
      <alignment vertical="center" wrapText="1"/>
    </xf>
    <xf numFmtId="0" fontId="9" fillId="45" borderId="1" xfId="0" applyFont="1" applyFill="1" applyBorder="1" applyAlignment="1">
      <alignment horizontal="center" vertical="center" wrapText="1"/>
    </xf>
    <xf numFmtId="170" fontId="2" fillId="3" borderId="0" xfId="58" applyNumberFormat="1" applyFont="1" applyFill="1" applyBorder="1" applyAlignment="1">
      <alignment horizontal="center" vertical="center"/>
    </xf>
    <xf numFmtId="171" fontId="26" fillId="3" borderId="0" xfId="0" applyNumberFormat="1" applyFont="1" applyFill="1"/>
    <xf numFmtId="0" fontId="36" fillId="3" borderId="1" xfId="0" applyFont="1" applyFill="1" applyBorder="1" applyAlignment="1">
      <alignment horizontal="left"/>
    </xf>
    <xf numFmtId="10" fontId="36" fillId="3" borderId="1" xfId="0" applyNumberFormat="1" applyFont="1" applyFill="1" applyBorder="1" applyAlignment="1">
      <alignment horizontal="left"/>
    </xf>
    <xf numFmtId="10" fontId="36" fillId="49" borderId="1" xfId="0" applyNumberFormat="1" applyFont="1" applyFill="1" applyBorder="1" applyAlignment="1">
      <alignment horizontal="left"/>
    </xf>
    <xf numFmtId="0" fontId="37" fillId="3" borderId="0" xfId="0" applyFont="1" applyFill="1"/>
    <xf numFmtId="0" fontId="38" fillId="3" borderId="0" xfId="0" applyFont="1" applyFill="1" applyBorder="1" applyAlignment="1">
      <alignment vertical="center"/>
    </xf>
    <xf numFmtId="0" fontId="39" fillId="6" borderId="1" xfId="1" applyFont="1" applyFill="1" applyBorder="1" applyAlignment="1">
      <alignment horizontal="center" vertical="center" wrapText="1"/>
    </xf>
    <xf numFmtId="0" fontId="37" fillId="3" borderId="1" xfId="0" applyFont="1" applyFill="1" applyBorder="1"/>
    <xf numFmtId="1" fontId="37" fillId="3" borderId="1" xfId="0" applyNumberFormat="1" applyFont="1" applyFill="1" applyBorder="1" applyAlignment="1">
      <alignment horizontal="center" vertical="center"/>
    </xf>
    <xf numFmtId="0" fontId="38" fillId="43" borderId="3" xfId="0" applyFont="1" applyFill="1" applyBorder="1" applyAlignment="1">
      <alignment horizontal="center" vertical="center"/>
    </xf>
    <xf numFmtId="1" fontId="36" fillId="3" borderId="1" xfId="0" applyNumberFormat="1" applyFont="1" applyFill="1" applyBorder="1" applyAlignment="1">
      <alignment horizontal="center"/>
    </xf>
    <xf numFmtId="1" fontId="36" fillId="3" borderId="1" xfId="0" applyNumberFormat="1" applyFont="1" applyFill="1" applyBorder="1" applyAlignment="1">
      <alignment horizontal="center" vertical="center"/>
    </xf>
    <xf numFmtId="1" fontId="36" fillId="49" borderId="1" xfId="0" applyNumberFormat="1" applyFont="1" applyFill="1" applyBorder="1" applyAlignment="1">
      <alignment horizontal="center" vertical="center"/>
    </xf>
    <xf numFmtId="3" fontId="36" fillId="49" borderId="1" xfId="0" applyNumberFormat="1" applyFont="1" applyFill="1" applyBorder="1" applyAlignment="1">
      <alignment horizontal="center" vertical="center"/>
    </xf>
    <xf numFmtId="3" fontId="36" fillId="49" borderId="1" xfId="0" applyNumberFormat="1" applyFont="1" applyFill="1" applyBorder="1" applyAlignment="1">
      <alignment horizontal="center"/>
    </xf>
    <xf numFmtId="0" fontId="37" fillId="0" borderId="1" xfId="0" applyFont="1" applyBorder="1"/>
    <xf numFmtId="0" fontId="37" fillId="3" borderId="1" xfId="0" applyFont="1" applyFill="1" applyBorder="1" applyAlignment="1">
      <alignment horizontal="left"/>
    </xf>
    <xf numFmtId="0" fontId="38" fillId="43" borderId="1" xfId="0" applyFont="1" applyFill="1" applyBorder="1" applyAlignment="1">
      <alignment horizontal="center" vertical="center"/>
    </xf>
    <xf numFmtId="0" fontId="42" fillId="45" borderId="1" xfId="0" applyFont="1" applyFill="1" applyBorder="1" applyAlignment="1">
      <alignment vertical="center" wrapText="1"/>
    </xf>
    <xf numFmtId="0" fontId="43" fillId="0" borderId="0" xfId="0" applyFont="1" applyBorder="1" applyAlignment="1">
      <alignment horizontal="left" indent="1"/>
    </xf>
    <xf numFmtId="169" fontId="43" fillId="5" borderId="0" xfId="3" applyNumberFormat="1" applyFont="1" applyFill="1" applyBorder="1" applyAlignment="1">
      <alignment horizontal="right" vertical="top"/>
    </xf>
    <xf numFmtId="169" fontId="44" fillId="5" borderId="0" xfId="3" applyNumberFormat="1" applyFont="1" applyFill="1" applyBorder="1" applyAlignment="1">
      <alignment horizontal="right" vertical="top"/>
    </xf>
    <xf numFmtId="169" fontId="44" fillId="7" borderId="0" xfId="3" applyNumberFormat="1" applyFont="1" applyFill="1" applyBorder="1" applyAlignment="1">
      <alignment horizontal="right" vertical="top"/>
    </xf>
    <xf numFmtId="0" fontId="22" fillId="0" borderId="0" xfId="0" applyFont="1"/>
    <xf numFmtId="0" fontId="36" fillId="3" borderId="0" xfId="0" applyFont="1" applyFill="1" applyBorder="1" applyAlignment="1">
      <alignment horizontal="left"/>
    </xf>
    <xf numFmtId="0" fontId="37" fillId="3" borderId="3" xfId="0" applyFont="1" applyFill="1" applyBorder="1" applyAlignment="1">
      <alignment horizontal="left"/>
    </xf>
    <xf numFmtId="0" fontId="37" fillId="9" borderId="3" xfId="0" applyFont="1" applyFill="1" applyBorder="1" applyAlignment="1">
      <alignment horizontal="left"/>
    </xf>
    <xf numFmtId="0" fontId="37" fillId="9" borderId="1" xfId="0" applyFont="1" applyFill="1" applyBorder="1" applyAlignment="1">
      <alignment horizontal="left"/>
    </xf>
    <xf numFmtId="0" fontId="37" fillId="0" borderId="3" xfId="0" applyFont="1" applyFill="1" applyBorder="1" applyAlignment="1">
      <alignment horizontal="left"/>
    </xf>
    <xf numFmtId="3" fontId="36" fillId="49" borderId="1" xfId="0" applyNumberFormat="1" applyFont="1" applyFill="1" applyBorder="1" applyAlignment="1">
      <alignment horizontal="left"/>
    </xf>
    <xf numFmtId="0" fontId="9" fillId="51" borderId="1" xfId="0" applyFont="1" applyFill="1" applyBorder="1" applyAlignment="1">
      <alignment horizontal="center" vertical="center" wrapText="1"/>
    </xf>
    <xf numFmtId="0" fontId="9" fillId="41" borderId="0" xfId="0" applyFont="1" applyFill="1"/>
    <xf numFmtId="0" fontId="37" fillId="41" borderId="0" xfId="0" applyFont="1" applyFill="1"/>
    <xf numFmtId="0" fontId="38" fillId="9" borderId="18" xfId="0" applyFont="1" applyFill="1" applyBorder="1" applyAlignment="1">
      <alignment horizontal="center" vertical="center"/>
    </xf>
    <xf numFmtId="0" fontId="36" fillId="3" borderId="18" xfId="0" applyFont="1" applyFill="1" applyBorder="1" applyAlignment="1">
      <alignment horizontal="justify" vertical="center"/>
    </xf>
    <xf numFmtId="170" fontId="36" fillId="3" borderId="18" xfId="58" applyNumberFormat="1" applyFont="1" applyFill="1" applyBorder="1" applyAlignment="1">
      <alignment horizontal="center" vertical="center"/>
    </xf>
    <xf numFmtId="171" fontId="37" fillId="3" borderId="18" xfId="56" applyNumberFormat="1" applyFont="1" applyFill="1" applyBorder="1" applyAlignment="1">
      <alignment horizontal="center" vertical="center" wrapText="1"/>
    </xf>
    <xf numFmtId="10" fontId="37" fillId="3" borderId="18" xfId="59" applyNumberFormat="1" applyFont="1" applyFill="1" applyBorder="1" applyAlignment="1">
      <alignment horizontal="center" vertical="center"/>
    </xf>
    <xf numFmtId="0" fontId="37" fillId="42" borderId="0" xfId="0" applyFont="1" applyFill="1"/>
    <xf numFmtId="0" fontId="9" fillId="9" borderId="4" xfId="0" applyFont="1" applyFill="1" applyBorder="1"/>
    <xf numFmtId="0" fontId="9" fillId="9" borderId="1" xfId="0" applyFont="1" applyFill="1" applyBorder="1"/>
    <xf numFmtId="0" fontId="37" fillId="3" borderId="0" xfId="0" applyFont="1" applyFill="1" applyBorder="1"/>
    <xf numFmtId="170" fontId="36" fillId="5" borderId="1" xfId="58" applyNumberFormat="1" applyFont="1" applyFill="1" applyBorder="1" applyAlignment="1">
      <alignment horizontal="center" vertical="center"/>
    </xf>
    <xf numFmtId="171" fontId="37" fillId="5" borderId="1" xfId="0" applyNumberFormat="1" applyFont="1" applyFill="1" applyBorder="1" applyAlignment="1">
      <alignment horizontal="center" vertical="center" wrapText="1"/>
    </xf>
    <xf numFmtId="10" fontId="37" fillId="5" borderId="1" xfId="59" applyNumberFormat="1" applyFont="1" applyFill="1" applyBorder="1" applyAlignment="1">
      <alignment horizontal="center" vertical="center"/>
    </xf>
    <xf numFmtId="170" fontId="36" fillId="41" borderId="1" xfId="58" applyNumberFormat="1" applyFont="1" applyFill="1" applyBorder="1" applyAlignment="1">
      <alignment horizontal="center" vertical="center"/>
    </xf>
    <xf numFmtId="170" fontId="36" fillId="3" borderId="0" xfId="58" applyNumberFormat="1" applyFont="1" applyFill="1" applyBorder="1" applyAlignment="1">
      <alignment horizontal="center" vertical="center"/>
    </xf>
    <xf numFmtId="171" fontId="37" fillId="3" borderId="1" xfId="56" applyNumberFormat="1" applyFont="1" applyFill="1" applyBorder="1" applyAlignment="1">
      <alignment horizontal="center" vertical="center" wrapText="1"/>
    </xf>
    <xf numFmtId="10" fontId="37" fillId="3" borderId="1" xfId="59" applyNumberFormat="1" applyFont="1" applyFill="1" applyBorder="1" applyAlignment="1">
      <alignment horizontal="center" vertical="center"/>
    </xf>
    <xf numFmtId="0" fontId="41" fillId="3" borderId="0" xfId="0" applyFont="1" applyFill="1"/>
    <xf numFmtId="0" fontId="41" fillId="0" borderId="0" xfId="0" applyFont="1" applyFill="1" applyBorder="1"/>
    <xf numFmtId="0" fontId="41" fillId="8" borderId="19" xfId="0" applyFont="1" applyFill="1" applyBorder="1"/>
    <xf numFmtId="0" fontId="41" fillId="8" borderId="20" xfId="0" applyFont="1" applyFill="1" applyBorder="1"/>
    <xf numFmtId="0" fontId="41" fillId="8" borderId="21" xfId="0" applyFont="1" applyFill="1" applyBorder="1"/>
    <xf numFmtId="170" fontId="41" fillId="3" borderId="0" xfId="58" applyNumberFormat="1" applyFont="1" applyFill="1" applyBorder="1" applyAlignment="1">
      <alignment horizontal="center" vertical="center"/>
    </xf>
    <xf numFmtId="173" fontId="36" fillId="44" borderId="24" xfId="56" applyNumberFormat="1" applyFont="1" applyFill="1" applyBorder="1" applyAlignment="1">
      <alignment horizontal="center" vertical="center" wrapText="1"/>
    </xf>
    <xf numFmtId="173" fontId="36" fillId="0" borderId="24" xfId="56" applyNumberFormat="1" applyFont="1" applyFill="1" applyBorder="1" applyAlignment="1">
      <alignment horizontal="center" vertical="center" wrapText="1"/>
    </xf>
    <xf numFmtId="173" fontId="36" fillId="0" borderId="22" xfId="56" applyNumberFormat="1" applyFont="1" applyFill="1" applyBorder="1" applyAlignment="1">
      <alignment horizontal="center" vertical="center" wrapText="1"/>
    </xf>
    <xf numFmtId="173" fontId="36" fillId="8" borderId="23" xfId="56" applyNumberFormat="1" applyFont="1" applyFill="1" applyBorder="1" applyAlignment="1">
      <alignment horizontal="center" vertical="center" wrapText="1"/>
    </xf>
    <xf numFmtId="173" fontId="36" fillId="8" borderId="24" xfId="56" applyNumberFormat="1" applyFont="1" applyFill="1" applyBorder="1" applyAlignment="1">
      <alignment horizontal="center" vertical="center" wrapText="1"/>
    </xf>
    <xf numFmtId="173" fontId="36" fillId="8" borderId="32" xfId="56" applyNumberFormat="1" applyFont="1" applyFill="1" applyBorder="1" applyAlignment="1">
      <alignment horizontal="center" vertical="center" wrapText="1"/>
    </xf>
    <xf numFmtId="173" fontId="36" fillId="0" borderId="25" xfId="56" applyNumberFormat="1" applyFont="1" applyFill="1" applyBorder="1" applyAlignment="1">
      <alignment horizontal="center" vertical="center" wrapText="1"/>
    </xf>
    <xf numFmtId="173" fontId="36" fillId="45" borderId="24" xfId="56" applyNumberFormat="1" applyFont="1" applyFill="1" applyBorder="1" applyAlignment="1">
      <alignment horizontal="center" vertical="center" wrapText="1"/>
    </xf>
    <xf numFmtId="0" fontId="41" fillId="8" borderId="26" xfId="0" applyFont="1" applyFill="1" applyBorder="1"/>
    <xf numFmtId="0" fontId="41" fillId="8" borderId="27" xfId="0" applyFont="1" applyFill="1" applyBorder="1"/>
    <xf numFmtId="0" fontId="41" fillId="8" borderId="28" xfId="0" applyFont="1" applyFill="1" applyBorder="1"/>
    <xf numFmtId="0" fontId="41" fillId="8" borderId="29" xfId="0" applyFont="1" applyFill="1" applyBorder="1"/>
    <xf numFmtId="0" fontId="41" fillId="8" borderId="0" xfId="0" applyFont="1" applyFill="1" applyBorder="1"/>
    <xf numFmtId="0" fontId="41" fillId="8" borderId="30" xfId="0" applyFont="1" applyFill="1" applyBorder="1"/>
    <xf numFmtId="171" fontId="41" fillId="3" borderId="0" xfId="0" applyNumberFormat="1" applyFont="1" applyFill="1"/>
    <xf numFmtId="173" fontId="41" fillId="44" borderId="33" xfId="56" applyNumberFormat="1" applyFont="1" applyFill="1" applyBorder="1" applyAlignment="1">
      <alignment horizontal="center" vertical="center" wrapText="1"/>
    </xf>
    <xf numFmtId="173" fontId="41" fillId="0" borderId="34" xfId="56" applyNumberFormat="1" applyFont="1" applyFill="1" applyBorder="1" applyAlignment="1">
      <alignment horizontal="center" vertical="center" wrapText="1"/>
    </xf>
    <xf numFmtId="173" fontId="41" fillId="8" borderId="19" xfId="56" applyNumberFormat="1" applyFont="1" applyFill="1" applyBorder="1" applyAlignment="1">
      <alignment horizontal="center" vertical="center" wrapText="1"/>
    </xf>
    <xf numFmtId="173" fontId="41" fillId="8" borderId="20" xfId="56" applyNumberFormat="1" applyFont="1" applyFill="1" applyBorder="1" applyAlignment="1">
      <alignment horizontal="center" vertical="center" wrapText="1"/>
    </xf>
    <xf numFmtId="173" fontId="41" fillId="8" borderId="21" xfId="56" applyNumberFormat="1" applyFont="1" applyFill="1" applyBorder="1" applyAlignment="1">
      <alignment horizontal="center" vertical="center" wrapText="1"/>
    </xf>
    <xf numFmtId="173" fontId="41" fillId="0" borderId="35" xfId="56" applyNumberFormat="1" applyFont="1" applyFill="1" applyBorder="1" applyAlignment="1">
      <alignment horizontal="center" vertical="center" wrapText="1"/>
    </xf>
    <xf numFmtId="173" fontId="41" fillId="3" borderId="0" xfId="56" applyNumberFormat="1" applyFont="1" applyFill="1" applyBorder="1" applyAlignment="1">
      <alignment horizontal="center" vertical="center" wrapText="1"/>
    </xf>
    <xf numFmtId="0" fontId="9" fillId="3" borderId="0" xfId="0" applyFont="1" applyFill="1" applyBorder="1" applyAlignment="1"/>
    <xf numFmtId="0" fontId="39" fillId="3" borderId="0" xfId="1" applyFont="1" applyFill="1" applyBorder="1" applyAlignment="1">
      <alignment horizontal="center" vertical="center" wrapText="1"/>
    </xf>
    <xf numFmtId="173" fontId="36" fillId="3" borderId="0" xfId="56" applyNumberFormat="1" applyFont="1" applyFill="1" applyBorder="1" applyAlignment="1">
      <alignment horizontal="center" vertical="center" wrapText="1"/>
    </xf>
    <xf numFmtId="0" fontId="38" fillId="43" borderId="1" xfId="0" applyFont="1" applyFill="1" applyBorder="1" applyAlignment="1">
      <alignment horizontal="center" wrapText="1"/>
    </xf>
    <xf numFmtId="0" fontId="38" fillId="3" borderId="0" xfId="0" applyFont="1" applyFill="1" applyBorder="1" applyAlignment="1">
      <alignment horizontal="center" vertical="center"/>
    </xf>
    <xf numFmtId="0" fontId="38" fillId="43" borderId="2" xfId="0" applyFont="1" applyFill="1" applyBorder="1" applyAlignment="1">
      <alignment horizontal="center" vertical="center"/>
    </xf>
    <xf numFmtId="170" fontId="36" fillId="0" borderId="1" xfId="58" applyNumberFormat="1" applyFont="1" applyFill="1" applyBorder="1" applyAlignment="1">
      <alignment horizontal="center" vertical="center"/>
    </xf>
    <xf numFmtId="3" fontId="37" fillId="3" borderId="0" xfId="0" applyNumberFormat="1" applyFont="1" applyFill="1"/>
    <xf numFmtId="4" fontId="37" fillId="3" borderId="0" xfId="0" applyNumberFormat="1" applyFont="1" applyFill="1"/>
    <xf numFmtId="0" fontId="37" fillId="3" borderId="0" xfId="0" applyFont="1" applyFill="1" applyAlignment="1">
      <alignment horizontal="center"/>
    </xf>
    <xf numFmtId="0" fontId="37" fillId="3" borderId="1" xfId="0" applyFont="1" applyFill="1" applyBorder="1" applyAlignment="1">
      <alignment horizontal="center" vertical="center"/>
    </xf>
    <xf numFmtId="3" fontId="37" fillId="3" borderId="1" xfId="0" applyNumberFormat="1" applyFont="1" applyFill="1" applyBorder="1" applyAlignment="1">
      <alignment horizontal="center" vertical="center"/>
    </xf>
    <xf numFmtId="3" fontId="37" fillId="3" borderId="2" xfId="0" applyNumberFormat="1" applyFont="1" applyFill="1" applyBorder="1" applyAlignment="1">
      <alignment horizontal="center" vertical="center"/>
    </xf>
    <xf numFmtId="1" fontId="37" fillId="3" borderId="0" xfId="0" applyNumberFormat="1" applyFont="1" applyFill="1" applyBorder="1" applyAlignment="1">
      <alignment horizontal="center" vertical="center"/>
    </xf>
    <xf numFmtId="3" fontId="37" fillId="3" borderId="1" xfId="0" applyNumberFormat="1" applyFont="1" applyFill="1" applyBorder="1" applyAlignment="1">
      <alignment horizontal="center"/>
    </xf>
    <xf numFmtId="3" fontId="37" fillId="3" borderId="2" xfId="0" applyNumberFormat="1" applyFont="1" applyFill="1" applyBorder="1" applyAlignment="1">
      <alignment horizontal="center"/>
    </xf>
    <xf numFmtId="1" fontId="37" fillId="3" borderId="0" xfId="0" applyNumberFormat="1" applyFont="1" applyFill="1" applyBorder="1" applyAlignment="1">
      <alignment horizontal="center"/>
    </xf>
    <xf numFmtId="177" fontId="37" fillId="5" borderId="1" xfId="59" applyNumberFormat="1" applyFont="1" applyFill="1" applyBorder="1" applyAlignment="1">
      <alignment horizontal="center" vertical="center"/>
    </xf>
    <xf numFmtId="1" fontId="37" fillId="3" borderId="0" xfId="0" applyNumberFormat="1" applyFont="1" applyFill="1"/>
    <xf numFmtId="10" fontId="37" fillId="3" borderId="1" xfId="0" applyNumberFormat="1" applyFont="1" applyFill="1" applyBorder="1" applyAlignment="1">
      <alignment horizontal="center" vertical="center"/>
    </xf>
    <xf numFmtId="1" fontId="37" fillId="3" borderId="1" xfId="0" applyNumberFormat="1" applyFont="1" applyFill="1" applyBorder="1" applyAlignment="1">
      <alignment horizontal="center"/>
    </xf>
    <xf numFmtId="0" fontId="37" fillId="0" borderId="0" xfId="0" applyFont="1" applyFill="1"/>
    <xf numFmtId="0" fontId="42" fillId="3" borderId="0" xfId="0" applyFont="1" applyFill="1" applyBorder="1" applyAlignment="1">
      <alignment vertical="center"/>
    </xf>
    <xf numFmtId="2" fontId="38" fillId="3" borderId="0" xfId="0" applyNumberFormat="1" applyFont="1" applyFill="1" applyBorder="1" applyAlignment="1">
      <alignment vertical="center"/>
    </xf>
    <xf numFmtId="1" fontId="37" fillId="3" borderId="0" xfId="0" applyNumberFormat="1" applyFont="1" applyFill="1" applyBorder="1"/>
    <xf numFmtId="0" fontId="37" fillId="0" borderId="0" xfId="0" applyFont="1"/>
    <xf numFmtId="0" fontId="38" fillId="8" borderId="1" xfId="0" applyFont="1" applyFill="1" applyBorder="1" applyAlignment="1">
      <alignment horizontal="center" vertical="center" wrapText="1"/>
    </xf>
    <xf numFmtId="0" fontId="36" fillId="0" borderId="1" xfId="0" applyFont="1" applyBorder="1" applyAlignment="1">
      <alignment horizontal="left" vertical="top" wrapText="1"/>
    </xf>
    <xf numFmtId="170" fontId="37" fillId="0" borderId="1" xfId="0" applyNumberFormat="1" applyFont="1" applyBorder="1"/>
    <xf numFmtId="170" fontId="36" fillId="0" borderId="1" xfId="0" applyNumberFormat="1" applyFont="1" applyBorder="1"/>
    <xf numFmtId="1" fontId="37" fillId="0" borderId="1" xfId="0" applyNumberFormat="1" applyFont="1" applyBorder="1"/>
    <xf numFmtId="170" fontId="36" fillId="0" borderId="1" xfId="0" applyNumberFormat="1" applyFont="1" applyFill="1" applyBorder="1"/>
    <xf numFmtId="0" fontId="37" fillId="0" borderId="1" xfId="0" applyFont="1" applyBorder="1" applyAlignment="1">
      <alignment horizontal="center"/>
    </xf>
    <xf numFmtId="0" fontId="36" fillId="0" borderId="1" xfId="0" applyFont="1" applyBorder="1" applyAlignment="1">
      <alignment horizontal="left" wrapText="1"/>
    </xf>
    <xf numFmtId="0" fontId="36" fillId="8" borderId="1" xfId="0" applyFont="1" applyFill="1" applyBorder="1" applyAlignment="1">
      <alignment horizontal="left" vertical="top" wrapText="1"/>
    </xf>
    <xf numFmtId="1" fontId="37" fillId="8" borderId="1" xfId="0" applyNumberFormat="1" applyFont="1" applyFill="1" applyBorder="1"/>
    <xf numFmtId="170" fontId="36" fillId="8" borderId="1" xfId="0" applyNumberFormat="1" applyFont="1" applyFill="1" applyBorder="1" applyAlignment="1">
      <alignment horizontal="right" vertical="top" wrapText="1"/>
    </xf>
    <xf numFmtId="0" fontId="37" fillId="0" borderId="0" xfId="0" applyFont="1" applyAlignment="1">
      <alignment horizontal="right" vertical="center"/>
    </xf>
    <xf numFmtId="0" fontId="36" fillId="0" borderId="1" xfId="0" applyFont="1" applyBorder="1" applyAlignment="1">
      <alignment horizontal="right" vertical="center"/>
    </xf>
    <xf numFmtId="10" fontId="36" fillId="0" borderId="1" xfId="57" applyNumberFormat="1" applyFont="1" applyBorder="1" applyAlignment="1">
      <alignment horizontal="right" vertical="center"/>
    </xf>
    <xf numFmtId="0" fontId="37" fillId="0" borderId="0" xfId="0" applyFont="1" applyBorder="1" applyAlignment="1"/>
    <xf numFmtId="0" fontId="38" fillId="45" borderId="1" xfId="0" applyFont="1" applyFill="1" applyBorder="1" applyAlignment="1">
      <alignment horizontal="center" vertical="center" wrapText="1"/>
    </xf>
    <xf numFmtId="0" fontId="38" fillId="45" borderId="1" xfId="0" applyFont="1" applyFill="1" applyBorder="1" applyAlignment="1">
      <alignment horizontal="center" vertical="center"/>
    </xf>
    <xf numFmtId="0" fontId="38" fillId="5" borderId="1" xfId="0" applyFont="1" applyFill="1" applyBorder="1" applyAlignment="1">
      <alignment horizontal="center" vertical="center"/>
    </xf>
    <xf numFmtId="0" fontId="36" fillId="0" borderId="1" xfId="0" applyFont="1" applyBorder="1" applyAlignment="1">
      <alignment horizontal="right" vertical="top" wrapText="1"/>
    </xf>
    <xf numFmtId="1" fontId="37" fillId="0" borderId="1" xfId="0" applyNumberFormat="1" applyFont="1" applyBorder="1" applyAlignment="1">
      <alignment horizontal="right" vertical="center"/>
    </xf>
    <xf numFmtId="1" fontId="37" fillId="3" borderId="0" xfId="0" applyNumberFormat="1" applyFont="1" applyFill="1" applyBorder="1" applyAlignment="1">
      <alignment horizontal="right" vertical="center"/>
    </xf>
    <xf numFmtId="0" fontId="37" fillId="0" borderId="1" xfId="0" applyFont="1" applyBorder="1" applyAlignment="1">
      <alignment horizontal="right" vertical="center"/>
    </xf>
    <xf numFmtId="0" fontId="37" fillId="3" borderId="0" xfId="0" applyFont="1" applyFill="1" applyBorder="1" applyAlignment="1">
      <alignment horizontal="right" vertical="center"/>
    </xf>
    <xf numFmtId="170" fontId="37" fillId="0" borderId="1" xfId="0" applyNumberFormat="1" applyFont="1" applyFill="1" applyBorder="1"/>
    <xf numFmtId="0" fontId="36" fillId="0" borderId="1" xfId="0" applyFont="1" applyBorder="1" applyAlignment="1">
      <alignment horizontal="right" wrapText="1"/>
    </xf>
    <xf numFmtId="170" fontId="36" fillId="3" borderId="0" xfId="0" applyNumberFormat="1" applyFont="1" applyFill="1" applyBorder="1" applyAlignment="1">
      <alignment horizontal="right" vertical="top" wrapText="1"/>
    </xf>
    <xf numFmtId="10" fontId="36" fillId="3" borderId="0" xfId="57" applyNumberFormat="1" applyFont="1" applyFill="1" applyBorder="1" applyAlignment="1">
      <alignment horizontal="right" vertical="center"/>
    </xf>
    <xf numFmtId="1" fontId="36" fillId="0" borderId="1" xfId="0" applyNumberFormat="1" applyFont="1" applyBorder="1" applyAlignment="1">
      <alignment horizontal="right" vertical="top" wrapText="1"/>
    </xf>
    <xf numFmtId="170" fontId="36" fillId="3" borderId="1" xfId="0" applyNumberFormat="1" applyFont="1" applyFill="1" applyBorder="1"/>
    <xf numFmtId="1" fontId="37" fillId="3" borderId="1" xfId="0" applyNumberFormat="1" applyFont="1" applyFill="1" applyBorder="1" applyAlignment="1">
      <alignment horizontal="right" vertical="center"/>
    </xf>
    <xf numFmtId="170" fontId="37" fillId="3" borderId="1" xfId="0" applyNumberFormat="1" applyFont="1" applyFill="1" applyBorder="1"/>
    <xf numFmtId="170" fontId="36" fillId="3" borderId="0" xfId="0" applyNumberFormat="1" applyFont="1" applyFill="1" applyBorder="1"/>
    <xf numFmtId="0" fontId="37" fillId="3" borderId="1" xfId="0" applyFont="1" applyFill="1" applyBorder="1" applyAlignment="1">
      <alignment horizontal="right" vertical="center"/>
    </xf>
    <xf numFmtId="0" fontId="38" fillId="3" borderId="0" xfId="0" applyFont="1" applyFill="1" applyBorder="1" applyAlignment="1">
      <alignment horizontal="center" vertical="center" wrapText="1"/>
    </xf>
    <xf numFmtId="0" fontId="37" fillId="3" borderId="0" xfId="0" applyFont="1" applyFill="1" applyBorder="1" applyAlignment="1"/>
    <xf numFmtId="170" fontId="37" fillId="3" borderId="0" xfId="0" applyNumberFormat="1" applyFont="1" applyFill="1" applyBorder="1"/>
    <xf numFmtId="0" fontId="37" fillId="0" borderId="1" xfId="0" applyFont="1" applyBorder="1" applyAlignment="1">
      <alignment horizontal="left" vertical="top" wrapText="1"/>
    </xf>
    <xf numFmtId="0" fontId="38" fillId="8" borderId="1" xfId="0" applyFont="1" applyFill="1" applyBorder="1" applyAlignment="1">
      <alignment horizontal="left" vertical="top" wrapText="1"/>
    </xf>
    <xf numFmtId="0" fontId="37" fillId="0" borderId="0" xfId="0" applyFont="1" applyAlignment="1">
      <alignment horizontal="center"/>
    </xf>
    <xf numFmtId="1" fontId="37" fillId="0" borderId="1" xfId="0" applyNumberFormat="1" applyFont="1" applyBorder="1" applyAlignment="1">
      <alignment horizontal="center"/>
    </xf>
    <xf numFmtId="0" fontId="37" fillId="3" borderId="0" xfId="0" applyFont="1" applyFill="1" applyAlignment="1">
      <alignment horizontal="right" vertical="center"/>
    </xf>
    <xf numFmtId="0" fontId="36" fillId="3" borderId="0" xfId="0" applyFont="1" applyFill="1" applyBorder="1" applyAlignment="1">
      <alignment horizontal="right" vertical="center"/>
    </xf>
    <xf numFmtId="169" fontId="0" fillId="0" borderId="0" xfId="0" applyNumberFormat="1"/>
    <xf numFmtId="0" fontId="38" fillId="47" borderId="1" xfId="0" applyFont="1" applyFill="1" applyBorder="1"/>
    <xf numFmtId="0" fontId="37" fillId="50" borderId="1" xfId="0" applyFont="1" applyFill="1" applyBorder="1"/>
    <xf numFmtId="0" fontId="37" fillId="0" borderId="1" xfId="0" applyFont="1" applyFill="1" applyBorder="1"/>
    <xf numFmtId="10" fontId="36" fillId="0" borderId="1" xfId="57" applyNumberFormat="1" applyFont="1" applyBorder="1" applyAlignment="1">
      <alignment horizontal="center" vertical="center"/>
    </xf>
    <xf numFmtId="0" fontId="45" fillId="3" borderId="1" xfId="0" applyFont="1" applyFill="1" applyBorder="1" applyAlignment="1">
      <alignment horizontal="justify" vertical="center" wrapText="1"/>
    </xf>
    <xf numFmtId="0" fontId="40" fillId="0" borderId="0" xfId="0" applyFont="1" applyAlignment="1">
      <alignment horizontal="justify" vertical="center" wrapText="1"/>
    </xf>
    <xf numFmtId="0" fontId="37" fillId="0" borderId="0" xfId="0" applyFont="1" applyAlignment="1">
      <alignment horizontal="justify" vertical="center" wrapText="1"/>
    </xf>
    <xf numFmtId="0" fontId="36" fillId="3" borderId="1" xfId="0" applyFont="1" applyFill="1" applyBorder="1" applyAlignment="1">
      <alignment horizontal="center"/>
    </xf>
    <xf numFmtId="0" fontId="37" fillId="3" borderId="1" xfId="0" applyFont="1" applyFill="1" applyBorder="1" applyAlignment="1">
      <alignment horizontal="center"/>
    </xf>
    <xf numFmtId="10" fontId="37" fillId="3" borderId="0" xfId="0" applyNumberFormat="1" applyFont="1" applyFill="1" applyAlignment="1">
      <alignment horizontal="right" vertical="center"/>
    </xf>
    <xf numFmtId="0" fontId="9" fillId="3" borderId="0" xfId="0" applyFont="1" applyFill="1" applyAlignment="1">
      <alignment vertical="center"/>
    </xf>
    <xf numFmtId="0" fontId="9" fillId="3" borderId="0" xfId="0" applyFont="1" applyFill="1"/>
    <xf numFmtId="10" fontId="9" fillId="50" borderId="3" xfId="0" applyNumberFormat="1" applyFont="1" applyFill="1" applyBorder="1"/>
    <xf numFmtId="0" fontId="9" fillId="50" borderId="2" xfId="0" applyFont="1" applyFill="1" applyBorder="1"/>
    <xf numFmtId="0" fontId="9" fillId="50" borderId="3" xfId="0" applyFont="1" applyFill="1" applyBorder="1"/>
    <xf numFmtId="0" fontId="9" fillId="50" borderId="4" xfId="0" applyFont="1" applyFill="1" applyBorder="1"/>
    <xf numFmtId="178" fontId="36" fillId="3" borderId="1" xfId="0" applyNumberFormat="1" applyFont="1" applyFill="1" applyBorder="1" applyAlignment="1">
      <alignment horizontal="center" vertical="center"/>
    </xf>
    <xf numFmtId="4" fontId="36" fillId="3" borderId="0" xfId="0" applyNumberFormat="1" applyFont="1" applyFill="1" applyBorder="1" applyAlignment="1">
      <alignment vertical="center"/>
    </xf>
    <xf numFmtId="10" fontId="36" fillId="3" borderId="0" xfId="0" applyNumberFormat="1" applyFont="1" applyFill="1" applyBorder="1" applyAlignment="1">
      <alignment horizontal="center" vertical="center"/>
    </xf>
    <xf numFmtId="165" fontId="36" fillId="3" borderId="0" xfId="56" applyNumberFormat="1" applyFont="1" applyFill="1" applyBorder="1" applyAlignment="1">
      <alignment horizontal="center" vertical="center" wrapText="1"/>
    </xf>
    <xf numFmtId="0" fontId="37" fillId="9" borderId="0" xfId="0" applyFont="1" applyFill="1"/>
    <xf numFmtId="0" fontId="37" fillId="9" borderId="1" xfId="0" applyFont="1" applyFill="1" applyBorder="1"/>
    <xf numFmtId="0" fontId="9" fillId="51" borderId="1" xfId="0" applyFont="1" applyFill="1" applyBorder="1" applyAlignment="1">
      <alignment horizontal="center" vertical="center"/>
    </xf>
    <xf numFmtId="0" fontId="9" fillId="3" borderId="1" xfId="0" applyFont="1" applyFill="1" applyBorder="1" applyAlignment="1">
      <alignment horizontal="center" vertical="center"/>
    </xf>
    <xf numFmtId="0" fontId="38" fillId="43" borderId="1" xfId="0" applyFont="1" applyFill="1" applyBorder="1" applyAlignment="1">
      <alignment horizontal="center" vertical="center"/>
    </xf>
    <xf numFmtId="0" fontId="38" fillId="43" borderId="5" xfId="0" applyFont="1" applyFill="1" applyBorder="1" applyAlignment="1">
      <alignment horizontal="center" vertical="center"/>
    </xf>
    <xf numFmtId="0" fontId="38" fillId="43" borderId="7" xfId="0" applyFont="1" applyFill="1" applyBorder="1" applyAlignment="1">
      <alignment horizontal="center" vertical="center"/>
    </xf>
    <xf numFmtId="0" fontId="37" fillId="0" borderId="0" xfId="0" applyFont="1" applyAlignment="1">
      <alignment vertical="center"/>
    </xf>
    <xf numFmtId="0" fontId="37" fillId="3" borderId="0" xfId="0" applyFont="1" applyFill="1" applyAlignment="1">
      <alignment vertical="center"/>
    </xf>
    <xf numFmtId="0" fontId="38" fillId="45" borderId="1" xfId="0" applyFont="1" applyFill="1" applyBorder="1" applyAlignment="1">
      <alignment horizontal="center"/>
    </xf>
    <xf numFmtId="0" fontId="38" fillId="0" borderId="1" xfId="0" applyFont="1" applyBorder="1"/>
    <xf numFmtId="179" fontId="46" fillId="0" borderId="1" xfId="1" applyNumberFormat="1" applyFont="1" applyFill="1" applyBorder="1" applyAlignment="1" applyProtection="1">
      <alignment horizontal="center"/>
    </xf>
    <xf numFmtId="179" fontId="46" fillId="50" borderId="1" xfId="1" applyNumberFormat="1" applyFont="1" applyFill="1" applyBorder="1" applyAlignment="1" applyProtection="1">
      <alignment horizontal="center"/>
    </xf>
    <xf numFmtId="179" fontId="47" fillId="50" borderId="1" xfId="1" applyNumberFormat="1" applyFont="1" applyFill="1" applyBorder="1" applyAlignment="1" applyProtection="1">
      <alignment horizontal="center"/>
    </xf>
    <xf numFmtId="3" fontId="37" fillId="0" borderId="1" xfId="0" applyNumberFormat="1" applyFont="1" applyBorder="1"/>
    <xf numFmtId="3" fontId="37" fillId="0" borderId="36" xfId="0" applyNumberFormat="1" applyFont="1" applyBorder="1"/>
    <xf numFmtId="3" fontId="38" fillId="0" borderId="1" xfId="0" applyNumberFormat="1" applyFont="1" applyBorder="1"/>
    <xf numFmtId="3" fontId="38" fillId="0" borderId="36" xfId="0" applyNumberFormat="1" applyFont="1" applyBorder="1"/>
    <xf numFmtId="0" fontId="9" fillId="3" borderId="1" xfId="0" applyFont="1" applyFill="1" applyBorder="1" applyAlignment="1">
      <alignment horizontal="center" vertical="center"/>
    </xf>
    <xf numFmtId="0" fontId="38" fillId="43" borderId="5" xfId="0" applyFont="1" applyFill="1" applyBorder="1" applyAlignment="1">
      <alignment horizontal="center" vertical="center"/>
    </xf>
    <xf numFmtId="0" fontId="38" fillId="43" borderId="7" xfId="0" applyFont="1" applyFill="1" applyBorder="1" applyAlignment="1">
      <alignment horizontal="center" vertical="center"/>
    </xf>
    <xf numFmtId="0" fontId="0" fillId="42" borderId="0" xfId="0" applyFill="1"/>
    <xf numFmtId="0" fontId="37" fillId="3" borderId="0" xfId="0" applyFont="1" applyFill="1" applyAlignment="1">
      <alignment horizontal="center" vertical="center"/>
    </xf>
    <xf numFmtId="0" fontId="48" fillId="57" borderId="1" xfId="0" applyFont="1" applyFill="1" applyBorder="1" applyAlignment="1">
      <alignment horizontal="center" vertical="center" wrapText="1"/>
    </xf>
    <xf numFmtId="179" fontId="46" fillId="0" borderId="1" xfId="0" applyNumberFormat="1" applyFont="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180" fontId="37" fillId="3" borderId="1" xfId="56" applyNumberFormat="1" applyFont="1" applyFill="1" applyBorder="1" applyAlignment="1">
      <alignment horizontal="center" vertical="center" wrapText="1"/>
    </xf>
    <xf numFmtId="1" fontId="37" fillId="3" borderId="0" xfId="0" applyNumberFormat="1" applyFont="1" applyFill="1" applyAlignment="1">
      <alignment vertical="center"/>
    </xf>
    <xf numFmtId="0" fontId="37" fillId="53" borderId="0" xfId="0" applyFont="1" applyFill="1"/>
    <xf numFmtId="0" fontId="36" fillId="3" borderId="1" xfId="0" applyFont="1" applyFill="1" applyBorder="1" applyAlignment="1">
      <alignment horizontal="center" vertical="center"/>
    </xf>
    <xf numFmtId="3" fontId="36" fillId="3" borderId="1" xfId="0" applyNumberFormat="1" applyFont="1" applyFill="1" applyBorder="1" applyAlignment="1">
      <alignment horizontal="center" vertical="center"/>
    </xf>
    <xf numFmtId="0" fontId="38" fillId="49" borderId="1" xfId="0" applyFont="1" applyFill="1" applyBorder="1" applyAlignment="1"/>
    <xf numFmtId="3" fontId="36" fillId="4" borderId="1" xfId="0" applyNumberFormat="1" applyFont="1" applyFill="1" applyBorder="1" applyAlignment="1">
      <alignment horizontal="center"/>
    </xf>
    <xf numFmtId="3" fontId="36" fillId="3" borderId="1" xfId="0" applyNumberFormat="1" applyFont="1" applyFill="1" applyBorder="1" applyAlignment="1">
      <alignment horizontal="center"/>
    </xf>
    <xf numFmtId="0" fontId="36" fillId="3" borderId="1" xfId="0" applyFont="1" applyFill="1" applyBorder="1" applyAlignment="1">
      <alignment horizontal="justify" vertical="center"/>
    </xf>
    <xf numFmtId="4" fontId="37" fillId="3" borderId="0" xfId="0" applyNumberFormat="1" applyFont="1" applyFill="1" applyAlignment="1">
      <alignment vertical="center"/>
    </xf>
    <xf numFmtId="3" fontId="37" fillId="3" borderId="0" xfId="0" applyNumberFormat="1" applyFont="1" applyFill="1" applyAlignment="1">
      <alignment vertical="center"/>
    </xf>
    <xf numFmtId="0" fontId="9" fillId="0" borderId="0" xfId="0" applyFont="1"/>
    <xf numFmtId="0" fontId="9" fillId="0" borderId="1" xfId="0" applyFont="1" applyBorder="1" applyAlignment="1">
      <alignment vertical="center"/>
    </xf>
    <xf numFmtId="0" fontId="9" fillId="0" borderId="1" xfId="0" applyFont="1" applyBorder="1" applyAlignment="1">
      <alignment vertical="center" wrapText="1"/>
    </xf>
    <xf numFmtId="0" fontId="37" fillId="3" borderId="1" xfId="0" applyFont="1" applyFill="1" applyBorder="1" applyAlignment="1">
      <alignment vertical="center"/>
    </xf>
    <xf numFmtId="3" fontId="37" fillId="3" borderId="1" xfId="0" applyNumberFormat="1" applyFont="1" applyFill="1" applyBorder="1" applyAlignment="1">
      <alignment vertical="center"/>
    </xf>
    <xf numFmtId="3" fontId="37" fillId="3" borderId="0" xfId="0" applyNumberFormat="1" applyFont="1" applyFill="1" applyAlignment="1">
      <alignment horizontal="center" vertical="center"/>
    </xf>
    <xf numFmtId="0" fontId="37" fillId="41" borderId="0" xfId="0" applyFont="1" applyFill="1" applyAlignment="1">
      <alignment vertical="center"/>
    </xf>
    <xf numFmtId="0" fontId="37" fillId="42" borderId="0" xfId="0" applyFont="1" applyFill="1" applyAlignment="1">
      <alignment vertical="center"/>
    </xf>
    <xf numFmtId="0" fontId="41" fillId="3" borderId="0" xfId="0" applyFont="1" applyFill="1" applyAlignment="1">
      <alignment vertical="center"/>
    </xf>
    <xf numFmtId="0" fontId="36" fillId="3" borderId="1" xfId="0" applyFont="1" applyFill="1" applyBorder="1" applyAlignment="1">
      <alignment horizontal="left" vertical="center"/>
    </xf>
    <xf numFmtId="172" fontId="9" fillId="3" borderId="1" xfId="56" applyNumberFormat="1" applyFont="1" applyFill="1" applyBorder="1" applyAlignment="1">
      <alignment vertical="center"/>
    </xf>
    <xf numFmtId="0" fontId="37" fillId="3" borderId="0" xfId="0" applyFont="1" applyFill="1" applyBorder="1" applyAlignment="1">
      <alignment vertical="center"/>
    </xf>
    <xf numFmtId="0" fontId="9" fillId="3" borderId="0" xfId="0" applyFont="1" applyFill="1" applyBorder="1" applyAlignment="1">
      <alignment vertical="center"/>
    </xf>
    <xf numFmtId="0" fontId="9" fillId="0" borderId="0" xfId="0" applyFont="1" applyFill="1" applyBorder="1" applyAlignment="1">
      <alignment vertical="center"/>
    </xf>
    <xf numFmtId="1" fontId="37" fillId="4" borderId="1" xfId="0" applyNumberFormat="1" applyFont="1" applyFill="1" applyBorder="1" applyAlignment="1">
      <alignment vertical="center"/>
    </xf>
    <xf numFmtId="3" fontId="37" fillId="4" borderId="1" xfId="0" applyNumberFormat="1" applyFont="1" applyFill="1" applyBorder="1" applyAlignment="1">
      <alignment horizontal="center" vertical="center"/>
    </xf>
    <xf numFmtId="0" fontId="37" fillId="0" borderId="1" xfId="0" applyFont="1" applyBorder="1" applyAlignment="1">
      <alignment horizontal="center" vertical="center"/>
    </xf>
    <xf numFmtId="3" fontId="37" fillId="0" borderId="1" xfId="0" applyNumberFormat="1" applyFont="1" applyBorder="1" applyAlignment="1">
      <alignment horizontal="center" vertical="center"/>
    </xf>
    <xf numFmtId="3" fontId="9" fillId="51" borderId="1" xfId="0" applyNumberFormat="1" applyFont="1" applyFill="1" applyBorder="1" applyAlignment="1">
      <alignment horizontal="center" vertical="center"/>
    </xf>
    <xf numFmtId="0" fontId="51" fillId="0" borderId="1" xfId="0" applyFont="1" applyBorder="1" applyAlignment="1">
      <alignment horizontal="justify" vertical="center"/>
    </xf>
    <xf numFmtId="0" fontId="51" fillId="9" borderId="1" xfId="0" applyFont="1" applyFill="1" applyBorder="1" applyAlignment="1">
      <alignment horizontal="center" vertical="center" wrapText="1" readingOrder="1"/>
    </xf>
    <xf numFmtId="0" fontId="51" fillId="3" borderId="1" xfId="0" applyFont="1" applyFill="1" applyBorder="1" applyAlignment="1">
      <alignment horizontal="center" vertical="center" wrapText="1" readingOrder="1"/>
    </xf>
    <xf numFmtId="0" fontId="51" fillId="3" borderId="1" xfId="0" applyFont="1" applyFill="1" applyBorder="1" applyAlignment="1">
      <alignment horizontal="justify" vertical="center"/>
    </xf>
    <xf numFmtId="0" fontId="0" fillId="3" borderId="0" xfId="0" applyFill="1"/>
    <xf numFmtId="0" fontId="0" fillId="3" borderId="0" xfId="0" applyFill="1" applyBorder="1"/>
    <xf numFmtId="0" fontId="37" fillId="0" borderId="1" xfId="0" applyFont="1" applyBorder="1" applyAlignment="1">
      <alignment horizontal="justify" vertical="center" wrapText="1"/>
    </xf>
    <xf numFmtId="0" fontId="52" fillId="3" borderId="0" xfId="0" applyFont="1" applyFill="1"/>
    <xf numFmtId="0" fontId="37" fillId="3" borderId="1" xfId="0" applyFont="1" applyFill="1" applyBorder="1" applyAlignment="1">
      <alignment horizontal="center" vertical="center" textRotation="90"/>
    </xf>
    <xf numFmtId="0" fontId="40" fillId="0" borderId="1" xfId="0" applyFont="1" applyBorder="1" applyAlignment="1">
      <alignment horizontal="justify" vertical="center" wrapText="1"/>
    </xf>
    <xf numFmtId="0" fontId="51" fillId="58" borderId="1" xfId="0" applyFont="1" applyFill="1" applyBorder="1" applyAlignment="1">
      <alignment horizontal="center" vertical="center" wrapText="1"/>
    </xf>
    <xf numFmtId="0" fontId="51" fillId="58" borderId="4" xfId="0" applyFont="1" applyFill="1" applyBorder="1" applyAlignment="1">
      <alignment horizontal="justify" vertical="center" wrapText="1"/>
    </xf>
    <xf numFmtId="0" fontId="51" fillId="3" borderId="5" xfId="0" applyFont="1" applyFill="1" applyBorder="1" applyAlignment="1">
      <alignment horizontal="center" vertical="center" wrapText="1" readingOrder="1"/>
    </xf>
    <xf numFmtId="0" fontId="51" fillId="3" borderId="7" xfId="0" applyFont="1" applyFill="1" applyBorder="1" applyAlignment="1">
      <alignment horizontal="center" vertical="center" wrapText="1" readingOrder="1"/>
    </xf>
    <xf numFmtId="0" fontId="51" fillId="3" borderId="6" xfId="0" applyFont="1" applyFill="1" applyBorder="1" applyAlignment="1">
      <alignment horizontal="center" vertical="center" wrapText="1" readingOrder="1"/>
    </xf>
    <xf numFmtId="0" fontId="51" fillId="58" borderId="1" xfId="0" applyFont="1" applyFill="1" applyBorder="1" applyAlignment="1">
      <alignment vertical="center"/>
    </xf>
    <xf numFmtId="0" fontId="51" fillId="58" borderId="1" xfId="0" applyFont="1" applyFill="1" applyBorder="1" applyAlignment="1">
      <alignment horizontal="center" vertical="center"/>
    </xf>
    <xf numFmtId="0" fontId="51" fillId="58" borderId="1" xfId="0" applyFont="1" applyFill="1" applyBorder="1" applyAlignment="1">
      <alignment horizontal="justify" vertical="center"/>
    </xf>
    <xf numFmtId="0" fontId="41" fillId="3" borderId="0" xfId="0" applyFont="1" applyFill="1" applyAlignment="1">
      <alignment horizontal="center" vertical="center"/>
    </xf>
    <xf numFmtId="0" fontId="37" fillId="3" borderId="0" xfId="0" applyFont="1" applyFill="1" applyBorder="1" applyAlignment="1">
      <alignment horizontal="center" vertical="center"/>
    </xf>
    <xf numFmtId="0" fontId="51" fillId="3" borderId="0" xfId="0" applyFont="1" applyFill="1" applyBorder="1" applyAlignment="1">
      <alignment vertical="center" wrapText="1" readingOrder="1"/>
    </xf>
    <xf numFmtId="3" fontId="36" fillId="4" borderId="1" xfId="0" applyNumberFormat="1" applyFont="1" applyFill="1" applyBorder="1" applyAlignment="1">
      <alignment horizontal="center" vertical="center"/>
    </xf>
    <xf numFmtId="0" fontId="38" fillId="2" borderId="0" xfId="1" applyFont="1" applyFill="1" applyAlignment="1">
      <alignment horizontal="left" vertical="center"/>
    </xf>
    <xf numFmtId="0" fontId="36" fillId="2" borderId="0" xfId="1" applyFont="1" applyFill="1" applyAlignment="1">
      <alignment vertical="center"/>
    </xf>
    <xf numFmtId="0" fontId="36" fillId="2" borderId="0" xfId="1" applyFont="1" applyFill="1" applyBorder="1" applyAlignment="1">
      <alignment horizontal="center" vertical="center" wrapText="1"/>
    </xf>
    <xf numFmtId="0" fontId="36" fillId="2" borderId="0" xfId="1" applyFont="1" applyFill="1" applyBorder="1" applyAlignment="1">
      <alignment vertical="center"/>
    </xf>
    <xf numFmtId="0" fontId="36" fillId="0" borderId="0" xfId="1" applyFont="1" applyBorder="1" applyAlignment="1">
      <alignment horizontal="center" vertical="top" wrapText="1"/>
    </xf>
    <xf numFmtId="0" fontId="9" fillId="6" borderId="1" xfId="1" applyFont="1" applyFill="1" applyBorder="1" applyAlignment="1">
      <alignment horizontal="center" vertical="center" wrapText="1"/>
    </xf>
    <xf numFmtId="0" fontId="9" fillId="6" borderId="1" xfId="1" applyFont="1" applyFill="1" applyBorder="1" applyAlignment="1">
      <alignment horizontal="center" vertical="center"/>
    </xf>
    <xf numFmtId="0" fontId="38" fillId="3" borderId="0" xfId="1" applyFont="1" applyFill="1" applyAlignment="1">
      <alignment horizontal="left" indent="1"/>
    </xf>
    <xf numFmtId="0" fontId="36" fillId="3" borderId="0" xfId="1" applyFont="1" applyFill="1" applyBorder="1" applyAlignment="1">
      <alignment vertical="top" wrapText="1"/>
    </xf>
    <xf numFmtId="0" fontId="36" fillId="3" borderId="0" xfId="1" applyFont="1" applyFill="1" applyBorder="1" applyAlignment="1">
      <alignment horizontal="center" vertical="center" wrapText="1"/>
    </xf>
    <xf numFmtId="0" fontId="36" fillId="3" borderId="0" xfId="1" applyFont="1" applyFill="1" applyBorder="1"/>
    <xf numFmtId="0" fontId="36" fillId="3" borderId="0" xfId="1" applyFont="1" applyFill="1"/>
    <xf numFmtId="0" fontId="36" fillId="3" borderId="0" xfId="1" applyFont="1" applyFill="1" applyBorder="1" applyAlignment="1">
      <alignment horizontal="center" vertical="top" wrapText="1"/>
    </xf>
    <xf numFmtId="0" fontId="36" fillId="3" borderId="0" xfId="1" applyFont="1" applyFill="1" applyBorder="1" applyAlignment="1">
      <alignment vertical="center" wrapText="1"/>
    </xf>
    <xf numFmtId="0" fontId="38" fillId="59" borderId="25" xfId="1" applyFont="1" applyFill="1" applyBorder="1" applyAlignment="1"/>
    <xf numFmtId="0" fontId="36" fillId="60" borderId="1" xfId="1" applyFont="1" applyFill="1" applyBorder="1" applyAlignment="1">
      <alignment horizontal="center" vertical="center" wrapText="1"/>
    </xf>
    <xf numFmtId="0" fontId="9" fillId="3" borderId="0" xfId="1" applyFont="1" applyFill="1" applyBorder="1" applyAlignment="1">
      <alignment vertical="center" wrapText="1"/>
    </xf>
    <xf numFmtId="0" fontId="36" fillId="3" borderId="0" xfId="1" applyFont="1" applyFill="1" applyBorder="1" applyAlignment="1"/>
    <xf numFmtId="0" fontId="36" fillId="59" borderId="1" xfId="1" applyFont="1" applyFill="1" applyBorder="1" applyAlignment="1">
      <alignment horizontal="justify" vertical="center"/>
    </xf>
    <xf numFmtId="0" fontId="36" fillId="59" borderId="1" xfId="1" applyFont="1" applyFill="1" applyBorder="1" applyAlignment="1">
      <alignment vertical="center"/>
    </xf>
    <xf numFmtId="0" fontId="2" fillId="3" borderId="0" xfId="1" applyFill="1" applyBorder="1" applyAlignment="1"/>
    <xf numFmtId="3" fontId="36" fillId="59" borderId="1" xfId="1" applyNumberFormat="1" applyFont="1" applyFill="1" applyBorder="1" applyAlignment="1">
      <alignment horizontal="center" vertical="center"/>
    </xf>
    <xf numFmtId="0" fontId="36" fillId="59" borderId="1" xfId="1" applyFont="1" applyFill="1" applyBorder="1" applyAlignment="1">
      <alignment horizontal="center" vertical="center" wrapText="1"/>
    </xf>
    <xf numFmtId="0" fontId="36" fillId="0" borderId="0" xfId="1" applyFont="1" applyBorder="1" applyAlignment="1">
      <alignment horizontal="justify" vertical="top" wrapText="1"/>
    </xf>
    <xf numFmtId="0" fontId="38" fillId="2" borderId="0" xfId="1" applyFont="1" applyFill="1" applyAlignment="1">
      <alignment vertical="center"/>
    </xf>
    <xf numFmtId="0" fontId="36" fillId="3" borderId="0" xfId="1" applyFont="1" applyFill="1" applyAlignment="1">
      <alignment vertical="center"/>
    </xf>
    <xf numFmtId="0" fontId="36" fillId="3" borderId="0" xfId="1" applyFont="1" applyFill="1" applyAlignment="1">
      <alignment vertical="center" wrapText="1"/>
    </xf>
    <xf numFmtId="0" fontId="36" fillId="3" borderId="0" xfId="1" applyFont="1" applyFill="1" applyBorder="1" applyAlignment="1">
      <alignment horizontal="justify" vertical="top" wrapText="1"/>
    </xf>
    <xf numFmtId="0" fontId="38" fillId="59" borderId="0" xfId="1" applyFont="1" applyFill="1" applyBorder="1" applyAlignment="1"/>
    <xf numFmtId="0" fontId="36" fillId="59" borderId="31" xfId="1" applyFont="1" applyFill="1" applyBorder="1" applyAlignment="1">
      <alignment vertical="center"/>
    </xf>
    <xf numFmtId="0" fontId="36" fillId="59" borderId="8" xfId="1" applyFont="1" applyFill="1" applyBorder="1" applyAlignment="1">
      <alignment horizontal="justify" vertical="center"/>
    </xf>
    <xf numFmtId="0" fontId="36" fillId="59" borderId="38" xfId="1" applyFont="1" applyFill="1" applyBorder="1" applyAlignment="1">
      <alignment horizontal="justify" vertical="center"/>
    </xf>
    <xf numFmtId="1" fontId="36" fillId="3" borderId="0" xfId="0" applyNumberFormat="1" applyFont="1" applyFill="1" applyBorder="1" applyAlignment="1">
      <alignment horizontal="center" vertical="center"/>
    </xf>
    <xf numFmtId="3" fontId="37" fillId="4" borderId="2" xfId="0" applyNumberFormat="1" applyFont="1" applyFill="1" applyBorder="1" applyAlignment="1">
      <alignment horizontal="center" vertical="center"/>
    </xf>
    <xf numFmtId="0" fontId="38" fillId="43" borderId="1" xfId="0" applyFont="1" applyFill="1" applyBorder="1" applyAlignment="1">
      <alignment horizontal="center" vertical="center"/>
    </xf>
    <xf numFmtId="0" fontId="38" fillId="43" borderId="5" xfId="0" applyFont="1" applyFill="1" applyBorder="1" applyAlignment="1">
      <alignment horizontal="center" vertical="center"/>
    </xf>
    <xf numFmtId="0" fontId="38" fillId="43" borderId="7" xfId="0" applyFont="1" applyFill="1" applyBorder="1" applyAlignment="1">
      <alignment horizontal="center" vertical="center"/>
    </xf>
    <xf numFmtId="10" fontId="37" fillId="3" borderId="0" xfId="0" applyNumberFormat="1" applyFont="1" applyFill="1"/>
    <xf numFmtId="0" fontId="37" fillId="50" borderId="2" xfId="0" applyFont="1" applyFill="1" applyBorder="1"/>
    <xf numFmtId="0" fontId="37" fillId="50" borderId="3" xfId="0" applyFont="1" applyFill="1" applyBorder="1"/>
    <xf numFmtId="0" fontId="37" fillId="50" borderId="4" xfId="0" applyFont="1" applyFill="1" applyBorder="1"/>
    <xf numFmtId="0" fontId="36" fillId="3" borderId="0" xfId="1" applyFont="1" applyFill="1" applyBorder="1" applyAlignment="1">
      <alignment horizontal="justify" vertical="center"/>
    </xf>
    <xf numFmtId="3" fontId="36" fillId="3" borderId="0" xfId="1" applyNumberFormat="1" applyFont="1" applyFill="1" applyBorder="1" applyAlignment="1">
      <alignment horizontal="center" vertical="center"/>
    </xf>
    <xf numFmtId="170" fontId="36" fillId="3" borderId="1" xfId="58" applyNumberFormat="1" applyFont="1" applyFill="1" applyBorder="1" applyAlignment="1">
      <alignment horizontal="center" vertical="center"/>
    </xf>
    <xf numFmtId="4" fontId="36" fillId="3" borderId="1" xfId="0" applyNumberFormat="1" applyFont="1" applyFill="1" applyBorder="1" applyAlignment="1">
      <alignment horizontal="center" vertical="center"/>
    </xf>
    <xf numFmtId="180" fontId="29" fillId="3" borderId="18" xfId="56" applyNumberFormat="1" applyFont="1" applyFill="1" applyBorder="1" applyAlignment="1">
      <alignment horizontal="center" vertical="center" wrapText="1"/>
    </xf>
    <xf numFmtId="172" fontId="9" fillId="3" borderId="0" xfId="56" applyNumberFormat="1" applyFont="1" applyFill="1" applyBorder="1"/>
    <xf numFmtId="180" fontId="37" fillId="3" borderId="0" xfId="56" applyNumberFormat="1" applyFont="1" applyFill="1" applyBorder="1" applyAlignment="1">
      <alignment horizontal="center" vertical="center" wrapText="1"/>
    </xf>
    <xf numFmtId="10" fontId="37" fillId="3" borderId="0" xfId="59" applyNumberFormat="1" applyFont="1" applyFill="1" applyBorder="1" applyAlignment="1">
      <alignment horizontal="center" vertical="center"/>
    </xf>
    <xf numFmtId="10" fontId="36" fillId="3" borderId="1" xfId="57" applyNumberFormat="1" applyFont="1" applyFill="1" applyBorder="1" applyAlignment="1">
      <alignment horizontal="center" vertical="center"/>
    </xf>
    <xf numFmtId="179" fontId="9" fillId="50" borderId="3" xfId="0" applyNumberFormat="1" applyFont="1" applyFill="1" applyBorder="1"/>
    <xf numFmtId="3" fontId="38" fillId="59" borderId="1" xfId="1" applyNumberFormat="1" applyFont="1" applyFill="1" applyBorder="1" applyAlignment="1">
      <alignment horizontal="center" vertical="center"/>
    </xf>
    <xf numFmtId="3" fontId="4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41" fillId="3" borderId="1" xfId="0" applyFont="1" applyFill="1" applyBorder="1" applyAlignment="1">
      <alignment horizontal="center" vertical="center"/>
    </xf>
    <xf numFmtId="0" fontId="9" fillId="48" borderId="1" xfId="0" applyFont="1" applyFill="1" applyBorder="1" applyAlignment="1">
      <alignment horizontal="left" vertical="center" wrapText="1"/>
    </xf>
    <xf numFmtId="0" fontId="37" fillId="0" borderId="1" xfId="0" applyFont="1" applyBorder="1" applyAlignment="1">
      <alignment horizontal="center" vertical="center" wrapText="1"/>
    </xf>
    <xf numFmtId="0" fontId="41" fillId="0" borderId="1" xfId="0" applyFont="1" applyBorder="1" applyAlignment="1">
      <alignment vertical="center" wrapText="1"/>
    </xf>
    <xf numFmtId="0" fontId="41" fillId="0" borderId="1" xfId="0" applyFont="1" applyBorder="1" applyAlignment="1">
      <alignment horizontal="center" vertical="center" wrapText="1"/>
    </xf>
    <xf numFmtId="0" fontId="37" fillId="0" borderId="1" xfId="0" applyFont="1" applyBorder="1" applyAlignment="1">
      <alignment vertical="center" wrapText="1"/>
    </xf>
    <xf numFmtId="0" fontId="41" fillId="0" borderId="1" xfId="0" applyFont="1" applyBorder="1" applyAlignment="1">
      <alignment horizontal="justify" vertical="center" wrapText="1"/>
    </xf>
    <xf numFmtId="0" fontId="51" fillId="0" borderId="1" xfId="0" applyFont="1" applyBorder="1" applyAlignment="1">
      <alignment horizontal="center" vertical="center" wrapText="1"/>
    </xf>
    <xf numFmtId="0" fontId="51" fillId="0" borderId="1" xfId="0" applyFont="1" applyBorder="1" applyAlignment="1">
      <alignment horizontal="justify" vertical="center" wrapText="1"/>
    </xf>
    <xf numFmtId="0" fontId="9" fillId="9" borderId="1" xfId="0" applyFont="1" applyFill="1" applyBorder="1" applyAlignment="1">
      <alignment horizontal="center" vertical="center" wrapText="1"/>
    </xf>
    <xf numFmtId="0" fontId="37" fillId="3" borderId="4" xfId="0" applyFont="1" applyFill="1" applyBorder="1" applyAlignment="1">
      <alignment horizontal="center" vertical="center" wrapText="1"/>
    </xf>
    <xf numFmtId="0" fontId="37" fillId="3" borderId="1" xfId="0" applyFont="1" applyFill="1" applyBorder="1" applyAlignment="1">
      <alignment horizontal="center" vertical="center" wrapText="1"/>
    </xf>
    <xf numFmtId="0" fontId="36" fillId="0" borderId="1" xfId="0" applyFont="1" applyBorder="1" applyAlignment="1">
      <alignment horizontal="center" vertical="center" wrapText="1"/>
    </xf>
    <xf numFmtId="2" fontId="37" fillId="0" borderId="1" xfId="0" applyNumberFormat="1" applyFont="1" applyBorder="1" applyAlignment="1">
      <alignment horizontal="center" vertical="center" wrapText="1"/>
    </xf>
    <xf numFmtId="2" fontId="51" fillId="0" borderId="1" xfId="0" applyNumberFormat="1" applyFont="1" applyBorder="1" applyAlignment="1">
      <alignment horizontal="center" vertical="center" wrapText="1"/>
    </xf>
    <xf numFmtId="2" fontId="37" fillId="3" borderId="4" xfId="0" applyNumberFormat="1" applyFont="1" applyFill="1" applyBorder="1" applyAlignment="1">
      <alignment horizontal="center" vertical="center" wrapText="1"/>
    </xf>
    <xf numFmtId="2" fontId="37" fillId="3" borderId="1" xfId="0" applyNumberFormat="1" applyFont="1" applyFill="1" applyBorder="1" applyAlignment="1">
      <alignment horizontal="center" vertical="center"/>
    </xf>
    <xf numFmtId="2" fontId="41" fillId="3" borderId="1" xfId="0" applyNumberFormat="1" applyFont="1" applyFill="1" applyBorder="1" applyAlignment="1">
      <alignment horizontal="center" vertical="center"/>
    </xf>
    <xf numFmtId="2" fontId="41" fillId="0" borderId="1" xfId="0" applyNumberFormat="1" applyFont="1" applyBorder="1" applyAlignment="1">
      <alignment horizontal="center" vertical="center" wrapText="1"/>
    </xf>
    <xf numFmtId="0" fontId="51" fillId="3" borderId="7" xfId="0" applyFont="1" applyFill="1" applyBorder="1" applyAlignment="1">
      <alignment horizontal="center" vertical="center" wrapText="1" readingOrder="1"/>
    </xf>
    <xf numFmtId="0" fontId="51" fillId="3" borderId="1" xfId="0" applyFont="1" applyFill="1" applyBorder="1" applyAlignment="1">
      <alignment horizontal="center" vertical="center" wrapText="1" readingOrder="1"/>
    </xf>
    <xf numFmtId="4" fontId="57" fillId="0" borderId="1" xfId="0" applyNumberFormat="1" applyFont="1" applyBorder="1" applyAlignment="1">
      <alignment horizontal="center" vertical="center"/>
    </xf>
    <xf numFmtId="4" fontId="57" fillId="0" borderId="1" xfId="0" applyNumberFormat="1" applyFont="1" applyBorder="1" applyAlignment="1">
      <alignment horizontal="justify" vertical="center" wrapText="1"/>
    </xf>
    <xf numFmtId="4" fontId="9" fillId="0" borderId="1" xfId="0" applyNumberFormat="1" applyFont="1" applyBorder="1" applyAlignment="1">
      <alignment vertical="center"/>
    </xf>
    <xf numFmtId="4" fontId="51" fillId="0" borderId="1" xfId="0" applyNumberFormat="1" applyFont="1" applyBorder="1" applyAlignment="1">
      <alignment horizontal="center" vertical="center" wrapText="1"/>
    </xf>
    <xf numFmtId="4" fontId="51" fillId="0" borderId="1" xfId="0" applyNumberFormat="1" applyFont="1" applyBorder="1" applyAlignment="1">
      <alignment horizontal="justify" vertical="center" wrapText="1"/>
    </xf>
    <xf numFmtId="4" fontId="41" fillId="0" borderId="1" xfId="0" applyNumberFormat="1" applyFont="1" applyBorder="1" applyAlignment="1">
      <alignment horizontal="center" vertical="center" wrapText="1"/>
    </xf>
    <xf numFmtId="4" fontId="57" fillId="59" borderId="1" xfId="0" applyNumberFormat="1" applyFont="1" applyFill="1" applyBorder="1" applyAlignment="1">
      <alignment horizontal="center" vertical="center" wrapText="1"/>
    </xf>
    <xf numFmtId="4" fontId="42" fillId="59" borderId="1" xfId="0" applyNumberFormat="1" applyFont="1" applyFill="1" applyBorder="1" applyAlignment="1">
      <alignment vertical="center"/>
    </xf>
    <xf numFmtId="4" fontId="57" fillId="61" borderId="5" xfId="0" applyNumberFormat="1" applyFont="1" applyFill="1" applyBorder="1" applyAlignment="1">
      <alignment horizontal="center" vertical="center" wrapText="1"/>
    </xf>
    <xf numFmtId="4" fontId="57" fillId="61" borderId="1" xfId="0" applyNumberFormat="1" applyFont="1" applyFill="1" applyBorder="1" applyAlignment="1">
      <alignment horizontal="center" vertical="center" wrapText="1"/>
    </xf>
    <xf numFmtId="3" fontId="41" fillId="0" borderId="1" xfId="0" applyNumberFormat="1" applyFont="1" applyBorder="1" applyAlignment="1">
      <alignment horizontal="center" vertical="center" wrapText="1"/>
    </xf>
    <xf numFmtId="4" fontId="37" fillId="3" borderId="0" xfId="0" applyNumberFormat="1" applyFont="1" applyFill="1" applyAlignment="1">
      <alignment horizontal="center"/>
    </xf>
    <xf numFmtId="4" fontId="42" fillId="0" borderId="1" xfId="0" applyNumberFormat="1" applyFont="1" applyBorder="1" applyAlignment="1">
      <alignment horizontal="center" vertical="center" wrapText="1"/>
    </xf>
    <xf numFmtId="0" fontId="37" fillId="53" borderId="0" xfId="0" applyFont="1" applyFill="1" applyAlignment="1">
      <alignment horizontal="center" vertical="center"/>
    </xf>
    <xf numFmtId="0" fontId="0" fillId="5" borderId="0" xfId="0" applyFill="1"/>
    <xf numFmtId="0" fontId="37" fillId="5" borderId="0" xfId="0" applyFont="1" applyFill="1" applyAlignment="1">
      <alignment vertical="center"/>
    </xf>
    <xf numFmtId="0" fontId="36" fillId="3" borderId="1" xfId="0" applyFont="1" applyFill="1" applyBorder="1" applyAlignment="1">
      <alignment horizontal="center" vertical="center" wrapText="1" readingOrder="1"/>
    </xf>
    <xf numFmtId="0" fontId="36" fillId="3" borderId="5" xfId="0" applyFont="1" applyFill="1" applyBorder="1" applyAlignment="1">
      <alignment horizontal="center" vertical="center" wrapText="1" readingOrder="1"/>
    </xf>
    <xf numFmtId="0" fontId="37" fillId="5" borderId="0" xfId="0" applyFont="1" applyFill="1"/>
    <xf numFmtId="0" fontId="60" fillId="3" borderId="0" xfId="0" applyFont="1" applyFill="1" applyAlignment="1">
      <alignment vertical="center"/>
    </xf>
    <xf numFmtId="0" fontId="9" fillId="3" borderId="0" xfId="0" applyFont="1" applyFill="1" applyBorder="1" applyAlignment="1">
      <alignment horizontal="center" vertical="center"/>
    </xf>
    <xf numFmtId="0" fontId="37" fillId="63" borderId="1" xfId="0" applyFont="1" applyFill="1" applyBorder="1" applyAlignment="1">
      <alignment horizontal="center" vertical="center" wrapText="1"/>
    </xf>
    <xf numFmtId="4" fontId="38" fillId="5" borderId="1" xfId="0" applyNumberFormat="1" applyFont="1" applyFill="1" applyBorder="1" applyAlignment="1">
      <alignment horizontal="center" vertical="center"/>
    </xf>
    <xf numFmtId="4" fontId="36" fillId="3" borderId="1" xfId="0" applyNumberFormat="1" applyFont="1" applyFill="1" applyBorder="1" applyAlignment="1">
      <alignment horizontal="right" vertical="center"/>
    </xf>
    <xf numFmtId="4" fontId="38" fillId="5" borderId="1" xfId="0" applyNumberFormat="1" applyFont="1" applyFill="1" applyBorder="1" applyAlignment="1">
      <alignment horizontal="right" vertical="center"/>
    </xf>
    <xf numFmtId="0" fontId="9" fillId="63" borderId="1" xfId="0" applyFont="1" applyFill="1" applyBorder="1" applyAlignment="1">
      <alignment horizontal="center" vertical="center" wrapText="1"/>
    </xf>
    <xf numFmtId="0" fontId="37" fillId="3" borderId="1" xfId="0" applyFont="1" applyFill="1" applyBorder="1" applyAlignment="1">
      <alignment horizontal="justify" vertical="center"/>
    </xf>
    <xf numFmtId="4" fontId="38" fillId="3" borderId="0" xfId="0" applyNumberFormat="1" applyFont="1" applyFill="1" applyBorder="1" applyAlignment="1">
      <alignment horizontal="right" vertical="center"/>
    </xf>
    <xf numFmtId="4" fontId="37" fillId="3" borderId="1" xfId="0" applyNumberFormat="1" applyFont="1" applyFill="1" applyBorder="1" applyAlignment="1">
      <alignment horizontal="center" vertical="center"/>
    </xf>
    <xf numFmtId="0" fontId="9" fillId="50" borderId="1" xfId="0" applyFont="1" applyFill="1" applyBorder="1" applyAlignment="1">
      <alignment horizontal="center" vertical="center" wrapText="1"/>
    </xf>
    <xf numFmtId="4" fontId="38" fillId="50" borderId="1" xfId="0" applyNumberFormat="1" applyFont="1" applyFill="1" applyBorder="1" applyAlignment="1">
      <alignment horizontal="right" vertical="center"/>
    </xf>
    <xf numFmtId="0" fontId="9" fillId="50" borderId="0" xfId="0" applyFont="1" applyFill="1" applyAlignment="1">
      <alignment horizontal="center" vertical="center"/>
    </xf>
    <xf numFmtId="0" fontId="37" fillId="3" borderId="1" xfId="0" applyFont="1" applyFill="1" applyBorder="1" applyAlignment="1">
      <alignment horizontal="justify" vertical="center"/>
    </xf>
    <xf numFmtId="9" fontId="37" fillId="3" borderId="1" xfId="0" applyNumberFormat="1" applyFont="1" applyFill="1" applyBorder="1" applyAlignment="1">
      <alignment horizontal="center" vertical="center"/>
    </xf>
    <xf numFmtId="4" fontId="37" fillId="3" borderId="1" xfId="0" applyNumberFormat="1" applyFont="1" applyFill="1" applyBorder="1" applyAlignment="1">
      <alignment vertical="center"/>
    </xf>
    <xf numFmtId="0" fontId="37" fillId="3" borderId="1" xfId="0" applyFont="1" applyFill="1" applyBorder="1" applyAlignment="1">
      <alignment horizontal="justify" vertical="center" wrapText="1"/>
    </xf>
    <xf numFmtId="4" fontId="9" fillId="50" borderId="1" xfId="0" applyNumberFormat="1" applyFont="1" applyFill="1" applyBorder="1" applyAlignment="1">
      <alignment vertical="center"/>
    </xf>
    <xf numFmtId="4" fontId="61" fillId="9" borderId="1" xfId="0" applyNumberFormat="1" applyFont="1" applyFill="1" applyBorder="1" applyAlignment="1">
      <alignment horizontal="right" vertical="center"/>
    </xf>
    <xf numFmtId="0" fontId="51" fillId="3" borderId="0" xfId="0" applyFont="1" applyFill="1" applyBorder="1" applyAlignment="1">
      <alignment vertical="center"/>
    </xf>
    <xf numFmtId="4" fontId="37" fillId="3" borderId="1" xfId="0" applyNumberFormat="1" applyFont="1" applyFill="1" applyBorder="1" applyAlignment="1">
      <alignment horizontal="right" vertical="center"/>
    </xf>
    <xf numFmtId="3" fontId="41" fillId="3" borderId="1" xfId="0" applyNumberFormat="1" applyFont="1" applyFill="1" applyBorder="1" applyAlignment="1">
      <alignment horizontal="center" vertical="center"/>
    </xf>
    <xf numFmtId="0" fontId="57" fillId="9" borderId="1" xfId="0" applyFont="1" applyFill="1" applyBorder="1" applyAlignment="1">
      <alignment horizontal="center" vertical="center"/>
    </xf>
    <xf numFmtId="0" fontId="57" fillId="9" borderId="1" xfId="0" applyFont="1" applyFill="1" applyBorder="1" applyAlignment="1">
      <alignment horizontal="center" vertical="center" wrapText="1"/>
    </xf>
    <xf numFmtId="0" fontId="9" fillId="59" borderId="1" xfId="0" applyFont="1" applyFill="1" applyBorder="1" applyAlignment="1">
      <alignment horizontal="center" vertical="center"/>
    </xf>
    <xf numFmtId="4" fontId="9" fillId="59" borderId="1" xfId="0" applyNumberFormat="1" applyFont="1" applyFill="1" applyBorder="1" applyAlignment="1">
      <alignment horizontal="right" vertical="center"/>
    </xf>
    <xf numFmtId="4" fontId="37" fillId="3" borderId="0" xfId="0" applyNumberFormat="1" applyFont="1" applyFill="1" applyBorder="1" applyAlignment="1">
      <alignment horizontal="right" vertical="center"/>
    </xf>
    <xf numFmtId="0" fontId="9" fillId="50" borderId="1" xfId="0" applyFont="1" applyFill="1" applyBorder="1" applyAlignment="1">
      <alignment horizontal="center" vertical="center"/>
    </xf>
    <xf numFmtId="4" fontId="37" fillId="3" borderId="1" xfId="0" applyNumberFormat="1" applyFont="1" applyFill="1" applyBorder="1" applyAlignment="1">
      <alignment horizontal="right" vertical="center" wrapText="1"/>
    </xf>
    <xf numFmtId="4" fontId="42" fillId="9" borderId="1" xfId="0" applyNumberFormat="1" applyFont="1" applyFill="1" applyBorder="1" applyAlignment="1">
      <alignment vertical="center"/>
    </xf>
    <xf numFmtId="0" fontId="38" fillId="59" borderId="1" xfId="0" applyFont="1" applyFill="1" applyBorder="1" applyAlignment="1">
      <alignment horizontal="center" vertical="center"/>
    </xf>
    <xf numFmtId="4" fontId="38" fillId="59" borderId="1" xfId="0" applyNumberFormat="1" applyFont="1" applyFill="1" applyBorder="1" applyAlignment="1">
      <alignment horizontal="right" vertical="center"/>
    </xf>
    <xf numFmtId="0" fontId="36" fillId="3" borderId="1" xfId="0" applyFont="1" applyFill="1" applyBorder="1" applyAlignment="1">
      <alignment vertical="center"/>
    </xf>
    <xf numFmtId="2" fontId="36" fillId="3" borderId="1" xfId="0" applyNumberFormat="1" applyFont="1" applyFill="1" applyBorder="1" applyAlignment="1">
      <alignment horizontal="right" vertical="center"/>
    </xf>
    <xf numFmtId="2" fontId="38" fillId="59" borderId="1" xfId="0" applyNumberFormat="1" applyFont="1" applyFill="1" applyBorder="1" applyAlignment="1">
      <alignment vertical="center"/>
    </xf>
    <xf numFmtId="0" fontId="38" fillId="9" borderId="1" xfId="0" applyFont="1" applyFill="1" applyBorder="1" applyAlignment="1">
      <alignment horizontal="center" vertical="center"/>
    </xf>
    <xf numFmtId="0" fontId="38" fillId="9" borderId="1" xfId="0" applyFont="1" applyFill="1" applyBorder="1" applyAlignment="1">
      <alignment horizontal="center" vertical="center" wrapText="1"/>
    </xf>
    <xf numFmtId="4" fontId="38" fillId="59" borderId="1" xfId="0" applyNumberFormat="1" applyFont="1" applyFill="1" applyBorder="1" applyAlignment="1">
      <alignment vertical="center"/>
    </xf>
    <xf numFmtId="4" fontId="38" fillId="9" borderId="1" xfId="0" applyNumberFormat="1" applyFont="1" applyFill="1" applyBorder="1" applyAlignment="1">
      <alignment vertical="center"/>
    </xf>
    <xf numFmtId="0" fontId="9" fillId="63" borderId="1" xfId="0" applyFont="1" applyFill="1" applyBorder="1" applyAlignment="1">
      <alignment horizontal="center" vertical="center"/>
    </xf>
    <xf numFmtId="0" fontId="41" fillId="3" borderId="0" xfId="0" applyFont="1" applyFill="1" applyBorder="1" applyAlignment="1">
      <alignment vertical="center"/>
    </xf>
    <xf numFmtId="0" fontId="37" fillId="53" borderId="0" xfId="0" applyFont="1" applyFill="1" applyAlignment="1">
      <alignment vertical="center"/>
    </xf>
    <xf numFmtId="4" fontId="38" fillId="63" borderId="1" xfId="0" applyNumberFormat="1" applyFont="1" applyFill="1" applyBorder="1" applyAlignment="1">
      <alignment horizontal="right" vertical="center"/>
    </xf>
    <xf numFmtId="0" fontId="57" fillId="66" borderId="1" xfId="0" applyFont="1" applyFill="1" applyBorder="1" applyAlignment="1">
      <alignment horizontal="center" vertical="center" wrapText="1"/>
    </xf>
    <xf numFmtId="4" fontId="41" fillId="0" borderId="1" xfId="0" applyNumberFormat="1" applyFont="1" applyBorder="1" applyAlignment="1">
      <alignment horizontal="center" vertical="center"/>
    </xf>
    <xf numFmtId="4" fontId="37" fillId="3" borderId="0" xfId="0" applyNumberFormat="1" applyFont="1" applyFill="1" applyAlignment="1">
      <alignment horizontal="center" vertical="center"/>
    </xf>
    <xf numFmtId="4" fontId="36" fillId="0" borderId="1" xfId="0" applyNumberFormat="1" applyFont="1" applyBorder="1" applyAlignment="1">
      <alignment vertical="center"/>
    </xf>
    <xf numFmtId="4" fontId="38" fillId="0" borderId="1" xfId="0" applyNumberFormat="1" applyFont="1" applyBorder="1" applyAlignment="1">
      <alignment vertical="center"/>
    </xf>
    <xf numFmtId="4" fontId="37" fillId="0" borderId="1" xfId="0" applyNumberFormat="1" applyFont="1" applyBorder="1" applyAlignment="1">
      <alignment vertical="center"/>
    </xf>
    <xf numFmtId="4" fontId="57" fillId="0" borderId="1" xfId="0" applyNumberFormat="1" applyFont="1" applyBorder="1" applyAlignment="1">
      <alignment horizontal="right" vertical="center"/>
    </xf>
    <xf numFmtId="182" fontId="38" fillId="49" borderId="0" xfId="58" quotePrefix="1" applyNumberFormat="1" applyFont="1" applyFill="1" applyAlignment="1">
      <alignment horizontal="left" vertical="center"/>
    </xf>
    <xf numFmtId="4" fontId="38" fillId="49" borderId="0" xfId="58" applyNumberFormat="1" applyFont="1" applyFill="1" applyAlignment="1">
      <alignment horizontal="left" vertical="center"/>
    </xf>
    <xf numFmtId="4" fontId="36" fillId="49" borderId="0" xfId="58" applyNumberFormat="1" applyFont="1" applyFill="1" applyAlignment="1">
      <alignment vertical="center"/>
    </xf>
    <xf numFmtId="4" fontId="36" fillId="49" borderId="0" xfId="58" applyNumberFormat="1" applyFont="1" applyFill="1" applyAlignment="1">
      <alignment horizontal="center" vertical="center"/>
    </xf>
    <xf numFmtId="4" fontId="38" fillId="49" borderId="0" xfId="58" applyNumberFormat="1" applyFont="1" applyFill="1" applyAlignment="1">
      <alignment horizontal="center" vertical="center"/>
    </xf>
    <xf numFmtId="4" fontId="38" fillId="49" borderId="0" xfId="58" applyNumberFormat="1" applyFont="1" applyFill="1" applyAlignment="1">
      <alignment horizontal="right" vertical="center"/>
    </xf>
    <xf numFmtId="4" fontId="38" fillId="49" borderId="0" xfId="58" applyNumberFormat="1" applyFont="1" applyFill="1" applyAlignment="1">
      <alignment vertical="center"/>
    </xf>
    <xf numFmtId="182" fontId="38" fillId="67" borderId="0" xfId="58" quotePrefix="1" applyNumberFormat="1" applyFont="1" applyFill="1" applyAlignment="1">
      <alignment horizontal="left" vertical="center"/>
    </xf>
    <xf numFmtId="4" fontId="38" fillId="67" borderId="0" xfId="58" applyNumberFormat="1" applyFont="1" applyFill="1" applyAlignment="1">
      <alignment horizontal="left" vertical="center"/>
    </xf>
    <xf numFmtId="4" fontId="36" fillId="67" borderId="0" xfId="58" applyNumberFormat="1" applyFont="1" applyFill="1" applyAlignment="1">
      <alignment vertical="center"/>
    </xf>
    <xf numFmtId="4" fontId="36" fillId="67" borderId="0" xfId="58" applyNumberFormat="1" applyFont="1" applyFill="1" applyAlignment="1">
      <alignment horizontal="center" vertical="center"/>
    </xf>
    <xf numFmtId="4" fontId="38" fillId="67" borderId="0" xfId="0" applyNumberFormat="1" applyFont="1" applyFill="1" applyAlignment="1">
      <alignment horizontal="right" vertical="center"/>
    </xf>
    <xf numFmtId="4" fontId="38" fillId="67" borderId="0" xfId="0" applyNumberFormat="1" applyFont="1" applyFill="1" applyAlignment="1">
      <alignment vertical="center"/>
    </xf>
    <xf numFmtId="4" fontId="36" fillId="0" borderId="0" xfId="0" applyNumberFormat="1" applyFont="1" applyAlignment="1">
      <alignment vertical="center"/>
    </xf>
    <xf numFmtId="4" fontId="38" fillId="3" borderId="1" xfId="58" applyNumberFormat="1" applyFont="1" applyFill="1" applyBorder="1" applyAlignment="1">
      <alignment horizontal="centerContinuous" vertical="center"/>
    </xf>
    <xf numFmtId="4" fontId="38" fillId="3" borderId="1" xfId="58" applyNumberFormat="1" applyFont="1" applyFill="1" applyBorder="1" applyAlignment="1">
      <alignment horizontal="center" vertical="center"/>
    </xf>
    <xf numFmtId="4" fontId="36" fillId="3" borderId="6" xfId="58" applyNumberFormat="1" applyFont="1" applyFill="1" applyBorder="1" applyAlignment="1">
      <alignment horizontal="center" vertical="center"/>
    </xf>
    <xf numFmtId="4" fontId="36" fillId="3" borderId="1" xfId="58" applyNumberFormat="1" applyFont="1" applyFill="1" applyBorder="1" applyAlignment="1">
      <alignment vertical="center"/>
    </xf>
    <xf numFmtId="4" fontId="38" fillId="0" borderId="1" xfId="58" applyNumberFormat="1" applyFont="1" applyBorder="1" applyAlignment="1">
      <alignment vertical="center"/>
    </xf>
    <xf numFmtId="4" fontId="38" fillId="43" borderId="45" xfId="58" applyNumberFormat="1" applyFont="1" applyFill="1" applyBorder="1" applyAlignment="1">
      <alignment horizontal="right" vertical="center"/>
    </xf>
    <xf numFmtId="4" fontId="38" fillId="43" borderId="46" xfId="58" applyNumberFormat="1" applyFont="1" applyFill="1" applyBorder="1" applyAlignment="1">
      <alignment vertical="center"/>
    </xf>
    <xf numFmtId="0" fontId="36" fillId="3" borderId="0" xfId="58" applyFont="1" applyFill="1" applyAlignment="1">
      <alignment horizontal="left" vertical="center"/>
    </xf>
    <xf numFmtId="182" fontId="38" fillId="3" borderId="0" xfId="58" applyNumberFormat="1" applyFont="1" applyFill="1" applyAlignment="1">
      <alignment horizontal="left" vertical="center"/>
    </xf>
    <xf numFmtId="182" fontId="36" fillId="3" borderId="0" xfId="58" quotePrefix="1" applyNumberFormat="1" applyFont="1" applyFill="1" applyAlignment="1">
      <alignment horizontal="left" vertical="center"/>
    </xf>
    <xf numFmtId="182" fontId="36" fillId="3" borderId="0" xfId="58" applyNumberFormat="1" applyFont="1" applyFill="1" applyAlignment="1">
      <alignment horizontal="center" vertical="center"/>
    </xf>
    <xf numFmtId="182" fontId="36" fillId="3" borderId="0" xfId="58" applyNumberFormat="1" applyFont="1" applyFill="1" applyAlignment="1">
      <alignment vertical="center"/>
    </xf>
    <xf numFmtId="0" fontId="36" fillId="3" borderId="0" xfId="58" applyFont="1" applyFill="1" applyAlignment="1">
      <alignment vertical="center"/>
    </xf>
    <xf numFmtId="182" fontId="36" fillId="3" borderId="0" xfId="58" applyNumberFormat="1" applyFont="1" applyFill="1" applyAlignment="1">
      <alignment horizontal="left" vertical="center"/>
    </xf>
    <xf numFmtId="0" fontId="36" fillId="3" borderId="0" xfId="58" applyFont="1" applyFill="1" applyAlignment="1">
      <alignment horizontal="center" vertical="center"/>
    </xf>
    <xf numFmtId="182" fontId="38" fillId="3" borderId="0" xfId="58" quotePrefix="1" applyNumberFormat="1" applyFont="1" applyFill="1" applyAlignment="1">
      <alignment horizontal="center" vertical="center"/>
    </xf>
    <xf numFmtId="182" fontId="38" fillId="3" borderId="0" xfId="58" quotePrefix="1" applyNumberFormat="1" applyFont="1" applyFill="1" applyAlignment="1">
      <alignment horizontal="left" vertical="center"/>
    </xf>
    <xf numFmtId="182" fontId="36" fillId="3" borderId="0" xfId="58" applyNumberFormat="1" applyFont="1" applyFill="1" applyAlignment="1">
      <alignment horizontal="centerContinuous" vertical="center"/>
    </xf>
    <xf numFmtId="183" fontId="36" fillId="3" borderId="0" xfId="58" applyNumberFormat="1" applyFont="1" applyFill="1" applyAlignment="1">
      <alignment horizontal="centerContinuous" vertical="center"/>
    </xf>
    <xf numFmtId="183" fontId="36" fillId="3" borderId="0" xfId="58" applyNumberFormat="1" applyFont="1" applyFill="1" applyAlignment="1">
      <alignment vertical="center"/>
    </xf>
    <xf numFmtId="4" fontId="38" fillId="3" borderId="0" xfId="58" applyNumberFormat="1" applyFont="1" applyFill="1" applyAlignment="1">
      <alignment vertical="center"/>
    </xf>
    <xf numFmtId="4" fontId="36" fillId="3" borderId="0" xfId="58" applyNumberFormat="1" applyFont="1" applyFill="1" applyAlignment="1">
      <alignment vertical="center"/>
    </xf>
    <xf numFmtId="4" fontId="36" fillId="3" borderId="0" xfId="58" applyNumberFormat="1" applyFont="1" applyFill="1" applyAlignment="1">
      <alignment horizontal="center" vertical="center"/>
    </xf>
    <xf numFmtId="4" fontId="38" fillId="3" borderId="0" xfId="0" applyNumberFormat="1" applyFont="1" applyFill="1" applyAlignment="1">
      <alignment horizontal="right" vertical="center"/>
    </xf>
    <xf numFmtId="4" fontId="38" fillId="3" borderId="0" xfId="0" applyNumberFormat="1" applyFont="1" applyFill="1" applyAlignment="1">
      <alignment vertical="center"/>
    </xf>
    <xf numFmtId="4" fontId="36" fillId="3" borderId="0" xfId="0" applyNumberFormat="1" applyFont="1" applyFill="1" applyAlignment="1">
      <alignment vertical="center"/>
    </xf>
    <xf numFmtId="49" fontId="38" fillId="3" borderId="0" xfId="58" applyNumberFormat="1" applyFont="1" applyFill="1" applyAlignment="1">
      <alignment horizontal="left" vertical="center"/>
    </xf>
    <xf numFmtId="4" fontId="38" fillId="3" borderId="0" xfId="58" applyNumberFormat="1" applyFont="1" applyFill="1" applyAlignment="1">
      <alignment horizontal="left" vertical="center"/>
    </xf>
    <xf numFmtId="182" fontId="38" fillId="3" borderId="0" xfId="0" applyNumberFormat="1" applyFont="1" applyFill="1" applyAlignment="1">
      <alignment horizontal="right" vertical="center"/>
    </xf>
    <xf numFmtId="4" fontId="38" fillId="3" borderId="0" xfId="0" applyNumberFormat="1" applyFont="1" applyFill="1" applyAlignment="1">
      <alignment horizontal="left" vertical="center"/>
    </xf>
    <xf numFmtId="4" fontId="36" fillId="3" borderId="0" xfId="0" applyNumberFormat="1" applyFont="1" applyFill="1" applyAlignment="1">
      <alignment horizontal="center" vertical="center"/>
    </xf>
    <xf numFmtId="4" fontId="38" fillId="3" borderId="0" xfId="58" applyNumberFormat="1" applyFont="1" applyFill="1" applyAlignment="1">
      <alignment horizontal="center" vertical="center"/>
    </xf>
    <xf numFmtId="4" fontId="36" fillId="3" borderId="39" xfId="58" applyNumberFormat="1" applyFont="1" applyFill="1" applyBorder="1" applyAlignment="1">
      <alignment vertical="center"/>
    </xf>
    <xf numFmtId="4" fontId="36" fillId="3" borderId="5" xfId="58" applyNumberFormat="1" applyFont="1" applyFill="1" applyBorder="1" applyAlignment="1">
      <alignment vertical="center"/>
    </xf>
    <xf numFmtId="4" fontId="38" fillId="3" borderId="1" xfId="58" applyNumberFormat="1" applyFont="1" applyFill="1" applyBorder="1" applyAlignment="1">
      <alignment vertical="center"/>
    </xf>
    <xf numFmtId="9" fontId="9" fillId="3" borderId="0" xfId="0" applyNumberFormat="1" applyFont="1" applyFill="1" applyAlignment="1">
      <alignment horizontal="center" vertical="center"/>
    </xf>
    <xf numFmtId="184" fontId="38" fillId="3" borderId="0" xfId="58" applyNumberFormat="1" applyFont="1" applyFill="1" applyAlignment="1">
      <alignment vertical="center"/>
    </xf>
    <xf numFmtId="0" fontId="38" fillId="63" borderId="1" xfId="58" applyFont="1" applyFill="1" applyBorder="1" applyAlignment="1">
      <alignment vertical="center"/>
    </xf>
    <xf numFmtId="182" fontId="36" fillId="3" borderId="1" xfId="58" applyNumberFormat="1" applyFont="1" applyFill="1" applyBorder="1" applyAlignment="1">
      <alignment horizontal="center" vertical="center"/>
    </xf>
    <xf numFmtId="0" fontId="36" fillId="3" borderId="1" xfId="58" applyFont="1" applyFill="1" applyBorder="1" applyAlignment="1">
      <alignment horizontal="center" vertical="center"/>
    </xf>
    <xf numFmtId="0" fontId="36" fillId="3" borderId="1" xfId="58" applyFont="1" applyFill="1" applyBorder="1" applyAlignment="1">
      <alignment vertical="center"/>
    </xf>
    <xf numFmtId="182" fontId="38" fillId="63" borderId="1" xfId="58" applyNumberFormat="1" applyFont="1" applyFill="1" applyBorder="1" applyAlignment="1">
      <alignment horizontal="center" vertical="center"/>
    </xf>
    <xf numFmtId="182" fontId="38" fillId="63" borderId="3" xfId="58" applyNumberFormat="1" applyFont="1" applyFill="1" applyBorder="1" applyAlignment="1">
      <alignment vertical="center"/>
    </xf>
    <xf numFmtId="0" fontId="41" fillId="3" borderId="0" xfId="58" applyFont="1" applyFill="1" applyAlignment="1">
      <alignment horizontal="left" vertical="center"/>
    </xf>
    <xf numFmtId="182" fontId="42" fillId="3" borderId="0" xfId="58" applyNumberFormat="1" applyFont="1" applyFill="1" applyAlignment="1">
      <alignment horizontal="left" vertical="center"/>
    </xf>
    <xf numFmtId="182" fontId="41" fillId="3" borderId="0" xfId="58" applyNumberFormat="1" applyFont="1" applyFill="1" applyAlignment="1">
      <alignment horizontal="center" vertical="center"/>
    </xf>
    <xf numFmtId="0" fontId="41" fillId="3" borderId="0" xfId="58" applyFont="1" applyFill="1" applyAlignment="1">
      <alignment vertical="center"/>
    </xf>
    <xf numFmtId="182" fontId="41" fillId="3" borderId="0" xfId="58" applyNumberFormat="1" applyFont="1" applyFill="1" applyAlignment="1">
      <alignment horizontal="left" vertical="center"/>
    </xf>
    <xf numFmtId="0" fontId="41" fillId="3" borderId="0" xfId="58" applyFont="1" applyFill="1" applyAlignment="1">
      <alignment horizontal="center" vertical="center"/>
    </xf>
    <xf numFmtId="182" fontId="42" fillId="3" borderId="0" xfId="58" applyNumberFormat="1" applyFont="1" applyFill="1" applyBorder="1" applyAlignment="1">
      <alignment vertical="center"/>
    </xf>
    <xf numFmtId="0" fontId="42" fillId="3" borderId="0" xfId="58" applyFont="1" applyFill="1" applyBorder="1" applyAlignment="1">
      <alignment vertical="center"/>
    </xf>
    <xf numFmtId="182" fontId="41" fillId="3" borderId="0" xfId="58" applyNumberFormat="1" applyFont="1" applyFill="1" applyBorder="1" applyAlignment="1">
      <alignment horizontal="center" vertical="center"/>
    </xf>
    <xf numFmtId="0" fontId="41" fillId="3" borderId="0" xfId="58" applyFont="1" applyFill="1" applyBorder="1" applyAlignment="1">
      <alignment horizontal="center" vertical="center"/>
    </xf>
    <xf numFmtId="181" fontId="41" fillId="3" borderId="0" xfId="58" applyNumberFormat="1" applyFont="1" applyFill="1" applyBorder="1" applyAlignment="1">
      <alignment vertical="center"/>
    </xf>
    <xf numFmtId="181" fontId="42" fillId="3" borderId="0" xfId="58" applyNumberFormat="1" applyFont="1" applyFill="1" applyBorder="1" applyAlignment="1">
      <alignment vertical="center"/>
    </xf>
    <xf numFmtId="182" fontId="41" fillId="3" borderId="0" xfId="58" applyNumberFormat="1" applyFont="1" applyFill="1" applyBorder="1" applyAlignment="1">
      <alignment horizontal="left" vertical="center"/>
    </xf>
    <xf numFmtId="0" fontId="41" fillId="3" borderId="0" xfId="58" applyFont="1" applyFill="1" applyBorder="1" applyAlignment="1">
      <alignment vertical="center"/>
    </xf>
    <xf numFmtId="182" fontId="42" fillId="3" borderId="0" xfId="58" quotePrefix="1" applyNumberFormat="1" applyFont="1" applyFill="1" applyAlignment="1">
      <alignment horizontal="left" vertical="center"/>
    </xf>
    <xf numFmtId="4" fontId="41" fillId="49" borderId="0" xfId="58" applyNumberFormat="1" applyFont="1" applyFill="1" applyAlignment="1">
      <alignment horizontal="center" vertical="center"/>
    </xf>
    <xf numFmtId="4" fontId="42" fillId="49" borderId="0" xfId="58" applyNumberFormat="1" applyFont="1" applyFill="1" applyAlignment="1">
      <alignment horizontal="center" vertical="center"/>
    </xf>
    <xf numFmtId="4" fontId="42" fillId="67" borderId="0" xfId="58" applyNumberFormat="1" applyFont="1" applyFill="1" applyAlignment="1">
      <alignment horizontal="left" vertical="center"/>
    </xf>
    <xf numFmtId="4" fontId="41" fillId="67" borderId="0" xfId="58" applyNumberFormat="1" applyFont="1" applyFill="1" applyAlignment="1">
      <alignment vertical="center"/>
    </xf>
    <xf numFmtId="4" fontId="41" fillId="67" borderId="0" xfId="58" applyNumberFormat="1" applyFont="1" applyFill="1" applyAlignment="1">
      <alignment horizontal="center" vertical="center"/>
    </xf>
    <xf numFmtId="4" fontId="42" fillId="3" borderId="0" xfId="58" applyNumberFormat="1" applyFont="1" applyFill="1" applyAlignment="1">
      <alignment vertical="center"/>
    </xf>
    <xf numFmtId="4" fontId="41" fillId="3" borderId="0" xfId="58" applyNumberFormat="1" applyFont="1" applyFill="1" applyAlignment="1">
      <alignment vertical="center"/>
    </xf>
    <xf numFmtId="4" fontId="41" fillId="3" borderId="0" xfId="58" applyNumberFormat="1" applyFont="1" applyFill="1" applyAlignment="1">
      <alignment horizontal="center" vertical="center"/>
    </xf>
    <xf numFmtId="4" fontId="41" fillId="3" borderId="0" xfId="0" applyNumberFormat="1" applyFont="1" applyFill="1" applyAlignment="1">
      <alignment vertical="center"/>
    </xf>
    <xf numFmtId="49" fontId="42" fillId="3" borderId="0" xfId="58" applyNumberFormat="1" applyFont="1" applyFill="1" applyAlignment="1">
      <alignment horizontal="left" vertical="center"/>
    </xf>
    <xf numFmtId="4" fontId="42" fillId="3" borderId="0" xfId="58" applyNumberFormat="1" applyFont="1" applyFill="1" applyAlignment="1">
      <alignment horizontal="left" vertical="center"/>
    </xf>
    <xf numFmtId="182" fontId="42" fillId="3" borderId="0" xfId="0" applyNumberFormat="1" applyFont="1" applyFill="1" applyAlignment="1">
      <alignment horizontal="right" vertical="center"/>
    </xf>
    <xf numFmtId="4" fontId="42" fillId="3" borderId="0" xfId="0" applyNumberFormat="1" applyFont="1" applyFill="1" applyAlignment="1">
      <alignment horizontal="left" vertical="center"/>
    </xf>
    <xf numFmtId="4" fontId="41" fillId="3" borderId="0" xfId="0" applyNumberFormat="1" applyFont="1" applyFill="1" applyAlignment="1">
      <alignment horizontal="center" vertical="center"/>
    </xf>
    <xf numFmtId="4" fontId="41" fillId="3" borderId="0" xfId="72" applyNumberFormat="1" applyFont="1" applyFill="1" applyAlignment="1">
      <alignment vertical="center"/>
    </xf>
    <xf numFmtId="4" fontId="42" fillId="3" borderId="0" xfId="58" applyNumberFormat="1" applyFont="1" applyFill="1" applyAlignment="1">
      <alignment horizontal="center" vertical="center"/>
    </xf>
    <xf numFmtId="4" fontId="42" fillId="3" borderId="0" xfId="58" applyNumberFormat="1" applyFont="1" applyFill="1" applyAlignment="1">
      <alignment horizontal="right" vertical="center"/>
    </xf>
    <xf numFmtId="4" fontId="41" fillId="3" borderId="0" xfId="58" applyNumberFormat="1" applyFont="1" applyFill="1" applyAlignment="1">
      <alignment horizontal="right" vertical="center"/>
    </xf>
    <xf numFmtId="0" fontId="41" fillId="3" borderId="0" xfId="0" applyFont="1" applyFill="1" applyAlignment="1">
      <alignment horizontal="left" vertical="center"/>
    </xf>
    <xf numFmtId="9" fontId="42" fillId="3" borderId="0" xfId="0" applyNumberFormat="1" applyFont="1" applyFill="1" applyAlignment="1">
      <alignment horizontal="center" vertical="center"/>
    </xf>
    <xf numFmtId="184" fontId="42" fillId="3" borderId="0" xfId="58" applyNumberFormat="1" applyFont="1" applyFill="1" applyAlignment="1">
      <alignment vertical="center"/>
    </xf>
    <xf numFmtId="0" fontId="36" fillId="3" borderId="0" xfId="0" applyFont="1" applyFill="1" applyAlignment="1">
      <alignment vertical="center"/>
    </xf>
    <xf numFmtId="182" fontId="36" fillId="3" borderId="1" xfId="58" applyNumberFormat="1" applyFont="1" applyFill="1" applyBorder="1" applyAlignment="1">
      <alignment horizontal="justify" vertical="center"/>
    </xf>
    <xf numFmtId="4" fontId="38" fillId="3" borderId="1" xfId="58" applyNumberFormat="1" applyFont="1" applyFill="1" applyBorder="1" applyAlignment="1">
      <alignment horizontal="center" vertical="center" wrapText="1"/>
    </xf>
    <xf numFmtId="4" fontId="36" fillId="3" borderId="1" xfId="58" applyNumberFormat="1" applyFont="1" applyFill="1" applyBorder="1" applyAlignment="1">
      <alignment horizontal="center" vertical="center"/>
    </xf>
    <xf numFmtId="4" fontId="36" fillId="3" borderId="1" xfId="58" applyNumberFormat="1" applyFont="1" applyFill="1" applyBorder="1" applyAlignment="1">
      <alignment horizontal="right" vertical="center"/>
    </xf>
    <xf numFmtId="4" fontId="36" fillId="3" borderId="1" xfId="58" applyNumberFormat="1" applyFont="1" applyFill="1" applyBorder="1" applyAlignment="1">
      <alignment horizontal="justify" vertical="center" wrapText="1"/>
    </xf>
    <xf numFmtId="4" fontId="36" fillId="3" borderId="1" xfId="58" applyNumberFormat="1" applyFont="1" applyFill="1" applyBorder="1" applyAlignment="1">
      <alignment horizontal="justify" vertical="center"/>
    </xf>
    <xf numFmtId="182" fontId="38" fillId="3" borderId="1" xfId="58" applyNumberFormat="1" applyFont="1" applyFill="1" applyBorder="1" applyAlignment="1">
      <alignment horizontal="center" vertical="center"/>
    </xf>
    <xf numFmtId="4" fontId="36" fillId="47" borderId="1" xfId="58" applyNumberFormat="1" applyFont="1" applyFill="1" applyBorder="1" applyAlignment="1">
      <alignment horizontal="center" vertical="center"/>
    </xf>
    <xf numFmtId="4" fontId="36" fillId="3" borderId="1" xfId="58" applyNumberFormat="1" applyFont="1" applyFill="1" applyBorder="1" applyAlignment="1">
      <alignment horizontal="left" vertical="center"/>
    </xf>
    <xf numFmtId="4" fontId="36" fillId="3" borderId="1" xfId="72" applyNumberFormat="1" applyFont="1" applyFill="1" applyBorder="1" applyAlignment="1">
      <alignment horizontal="justify" vertical="center"/>
    </xf>
    <xf numFmtId="4" fontId="38" fillId="5" borderId="1" xfId="58" applyNumberFormat="1" applyFont="1" applyFill="1" applyBorder="1" applyAlignment="1">
      <alignment vertical="center"/>
    </xf>
    <xf numFmtId="4" fontId="36" fillId="3" borderId="1" xfId="72" applyNumberFormat="1" applyFont="1" applyFill="1" applyBorder="1" applyAlignment="1">
      <alignment horizontal="center" vertical="center"/>
    </xf>
    <xf numFmtId="4" fontId="36" fillId="3" borderId="1" xfId="72" applyNumberFormat="1" applyFont="1" applyFill="1" applyBorder="1" applyAlignment="1">
      <alignment vertical="center"/>
    </xf>
    <xf numFmtId="182" fontId="36" fillId="3" borderId="0" xfId="0" applyNumberFormat="1" applyFont="1" applyFill="1" applyAlignment="1">
      <alignment vertical="center"/>
    </xf>
    <xf numFmtId="182" fontId="36" fillId="3" borderId="0" xfId="0" applyNumberFormat="1" applyFont="1" applyFill="1" applyAlignment="1">
      <alignment horizontal="center" vertical="center"/>
    </xf>
    <xf numFmtId="182" fontId="38" fillId="3" borderId="0" xfId="0" applyNumberFormat="1" applyFont="1" applyFill="1" applyAlignment="1">
      <alignment horizontal="left" vertical="center"/>
    </xf>
    <xf numFmtId="182" fontId="36" fillId="3" borderId="0" xfId="0" applyNumberFormat="1" applyFont="1" applyFill="1" applyAlignment="1">
      <alignment horizontal="left" vertical="center"/>
    </xf>
    <xf numFmtId="39" fontId="36" fillId="46" borderId="1" xfId="1" applyNumberFormat="1" applyFont="1" applyFill="1" applyBorder="1" applyAlignment="1">
      <alignment vertical="center"/>
    </xf>
    <xf numFmtId="39" fontId="36" fillId="46" borderId="1" xfId="1" applyNumberFormat="1" applyFont="1" applyFill="1" applyBorder="1" applyAlignment="1">
      <alignment horizontal="left" vertical="center"/>
    </xf>
    <xf numFmtId="0" fontId="36" fillId="3" borderId="0" xfId="0" applyFont="1" applyFill="1" applyAlignment="1">
      <alignment horizontal="center" vertical="center"/>
    </xf>
    <xf numFmtId="182" fontId="36" fillId="3" borderId="0" xfId="0" applyNumberFormat="1" applyFont="1" applyFill="1" applyAlignment="1">
      <alignment horizontal="centerContinuous" vertical="center"/>
    </xf>
    <xf numFmtId="183" fontId="36" fillId="3" borderId="0" xfId="0" applyNumberFormat="1" applyFont="1" applyFill="1" applyAlignment="1">
      <alignment horizontal="centerContinuous" vertical="center"/>
    </xf>
    <xf numFmtId="0" fontId="38" fillId="49" borderId="3" xfId="1" applyFont="1" applyFill="1" applyBorder="1"/>
    <xf numFmtId="4" fontId="38" fillId="49" borderId="3" xfId="1" applyNumberFormat="1" applyFont="1" applyFill="1" applyBorder="1" applyAlignment="1">
      <alignment horizontal="right"/>
    </xf>
    <xf numFmtId="4" fontId="38" fillId="49" borderId="4" xfId="1" applyNumberFormat="1" applyFont="1" applyFill="1" applyBorder="1"/>
    <xf numFmtId="4" fontId="36" fillId="3" borderId="0" xfId="1" applyNumberFormat="1" applyFont="1" applyFill="1"/>
    <xf numFmtId="4" fontId="38" fillId="3" borderId="0" xfId="1" applyNumberFormat="1" applyFont="1" applyFill="1" applyAlignment="1">
      <alignment horizontal="right"/>
    </xf>
    <xf numFmtId="4" fontId="38" fillId="3" borderId="0" xfId="1" applyNumberFormat="1" applyFont="1" applyFill="1"/>
    <xf numFmtId="4" fontId="38" fillId="67" borderId="0" xfId="0" applyNumberFormat="1" applyFont="1" applyFill="1" applyAlignment="1">
      <alignment horizontal="left" vertical="center"/>
    </xf>
    <xf numFmtId="4" fontId="36" fillId="67" borderId="0" xfId="0" applyNumberFormat="1" applyFont="1" applyFill="1" applyAlignment="1">
      <alignment vertical="center"/>
    </xf>
    <xf numFmtId="4" fontId="36" fillId="67" borderId="0" xfId="0" applyNumberFormat="1" applyFont="1" applyFill="1" applyAlignment="1">
      <alignment horizontal="center" vertical="center"/>
    </xf>
    <xf numFmtId="4" fontId="38" fillId="67" borderId="0" xfId="0" applyNumberFormat="1" applyFont="1" applyFill="1" applyAlignment="1">
      <alignment horizontal="center" vertical="center"/>
    </xf>
    <xf numFmtId="4" fontId="36" fillId="0" borderId="6" xfId="0" applyNumberFormat="1" applyFont="1" applyBorder="1" applyAlignment="1">
      <alignment vertical="center"/>
    </xf>
    <xf numFmtId="4" fontId="36" fillId="3" borderId="6" xfId="0" applyNumberFormat="1" applyFont="1" applyFill="1" applyBorder="1" applyAlignment="1">
      <alignment vertical="center"/>
    </xf>
    <xf numFmtId="4" fontId="38" fillId="3" borderId="1" xfId="0" applyNumberFormat="1" applyFont="1" applyFill="1" applyBorder="1" applyAlignment="1">
      <alignment vertical="center"/>
    </xf>
    <xf numFmtId="4" fontId="36" fillId="3" borderId="0" xfId="0" applyNumberFormat="1" applyFont="1" applyFill="1" applyAlignment="1">
      <alignment horizontal="centerContinuous" vertical="center"/>
    </xf>
    <xf numFmtId="4" fontId="38" fillId="3" borderId="0" xfId="0" applyNumberFormat="1" applyFont="1" applyFill="1" applyAlignment="1">
      <alignment horizontal="center" vertical="center"/>
    </xf>
    <xf numFmtId="4" fontId="38" fillId="68" borderId="3" xfId="0" applyNumberFormat="1" applyFont="1" applyFill="1" applyBorder="1" applyAlignment="1">
      <alignment horizontal="left" vertical="center"/>
    </xf>
    <xf numFmtId="4" fontId="36" fillId="68" borderId="3" xfId="0" applyNumberFormat="1" applyFont="1" applyFill="1" applyBorder="1" applyAlignment="1">
      <alignment vertical="center"/>
    </xf>
    <xf numFmtId="4" fontId="36" fillId="68" borderId="3" xfId="0" applyNumberFormat="1" applyFont="1" applyFill="1" applyBorder="1" applyAlignment="1">
      <alignment horizontal="center" vertical="center"/>
    </xf>
    <xf numFmtId="4" fontId="38" fillId="68" borderId="3" xfId="0" applyNumberFormat="1" applyFont="1" applyFill="1" applyBorder="1" applyAlignment="1">
      <alignment horizontal="center" vertical="center"/>
    </xf>
    <xf numFmtId="4" fontId="38" fillId="68" borderId="3" xfId="0" applyNumberFormat="1" applyFont="1" applyFill="1" applyBorder="1" applyAlignment="1">
      <alignment horizontal="right" vertical="center"/>
    </xf>
    <xf numFmtId="4" fontId="38" fillId="68" borderId="4" xfId="0" applyNumberFormat="1" applyFont="1" applyFill="1" applyBorder="1" applyAlignment="1">
      <alignment vertical="center"/>
    </xf>
    <xf numFmtId="4" fontId="36" fillId="3" borderId="5" xfId="0" applyNumberFormat="1" applyFont="1" applyFill="1" applyBorder="1" applyAlignment="1">
      <alignment horizontal="left" vertical="center"/>
    </xf>
    <xf numFmtId="4" fontId="36" fillId="3" borderId="5" xfId="0" applyNumberFormat="1" applyFont="1" applyFill="1" applyBorder="1" applyAlignment="1">
      <alignment horizontal="center" vertical="center"/>
    </xf>
    <xf numFmtId="4" fontId="46" fillId="3" borderId="5" xfId="0" applyNumberFormat="1" applyFont="1" applyFill="1" applyBorder="1" applyAlignment="1">
      <alignment horizontal="center" vertical="center"/>
    </xf>
    <xf numFmtId="4" fontId="36" fillId="3" borderId="5" xfId="0" applyNumberFormat="1" applyFont="1" applyFill="1" applyBorder="1" applyAlignment="1">
      <alignment vertical="center"/>
    </xf>
    <xf numFmtId="4" fontId="36" fillId="3" borderId="7" xfId="0" applyNumberFormat="1" applyFont="1" applyFill="1" applyBorder="1" applyAlignment="1">
      <alignment horizontal="left" vertical="center"/>
    </xf>
    <xf numFmtId="4" fontId="36" fillId="3" borderId="7" xfId="0" applyNumberFormat="1" applyFont="1" applyFill="1" applyBorder="1" applyAlignment="1">
      <alignment horizontal="center" vertical="center"/>
    </xf>
    <xf numFmtId="4" fontId="36" fillId="3" borderId="7" xfId="0" applyNumberFormat="1" applyFont="1" applyFill="1" applyBorder="1" applyAlignment="1">
      <alignment vertical="center"/>
    </xf>
    <xf numFmtId="4" fontId="36" fillId="3" borderId="0" xfId="0" applyNumberFormat="1" applyFont="1" applyFill="1" applyAlignment="1">
      <alignment horizontal="right" vertical="center"/>
    </xf>
    <xf numFmtId="2" fontId="46" fillId="3" borderId="1" xfId="0" applyNumberFormat="1" applyFont="1" applyFill="1" applyBorder="1" applyAlignment="1">
      <alignment horizontal="right" vertical="center"/>
    </xf>
    <xf numFmtId="4" fontId="36" fillId="3" borderId="7" xfId="0" applyNumberFormat="1" applyFont="1" applyFill="1" applyBorder="1" applyAlignment="1">
      <alignment horizontal="right" vertical="center"/>
    </xf>
    <xf numFmtId="4" fontId="36" fillId="3" borderId="1" xfId="0" applyNumberFormat="1" applyFont="1" applyFill="1" applyBorder="1" applyAlignment="1">
      <alignment vertical="center"/>
    </xf>
    <xf numFmtId="4" fontId="38" fillId="43" borderId="45" xfId="0" applyNumberFormat="1" applyFont="1" applyFill="1" applyBorder="1" applyAlignment="1">
      <alignment horizontal="right" vertical="center"/>
    </xf>
    <xf numFmtId="39" fontId="36" fillId="46" borderId="0" xfId="1" applyNumberFormat="1" applyFont="1" applyFill="1" applyBorder="1" applyAlignment="1">
      <alignment vertical="center"/>
    </xf>
    <xf numFmtId="0" fontId="36" fillId="46" borderId="0" xfId="1" applyFont="1" applyFill="1" applyBorder="1"/>
    <xf numFmtId="39" fontId="36" fillId="46" borderId="0" xfId="1" applyNumberFormat="1" applyFont="1" applyFill="1" applyBorder="1" applyAlignment="1">
      <alignment horizontal="left" vertical="center"/>
    </xf>
    <xf numFmtId="0" fontId="36" fillId="3" borderId="0" xfId="0" applyFont="1" applyFill="1" applyBorder="1" applyAlignment="1">
      <alignment horizontal="center" vertical="center"/>
    </xf>
    <xf numFmtId="0" fontId="36" fillId="3" borderId="0" xfId="0" applyFont="1" applyFill="1" applyBorder="1" applyAlignment="1">
      <alignment vertical="center"/>
    </xf>
    <xf numFmtId="182" fontId="38" fillId="3" borderId="0" xfId="1" applyNumberFormat="1" applyFont="1" applyFill="1" applyBorder="1" applyAlignment="1">
      <alignment vertical="center"/>
    </xf>
    <xf numFmtId="39" fontId="36" fillId="3" borderId="0" xfId="1" applyNumberFormat="1" applyFont="1" applyFill="1" applyBorder="1" applyAlignment="1">
      <alignment vertical="center"/>
    </xf>
    <xf numFmtId="39" fontId="36" fillId="3" borderId="0" xfId="1" applyNumberFormat="1" applyFont="1" applyFill="1" applyBorder="1" applyAlignment="1">
      <alignment horizontal="left" vertical="center"/>
    </xf>
    <xf numFmtId="39" fontId="38" fillId="3" borderId="0" xfId="1" applyNumberFormat="1" applyFont="1" applyFill="1" applyBorder="1" applyAlignment="1">
      <alignment vertical="center"/>
    </xf>
    <xf numFmtId="182" fontId="38" fillId="6" borderId="1" xfId="1" applyNumberFormat="1" applyFont="1" applyFill="1" applyBorder="1" applyAlignment="1">
      <alignment horizontal="center" vertical="center"/>
    </xf>
    <xf numFmtId="182" fontId="38" fillId="6" borderId="1" xfId="1" applyNumberFormat="1" applyFont="1" applyFill="1" applyBorder="1" applyAlignment="1">
      <alignment vertical="center"/>
    </xf>
    <xf numFmtId="0" fontId="38" fillId="6" borderId="1" xfId="1" applyFont="1" applyFill="1" applyBorder="1" applyAlignment="1">
      <alignment horizontal="center" vertical="center"/>
    </xf>
    <xf numFmtId="4" fontId="38" fillId="5" borderId="1" xfId="1" applyNumberFormat="1" applyFont="1" applyFill="1" applyBorder="1" applyAlignment="1">
      <alignment vertical="center"/>
    </xf>
    <xf numFmtId="39" fontId="36" fillId="46" borderId="1" xfId="1" applyNumberFormat="1" applyFont="1" applyFill="1" applyBorder="1" applyAlignment="1">
      <alignment horizontal="justify" vertical="center"/>
    </xf>
    <xf numFmtId="182" fontId="36" fillId="0" borderId="1" xfId="0" quotePrefix="1" applyNumberFormat="1" applyFont="1" applyBorder="1" applyAlignment="1">
      <alignment horizontal="center" vertical="center"/>
    </xf>
    <xf numFmtId="0" fontId="36" fillId="3" borderId="0" xfId="0" applyFont="1" applyFill="1" applyAlignment="1">
      <alignment horizontal="left" vertical="center"/>
    </xf>
    <xf numFmtId="4" fontId="37" fillId="49" borderId="1" xfId="0" applyNumberFormat="1" applyFont="1" applyFill="1" applyBorder="1" applyAlignment="1">
      <alignment vertical="center"/>
    </xf>
    <xf numFmtId="0" fontId="36" fillId="3" borderId="0" xfId="1" applyFont="1" applyFill="1" applyBorder="1" applyAlignment="1">
      <alignment vertical="center"/>
    </xf>
    <xf numFmtId="0" fontId="37" fillId="49" borderId="1" xfId="0" applyFont="1" applyFill="1" applyBorder="1" applyAlignment="1">
      <alignment vertical="center"/>
    </xf>
    <xf numFmtId="182" fontId="38" fillId="3" borderId="0" xfId="0" quotePrefix="1" applyNumberFormat="1" applyFont="1" applyFill="1" applyAlignment="1">
      <alignment horizontal="left" vertical="center"/>
    </xf>
    <xf numFmtId="4" fontId="38" fillId="49" borderId="2" xfId="1" quotePrefix="1" applyNumberFormat="1" applyFont="1" applyFill="1" applyBorder="1" applyAlignment="1">
      <alignment horizontal="left" vertical="center"/>
    </xf>
    <xf numFmtId="0" fontId="38" fillId="49" borderId="3" xfId="1" applyFont="1" applyFill="1" applyBorder="1" applyAlignment="1">
      <alignment vertical="center"/>
    </xf>
    <xf numFmtId="4" fontId="36" fillId="49" borderId="3" xfId="1" applyNumberFormat="1" applyFont="1" applyFill="1" applyBorder="1" applyAlignment="1">
      <alignment vertical="center"/>
    </xf>
    <xf numFmtId="4" fontId="38" fillId="49" borderId="3" xfId="1" applyNumberFormat="1" applyFont="1" applyFill="1" applyBorder="1" applyAlignment="1">
      <alignment horizontal="right" vertical="center"/>
    </xf>
    <xf numFmtId="4" fontId="38" fillId="49" borderId="4" xfId="1" applyNumberFormat="1" applyFont="1" applyFill="1" applyBorder="1" applyAlignment="1">
      <alignment vertical="center"/>
    </xf>
    <xf numFmtId="4" fontId="38" fillId="3" borderId="0" xfId="1" applyNumberFormat="1" applyFont="1" applyFill="1" applyAlignment="1">
      <alignment horizontal="left" vertical="center"/>
    </xf>
    <xf numFmtId="4" fontId="36" fillId="3" borderId="0" xfId="1" applyNumberFormat="1" applyFont="1" applyFill="1" applyAlignment="1">
      <alignment vertical="center"/>
    </xf>
    <xf numFmtId="4" fontId="38" fillId="3" borderId="0" xfId="1" applyNumberFormat="1" applyFont="1" applyFill="1" applyAlignment="1">
      <alignment horizontal="right" vertical="center"/>
    </xf>
    <xf numFmtId="4" fontId="38" fillId="3" borderId="0" xfId="1" applyNumberFormat="1" applyFont="1" applyFill="1" applyAlignment="1">
      <alignment vertical="center"/>
    </xf>
    <xf numFmtId="182" fontId="38" fillId="67" borderId="0" xfId="0" quotePrefix="1" applyNumberFormat="1" applyFont="1" applyFill="1" applyAlignment="1">
      <alignment horizontal="left" vertical="center"/>
    </xf>
    <xf numFmtId="182" fontId="38" fillId="49" borderId="2" xfId="1" quotePrefix="1" applyNumberFormat="1" applyFont="1" applyFill="1" applyBorder="1" applyAlignment="1">
      <alignment horizontal="left" vertical="center"/>
    </xf>
    <xf numFmtId="4" fontId="38" fillId="49" borderId="3" xfId="1" applyNumberFormat="1" applyFont="1" applyFill="1" applyBorder="1" applyAlignment="1">
      <alignment horizontal="left" vertical="center"/>
    </xf>
    <xf numFmtId="4" fontId="38" fillId="68" borderId="2" xfId="1" quotePrefix="1" applyNumberFormat="1" applyFont="1" applyFill="1" applyBorder="1" applyAlignment="1">
      <alignment horizontal="left" vertical="center"/>
    </xf>
    <xf numFmtId="182" fontId="38" fillId="3" borderId="0" xfId="1" applyNumberFormat="1" applyFont="1" applyFill="1" applyAlignment="1">
      <alignment horizontal="left" vertical="center"/>
    </xf>
    <xf numFmtId="4" fontId="9" fillId="43" borderId="46" xfId="0" applyNumberFormat="1" applyFont="1" applyFill="1" applyBorder="1" applyAlignment="1">
      <alignment vertical="center"/>
    </xf>
    <xf numFmtId="182" fontId="42" fillId="3" borderId="0" xfId="58" applyNumberFormat="1" applyFont="1" applyFill="1" applyAlignment="1">
      <alignment vertical="center" wrapText="1"/>
    </xf>
    <xf numFmtId="4" fontId="36" fillId="0" borderId="1" xfId="0" applyNumberFormat="1" applyFont="1" applyBorder="1" applyAlignment="1">
      <alignment horizontal="justify" vertical="center"/>
    </xf>
    <xf numFmtId="4" fontId="36" fillId="0" borderId="1" xfId="0" applyNumberFormat="1" applyFont="1" applyBorder="1" applyAlignment="1">
      <alignment horizontal="center" vertical="center"/>
    </xf>
    <xf numFmtId="4" fontId="41" fillId="0" borderId="1" xfId="0" applyNumberFormat="1" applyFont="1" applyBorder="1" applyAlignment="1">
      <alignment horizontal="justify" vertical="center"/>
    </xf>
    <xf numFmtId="182" fontId="38" fillId="6" borderId="1" xfId="1" applyNumberFormat="1" applyFont="1" applyFill="1" applyBorder="1" applyAlignment="1">
      <alignment horizontal="center" vertical="center" wrapText="1"/>
    </xf>
    <xf numFmtId="4" fontId="36" fillId="3" borderId="1" xfId="0" applyNumberFormat="1" applyFont="1" applyFill="1" applyBorder="1" applyAlignment="1">
      <alignment horizontal="justify" vertical="center"/>
    </xf>
    <xf numFmtId="4" fontId="38" fillId="6" borderId="1" xfId="0" applyNumberFormat="1" applyFont="1" applyFill="1" applyBorder="1" applyAlignment="1">
      <alignment horizontal="centerContinuous" vertical="center"/>
    </xf>
    <xf numFmtId="4" fontId="38" fillId="6" borderId="1" xfId="0" applyNumberFormat="1" applyFont="1" applyFill="1" applyBorder="1" applyAlignment="1">
      <alignment horizontal="center" vertical="center" wrapText="1"/>
    </xf>
    <xf numFmtId="4" fontId="38" fillId="6" borderId="1" xfId="0" applyNumberFormat="1" applyFont="1" applyFill="1" applyBorder="1" applyAlignment="1">
      <alignment horizontal="center" vertical="center"/>
    </xf>
    <xf numFmtId="0" fontId="9" fillId="53" borderId="1" xfId="0" applyFont="1" applyFill="1" applyBorder="1" applyAlignment="1">
      <alignment vertical="center"/>
    </xf>
    <xf numFmtId="182" fontId="36" fillId="3" borderId="0" xfId="0" quotePrefix="1" applyNumberFormat="1" applyFont="1" applyFill="1" applyAlignment="1">
      <alignment horizontal="left" vertical="center"/>
    </xf>
    <xf numFmtId="39" fontId="38" fillId="3" borderId="0" xfId="0" applyNumberFormat="1" applyFont="1" applyFill="1" applyAlignment="1">
      <alignment horizontal="center" vertical="center"/>
    </xf>
    <xf numFmtId="182" fontId="38" fillId="3" borderId="0" xfId="0" quotePrefix="1" applyNumberFormat="1" applyFont="1" applyFill="1" applyAlignment="1">
      <alignment horizontal="centerContinuous" vertical="center"/>
    </xf>
    <xf numFmtId="4" fontId="38" fillId="49" borderId="2" xfId="1" quotePrefix="1" applyNumberFormat="1" applyFont="1" applyFill="1" applyBorder="1"/>
    <xf numFmtId="4" fontId="38" fillId="49" borderId="3" xfId="1" applyNumberFormat="1" applyFont="1" applyFill="1" applyBorder="1"/>
    <xf numFmtId="2" fontId="38" fillId="67" borderId="0" xfId="0" quotePrefix="1" applyNumberFormat="1" applyFont="1" applyFill="1" applyAlignment="1">
      <alignment horizontal="right" vertical="center"/>
    </xf>
    <xf numFmtId="182" fontId="38" fillId="3" borderId="0" xfId="0" applyNumberFormat="1" applyFont="1" applyFill="1" applyAlignment="1">
      <alignment vertical="center"/>
    </xf>
    <xf numFmtId="185" fontId="38" fillId="3" borderId="0" xfId="0" applyNumberFormat="1" applyFont="1" applyFill="1" applyAlignment="1">
      <alignment horizontal="right" vertical="center"/>
    </xf>
    <xf numFmtId="182" fontId="36" fillId="3" borderId="0" xfId="0" applyNumberFormat="1" applyFont="1" applyFill="1" applyAlignment="1">
      <alignment horizontal="right" vertical="center"/>
    </xf>
    <xf numFmtId="4" fontId="36" fillId="0" borderId="5" xfId="0" applyNumberFormat="1" applyFont="1" applyBorder="1" applyAlignment="1">
      <alignment vertical="center"/>
    </xf>
    <xf numFmtId="4" fontId="36" fillId="0" borderId="5" xfId="0" applyNumberFormat="1" applyFont="1" applyBorder="1" applyAlignment="1">
      <alignment horizontal="center" vertical="center"/>
    </xf>
    <xf numFmtId="182" fontId="38" fillId="3" borderId="0" xfId="0" quotePrefix="1" applyNumberFormat="1" applyFont="1" applyFill="1" applyAlignment="1">
      <alignment horizontal="right" vertical="center"/>
    </xf>
    <xf numFmtId="4" fontId="36" fillId="0" borderId="1" xfId="0" applyNumberFormat="1" applyFont="1" applyBorder="1" applyAlignment="1">
      <alignment horizontal="left" vertical="center"/>
    </xf>
    <xf numFmtId="4" fontId="36" fillId="0" borderId="1" xfId="0" applyNumberFormat="1" applyFont="1" applyBorder="1" applyAlignment="1">
      <alignment horizontal="right" vertical="center"/>
    </xf>
    <xf numFmtId="4" fontId="38" fillId="43" borderId="46" xfId="0" applyNumberFormat="1" applyFont="1" applyFill="1" applyBorder="1" applyAlignment="1">
      <alignment vertical="center"/>
    </xf>
    <xf numFmtId="39" fontId="38" fillId="46" borderId="0" xfId="1" applyNumberFormat="1" applyFont="1" applyFill="1" applyBorder="1" applyAlignment="1">
      <alignment horizontal="center" vertical="center"/>
    </xf>
    <xf numFmtId="39" fontId="38" fillId="3" borderId="0" xfId="0" applyNumberFormat="1" applyFont="1" applyFill="1" applyBorder="1" applyAlignment="1">
      <alignment horizontal="center" vertical="center"/>
    </xf>
    <xf numFmtId="4" fontId="36" fillId="49" borderId="1" xfId="1" applyNumberFormat="1" applyFont="1" applyFill="1" applyBorder="1" applyAlignment="1">
      <alignment vertical="center"/>
    </xf>
    <xf numFmtId="4" fontId="38" fillId="8" borderId="1" xfId="1" applyNumberFormat="1" applyFont="1" applyFill="1" applyBorder="1" applyAlignment="1">
      <alignment vertical="center"/>
    </xf>
    <xf numFmtId="182" fontId="38" fillId="0" borderId="0" xfId="1" applyNumberFormat="1" applyFont="1" applyFill="1" applyBorder="1" applyAlignment="1">
      <alignment horizontal="center" vertical="center"/>
    </xf>
    <xf numFmtId="4" fontId="36" fillId="3" borderId="1" xfId="0" applyNumberFormat="1" applyFont="1" applyFill="1" applyBorder="1" applyAlignment="1">
      <alignment horizontal="left" vertical="center"/>
    </xf>
    <xf numFmtId="168" fontId="36" fillId="3" borderId="1" xfId="69" applyFont="1" applyFill="1" applyBorder="1" applyAlignment="1">
      <alignment horizontal="center" vertical="center"/>
    </xf>
    <xf numFmtId="4" fontId="36" fillId="3" borderId="5" xfId="0" applyNumberFormat="1" applyFont="1" applyFill="1" applyBorder="1" applyAlignment="1">
      <alignment horizontal="justify" vertical="center"/>
    </xf>
    <xf numFmtId="4" fontId="38" fillId="6" borderId="1" xfId="0" applyNumberFormat="1" applyFont="1" applyFill="1" applyBorder="1" applyAlignment="1">
      <alignment vertical="center"/>
    </xf>
    <xf numFmtId="4" fontId="36" fillId="0" borderId="5" xfId="0" applyNumberFormat="1" applyFont="1" applyBorder="1" applyAlignment="1">
      <alignment horizontal="justify" vertical="center"/>
    </xf>
    <xf numFmtId="4" fontId="46" fillId="0" borderId="1" xfId="0" applyNumberFormat="1" applyFont="1" applyBorder="1" applyAlignment="1">
      <alignment horizontal="center" vertical="center"/>
    </xf>
    <xf numFmtId="182" fontId="38" fillId="3" borderId="0" xfId="0" applyNumberFormat="1" applyFont="1" applyFill="1" applyAlignment="1">
      <alignment horizontal="center" vertical="center"/>
    </xf>
    <xf numFmtId="182" fontId="38" fillId="3" borderId="0" xfId="0" quotePrefix="1" applyNumberFormat="1" applyFont="1" applyFill="1" applyAlignment="1">
      <alignment horizontal="center" vertical="center"/>
    </xf>
    <xf numFmtId="183" fontId="36" fillId="3" borderId="0" xfId="0" applyNumberFormat="1" applyFont="1" applyFill="1" applyAlignment="1">
      <alignment horizontal="center" vertical="center"/>
    </xf>
    <xf numFmtId="183" fontId="36" fillId="3" borderId="0" xfId="0" applyNumberFormat="1" applyFont="1" applyFill="1" applyAlignment="1">
      <alignment vertical="center"/>
    </xf>
    <xf numFmtId="182" fontId="46" fillId="3" borderId="0" xfId="0" applyNumberFormat="1" applyFont="1" applyFill="1" applyAlignment="1">
      <alignment vertical="center"/>
    </xf>
    <xf numFmtId="186" fontId="36" fillId="3" borderId="0" xfId="0" applyNumberFormat="1" applyFont="1" applyFill="1" applyAlignment="1">
      <alignment horizontal="right" vertical="center"/>
    </xf>
    <xf numFmtId="0" fontId="37" fillId="3" borderId="0" xfId="0" applyFont="1" applyFill="1" applyAlignment="1">
      <alignment horizontal="left"/>
    </xf>
    <xf numFmtId="4" fontId="38" fillId="3" borderId="0" xfId="0" applyNumberFormat="1" applyFont="1" applyFill="1" applyBorder="1" applyAlignment="1">
      <alignment vertical="center"/>
    </xf>
    <xf numFmtId="4" fontId="46" fillId="3" borderId="1" xfId="0" applyNumberFormat="1" applyFont="1" applyFill="1" applyBorder="1" applyAlignment="1">
      <alignment horizontal="center" vertical="center"/>
    </xf>
    <xf numFmtId="4" fontId="57" fillId="0" borderId="1" xfId="0" applyNumberFormat="1" applyFont="1" applyBorder="1" applyAlignment="1">
      <alignment horizontal="center" vertical="center" wrapText="1"/>
    </xf>
    <xf numFmtId="0" fontId="60" fillId="4" borderId="1" xfId="0" applyFont="1" applyFill="1" applyBorder="1" applyAlignment="1">
      <alignment horizontal="center" vertical="center" wrapText="1"/>
    </xf>
    <xf numFmtId="0" fontId="60" fillId="4" borderId="1" xfId="0" applyFont="1" applyFill="1" applyBorder="1" applyAlignment="1">
      <alignment horizontal="left" vertical="center" wrapText="1"/>
    </xf>
    <xf numFmtId="4" fontId="60" fillId="4" borderId="1" xfId="0" applyNumberFormat="1" applyFont="1" applyFill="1" applyBorder="1" applyAlignment="1">
      <alignment horizontal="right" vertical="center" wrapText="1"/>
    </xf>
    <xf numFmtId="0" fontId="37" fillId="0" borderId="1" xfId="0" applyFont="1" applyBorder="1" applyAlignment="1">
      <alignment horizontal="left" vertical="center" wrapText="1"/>
    </xf>
    <xf numFmtId="4" fontId="37" fillId="0" borderId="1" xfId="0" applyNumberFormat="1" applyFont="1" applyBorder="1" applyAlignment="1">
      <alignment horizontal="right" vertical="center"/>
    </xf>
    <xf numFmtId="1" fontId="37" fillId="0" borderId="1" xfId="0" applyNumberFormat="1" applyFont="1" applyBorder="1" applyAlignment="1">
      <alignment horizontal="center" vertical="center" wrapText="1"/>
    </xf>
    <xf numFmtId="1" fontId="36" fillId="0" borderId="1" xfId="0" applyNumberFormat="1" applyFont="1" applyBorder="1" applyAlignment="1">
      <alignment horizontal="center" vertical="center" wrapText="1"/>
    </xf>
    <xf numFmtId="4" fontId="38" fillId="69" borderId="1" xfId="0" applyNumberFormat="1" applyFont="1" applyFill="1" applyBorder="1" applyAlignment="1">
      <alignment horizontal="right" vertical="center" wrapText="1"/>
    </xf>
    <xf numFmtId="0" fontId="67" fillId="3" borderId="0" xfId="0" applyFont="1" applyFill="1"/>
    <xf numFmtId="0" fontId="57" fillId="3" borderId="1" xfId="0" applyFont="1" applyFill="1" applyBorder="1" applyAlignment="1">
      <alignment horizontal="center" vertical="center" wrapText="1"/>
    </xf>
    <xf numFmtId="4" fontId="57" fillId="3" borderId="1" xfId="0" applyNumberFormat="1" applyFont="1" applyFill="1" applyBorder="1" applyAlignment="1">
      <alignment horizontal="center" vertical="center" wrapText="1"/>
    </xf>
    <xf numFmtId="4" fontId="9" fillId="3" borderId="1" xfId="0" applyNumberFormat="1" applyFont="1" applyFill="1" applyBorder="1" applyAlignment="1">
      <alignment horizontal="center" vertical="center"/>
    </xf>
    <xf numFmtId="2" fontId="38" fillId="59" borderId="1" xfId="0" applyNumberFormat="1" applyFont="1" applyFill="1" applyBorder="1" applyAlignment="1" applyProtection="1">
      <alignment horizontal="center" vertical="center" wrapText="1"/>
      <protection locked="0"/>
    </xf>
    <xf numFmtId="4" fontId="41" fillId="0" borderId="1" xfId="0" applyNumberFormat="1" applyFont="1" applyBorder="1" applyAlignment="1" applyProtection="1">
      <alignment horizontal="justify" vertical="center" wrapText="1"/>
      <protection locked="0"/>
    </xf>
    <xf numFmtId="4" fontId="41" fillId="0" borderId="1" xfId="0" applyNumberFormat="1" applyFont="1" applyBorder="1" applyAlignment="1" applyProtection="1">
      <alignment horizontal="center" vertical="center" wrapText="1"/>
      <protection locked="0"/>
    </xf>
    <xf numFmtId="2" fontId="38" fillId="9" borderId="1" xfId="0" applyNumberFormat="1" applyFont="1" applyFill="1" applyBorder="1" applyAlignment="1" applyProtection="1">
      <alignment horizontal="center" vertical="center" wrapText="1"/>
      <protection locked="0"/>
    </xf>
    <xf numFmtId="2" fontId="42" fillId="9" borderId="1" xfId="0" applyNumberFormat="1" applyFont="1" applyFill="1" applyBorder="1" applyAlignment="1" applyProtection="1">
      <alignment horizontal="center" vertical="center" wrapText="1"/>
      <protection locked="0"/>
    </xf>
    <xf numFmtId="4" fontId="42" fillId="9" borderId="1" xfId="0" applyNumberFormat="1" applyFont="1" applyFill="1" applyBorder="1" applyAlignment="1" applyProtection="1">
      <alignment vertical="center" wrapText="1"/>
      <protection locked="0"/>
    </xf>
    <xf numFmtId="4" fontId="41" fillId="9" borderId="1" xfId="0" applyNumberFormat="1" applyFont="1" applyFill="1" applyBorder="1" applyAlignment="1" applyProtection="1">
      <alignment horizontal="center" vertical="center" wrapText="1"/>
      <protection locked="0"/>
    </xf>
    <xf numFmtId="3" fontId="41" fillId="0" borderId="1" xfId="0" applyNumberFormat="1" applyFont="1" applyBorder="1" applyAlignment="1" applyProtection="1">
      <alignment horizontal="center" vertical="center" wrapText="1"/>
      <protection locked="0"/>
    </xf>
    <xf numFmtId="4" fontId="38" fillId="59" borderId="1" xfId="0" applyNumberFormat="1" applyFont="1" applyFill="1" applyBorder="1" applyAlignment="1" applyProtection="1">
      <alignment vertical="center" wrapText="1"/>
      <protection locked="0"/>
    </xf>
    <xf numFmtId="0" fontId="68" fillId="0" borderId="1" xfId="0" applyFont="1" applyBorder="1" applyAlignment="1">
      <alignment horizontal="left" vertical="center" wrapText="1"/>
    </xf>
    <xf numFmtId="0" fontId="37" fillId="3" borderId="1" xfId="0" applyFont="1" applyFill="1" applyBorder="1" applyAlignment="1">
      <alignment horizontal="center" vertical="center"/>
    </xf>
    <xf numFmtId="1" fontId="41" fillId="0" borderId="1" xfId="0" applyNumberFormat="1" applyFont="1" applyBorder="1" applyAlignment="1">
      <alignment horizontal="center" vertical="center" wrapText="1"/>
    </xf>
    <xf numFmtId="178" fontId="37" fillId="3" borderId="1" xfId="0" applyNumberFormat="1" applyFont="1" applyFill="1" applyBorder="1" applyAlignment="1">
      <alignment horizontal="center" vertical="center"/>
    </xf>
    <xf numFmtId="178" fontId="41" fillId="3" borderId="1" xfId="0" applyNumberFormat="1" applyFont="1" applyFill="1" applyBorder="1" applyAlignment="1">
      <alignment horizontal="center" vertical="center"/>
    </xf>
    <xf numFmtId="0" fontId="37" fillId="3" borderId="1" xfId="0" applyFont="1" applyFill="1" applyBorder="1" applyAlignment="1">
      <alignment horizontal="justify" vertical="center"/>
    </xf>
    <xf numFmtId="0" fontId="37" fillId="3" borderId="1" xfId="0" applyFont="1" applyFill="1" applyBorder="1" applyAlignment="1">
      <alignment horizontal="center" vertical="center"/>
    </xf>
    <xf numFmtId="0" fontId="37" fillId="5" borderId="44" xfId="0" applyFont="1" applyFill="1" applyBorder="1"/>
    <xf numFmtId="0" fontId="37" fillId="5" borderId="45" xfId="0" applyFont="1" applyFill="1" applyBorder="1"/>
    <xf numFmtId="166" fontId="37" fillId="5" borderId="46" xfId="0" applyNumberFormat="1" applyFont="1" applyFill="1" applyBorder="1"/>
    <xf numFmtId="166" fontId="37" fillId="3" borderId="0" xfId="0" applyNumberFormat="1" applyFont="1" applyFill="1"/>
    <xf numFmtId="166" fontId="41" fillId="3" borderId="0" xfId="0" applyNumberFormat="1" applyFont="1" applyFill="1"/>
    <xf numFmtId="166" fontId="41" fillId="5" borderId="46" xfId="0" applyNumberFormat="1" applyFont="1" applyFill="1" applyBorder="1"/>
    <xf numFmtId="0" fontId="38" fillId="3" borderId="2" xfId="0" applyFont="1" applyFill="1" applyBorder="1" applyAlignment="1">
      <alignment horizontal="center" vertical="center" wrapText="1"/>
    </xf>
    <xf numFmtId="0" fontId="38" fillId="3" borderId="3" xfId="0" applyFont="1" applyFill="1" applyBorder="1" applyAlignment="1">
      <alignment horizontal="center" vertical="center" wrapText="1"/>
    </xf>
    <xf numFmtId="0" fontId="38" fillId="3" borderId="3" xfId="0" applyFont="1" applyFill="1" applyBorder="1"/>
    <xf numFmtId="0" fontId="38" fillId="3" borderId="37" xfId="0" applyFont="1" applyFill="1" applyBorder="1"/>
    <xf numFmtId="187" fontId="38" fillId="3" borderId="0" xfId="0" applyNumberFormat="1" applyFont="1" applyFill="1"/>
    <xf numFmtId="0" fontId="38" fillId="3" borderId="43" xfId="0" applyFont="1" applyFill="1" applyBorder="1"/>
    <xf numFmtId="187" fontId="38" fillId="3" borderId="43" xfId="0" applyNumberFormat="1" applyFont="1" applyFill="1" applyBorder="1"/>
    <xf numFmtId="187" fontId="36" fillId="3" borderId="0" xfId="0" applyNumberFormat="1" applyFont="1" applyFill="1"/>
    <xf numFmtId="0" fontId="36" fillId="3" borderId="43" xfId="0" applyFont="1" applyFill="1" applyBorder="1"/>
    <xf numFmtId="166" fontId="36" fillId="3" borderId="0" xfId="56" applyFont="1" applyFill="1"/>
    <xf numFmtId="166" fontId="36" fillId="3" borderId="43" xfId="56" applyFont="1" applyFill="1" applyBorder="1"/>
    <xf numFmtId="166" fontId="38" fillId="3" borderId="0" xfId="56" applyFont="1" applyFill="1"/>
    <xf numFmtId="166" fontId="38" fillId="3" borderId="43" xfId="56" applyFont="1" applyFill="1" applyBorder="1"/>
    <xf numFmtId="0" fontId="36" fillId="3" borderId="43" xfId="0" applyFont="1" applyFill="1" applyBorder="1" applyAlignment="1">
      <alignment horizontal="left"/>
    </xf>
    <xf numFmtId="166" fontId="36" fillId="3" borderId="38" xfId="56" applyFont="1" applyFill="1" applyBorder="1"/>
    <xf numFmtId="187" fontId="36" fillId="3" borderId="8" xfId="0" applyNumberFormat="1" applyFont="1" applyFill="1" applyBorder="1"/>
    <xf numFmtId="0" fontId="38" fillId="3" borderId="4" xfId="0" applyFont="1" applyFill="1" applyBorder="1"/>
    <xf numFmtId="187" fontId="38" fillId="3" borderId="3" xfId="0" applyNumberFormat="1" applyFont="1" applyFill="1" applyBorder="1"/>
    <xf numFmtId="166" fontId="38" fillId="3" borderId="8" xfId="56" applyFont="1" applyFill="1" applyBorder="1"/>
    <xf numFmtId="0" fontId="38" fillId="3" borderId="0" xfId="0" applyFont="1" applyFill="1"/>
    <xf numFmtId="0" fontId="36" fillId="3" borderId="0" xfId="0" applyFont="1" applyFill="1"/>
    <xf numFmtId="0" fontId="38" fillId="3" borderId="0" xfId="0" quotePrefix="1" applyFont="1" applyFill="1" applyAlignment="1">
      <alignment horizontal="left"/>
    </xf>
    <xf numFmtId="0" fontId="36" fillId="3" borderId="0" xfId="0" applyFont="1" applyFill="1" applyAlignment="1">
      <alignment horizontal="left"/>
    </xf>
    <xf numFmtId="0" fontId="36" fillId="3" borderId="8" xfId="0" applyFont="1" applyFill="1" applyBorder="1"/>
    <xf numFmtId="0" fontId="41" fillId="3" borderId="44" xfId="0" applyFont="1" applyFill="1" applyBorder="1"/>
    <xf numFmtId="0" fontId="38" fillId="3" borderId="8" xfId="0" applyFont="1" applyFill="1" applyBorder="1" applyAlignment="1">
      <alignment horizontal="centerContinuous"/>
    </xf>
    <xf numFmtId="0" fontId="42" fillId="3" borderId="0" xfId="0" applyFont="1" applyFill="1"/>
    <xf numFmtId="4" fontId="36" fillId="3" borderId="0" xfId="0" applyNumberFormat="1" applyFont="1" applyFill="1"/>
    <xf numFmtId="4" fontId="36" fillId="3" borderId="0" xfId="56" applyNumberFormat="1" applyFont="1" applyFill="1"/>
    <xf numFmtId="4" fontId="38" fillId="3" borderId="0" xfId="0" applyNumberFormat="1" applyFont="1" applyFill="1"/>
    <xf numFmtId="4" fontId="36" fillId="3" borderId="8" xfId="0" applyNumberFormat="1" applyFont="1" applyFill="1" applyBorder="1"/>
    <xf numFmtId="0" fontId="9" fillId="3" borderId="1" xfId="0" applyFont="1" applyFill="1" applyBorder="1" applyAlignment="1">
      <alignment horizontal="center" vertical="center" wrapText="1"/>
    </xf>
    <xf numFmtId="0" fontId="51" fillId="3" borderId="1" xfId="0" applyFont="1" applyFill="1" applyBorder="1" applyAlignment="1">
      <alignment horizontal="justify" vertical="center" wrapText="1"/>
    </xf>
    <xf numFmtId="0" fontId="51" fillId="3" borderId="1" xfId="0" applyFont="1" applyFill="1" applyBorder="1" applyAlignment="1">
      <alignment horizontal="center" vertical="center" wrapText="1"/>
    </xf>
    <xf numFmtId="4" fontId="51" fillId="3" borderId="1" xfId="0" applyNumberFormat="1" applyFont="1" applyFill="1" applyBorder="1" applyAlignment="1">
      <alignment horizontal="center" vertical="center" wrapText="1"/>
    </xf>
    <xf numFmtId="0" fontId="9" fillId="70" borderId="47" xfId="0" applyFont="1" applyFill="1" applyBorder="1" applyAlignment="1">
      <alignment horizontal="center" vertical="center"/>
    </xf>
    <xf numFmtId="0" fontId="37" fillId="3" borderId="47" xfId="0" applyFont="1" applyFill="1" applyBorder="1" applyAlignment="1">
      <alignment vertical="center"/>
    </xf>
    <xf numFmtId="0" fontId="37" fillId="3" borderId="47" xfId="0" applyFont="1" applyFill="1" applyBorder="1" applyAlignment="1">
      <alignment horizontal="center" vertical="center"/>
    </xf>
    <xf numFmtId="0" fontId="37" fillId="3" borderId="47" xfId="0" applyFont="1" applyFill="1" applyBorder="1" applyAlignment="1">
      <alignment horizontal="justify" vertical="center"/>
    </xf>
    <xf numFmtId="0" fontId="37" fillId="59" borderId="47" xfId="0" applyFont="1" applyFill="1" applyBorder="1" applyAlignment="1">
      <alignment horizontal="center" vertical="center"/>
    </xf>
    <xf numFmtId="4" fontId="37" fillId="3" borderId="47" xfId="0" applyNumberFormat="1" applyFont="1" applyFill="1" applyBorder="1" applyAlignment="1">
      <alignment vertical="center"/>
    </xf>
    <xf numFmtId="4" fontId="37" fillId="59" borderId="47" xfId="0" applyNumberFormat="1" applyFont="1" applyFill="1" applyBorder="1" applyAlignment="1">
      <alignment vertical="center"/>
    </xf>
    <xf numFmtId="0" fontId="37" fillId="59" borderId="0" xfId="0" applyFont="1" applyFill="1" applyAlignment="1">
      <alignment vertical="center"/>
    </xf>
    <xf numFmtId="0" fontId="37" fillId="59" borderId="47" xfId="0" applyFont="1" applyFill="1" applyBorder="1" applyAlignment="1">
      <alignment vertical="center"/>
    </xf>
    <xf numFmtId="0" fontId="9" fillId="70" borderId="47" xfId="0" applyFont="1" applyFill="1" applyBorder="1" applyAlignment="1">
      <alignment horizontal="center" vertical="center"/>
    </xf>
    <xf numFmtId="0" fontId="9" fillId="70" borderId="50" xfId="0" applyFont="1" applyFill="1" applyBorder="1" applyAlignment="1">
      <alignment horizontal="center" vertical="center"/>
    </xf>
    <xf numFmtId="4" fontId="37" fillId="3" borderId="47" xfId="0" applyNumberFormat="1" applyFont="1" applyFill="1" applyBorder="1" applyAlignment="1">
      <alignment horizontal="center" vertical="center"/>
    </xf>
    <xf numFmtId="4" fontId="50" fillId="59" borderId="47" xfId="0" applyNumberFormat="1" applyFont="1" applyFill="1" applyBorder="1" applyAlignment="1">
      <alignment horizontal="justify" vertical="center" wrapText="1"/>
    </xf>
    <xf numFmtId="165" fontId="37" fillId="3" borderId="0" xfId="0" applyNumberFormat="1" applyFont="1" applyFill="1" applyAlignment="1">
      <alignment vertical="center"/>
    </xf>
    <xf numFmtId="166" fontId="37" fillId="3" borderId="47" xfId="0" applyNumberFormat="1" applyFont="1" applyFill="1" applyBorder="1" applyAlignment="1">
      <alignment vertical="center"/>
    </xf>
    <xf numFmtId="165" fontId="37" fillId="3" borderId="47" xfId="0" applyNumberFormat="1" applyFont="1" applyFill="1" applyBorder="1" applyAlignment="1">
      <alignment vertical="center"/>
    </xf>
    <xf numFmtId="165" fontId="37" fillId="3" borderId="47" xfId="0" applyNumberFormat="1" applyFont="1" applyFill="1" applyBorder="1" applyAlignment="1">
      <alignment horizontal="right" vertical="center"/>
    </xf>
    <xf numFmtId="4" fontId="50" fillId="59" borderId="47" xfId="0" applyNumberFormat="1" applyFont="1" applyFill="1" applyBorder="1" applyAlignment="1">
      <alignment vertical="center"/>
    </xf>
    <xf numFmtId="0" fontId="9" fillId="3" borderId="47" xfId="0" applyFont="1" applyFill="1" applyBorder="1" applyAlignment="1">
      <alignment horizontal="justify" vertical="center"/>
    </xf>
    <xf numFmtId="2" fontId="37" fillId="3" borderId="47" xfId="0" applyNumberFormat="1" applyFont="1" applyFill="1" applyBorder="1" applyAlignment="1">
      <alignment vertical="center"/>
    </xf>
    <xf numFmtId="187" fontId="37" fillId="3" borderId="47" xfId="0" applyNumberFormat="1" applyFont="1" applyFill="1" applyBorder="1" applyAlignment="1">
      <alignment horizontal="center" vertical="center"/>
    </xf>
    <xf numFmtId="0" fontId="9" fillId="3" borderId="47" xfId="0" applyFont="1" applyFill="1" applyBorder="1" applyAlignment="1">
      <alignment vertical="center"/>
    </xf>
    <xf numFmtId="0" fontId="37" fillId="3" borderId="50" xfId="0" applyFont="1" applyFill="1" applyBorder="1" applyAlignment="1">
      <alignment vertical="center"/>
    </xf>
    <xf numFmtId="0" fontId="9" fillId="3" borderId="50" xfId="0" applyFont="1" applyFill="1" applyBorder="1" applyAlignment="1">
      <alignment vertical="center"/>
    </xf>
    <xf numFmtId="0" fontId="37" fillId="3" borderId="50" xfId="0" applyFont="1" applyFill="1" applyBorder="1" applyAlignment="1">
      <alignment horizontal="center" vertical="center"/>
    </xf>
    <xf numFmtId="4" fontId="37" fillId="59" borderId="47" xfId="0" applyNumberFormat="1" applyFont="1" applyFill="1" applyBorder="1" applyAlignment="1">
      <alignment horizontal="center" vertical="center"/>
    </xf>
    <xf numFmtId="166" fontId="37" fillId="59" borderId="47" xfId="0" applyNumberFormat="1" applyFont="1" applyFill="1" applyBorder="1" applyAlignment="1">
      <alignment vertical="center"/>
    </xf>
    <xf numFmtId="0" fontId="37" fillId="9" borderId="47" xfId="0" applyFont="1" applyFill="1" applyBorder="1" applyAlignment="1">
      <alignment vertical="center"/>
    </xf>
    <xf numFmtId="165" fontId="37" fillId="9" borderId="47" xfId="0" applyNumberFormat="1" applyFont="1" applyFill="1" applyBorder="1" applyAlignment="1">
      <alignment vertical="center"/>
    </xf>
    <xf numFmtId="4" fontId="37" fillId="9" borderId="47" xfId="0" applyNumberFormat="1" applyFont="1" applyFill="1" applyBorder="1" applyAlignment="1">
      <alignment horizontal="center" vertical="center"/>
    </xf>
    <xf numFmtId="0" fontId="37" fillId="9" borderId="47" xfId="0" applyFont="1" applyFill="1" applyBorder="1" applyAlignment="1">
      <alignment horizontal="center" vertical="center"/>
    </xf>
    <xf numFmtId="166" fontId="37" fillId="9" borderId="47" xfId="0" applyNumberFormat="1" applyFont="1" applyFill="1" applyBorder="1" applyAlignment="1">
      <alignment vertical="center"/>
    </xf>
    <xf numFmtId="165" fontId="37" fillId="9" borderId="47" xfId="0" applyNumberFormat="1" applyFont="1" applyFill="1" applyBorder="1" applyAlignment="1">
      <alignment horizontal="right" vertical="center"/>
    </xf>
    <xf numFmtId="187" fontId="37" fillId="9" borderId="47" xfId="0" applyNumberFormat="1" applyFont="1" applyFill="1" applyBorder="1" applyAlignment="1">
      <alignment horizontal="center" vertical="center"/>
    </xf>
    <xf numFmtId="4" fontId="37" fillId="9" borderId="47" xfId="0" applyNumberFormat="1" applyFont="1" applyFill="1" applyBorder="1" applyAlignment="1">
      <alignment vertical="center"/>
    </xf>
    <xf numFmtId="4" fontId="37" fillId="3" borderId="50" xfId="0" applyNumberFormat="1" applyFont="1" applyFill="1" applyBorder="1" applyAlignment="1">
      <alignment vertical="center"/>
    </xf>
    <xf numFmtId="4" fontId="37" fillId="3" borderId="47" xfId="0" applyNumberFormat="1" applyFont="1" applyFill="1" applyBorder="1" applyAlignment="1">
      <alignment horizontal="right" vertical="center"/>
    </xf>
    <xf numFmtId="4" fontId="50" fillId="59" borderId="47" xfId="0" applyNumberFormat="1" applyFont="1" applyFill="1" applyBorder="1" applyAlignment="1">
      <alignment horizontal="right" vertical="center"/>
    </xf>
    <xf numFmtId="4" fontId="37" fillId="9" borderId="47" xfId="0" applyNumberFormat="1" applyFont="1" applyFill="1" applyBorder="1" applyAlignment="1">
      <alignment horizontal="right" vertical="center"/>
    </xf>
    <xf numFmtId="4" fontId="37" fillId="3" borderId="50" xfId="0" applyNumberFormat="1" applyFont="1" applyFill="1" applyBorder="1" applyAlignment="1">
      <alignment horizontal="right" vertical="center"/>
    </xf>
    <xf numFmtId="0" fontId="69" fillId="52" borderId="47" xfId="0" applyFont="1" applyFill="1" applyBorder="1" applyAlignment="1">
      <alignment horizontal="center" vertical="center"/>
    </xf>
    <xf numFmtId="0" fontId="50" fillId="59" borderId="47" xfId="0" applyFont="1" applyFill="1" applyBorder="1" applyAlignment="1">
      <alignment horizontal="center" vertical="center"/>
    </xf>
    <xf numFmtId="4" fontId="37" fillId="0" borderId="47" xfId="0" applyNumberFormat="1" applyFont="1" applyBorder="1" applyAlignment="1">
      <alignment vertical="center" wrapText="1"/>
    </xf>
    <xf numFmtId="4" fontId="38" fillId="52" borderId="47" xfId="0" applyNumberFormat="1" applyFont="1" applyFill="1" applyBorder="1" applyAlignment="1">
      <alignment vertical="center" wrapText="1"/>
    </xf>
    <xf numFmtId="0" fontId="50" fillId="3" borderId="47" xfId="0" applyFont="1" applyFill="1" applyBorder="1" applyAlignment="1">
      <alignment horizontal="center" vertical="center"/>
    </xf>
    <xf numFmtId="4" fontId="50" fillId="3" borderId="47" xfId="0" applyNumberFormat="1" applyFont="1" applyFill="1" applyBorder="1" applyAlignment="1">
      <alignment vertical="center" wrapText="1"/>
    </xf>
    <xf numFmtId="4" fontId="37" fillId="3" borderId="47" xfId="0" applyNumberFormat="1" applyFont="1" applyFill="1" applyBorder="1" applyAlignment="1">
      <alignment vertical="center" wrapText="1"/>
    </xf>
    <xf numFmtId="0" fontId="37" fillId="52" borderId="47" xfId="0" applyFont="1" applyFill="1" applyBorder="1" applyAlignment="1">
      <alignment vertical="center"/>
    </xf>
    <xf numFmtId="0" fontId="9" fillId="52" borderId="47" xfId="0" applyFont="1" applyFill="1" applyBorder="1" applyAlignment="1">
      <alignment horizontal="center" vertical="center"/>
    </xf>
    <xf numFmtId="0" fontId="9" fillId="52" borderId="47" xfId="0" applyFont="1" applyFill="1" applyBorder="1" applyAlignment="1">
      <alignment vertical="center"/>
    </xf>
    <xf numFmtId="4" fontId="37" fillId="52" borderId="47" xfId="0" applyNumberFormat="1" applyFont="1" applyFill="1" applyBorder="1" applyAlignment="1">
      <alignment vertical="center"/>
    </xf>
    <xf numFmtId="4" fontId="9" fillId="52" borderId="47" xfId="0" applyNumberFormat="1" applyFont="1" applyFill="1" applyBorder="1" applyAlignment="1">
      <alignment vertical="center"/>
    </xf>
    <xf numFmtId="0" fontId="9" fillId="3" borderId="51" xfId="0" applyFont="1" applyFill="1" applyBorder="1" applyAlignment="1">
      <alignment vertical="center"/>
    </xf>
    <xf numFmtId="4" fontId="9" fillId="52" borderId="47" xfId="0" applyNumberFormat="1" applyFont="1" applyFill="1" applyBorder="1" applyAlignment="1">
      <alignment horizontal="right" vertical="center"/>
    </xf>
    <xf numFmtId="4" fontId="50" fillId="3" borderId="47" xfId="0" applyNumberFormat="1" applyFont="1" applyFill="1" applyBorder="1" applyAlignment="1">
      <alignment horizontal="justify" vertical="center" wrapText="1"/>
    </xf>
    <xf numFmtId="4" fontId="50" fillId="3" borderId="47" xfId="0" applyNumberFormat="1" applyFont="1" applyFill="1" applyBorder="1" applyAlignment="1">
      <alignment vertical="center"/>
    </xf>
    <xf numFmtId="4" fontId="50" fillId="3" borderId="47" xfId="0" applyNumberFormat="1" applyFont="1" applyFill="1" applyBorder="1" applyAlignment="1">
      <alignment horizontal="center" vertical="center" wrapText="1"/>
    </xf>
    <xf numFmtId="0" fontId="69" fillId="52" borderId="51" xfId="0" applyFont="1" applyFill="1" applyBorder="1" applyAlignment="1">
      <alignment horizontal="center" vertical="center"/>
    </xf>
    <xf numFmtId="0" fontId="70" fillId="3" borderId="51" xfId="0" applyFont="1" applyFill="1" applyBorder="1" applyAlignment="1">
      <alignment horizontal="center" vertical="center"/>
    </xf>
    <xf numFmtId="0" fontId="9" fillId="52" borderId="51" xfId="0" applyFont="1" applyFill="1" applyBorder="1" applyAlignment="1">
      <alignment horizontal="center" vertical="center"/>
    </xf>
    <xf numFmtId="0" fontId="50" fillId="3" borderId="51" xfId="0" applyFont="1" applyFill="1" applyBorder="1" applyAlignment="1">
      <alignment horizontal="center" vertical="center"/>
    </xf>
    <xf numFmtId="4" fontId="9" fillId="3" borderId="47" xfId="0" applyNumberFormat="1" applyFont="1" applyFill="1" applyBorder="1" applyAlignment="1">
      <alignment vertical="center"/>
    </xf>
    <xf numFmtId="188" fontId="62" fillId="3" borderId="47" xfId="0" applyNumberFormat="1" applyFont="1" applyFill="1" applyBorder="1" applyAlignment="1">
      <alignment horizontal="center" vertical="center"/>
    </xf>
    <xf numFmtId="4" fontId="42" fillId="52" borderId="47" xfId="0" applyNumberFormat="1" applyFont="1" applyFill="1" applyBorder="1" applyAlignment="1">
      <alignment vertical="center"/>
    </xf>
    <xf numFmtId="4" fontId="42" fillId="52" borderId="47" xfId="0" applyNumberFormat="1" applyFont="1" applyFill="1" applyBorder="1" applyAlignment="1">
      <alignment horizontal="right" vertical="center"/>
    </xf>
    <xf numFmtId="0" fontId="9" fillId="70" borderId="47" xfId="0" applyFont="1" applyFill="1" applyBorder="1" applyAlignment="1">
      <alignment vertical="center"/>
    </xf>
    <xf numFmtId="0" fontId="37" fillId="52" borderId="0" xfId="0" applyFont="1" applyFill="1" applyAlignment="1">
      <alignment vertical="center"/>
    </xf>
    <xf numFmtId="0" fontId="70" fillId="3" borderId="47" xfId="0" applyFont="1" applyFill="1" applyBorder="1" applyAlignment="1">
      <alignment horizontal="center" vertical="center"/>
    </xf>
    <xf numFmtId="4" fontId="36" fillId="3" borderId="47" xfId="0" applyNumberFormat="1" applyFont="1" applyFill="1" applyBorder="1" applyAlignment="1">
      <alignment vertical="center" wrapText="1"/>
    </xf>
    <xf numFmtId="0" fontId="71" fillId="3" borderId="0" xfId="0" applyFont="1" applyFill="1" applyAlignment="1">
      <alignment vertical="center"/>
    </xf>
    <xf numFmtId="3" fontId="36" fillId="50" borderId="1" xfId="0" applyNumberFormat="1" applyFont="1" applyFill="1" applyBorder="1" applyAlignment="1">
      <alignment horizontal="center" vertical="center"/>
    </xf>
    <xf numFmtId="0" fontId="37" fillId="3" borderId="0" xfId="0" applyFont="1" applyFill="1" applyAlignment="1"/>
    <xf numFmtId="0" fontId="71" fillId="3" borderId="0" xfId="0" applyFont="1" applyFill="1" applyBorder="1" applyAlignment="1">
      <alignment horizontal="center"/>
    </xf>
    <xf numFmtId="0" fontId="71" fillId="3" borderId="0" xfId="0" applyFont="1" applyFill="1" applyBorder="1" applyAlignment="1">
      <alignment vertical="center"/>
    </xf>
    <xf numFmtId="4" fontId="9" fillId="0" borderId="54" xfId="0" applyNumberFormat="1" applyFont="1" applyBorder="1" applyAlignment="1">
      <alignment horizontal="center" vertical="center"/>
    </xf>
    <xf numFmtId="3" fontId="9" fillId="0" borderId="54" xfId="0" applyNumberFormat="1" applyFont="1" applyBorder="1" applyAlignment="1">
      <alignment horizontal="center" vertical="center"/>
    </xf>
    <xf numFmtId="4" fontId="9" fillId="0" borderId="54" xfId="0" applyNumberFormat="1" applyFont="1" applyBorder="1" applyAlignment="1">
      <alignment horizontal="left" vertical="center" wrapText="1"/>
    </xf>
    <xf numFmtId="4" fontId="9" fillId="0" borderId="54" xfId="0" applyNumberFormat="1" applyFont="1" applyBorder="1" applyAlignment="1">
      <alignment horizontal="right" vertical="center" wrapText="1"/>
    </xf>
    <xf numFmtId="4" fontId="37" fillId="0" borderId="54" xfId="0" applyNumberFormat="1" applyFont="1" applyBorder="1" applyAlignment="1">
      <alignment horizontal="left" vertical="center" wrapText="1"/>
    </xf>
    <xf numFmtId="4" fontId="37" fillId="0" borderId="54" xfId="0" applyNumberFormat="1" applyFont="1" applyBorder="1" applyAlignment="1">
      <alignment horizontal="right" vertical="center" wrapText="1"/>
    </xf>
    <xf numFmtId="4" fontId="73" fillId="0" borderId="54" xfId="0" applyNumberFormat="1" applyFont="1" applyBorder="1" applyAlignment="1">
      <alignment horizontal="left" vertical="center" wrapText="1"/>
    </xf>
    <xf numFmtId="4" fontId="73" fillId="0" borderId="54" xfId="0" applyNumberFormat="1" applyFont="1" applyBorder="1" applyAlignment="1">
      <alignment horizontal="right" vertical="center" wrapText="1"/>
    </xf>
    <xf numFmtId="0" fontId="41" fillId="3" borderId="0" xfId="0" applyFont="1" applyFill="1" applyAlignment="1">
      <alignment horizontal="center"/>
    </xf>
    <xf numFmtId="178" fontId="41" fillId="3" borderId="0" xfId="0" applyNumberFormat="1" applyFont="1" applyFill="1" applyAlignment="1">
      <alignment horizontal="center"/>
    </xf>
    <xf numFmtId="0" fontId="37" fillId="3" borderId="4" xfId="0" applyFont="1" applyFill="1" applyBorder="1"/>
    <xf numFmtId="0" fontId="37" fillId="3" borderId="3" xfId="0" applyFont="1" applyFill="1" applyBorder="1"/>
    <xf numFmtId="0" fontId="37" fillId="3" borderId="43" xfId="0" applyFont="1" applyFill="1" applyBorder="1"/>
    <xf numFmtId="165" fontId="37" fillId="3" borderId="43" xfId="0" applyNumberFormat="1" applyFont="1" applyFill="1" applyBorder="1"/>
    <xf numFmtId="166" fontId="38" fillId="3" borderId="3" xfId="56" applyFont="1" applyFill="1" applyBorder="1"/>
    <xf numFmtId="187" fontId="36" fillId="3" borderId="43" xfId="0" applyNumberFormat="1" applyFont="1" applyFill="1" applyBorder="1"/>
    <xf numFmtId="4" fontId="36" fillId="3" borderId="43" xfId="56" applyNumberFormat="1" applyFont="1" applyFill="1" applyBorder="1"/>
    <xf numFmtId="4" fontId="36" fillId="3" borderId="43" xfId="0" applyNumberFormat="1" applyFont="1" applyFill="1" applyBorder="1"/>
    <xf numFmtId="4" fontId="37" fillId="3" borderId="43" xfId="0" applyNumberFormat="1" applyFont="1" applyFill="1" applyBorder="1"/>
    <xf numFmtId="4" fontId="37" fillId="3" borderId="38" xfId="0" applyNumberFormat="1" applyFont="1" applyFill="1" applyBorder="1"/>
    <xf numFmtId="187" fontId="38" fillId="3" borderId="4" xfId="0" applyNumberFormat="1" applyFont="1" applyFill="1" applyBorder="1"/>
    <xf numFmtId="0" fontId="37" fillId="5" borderId="46" xfId="0" applyFont="1" applyFill="1" applyBorder="1"/>
    <xf numFmtId="0" fontId="41" fillId="5" borderId="44" xfId="0" applyFont="1" applyFill="1" applyBorder="1"/>
    <xf numFmtId="0" fontId="41" fillId="3" borderId="0" xfId="0" applyFont="1" applyFill="1" applyBorder="1"/>
    <xf numFmtId="166" fontId="41" fillId="3" borderId="0" xfId="0" applyNumberFormat="1" applyFont="1" applyFill="1" applyBorder="1"/>
    <xf numFmtId="0" fontId="60" fillId="3" borderId="0" xfId="0" applyFont="1" applyFill="1"/>
    <xf numFmtId="4" fontId="60" fillId="3" borderId="0" xfId="0" applyNumberFormat="1" applyFont="1" applyFill="1"/>
    <xf numFmtId="0" fontId="60" fillId="3" borderId="0" xfId="0" applyFont="1" applyFill="1" applyAlignment="1"/>
    <xf numFmtId="0" fontId="37" fillId="3" borderId="0" xfId="0" applyFont="1" applyFill="1" applyAlignment="1">
      <alignment horizontal="left" vertical="center"/>
    </xf>
    <xf numFmtId="2" fontId="37" fillId="3" borderId="0" xfId="0" applyNumberFormat="1" applyFont="1" applyFill="1" applyAlignment="1">
      <alignment horizontal="left" vertical="center"/>
    </xf>
    <xf numFmtId="178" fontId="37" fillId="3" borderId="0" xfId="0" applyNumberFormat="1" applyFont="1" applyFill="1" applyAlignment="1">
      <alignment horizontal="left" vertical="center"/>
    </xf>
    <xf numFmtId="0" fontId="9" fillId="3" borderId="0" xfId="0" applyFont="1" applyFill="1" applyAlignment="1">
      <alignment horizontal="justify" vertical="center"/>
    </xf>
    <xf numFmtId="178" fontId="41" fillId="5" borderId="0" xfId="0" applyNumberFormat="1" applyFont="1" applyFill="1" applyAlignment="1">
      <alignment horizontal="left" vertical="center"/>
    </xf>
    <xf numFmtId="0" fontId="9" fillId="3" borderId="53" xfId="0" applyFont="1" applyFill="1" applyBorder="1" applyAlignment="1">
      <alignment vertical="center"/>
    </xf>
    <xf numFmtId="0" fontId="9" fillId="70" borderId="1" xfId="0" applyFont="1" applyFill="1" applyBorder="1" applyAlignment="1">
      <alignment horizontal="center" vertical="center"/>
    </xf>
    <xf numFmtId="0" fontId="9" fillId="3" borderId="47" xfId="0" applyFont="1" applyFill="1" applyBorder="1" applyAlignment="1">
      <alignment horizontal="center" vertical="center"/>
    </xf>
    <xf numFmtId="0" fontId="37" fillId="3" borderId="53" xfId="0" applyFont="1" applyFill="1" applyBorder="1" applyAlignment="1">
      <alignment vertical="center"/>
    </xf>
    <xf numFmtId="3" fontId="37" fillId="3" borderId="47" xfId="0" applyNumberFormat="1" applyFont="1" applyFill="1" applyBorder="1" applyAlignment="1">
      <alignment vertical="center"/>
    </xf>
    <xf numFmtId="0" fontId="41" fillId="5" borderId="0" xfId="0" applyFont="1" applyFill="1" applyAlignment="1">
      <alignment horizontal="left" vertical="center"/>
    </xf>
    <xf numFmtId="178" fontId="36" fillId="3" borderId="0" xfId="0" applyNumberFormat="1" applyFont="1" applyFill="1" applyAlignment="1">
      <alignment horizontal="left" vertical="center"/>
    </xf>
    <xf numFmtId="0" fontId="38" fillId="3" borderId="0" xfId="0" applyFont="1" applyFill="1" applyAlignment="1">
      <alignment horizontal="justify" vertical="center"/>
    </xf>
    <xf numFmtId="0" fontId="38" fillId="70" borderId="1" xfId="0" applyFont="1" applyFill="1" applyBorder="1" applyAlignment="1">
      <alignment horizontal="center" vertical="center"/>
    </xf>
    <xf numFmtId="3" fontId="36" fillId="3" borderId="1" xfId="0" applyNumberFormat="1" applyFont="1" applyFill="1" applyBorder="1" applyAlignment="1">
      <alignment vertical="center"/>
    </xf>
    <xf numFmtId="0" fontId="38" fillId="70" borderId="50" xfId="0" applyFont="1" applyFill="1" applyBorder="1" applyAlignment="1">
      <alignment horizontal="center" vertical="center"/>
    </xf>
    <xf numFmtId="0" fontId="38" fillId="70" borderId="47" xfId="0" applyFont="1" applyFill="1" applyBorder="1" applyAlignment="1">
      <alignment horizontal="center" vertical="center"/>
    </xf>
    <xf numFmtId="0" fontId="36" fillId="3" borderId="47" xfId="0" applyFont="1" applyFill="1" applyBorder="1" applyAlignment="1">
      <alignment horizontal="center" vertical="center"/>
    </xf>
    <xf numFmtId="0" fontId="36" fillId="3" borderId="47" xfId="0" applyFont="1" applyFill="1" applyBorder="1" applyAlignment="1">
      <alignment vertical="center"/>
    </xf>
    <xf numFmtId="4" fontId="36" fillId="3" borderId="47" xfId="0" applyNumberFormat="1" applyFont="1" applyFill="1" applyBorder="1" applyAlignment="1">
      <alignment vertical="center"/>
    </xf>
    <xf numFmtId="0" fontId="36" fillId="3" borderId="53" xfId="0" applyFont="1" applyFill="1" applyBorder="1" applyAlignment="1">
      <alignment vertical="center"/>
    </xf>
    <xf numFmtId="4" fontId="38" fillId="3" borderId="47" xfId="0" applyNumberFormat="1" applyFont="1" applyFill="1" applyBorder="1" applyAlignment="1">
      <alignment vertical="center"/>
    </xf>
    <xf numFmtId="0" fontId="38" fillId="3" borderId="47" xfId="0" applyFont="1" applyFill="1" applyBorder="1" applyAlignment="1">
      <alignment horizontal="center" vertical="center"/>
    </xf>
    <xf numFmtId="0" fontId="38" fillId="3" borderId="47" xfId="0" applyFont="1" applyFill="1" applyBorder="1" applyAlignment="1">
      <alignment horizontal="justify" vertical="center"/>
    </xf>
    <xf numFmtId="0" fontId="38" fillId="3" borderId="53" xfId="0" applyFont="1" applyFill="1" applyBorder="1" applyAlignment="1">
      <alignment vertical="center"/>
    </xf>
    <xf numFmtId="3" fontId="36" fillId="3" borderId="47" xfId="0" applyNumberFormat="1" applyFont="1" applyFill="1" applyBorder="1" applyAlignment="1">
      <alignment vertical="center"/>
    </xf>
    <xf numFmtId="0" fontId="9" fillId="70" borderId="47" xfId="0" applyFont="1" applyFill="1" applyBorder="1" applyAlignment="1">
      <alignment horizontal="center" vertical="center"/>
    </xf>
    <xf numFmtId="0" fontId="37" fillId="3" borderId="1" xfId="0" applyFont="1" applyFill="1" applyBorder="1" applyAlignment="1">
      <alignment horizontal="justify" vertical="center"/>
    </xf>
    <xf numFmtId="4" fontId="73" fillId="0" borderId="56" xfId="0" applyNumberFormat="1" applyFont="1" applyBorder="1" applyAlignment="1">
      <alignment horizontal="left" vertical="center" wrapText="1"/>
    </xf>
    <xf numFmtId="4" fontId="73" fillId="0" borderId="56" xfId="0" applyNumberFormat="1" applyFont="1" applyBorder="1" applyAlignment="1">
      <alignment horizontal="right" vertical="center" wrapText="1"/>
    </xf>
    <xf numFmtId="0" fontId="46" fillId="0" borderId="1" xfId="0" applyFont="1" applyBorder="1" applyAlignment="1">
      <alignment horizontal="left" wrapText="1"/>
    </xf>
    <xf numFmtId="0" fontId="46" fillId="0" borderId="1" xfId="0" applyFont="1" applyBorder="1" applyAlignment="1">
      <alignment horizontal="left"/>
    </xf>
    <xf numFmtId="4" fontId="46" fillId="0" borderId="1" xfId="0" applyNumberFormat="1" applyFont="1" applyBorder="1" applyAlignment="1">
      <alignment horizontal="right"/>
    </xf>
    <xf numFmtId="3" fontId="46" fillId="0" borderId="1" xfId="0" applyNumberFormat="1" applyFont="1" applyBorder="1" applyAlignment="1">
      <alignment horizontal="right"/>
    </xf>
    <xf numFmtId="0" fontId="47" fillId="0" borderId="1" xfId="0" applyFont="1" applyBorder="1" applyAlignment="1">
      <alignment horizontal="left"/>
    </xf>
    <xf numFmtId="4" fontId="47" fillId="0" borderId="1" xfId="0" applyNumberFormat="1" applyFont="1" applyBorder="1" applyAlignment="1">
      <alignment horizontal="right"/>
    </xf>
    <xf numFmtId="0" fontId="46" fillId="0" borderId="1" xfId="0" applyFont="1" applyBorder="1" applyAlignment="1">
      <alignment horizontal="right"/>
    </xf>
    <xf numFmtId="0" fontId="46" fillId="0" borderId="1" xfId="0" applyFont="1" applyBorder="1" applyAlignment="1">
      <alignment horizontal="left" vertical="center"/>
    </xf>
    <xf numFmtId="4" fontId="46" fillId="0" borderId="1" xfId="0" applyNumberFormat="1" applyFont="1" applyBorder="1"/>
    <xf numFmtId="3" fontId="47" fillId="0" borderId="1" xfId="0" applyNumberFormat="1" applyFont="1" applyBorder="1" applyAlignment="1">
      <alignment horizontal="center"/>
    </xf>
    <xf numFmtId="4" fontId="47" fillId="0" borderId="1" xfId="0" applyNumberFormat="1" applyFont="1" applyBorder="1" applyAlignment="1">
      <alignment horizontal="center"/>
    </xf>
    <xf numFmtId="4" fontId="52" fillId="3" borderId="0" xfId="0" applyNumberFormat="1" applyFont="1" applyFill="1" applyAlignment="1">
      <alignment vertical="center"/>
    </xf>
    <xf numFmtId="4" fontId="41" fillId="0" borderId="1" xfId="0" applyNumberFormat="1" applyFont="1" applyBorder="1" applyAlignment="1">
      <alignment horizontal="right"/>
    </xf>
    <xf numFmtId="4" fontId="47" fillId="3" borderId="0" xfId="0" applyNumberFormat="1" applyFont="1" applyFill="1" applyBorder="1"/>
    <xf numFmtId="4" fontId="47" fillId="3" borderId="0" xfId="0" applyNumberFormat="1" applyFont="1" applyFill="1" applyBorder="1" applyAlignment="1">
      <alignment horizontal="right"/>
    </xf>
    <xf numFmtId="167" fontId="46" fillId="3" borderId="0" xfId="0" applyNumberFormat="1" applyFont="1" applyFill="1"/>
    <xf numFmtId="0" fontId="46" fillId="3" borderId="0" xfId="0" applyFont="1" applyFill="1"/>
    <xf numFmtId="2" fontId="46" fillId="3" borderId="0" xfId="0" applyNumberFormat="1" applyFont="1" applyFill="1"/>
    <xf numFmtId="0" fontId="47" fillId="9" borderId="1" xfId="0" applyFont="1" applyFill="1" applyBorder="1" applyAlignment="1">
      <alignment horizontal="left"/>
    </xf>
    <xf numFmtId="4" fontId="47" fillId="9" borderId="1" xfId="0" applyNumberFormat="1" applyFont="1" applyFill="1" applyBorder="1"/>
    <xf numFmtId="9" fontId="47" fillId="9" borderId="1" xfId="57" applyFont="1" applyFill="1" applyBorder="1"/>
    <xf numFmtId="10" fontId="47" fillId="9" borderId="1" xfId="0" applyNumberFormat="1" applyFont="1" applyFill="1" applyBorder="1" applyAlignment="1">
      <alignment horizontal="right"/>
    </xf>
    <xf numFmtId="4" fontId="47" fillId="9" borderId="1" xfId="0" applyNumberFormat="1" applyFont="1" applyFill="1" applyBorder="1" applyAlignment="1">
      <alignment horizontal="right"/>
    </xf>
    <xf numFmtId="0" fontId="47" fillId="9" borderId="1" xfId="0" applyFont="1" applyFill="1" applyBorder="1" applyAlignment="1">
      <alignment horizontal="center" vertical="center"/>
    </xf>
    <xf numFmtId="0" fontId="47" fillId="0" borderId="1" xfId="0" applyFont="1" applyBorder="1" applyAlignment="1">
      <alignment horizontal="justify"/>
    </xf>
    <xf numFmtId="0" fontId="46" fillId="0" borderId="1" xfId="0" applyFont="1" applyBorder="1" applyAlignment="1">
      <alignment horizontal="justify" wrapText="1"/>
    </xf>
    <xf numFmtId="0" fontId="47" fillId="0" borderId="1" xfId="0" applyFont="1" applyBorder="1" applyAlignment="1">
      <alignment horizontal="justify" wrapText="1"/>
    </xf>
    <xf numFmtId="4" fontId="47" fillId="59" borderId="1" xfId="0" applyNumberFormat="1" applyFont="1" applyFill="1" applyBorder="1"/>
    <xf numFmtId="9" fontId="47" fillId="59" borderId="1" xfId="57" applyFont="1" applyFill="1" applyBorder="1"/>
    <xf numFmtId="4" fontId="47" fillId="59" borderId="1" xfId="0" applyNumberFormat="1" applyFont="1" applyFill="1" applyBorder="1" applyAlignment="1">
      <alignment horizontal="right"/>
    </xf>
    <xf numFmtId="10" fontId="47" fillId="59" borderId="1" xfId="0" applyNumberFormat="1" applyFont="1" applyFill="1" applyBorder="1" applyAlignment="1">
      <alignment horizontal="right"/>
    </xf>
    <xf numFmtId="0" fontId="79" fillId="3" borderId="0" xfId="0" applyFont="1" applyFill="1" applyAlignment="1">
      <alignment horizontal="justify" vertical="center"/>
    </xf>
    <xf numFmtId="0" fontId="36" fillId="0" borderId="1" xfId="0" applyFont="1" applyBorder="1" applyAlignment="1">
      <alignment horizontal="center" vertical="center"/>
    </xf>
    <xf numFmtId="10" fontId="36" fillId="0" borderId="1" xfId="0" applyNumberFormat="1" applyFont="1" applyBorder="1" applyAlignment="1">
      <alignment horizontal="center" vertical="center"/>
    </xf>
    <xf numFmtId="4" fontId="60" fillId="3" borderId="0" xfId="0" applyNumberFormat="1" applyFont="1" applyFill="1" applyAlignment="1">
      <alignment vertical="center"/>
    </xf>
    <xf numFmtId="0" fontId="47" fillId="59" borderId="1" xfId="0" applyFont="1" applyFill="1" applyBorder="1" applyAlignment="1">
      <alignment horizontal="left" wrapText="1"/>
    </xf>
    <xf numFmtId="0" fontId="9" fillId="3" borderId="57" xfId="0" applyFont="1" applyFill="1" applyBorder="1" applyAlignment="1">
      <alignment horizontal="center" vertical="center"/>
    </xf>
    <xf numFmtId="4" fontId="38" fillId="59" borderId="1" xfId="0" applyNumberFormat="1" applyFont="1" applyFill="1" applyBorder="1"/>
    <xf numFmtId="0" fontId="46" fillId="0" borderId="0" xfId="0" applyFont="1" applyBorder="1"/>
    <xf numFmtId="0" fontId="46" fillId="0" borderId="1" xfId="0" applyFont="1" applyBorder="1" applyAlignment="1">
      <alignment horizontal="center"/>
    </xf>
    <xf numFmtId="4" fontId="46" fillId="0" borderId="1" xfId="0" applyNumberFormat="1" applyFont="1" applyBorder="1" applyAlignment="1">
      <alignment horizontal="center"/>
    </xf>
    <xf numFmtId="10" fontId="47" fillId="9" borderId="1" xfId="57" applyNumberFormat="1" applyFont="1" applyFill="1" applyBorder="1" applyAlignment="1">
      <alignment horizontal="center" vertical="center"/>
    </xf>
    <xf numFmtId="0" fontId="42" fillId="9" borderId="1" xfId="0" applyFont="1" applyFill="1" applyBorder="1" applyAlignment="1">
      <alignment horizontal="center"/>
    </xf>
    <xf numFmtId="4" fontId="42" fillId="9" borderId="1" xfId="0" applyNumberFormat="1" applyFont="1" applyFill="1" applyBorder="1" applyAlignment="1">
      <alignment horizontal="center"/>
    </xf>
    <xf numFmtId="10" fontId="42" fillId="9" borderId="1" xfId="0" applyNumberFormat="1" applyFont="1" applyFill="1" applyBorder="1" applyAlignment="1">
      <alignment horizontal="center"/>
    </xf>
    <xf numFmtId="4" fontId="41" fillId="0" borderId="1" xfId="0" applyNumberFormat="1" applyFont="1" applyBorder="1" applyAlignment="1">
      <alignment horizontal="center"/>
    </xf>
    <xf numFmtId="0" fontId="47" fillId="9" borderId="1" xfId="0" applyFont="1" applyFill="1" applyBorder="1" applyAlignment="1"/>
    <xf numFmtId="10" fontId="42" fillId="9" borderId="0" xfId="0" applyNumberFormat="1" applyFont="1" applyFill="1" applyAlignment="1">
      <alignment horizontal="center"/>
    </xf>
    <xf numFmtId="9" fontId="37" fillId="3" borderId="0" xfId="0" applyNumberFormat="1" applyFont="1" applyFill="1" applyAlignment="1">
      <alignment vertical="center"/>
    </xf>
    <xf numFmtId="0" fontId="9" fillId="3" borderId="1" xfId="0" applyFont="1" applyFill="1" applyBorder="1" applyAlignment="1">
      <alignment vertical="center"/>
    </xf>
    <xf numFmtId="189" fontId="41" fillId="0" borderId="1" xfId="0" applyNumberFormat="1" applyFont="1" applyBorder="1" applyAlignment="1">
      <alignment horizontal="center"/>
    </xf>
    <xf numFmtId="4" fontId="37" fillId="5" borderId="0" xfId="0" applyNumberFormat="1" applyFont="1" applyFill="1" applyAlignment="1">
      <alignment vertical="center"/>
    </xf>
    <xf numFmtId="0" fontId="37" fillId="3" borderId="41" xfId="0" applyFont="1" applyFill="1" applyBorder="1" applyAlignment="1">
      <alignment vertical="center"/>
    </xf>
    <xf numFmtId="0" fontId="37" fillId="3" borderId="43" xfId="0" applyFont="1" applyFill="1" applyBorder="1" applyAlignment="1">
      <alignment vertical="center"/>
    </xf>
    <xf numFmtId="0" fontId="37" fillId="3" borderId="31" xfId="0" applyFont="1" applyFill="1" applyBorder="1" applyAlignment="1">
      <alignment vertical="center"/>
    </xf>
    <xf numFmtId="0" fontId="37" fillId="3" borderId="8" xfId="0" applyFont="1" applyFill="1" applyBorder="1" applyAlignment="1">
      <alignment vertical="center"/>
    </xf>
    <xf numFmtId="0" fontId="37" fillId="3" borderId="38" xfId="0" applyFont="1" applyFill="1" applyBorder="1" applyAlignment="1">
      <alignment vertical="center"/>
    </xf>
    <xf numFmtId="4" fontId="37" fillId="3" borderId="39" xfId="0" applyNumberFormat="1" applyFont="1" applyFill="1" applyBorder="1" applyAlignment="1">
      <alignment vertical="center"/>
    </xf>
    <xf numFmtId="4" fontId="37" fillId="3" borderId="40" xfId="0" applyNumberFormat="1" applyFont="1" applyFill="1" applyBorder="1" applyAlignment="1">
      <alignment vertical="center"/>
    </xf>
    <xf numFmtId="4" fontId="37" fillId="3" borderId="37" xfId="0" applyNumberFormat="1" applyFont="1" applyFill="1" applyBorder="1" applyAlignment="1">
      <alignment vertical="center"/>
    </xf>
    <xf numFmtId="4" fontId="37" fillId="3" borderId="41" xfId="0" applyNumberFormat="1" applyFont="1" applyFill="1" applyBorder="1" applyAlignment="1">
      <alignment vertical="center"/>
    </xf>
    <xf numFmtId="4" fontId="37" fillId="3" borderId="0" xfId="0" applyNumberFormat="1" applyFont="1" applyFill="1" applyBorder="1" applyAlignment="1">
      <alignment vertical="center"/>
    </xf>
    <xf numFmtId="4" fontId="37" fillId="3" borderId="43" xfId="0" applyNumberFormat="1" applyFont="1" applyFill="1" applyBorder="1" applyAlignment="1">
      <alignment vertical="center"/>
    </xf>
    <xf numFmtId="4" fontId="37" fillId="3" borderId="31" xfId="0" applyNumberFormat="1" applyFont="1" applyFill="1" applyBorder="1" applyAlignment="1">
      <alignment vertical="center"/>
    </xf>
    <xf numFmtId="4" fontId="37" fillId="3" borderId="8" xfId="0" applyNumberFormat="1" applyFont="1" applyFill="1" applyBorder="1" applyAlignment="1">
      <alignment vertical="center"/>
    </xf>
    <xf numFmtId="4" fontId="37" fillId="3" borderId="38" xfId="0" applyNumberFormat="1" applyFont="1" applyFill="1" applyBorder="1" applyAlignment="1">
      <alignment vertical="center"/>
    </xf>
    <xf numFmtId="9" fontId="37" fillId="3" borderId="0" xfId="0" applyNumberFormat="1" applyFont="1" applyFill="1" applyAlignment="1">
      <alignment horizontal="center" vertical="center"/>
    </xf>
    <xf numFmtId="189" fontId="37" fillId="3" borderId="0" xfId="0" applyNumberFormat="1" applyFont="1" applyFill="1" applyBorder="1" applyAlignment="1">
      <alignment vertical="center"/>
    </xf>
    <xf numFmtId="189" fontId="37" fillId="3" borderId="43" xfId="0" applyNumberFormat="1" applyFont="1" applyFill="1" applyBorder="1" applyAlignment="1">
      <alignment vertical="center"/>
    </xf>
    <xf numFmtId="189" fontId="37" fillId="3" borderId="8" xfId="0" applyNumberFormat="1" applyFont="1" applyFill="1" applyBorder="1" applyAlignment="1">
      <alignment vertical="center"/>
    </xf>
    <xf numFmtId="189" fontId="37" fillId="3" borderId="38" xfId="0" applyNumberFormat="1" applyFont="1" applyFill="1" applyBorder="1" applyAlignment="1">
      <alignment vertical="center"/>
    </xf>
    <xf numFmtId="0" fontId="47" fillId="3" borderId="0" xfId="0" applyFont="1" applyFill="1" applyBorder="1" applyAlignment="1">
      <alignment horizontal="center"/>
    </xf>
    <xf numFmtId="0" fontId="78" fillId="3" borderId="0" xfId="0" applyFont="1" applyFill="1" applyBorder="1" applyAlignment="1">
      <alignment horizontal="center" vertical="center"/>
    </xf>
    <xf numFmtId="4" fontId="47" fillId="3" borderId="0" xfId="0" applyNumberFormat="1" applyFont="1" applyFill="1" applyBorder="1" applyAlignment="1">
      <alignment horizontal="center"/>
    </xf>
    <xf numFmtId="4" fontId="46" fillId="3" borderId="0" xfId="0" applyNumberFormat="1" applyFont="1" applyFill="1" applyBorder="1" applyAlignment="1">
      <alignment horizontal="right"/>
    </xf>
    <xf numFmtId="0" fontId="46" fillId="3" borderId="0" xfId="0" applyFont="1" applyFill="1" applyBorder="1" applyAlignment="1">
      <alignment horizontal="right"/>
    </xf>
    <xf numFmtId="2" fontId="46" fillId="3" borderId="0" xfId="0" applyNumberFormat="1" applyFont="1" applyFill="1" applyBorder="1" applyAlignment="1">
      <alignment horizontal="right"/>
    </xf>
    <xf numFmtId="4" fontId="41" fillId="3" borderId="0" xfId="0" applyNumberFormat="1" applyFont="1" applyFill="1" applyBorder="1" applyAlignment="1">
      <alignment horizontal="right"/>
    </xf>
    <xf numFmtId="9" fontId="37" fillId="3" borderId="2" xfId="0" applyNumberFormat="1" applyFont="1" applyFill="1" applyBorder="1" applyAlignment="1">
      <alignment horizontal="center" vertical="center"/>
    </xf>
    <xf numFmtId="9" fontId="37" fillId="3" borderId="3" xfId="0" applyNumberFormat="1" applyFont="1" applyFill="1" applyBorder="1" applyAlignment="1">
      <alignment horizontal="center" vertical="center"/>
    </xf>
    <xf numFmtId="9" fontId="37" fillId="3" borderId="4" xfId="0" applyNumberFormat="1" applyFont="1" applyFill="1" applyBorder="1" applyAlignment="1">
      <alignment horizontal="center" vertical="center"/>
    </xf>
    <xf numFmtId="9" fontId="37" fillId="3" borderId="5" xfId="0" applyNumberFormat="1" applyFont="1" applyFill="1" applyBorder="1" applyAlignment="1">
      <alignment vertical="center"/>
    </xf>
    <xf numFmtId="9" fontId="37" fillId="3" borderId="6" xfId="0" applyNumberFormat="1" applyFont="1" applyFill="1" applyBorder="1" applyAlignment="1">
      <alignment vertical="center"/>
    </xf>
    <xf numFmtId="9" fontId="37" fillId="3" borderId="7" xfId="0" applyNumberFormat="1" applyFont="1" applyFill="1" applyBorder="1" applyAlignment="1">
      <alignment vertical="center"/>
    </xf>
    <xf numFmtId="9" fontId="37" fillId="3" borderId="0" xfId="0" applyNumberFormat="1" applyFont="1" applyFill="1" applyBorder="1" applyAlignment="1">
      <alignment horizontal="center" vertical="center"/>
    </xf>
    <xf numFmtId="4" fontId="37" fillId="5" borderId="0" xfId="0" applyNumberFormat="1" applyFont="1" applyFill="1" applyBorder="1" applyAlignment="1">
      <alignment vertical="center"/>
    </xf>
    <xf numFmtId="0" fontId="37" fillId="3" borderId="0" xfId="0" applyFont="1" applyFill="1" applyBorder="1" applyAlignment="1">
      <alignment horizontal="center" vertical="center" textRotation="90"/>
    </xf>
    <xf numFmtId="9" fontId="37" fillId="3" borderId="37" xfId="0" applyNumberFormat="1" applyFont="1" applyFill="1" applyBorder="1" applyAlignment="1">
      <alignment vertical="center"/>
    </xf>
    <xf numFmtId="9" fontId="37" fillId="3" borderId="43" xfId="0" applyNumberFormat="1" applyFont="1" applyFill="1" applyBorder="1" applyAlignment="1">
      <alignment vertical="center"/>
    </xf>
    <xf numFmtId="9" fontId="37" fillId="3" borderId="38" xfId="0" applyNumberFormat="1" applyFont="1" applyFill="1" applyBorder="1" applyAlignment="1">
      <alignment vertical="center"/>
    </xf>
    <xf numFmtId="4" fontId="37" fillId="3" borderId="0" xfId="0" applyNumberFormat="1" applyFont="1" applyFill="1" applyBorder="1" applyAlignment="1">
      <alignment horizontal="center" vertical="center"/>
    </xf>
    <xf numFmtId="4" fontId="37" fillId="3" borderId="39" xfId="0" applyNumberFormat="1" applyFont="1" applyFill="1" applyBorder="1" applyAlignment="1">
      <alignment horizontal="center" vertical="center"/>
    </xf>
    <xf numFmtId="4" fontId="37" fillId="3" borderId="40" xfId="0" applyNumberFormat="1" applyFont="1" applyFill="1" applyBorder="1" applyAlignment="1">
      <alignment horizontal="center" vertical="center"/>
    </xf>
    <xf numFmtId="4" fontId="37" fillId="3" borderId="37" xfId="0" applyNumberFormat="1" applyFont="1" applyFill="1" applyBorder="1" applyAlignment="1">
      <alignment horizontal="center" vertical="center"/>
    </xf>
    <xf numFmtId="4" fontId="37" fillId="3" borderId="41" xfId="0" applyNumberFormat="1" applyFont="1" applyFill="1" applyBorder="1" applyAlignment="1">
      <alignment horizontal="center" vertical="center"/>
    </xf>
    <xf numFmtId="4" fontId="37" fillId="3" borderId="43" xfId="0" applyNumberFormat="1" applyFont="1" applyFill="1" applyBorder="1" applyAlignment="1">
      <alignment horizontal="center" vertical="center"/>
    </xf>
    <xf numFmtId="4" fontId="37" fillId="3" borderId="31" xfId="0" applyNumberFormat="1" applyFont="1" applyFill="1" applyBorder="1" applyAlignment="1">
      <alignment horizontal="center" vertical="center"/>
    </xf>
    <xf numFmtId="4" fontId="37" fillId="3" borderId="8" xfId="0" applyNumberFormat="1" applyFont="1" applyFill="1" applyBorder="1" applyAlignment="1">
      <alignment horizontal="center" vertical="center"/>
    </xf>
    <xf numFmtId="4" fontId="37" fillId="3" borderId="38" xfId="0" applyNumberFormat="1" applyFont="1" applyFill="1" applyBorder="1" applyAlignment="1">
      <alignment horizontal="center" vertical="center"/>
    </xf>
    <xf numFmtId="0" fontId="46" fillId="3" borderId="0" xfId="0" applyFont="1" applyFill="1" applyBorder="1" applyAlignment="1">
      <alignment horizontal="justify" vertical="center" wrapText="1"/>
    </xf>
    <xf numFmtId="10" fontId="46" fillId="3" borderId="0" xfId="57" applyNumberFormat="1" applyFont="1" applyFill="1" applyBorder="1" applyAlignment="1">
      <alignment horizontal="center" vertical="center"/>
    </xf>
    <xf numFmtId="9" fontId="37" fillId="3" borderId="39" xfId="0" applyNumberFormat="1" applyFont="1" applyFill="1" applyBorder="1" applyAlignment="1">
      <alignment horizontal="center" vertical="center"/>
    </xf>
    <xf numFmtId="9" fontId="37" fillId="3" borderId="40" xfId="0" applyNumberFormat="1" applyFont="1" applyFill="1" applyBorder="1" applyAlignment="1">
      <alignment horizontal="center" vertical="center"/>
    </xf>
    <xf numFmtId="9" fontId="37" fillId="3" borderId="37" xfId="0" applyNumberFormat="1" applyFont="1" applyFill="1" applyBorder="1" applyAlignment="1">
      <alignment horizontal="center" vertical="center"/>
    </xf>
    <xf numFmtId="9" fontId="37" fillId="3" borderId="41" xfId="0" applyNumberFormat="1" applyFont="1" applyFill="1" applyBorder="1" applyAlignment="1">
      <alignment horizontal="center" vertical="center"/>
    </xf>
    <xf numFmtId="9" fontId="37" fillId="3" borderId="43" xfId="0" applyNumberFormat="1" applyFont="1" applyFill="1" applyBorder="1" applyAlignment="1">
      <alignment horizontal="center" vertical="center"/>
    </xf>
    <xf numFmtId="0" fontId="52" fillId="3" borderId="0" xfId="0" applyFont="1" applyFill="1" applyAlignment="1">
      <alignment vertical="center"/>
    </xf>
    <xf numFmtId="166" fontId="37" fillId="3" borderId="0" xfId="56" applyFont="1" applyFill="1" applyAlignment="1">
      <alignment vertical="center"/>
    </xf>
    <xf numFmtId="0" fontId="37" fillId="3" borderId="58" xfId="0" applyFont="1" applyFill="1" applyBorder="1" applyAlignment="1">
      <alignment vertical="center"/>
    </xf>
    <xf numFmtId="166" fontId="37" fillId="3" borderId="0" xfId="56" applyFont="1" applyFill="1" applyBorder="1" applyAlignment="1">
      <alignment vertical="center"/>
    </xf>
    <xf numFmtId="4" fontId="37" fillId="72" borderId="0" xfId="0" applyNumberFormat="1" applyFont="1" applyFill="1" applyBorder="1" applyAlignment="1">
      <alignment vertical="center"/>
    </xf>
    <xf numFmtId="9" fontId="37" fillId="72" borderId="0" xfId="0" applyNumberFormat="1" applyFont="1" applyFill="1" applyAlignment="1">
      <alignment vertical="center"/>
    </xf>
    <xf numFmtId="0" fontId="37" fillId="72" borderId="0" xfId="0" applyFont="1" applyFill="1" applyBorder="1" applyAlignment="1">
      <alignment vertical="center"/>
    </xf>
    <xf numFmtId="0" fontId="37" fillId="74" borderId="0" xfId="0" applyFont="1" applyFill="1" applyAlignment="1">
      <alignment vertical="center"/>
    </xf>
    <xf numFmtId="166" fontId="41" fillId="74" borderId="0" xfId="56" applyFont="1" applyFill="1" applyAlignment="1">
      <alignment vertical="center"/>
    </xf>
    <xf numFmtId="190" fontId="37" fillId="3" borderId="58" xfId="56" applyNumberFormat="1" applyFont="1" applyFill="1" applyBorder="1" applyAlignment="1">
      <alignment vertical="center"/>
    </xf>
    <xf numFmtId="166" fontId="46" fillId="3" borderId="0" xfId="56" applyFont="1" applyFill="1"/>
    <xf numFmtId="40" fontId="46" fillId="3" borderId="0" xfId="0" applyNumberFormat="1" applyFont="1" applyFill="1"/>
    <xf numFmtId="9" fontId="41" fillId="3" borderId="0" xfId="0" applyNumberFormat="1" applyFont="1" applyFill="1" applyAlignment="1">
      <alignment vertical="center"/>
    </xf>
    <xf numFmtId="9" fontId="41" fillId="74" borderId="0" xfId="0" applyNumberFormat="1" applyFont="1" applyFill="1" applyAlignment="1">
      <alignment vertical="center"/>
    </xf>
    <xf numFmtId="9" fontId="36" fillId="72" borderId="0" xfId="57" applyFont="1" applyFill="1" applyAlignment="1">
      <alignment vertical="center"/>
    </xf>
    <xf numFmtId="9" fontId="36" fillId="3" borderId="0" xfId="0" applyNumberFormat="1" applyFont="1" applyFill="1" applyAlignment="1">
      <alignment vertical="center"/>
    </xf>
    <xf numFmtId="166" fontId="37" fillId="3" borderId="1" xfId="56" applyFont="1" applyFill="1" applyBorder="1" applyAlignment="1">
      <alignment vertical="center"/>
    </xf>
    <xf numFmtId="166" fontId="37" fillId="64" borderId="1" xfId="56" applyFont="1" applyFill="1" applyBorder="1" applyAlignment="1">
      <alignment vertical="center"/>
    </xf>
    <xf numFmtId="0" fontId="9" fillId="60" borderId="1" xfId="0" applyFont="1" applyFill="1" applyBorder="1" applyAlignment="1">
      <alignment horizontal="center" vertical="center"/>
    </xf>
    <xf numFmtId="4" fontId="9" fillId="60" borderId="1" xfId="0" applyNumberFormat="1" applyFont="1" applyFill="1" applyBorder="1" applyAlignment="1">
      <alignment vertical="center"/>
    </xf>
    <xf numFmtId="166" fontId="82" fillId="64" borderId="1" xfId="56" applyFont="1" applyFill="1" applyBorder="1" applyAlignment="1">
      <alignment vertical="center"/>
    </xf>
    <xf numFmtId="39" fontId="37" fillId="3" borderId="1" xfId="56" applyNumberFormat="1" applyFont="1" applyFill="1" applyBorder="1" applyAlignment="1">
      <alignment vertical="center"/>
    </xf>
    <xf numFmtId="9" fontId="37" fillId="50" borderId="1" xfId="57" applyFont="1" applyFill="1" applyBorder="1" applyAlignment="1">
      <alignment vertical="center"/>
    </xf>
    <xf numFmtId="10" fontId="9" fillId="75" borderId="1" xfId="0" applyNumberFormat="1" applyFont="1" applyFill="1" applyBorder="1" applyAlignment="1">
      <alignment horizontal="center" vertical="center"/>
    </xf>
    <xf numFmtId="10" fontId="37" fillId="3" borderId="1" xfId="57" applyNumberFormat="1" applyFont="1" applyFill="1" applyBorder="1" applyAlignment="1">
      <alignment vertical="center"/>
    </xf>
    <xf numFmtId="39" fontId="82" fillId="3" borderId="1" xfId="56" applyNumberFormat="1" applyFont="1" applyFill="1" applyBorder="1" applyAlignment="1">
      <alignment vertical="center"/>
    </xf>
    <xf numFmtId="39" fontId="37" fillId="3" borderId="0" xfId="56" applyNumberFormat="1" applyFont="1" applyFill="1" applyBorder="1" applyAlignment="1">
      <alignment vertical="center"/>
    </xf>
    <xf numFmtId="10" fontId="37" fillId="3" borderId="0" xfId="57" applyNumberFormat="1" applyFont="1" applyFill="1" applyBorder="1" applyAlignment="1">
      <alignment vertical="center"/>
    </xf>
    <xf numFmtId="0" fontId="9" fillId="3" borderId="0" xfId="0" applyFont="1" applyFill="1" applyBorder="1" applyAlignment="1">
      <alignment horizontal="center" vertical="center" textRotation="45"/>
    </xf>
    <xf numFmtId="9" fontId="37" fillId="3" borderId="0" xfId="57" applyFont="1" applyFill="1" applyBorder="1" applyAlignment="1">
      <alignment vertical="center"/>
    </xf>
    <xf numFmtId="3" fontId="37" fillId="75" borderId="0" xfId="57" applyNumberFormat="1" applyFont="1" applyFill="1" applyBorder="1" applyAlignment="1">
      <alignment vertical="center"/>
    </xf>
    <xf numFmtId="190" fontId="37" fillId="3" borderId="1" xfId="56" applyNumberFormat="1" applyFont="1" applyFill="1" applyBorder="1" applyAlignment="1">
      <alignment vertical="center"/>
    </xf>
    <xf numFmtId="9" fontId="37" fillId="50" borderId="54" xfId="57" applyFont="1" applyFill="1" applyBorder="1" applyAlignment="1">
      <alignment horizontal="center" vertical="center"/>
    </xf>
    <xf numFmtId="39" fontId="37" fillId="50" borderId="54" xfId="56" applyNumberFormat="1" applyFont="1" applyFill="1" applyBorder="1" applyAlignment="1">
      <alignment horizontal="center" vertical="center"/>
    </xf>
    <xf numFmtId="10" fontId="37" fillId="50" borderId="54" xfId="57" applyNumberFormat="1" applyFont="1" applyFill="1" applyBorder="1" applyAlignment="1">
      <alignment horizontal="center" vertical="center"/>
    </xf>
    <xf numFmtId="190" fontId="37" fillId="3" borderId="54" xfId="56" applyNumberFormat="1" applyFont="1" applyFill="1" applyBorder="1" applyAlignment="1">
      <alignment vertical="center"/>
    </xf>
    <xf numFmtId="0" fontId="37" fillId="5" borderId="62" xfId="0" applyFont="1" applyFill="1" applyBorder="1" applyAlignment="1">
      <alignment horizontal="center" vertical="center"/>
    </xf>
    <xf numFmtId="190" fontId="37" fillId="3" borderId="62" xfId="56" applyNumberFormat="1" applyFont="1" applyFill="1" applyBorder="1" applyAlignment="1">
      <alignment horizontal="justify" vertical="center"/>
    </xf>
    <xf numFmtId="0" fontId="37" fillId="3" borderId="61" xfId="0" applyFont="1" applyFill="1" applyBorder="1" applyAlignment="1">
      <alignment vertical="center"/>
    </xf>
    <xf numFmtId="0" fontId="9" fillId="3" borderId="1" xfId="0" applyFont="1" applyFill="1" applyBorder="1" applyAlignment="1">
      <alignment horizontal="center" vertical="center"/>
    </xf>
    <xf numFmtId="0" fontId="37" fillId="3" borderId="1" xfId="0" applyFont="1" applyFill="1" applyBorder="1" applyAlignment="1">
      <alignment horizontal="justify" vertical="center"/>
    </xf>
    <xf numFmtId="0" fontId="37" fillId="3" borderId="1" xfId="0" applyFont="1" applyFill="1" applyBorder="1" applyAlignment="1">
      <alignment horizontal="center" vertical="center"/>
    </xf>
    <xf numFmtId="0" fontId="82" fillId="0" borderId="1" xfId="0" applyFont="1" applyBorder="1" applyAlignment="1">
      <alignment horizontal="center" vertical="center" wrapText="1"/>
    </xf>
    <xf numFmtId="0" fontId="82" fillId="0" borderId="1" xfId="0" applyFont="1" applyBorder="1" applyAlignment="1">
      <alignment horizontal="justify" vertical="center"/>
    </xf>
    <xf numFmtId="2" fontId="82" fillId="0" borderId="1" xfId="0" applyNumberFormat="1" applyFont="1" applyBorder="1" applyAlignment="1">
      <alignment horizontal="center" vertical="center" wrapText="1"/>
    </xf>
    <xf numFmtId="0" fontId="82" fillId="3" borderId="1" xfId="0" applyFont="1" applyFill="1" applyBorder="1" applyAlignment="1">
      <alignment horizontal="justify" vertical="center"/>
    </xf>
    <xf numFmtId="0" fontId="82" fillId="3" borderId="1" xfId="0" applyFont="1" applyFill="1" applyBorder="1" applyAlignment="1">
      <alignment horizontal="center" vertical="center" wrapText="1" readingOrder="1"/>
    </xf>
    <xf numFmtId="0" fontId="82" fillId="58" borderId="1" xfId="0" applyFont="1" applyFill="1" applyBorder="1" applyAlignment="1">
      <alignment horizontal="justify" vertical="center"/>
    </xf>
    <xf numFmtId="0" fontId="82" fillId="0" borderId="1" xfId="0" applyFont="1" applyBorder="1" applyAlignment="1">
      <alignment horizontal="center" vertical="center"/>
    </xf>
    <xf numFmtId="2" fontId="82" fillId="0" borderId="4" xfId="0" applyNumberFormat="1" applyFont="1" applyBorder="1" applyAlignment="1">
      <alignment horizontal="center" vertical="center" wrapText="1"/>
    </xf>
    <xf numFmtId="2" fontId="82" fillId="3" borderId="1" xfId="0" applyNumberFormat="1" applyFont="1" applyFill="1" applyBorder="1" applyAlignment="1">
      <alignment horizontal="center" vertical="center"/>
    </xf>
    <xf numFmtId="0" fontId="82" fillId="3" borderId="1" xfId="0" applyFont="1" applyFill="1" applyBorder="1" applyAlignment="1">
      <alignment horizontal="justify" vertical="center" wrapText="1" readingOrder="1"/>
    </xf>
    <xf numFmtId="0" fontId="83" fillId="9" borderId="1" xfId="0" applyFont="1" applyFill="1" applyBorder="1" applyAlignment="1">
      <alignment horizontal="center" vertical="center" wrapText="1"/>
    </xf>
    <xf numFmtId="0" fontId="83" fillId="59" borderId="1" xfId="0" applyFont="1" applyFill="1" applyBorder="1" applyAlignment="1">
      <alignment horizontal="center" vertical="center"/>
    </xf>
    <xf numFmtId="4" fontId="83" fillId="59" borderId="1" xfId="0" applyNumberFormat="1" applyFont="1" applyFill="1" applyBorder="1" applyAlignment="1">
      <alignment horizontal="right" vertical="center"/>
    </xf>
    <xf numFmtId="0" fontId="82" fillId="3" borderId="1" xfId="0" applyFont="1" applyFill="1" applyBorder="1" applyAlignment="1">
      <alignment horizontal="center" vertical="center"/>
    </xf>
    <xf numFmtId="0" fontId="82" fillId="3" borderId="1" xfId="0" applyFont="1" applyFill="1" applyBorder="1" applyAlignment="1">
      <alignment vertical="center"/>
    </xf>
    <xf numFmtId="2" fontId="82" fillId="3" borderId="1" xfId="0" applyNumberFormat="1" applyFont="1" applyFill="1" applyBorder="1" applyAlignment="1">
      <alignment horizontal="right" vertical="center"/>
    </xf>
    <xf numFmtId="4" fontId="82" fillId="3" borderId="1" xfId="0" applyNumberFormat="1" applyFont="1" applyFill="1" applyBorder="1" applyAlignment="1">
      <alignment horizontal="right" vertical="center"/>
    </xf>
    <xf numFmtId="3" fontId="82" fillId="3" borderId="1" xfId="0" applyNumberFormat="1" applyFont="1" applyFill="1" applyBorder="1" applyAlignment="1">
      <alignment horizontal="center" vertical="center"/>
    </xf>
    <xf numFmtId="2" fontId="83" fillId="59" borderId="1" xfId="0" applyNumberFormat="1" applyFont="1" applyFill="1" applyBorder="1" applyAlignment="1">
      <alignment vertical="center"/>
    </xf>
    <xf numFmtId="4" fontId="83" fillId="59" borderId="1" xfId="0" applyNumberFormat="1" applyFont="1" applyFill="1" applyBorder="1" applyAlignment="1">
      <alignment vertical="center"/>
    </xf>
    <xf numFmtId="4" fontId="83" fillId="9" borderId="1" xfId="0" applyNumberFormat="1" applyFont="1" applyFill="1" applyBorder="1" applyAlignment="1">
      <alignment vertical="center"/>
    </xf>
    <xf numFmtId="0" fontId="82" fillId="3" borderId="0" xfId="0" applyFont="1" applyFill="1" applyAlignment="1">
      <alignment horizontal="center" vertical="center"/>
    </xf>
    <xf numFmtId="0" fontId="82" fillId="3" borderId="0" xfId="0" applyFont="1" applyFill="1" applyAlignment="1">
      <alignment vertical="center"/>
    </xf>
    <xf numFmtId="0" fontId="82" fillId="3" borderId="1" xfId="0" applyFont="1" applyFill="1" applyBorder="1" applyAlignment="1">
      <alignment horizontal="justify" vertical="center" wrapText="1"/>
    </xf>
    <xf numFmtId="0" fontId="82" fillId="3" borderId="1" xfId="0" applyFont="1" applyFill="1" applyBorder="1" applyAlignment="1">
      <alignment horizontal="center" vertical="center" wrapText="1"/>
    </xf>
    <xf numFmtId="4" fontId="82" fillId="3" borderId="1" xfId="0" applyNumberFormat="1" applyFont="1" applyFill="1" applyBorder="1" applyAlignment="1">
      <alignment horizontal="right" vertical="center" wrapText="1"/>
    </xf>
    <xf numFmtId="0" fontId="37" fillId="3" borderId="5" xfId="0" applyFont="1" applyFill="1" applyBorder="1" applyAlignment="1">
      <alignment vertical="center"/>
    </xf>
    <xf numFmtId="0" fontId="37" fillId="3" borderId="7" xfId="0" applyFont="1" applyFill="1" applyBorder="1" applyAlignment="1">
      <alignment vertical="center"/>
    </xf>
    <xf numFmtId="0" fontId="37" fillId="50" borderId="5" xfId="0" applyFont="1" applyFill="1" applyBorder="1" applyAlignment="1">
      <alignment vertical="center"/>
    </xf>
    <xf numFmtId="0" fontId="37" fillId="50" borderId="6" xfId="0" applyFont="1" applyFill="1" applyBorder="1" applyAlignment="1">
      <alignment vertical="center"/>
    </xf>
    <xf numFmtId="0" fontId="37" fillId="50" borderId="7" xfId="0" applyFont="1" applyFill="1" applyBorder="1" applyAlignment="1">
      <alignment vertical="center"/>
    </xf>
    <xf numFmtId="0" fontId="9" fillId="9" borderId="1" xfId="0" applyFont="1" applyFill="1" applyBorder="1" applyAlignment="1">
      <alignment vertical="center"/>
    </xf>
    <xf numFmtId="0" fontId="36" fillId="0" borderId="1" xfId="0" applyFont="1" applyBorder="1" applyAlignment="1">
      <alignment horizontal="justify" vertical="center"/>
    </xf>
    <xf numFmtId="4" fontId="82" fillId="3" borderId="47" xfId="0" applyNumberFormat="1" applyFont="1" applyFill="1" applyBorder="1" applyAlignment="1">
      <alignment vertical="center"/>
    </xf>
    <xf numFmtId="4" fontId="41" fillId="0" borderId="2" xfId="0" applyNumberFormat="1" applyFont="1" applyBorder="1" applyAlignment="1">
      <alignment horizontal="center" vertical="center" wrapText="1"/>
    </xf>
    <xf numFmtId="3" fontId="41" fillId="0" borderId="2" xfId="0" applyNumberFormat="1" applyFont="1" applyBorder="1" applyAlignment="1">
      <alignment horizontal="center" vertical="center" wrapText="1"/>
    </xf>
    <xf numFmtId="4" fontId="42" fillId="59" borderId="5" xfId="0" applyNumberFormat="1" applyFont="1" applyFill="1" applyBorder="1" applyAlignment="1">
      <alignment horizontal="right" vertical="center"/>
    </xf>
    <xf numFmtId="4" fontId="42" fillId="59" borderId="7" xfId="0" applyNumberFormat="1" applyFont="1" applyFill="1" applyBorder="1" applyAlignment="1">
      <alignment vertical="center"/>
    </xf>
    <xf numFmtId="4" fontId="37" fillId="3" borderId="5" xfId="0" applyNumberFormat="1" applyFont="1" applyFill="1" applyBorder="1"/>
    <xf numFmtId="4" fontId="37" fillId="3" borderId="6" xfId="0" applyNumberFormat="1" applyFont="1" applyFill="1" applyBorder="1" applyAlignment="1">
      <alignment vertical="center"/>
    </xf>
    <xf numFmtId="4" fontId="37" fillId="3" borderId="7" xfId="0" applyNumberFormat="1" applyFont="1" applyFill="1" applyBorder="1" applyAlignment="1">
      <alignment vertical="center"/>
    </xf>
    <xf numFmtId="0" fontId="37" fillId="0" borderId="1" xfId="0" applyFont="1" applyBorder="1" applyAlignment="1">
      <alignment horizontal="justify" vertical="center" wrapText="1"/>
    </xf>
    <xf numFmtId="4" fontId="36" fillId="3" borderId="1" xfId="0" applyNumberFormat="1" applyFont="1" applyFill="1" applyBorder="1" applyAlignment="1">
      <alignment horizontal="center" vertical="center"/>
    </xf>
    <xf numFmtId="0" fontId="37" fillId="3" borderId="1" xfId="0" applyFont="1" applyFill="1" applyBorder="1" applyAlignment="1">
      <alignment horizontal="center" vertical="center"/>
    </xf>
    <xf numFmtId="4" fontId="82" fillId="0" borderId="5" xfId="0" applyNumberFormat="1" applyFont="1" applyBorder="1" applyAlignment="1" applyProtection="1">
      <alignment horizontal="right" vertical="center" wrapText="1"/>
      <protection locked="0"/>
    </xf>
    <xf numFmtId="4" fontId="83" fillId="3" borderId="1" xfId="0" applyNumberFormat="1" applyFont="1" applyFill="1" applyBorder="1" applyAlignment="1">
      <alignment horizontal="right" vertical="center" wrapText="1"/>
    </xf>
    <xf numFmtId="4" fontId="83" fillId="59" borderId="1" xfId="0" applyNumberFormat="1" applyFont="1" applyFill="1" applyBorder="1" applyAlignment="1" applyProtection="1">
      <alignment vertical="center" wrapText="1"/>
      <protection locked="0"/>
    </xf>
    <xf numFmtId="4" fontId="83" fillId="3" borderId="5" xfId="0" applyNumberFormat="1" applyFont="1" applyFill="1" applyBorder="1" applyAlignment="1" applyProtection="1">
      <alignment vertical="center" wrapText="1"/>
      <protection locked="0"/>
    </xf>
    <xf numFmtId="4" fontId="83" fillId="3" borderId="6" xfId="0" applyNumberFormat="1" applyFont="1" applyFill="1" applyBorder="1" applyAlignment="1" applyProtection="1">
      <alignment vertical="center" wrapText="1"/>
      <protection locked="0"/>
    </xf>
    <xf numFmtId="4" fontId="83" fillId="3" borderId="7" xfId="0" applyNumberFormat="1" applyFont="1" applyFill="1" applyBorder="1" applyAlignment="1" applyProtection="1">
      <alignment vertical="center" wrapText="1"/>
      <protection locked="0"/>
    </xf>
    <xf numFmtId="4" fontId="83" fillId="9" borderId="1" xfId="0" applyNumberFormat="1" applyFont="1" applyFill="1" applyBorder="1" applyAlignment="1" applyProtection="1">
      <alignment vertical="center" wrapText="1"/>
      <protection locked="0"/>
    </xf>
    <xf numFmtId="3" fontId="82" fillId="0" borderId="1" xfId="0" applyNumberFormat="1" applyFont="1" applyBorder="1" applyAlignment="1">
      <alignment horizontal="center" vertical="center" wrapText="1"/>
    </xf>
    <xf numFmtId="4" fontId="82" fillId="0" borderId="1" xfId="0" applyNumberFormat="1" applyFont="1" applyBorder="1" applyAlignment="1">
      <alignment horizontal="center" vertical="center" wrapText="1"/>
    </xf>
    <xf numFmtId="4" fontId="82" fillId="0" borderId="1" xfId="0" applyNumberFormat="1" applyFont="1" applyBorder="1" applyAlignment="1">
      <alignment vertical="center"/>
    </xf>
    <xf numFmtId="0" fontId="50" fillId="3" borderId="1" xfId="0" applyFont="1" applyFill="1" applyBorder="1" applyAlignment="1">
      <alignment horizontal="justify" vertical="center"/>
    </xf>
    <xf numFmtId="166" fontId="38" fillId="3" borderId="1" xfId="56" applyFont="1" applyFill="1" applyBorder="1" applyAlignment="1">
      <alignment horizontal="center" vertical="center" wrapText="1"/>
    </xf>
    <xf numFmtId="166" fontId="36" fillId="3" borderId="1" xfId="56" applyFont="1" applyFill="1" applyBorder="1" applyAlignment="1">
      <alignment horizontal="center" vertical="center" wrapText="1"/>
    </xf>
    <xf numFmtId="4" fontId="36" fillId="3" borderId="1" xfId="56" applyNumberFormat="1" applyFont="1" applyFill="1" applyBorder="1" applyAlignment="1">
      <alignment horizontal="center" vertical="center" wrapText="1"/>
    </xf>
    <xf numFmtId="166" fontId="36" fillId="3" borderId="37" xfId="56" applyFont="1" applyFill="1" applyBorder="1" applyAlignment="1">
      <alignment horizontal="center" vertical="center" wrapText="1"/>
    </xf>
    <xf numFmtId="166" fontId="38" fillId="76" borderId="5" xfId="56" applyFont="1" applyFill="1" applyBorder="1" applyAlignment="1">
      <alignment horizontal="center" vertical="center" wrapText="1"/>
    </xf>
    <xf numFmtId="165" fontId="37" fillId="3" borderId="1" xfId="56" applyNumberFormat="1" applyFont="1" applyFill="1" applyBorder="1" applyAlignment="1">
      <alignment horizontal="center"/>
    </xf>
    <xf numFmtId="166" fontId="37" fillId="3" borderId="1" xfId="56" applyFont="1" applyFill="1" applyBorder="1"/>
    <xf numFmtId="166" fontId="38" fillId="76" borderId="1" xfId="56" applyFont="1" applyFill="1" applyBorder="1" applyAlignment="1">
      <alignment horizontal="center" vertical="center" wrapText="1"/>
    </xf>
    <xf numFmtId="191" fontId="38" fillId="76" borderId="1" xfId="56" applyNumberFormat="1" applyFont="1" applyFill="1" applyBorder="1" applyAlignment="1">
      <alignment horizontal="center" vertical="center" wrapText="1"/>
    </xf>
    <xf numFmtId="166" fontId="38" fillId="76" borderId="37" xfId="56" applyFont="1" applyFill="1" applyBorder="1" applyAlignment="1">
      <alignment horizontal="center" vertical="center" wrapText="1"/>
    </xf>
    <xf numFmtId="191" fontId="38" fillId="3" borderId="1" xfId="56" applyNumberFormat="1" applyFont="1" applyFill="1" applyBorder="1" applyAlignment="1">
      <alignment horizontal="center" vertical="center" wrapText="1"/>
    </xf>
    <xf numFmtId="166" fontId="38" fillId="3" borderId="37" xfId="56" applyFont="1" applyFill="1" applyBorder="1" applyAlignment="1">
      <alignment horizontal="center" vertical="center" wrapText="1"/>
    </xf>
    <xf numFmtId="166" fontId="36" fillId="63" borderId="1" xfId="56" applyFont="1" applyFill="1" applyBorder="1" applyAlignment="1"/>
    <xf numFmtId="166" fontId="36" fillId="63" borderId="1" xfId="56" applyFont="1" applyFill="1" applyBorder="1" applyAlignment="1">
      <alignment horizontal="center"/>
    </xf>
    <xf numFmtId="4" fontId="36" fillId="63" borderId="1" xfId="56" applyNumberFormat="1" applyFont="1" applyFill="1" applyBorder="1" applyAlignment="1">
      <alignment horizontal="center"/>
    </xf>
    <xf numFmtId="166" fontId="36" fillId="63" borderId="1" xfId="56" applyFont="1" applyFill="1" applyBorder="1"/>
    <xf numFmtId="0" fontId="50" fillId="0" borderId="1" xfId="0" applyFont="1" applyBorder="1" applyAlignment="1">
      <alignment horizontal="justify" vertical="center"/>
    </xf>
    <xf numFmtId="166" fontId="36" fillId="0" borderId="1" xfId="56" applyFont="1" applyBorder="1" applyAlignment="1">
      <alignment horizontal="center"/>
    </xf>
    <xf numFmtId="4" fontId="36" fillId="0" borderId="1" xfId="56" applyNumberFormat="1" applyFont="1" applyBorder="1" applyAlignment="1">
      <alignment horizontal="center"/>
    </xf>
    <xf numFmtId="166" fontId="37" fillId="6" borderId="1" xfId="56" applyFont="1" applyFill="1" applyBorder="1"/>
    <xf numFmtId="4" fontId="37" fillId="6" borderId="1" xfId="56" applyNumberFormat="1" applyFont="1" applyFill="1" applyBorder="1" applyAlignment="1">
      <alignment horizontal="right"/>
    </xf>
    <xf numFmtId="166" fontId="37" fillId="0" borderId="1" xfId="56" applyFont="1" applyBorder="1" applyAlignment="1"/>
    <xf numFmtId="166" fontId="37" fillId="3" borderId="1" xfId="56" applyFont="1" applyFill="1" applyBorder="1" applyAlignment="1">
      <alignment horizontal="center"/>
    </xf>
    <xf numFmtId="165" fontId="37" fillId="0" borderId="1" xfId="56" applyNumberFormat="1" applyFont="1" applyBorder="1" applyAlignment="1"/>
    <xf numFmtId="166" fontId="37" fillId="0" borderId="1" xfId="56" applyFont="1" applyBorder="1"/>
    <xf numFmtId="0" fontId="50" fillId="0" borderId="5" xfId="0" applyFont="1" applyBorder="1" applyAlignment="1">
      <alignment horizontal="justify" vertical="center"/>
    </xf>
    <xf numFmtId="4" fontId="37" fillId="6" borderId="1" xfId="56" applyNumberFormat="1" applyFont="1" applyFill="1" applyBorder="1" applyAlignment="1">
      <alignment horizontal="center"/>
    </xf>
    <xf numFmtId="165" fontId="36" fillId="0" borderId="1" xfId="56" applyNumberFormat="1" applyFont="1" applyBorder="1" applyAlignment="1">
      <alignment horizontal="center"/>
    </xf>
    <xf numFmtId="4" fontId="37" fillId="3" borderId="0" xfId="0" applyNumberFormat="1" applyFont="1" applyFill="1" applyBorder="1"/>
    <xf numFmtId="0" fontId="49" fillId="3" borderId="0" xfId="0" applyFont="1" applyFill="1" applyBorder="1" applyAlignment="1">
      <alignment horizontal="center" vertical="center"/>
    </xf>
    <xf numFmtId="166" fontId="9" fillId="3" borderId="0" xfId="56" applyFont="1" applyFill="1" applyBorder="1"/>
    <xf numFmtId="166" fontId="9" fillId="70" borderId="1" xfId="56" applyFont="1" applyFill="1" applyBorder="1"/>
    <xf numFmtId="0" fontId="84" fillId="3" borderId="1" xfId="0" applyFont="1" applyFill="1" applyBorder="1" applyAlignment="1">
      <alignment vertical="center"/>
    </xf>
    <xf numFmtId="0" fontId="50" fillId="3" borderId="1" xfId="0" applyFont="1" applyFill="1" applyBorder="1" applyAlignment="1">
      <alignment vertical="center"/>
    </xf>
    <xf numFmtId="0" fontId="50" fillId="0" borderId="1" xfId="0" applyFont="1" applyBorder="1" applyAlignment="1">
      <alignment vertical="center"/>
    </xf>
    <xf numFmtId="0" fontId="50" fillId="0" borderId="5" xfId="0" applyFont="1" applyBorder="1" applyAlignment="1">
      <alignment vertical="center"/>
    </xf>
    <xf numFmtId="4" fontId="82" fillId="0" borderId="5" xfId="0" applyNumberFormat="1" applyFont="1" applyBorder="1" applyAlignment="1" applyProtection="1">
      <alignment horizontal="center" vertical="center" wrapText="1"/>
      <protection locked="0"/>
    </xf>
    <xf numFmtId="4" fontId="82" fillId="3" borderId="5" xfId="0" applyNumberFormat="1" applyFont="1" applyFill="1" applyBorder="1" applyAlignment="1" applyProtection="1">
      <alignment vertical="center" wrapText="1"/>
      <protection locked="0"/>
    </xf>
    <xf numFmtId="2" fontId="82" fillId="3" borderId="5" xfId="0" applyNumberFormat="1" applyFont="1" applyFill="1" applyBorder="1" applyAlignment="1" applyProtection="1">
      <alignment horizontal="center" vertical="center" wrapText="1"/>
      <protection locked="0"/>
    </xf>
    <xf numFmtId="4" fontId="82" fillId="0" borderId="1" xfId="0" applyNumberFormat="1" applyFont="1" applyBorder="1" applyAlignment="1">
      <alignment horizontal="right" vertical="center"/>
    </xf>
    <xf numFmtId="2" fontId="82" fillId="3" borderId="1" xfId="0" applyNumberFormat="1" applyFont="1" applyFill="1" applyBorder="1" applyAlignment="1" applyProtection="1">
      <alignment horizontal="center" vertical="center" wrapText="1"/>
      <protection locked="0"/>
    </xf>
    <xf numFmtId="4" fontId="82" fillId="0" borderId="1" xfId="0" applyNumberFormat="1" applyFont="1" applyBorder="1" applyAlignment="1" applyProtection="1">
      <alignment horizontal="justify" vertical="center" wrapText="1"/>
      <protection locked="0"/>
    </xf>
    <xf numFmtId="4" fontId="82" fillId="0" borderId="1" xfId="0" applyNumberFormat="1" applyFont="1" applyBorder="1" applyAlignment="1" applyProtection="1">
      <alignment horizontal="center" vertical="center" wrapText="1"/>
      <protection locked="0"/>
    </xf>
    <xf numFmtId="4" fontId="82" fillId="0" borderId="1" xfId="0" applyNumberFormat="1" applyFont="1" applyBorder="1" applyAlignment="1" applyProtection="1">
      <alignment horizontal="right" vertical="center" wrapText="1"/>
      <protection locked="0"/>
    </xf>
    <xf numFmtId="166" fontId="36" fillId="3" borderId="1" xfId="56" applyFont="1" applyFill="1" applyBorder="1" applyAlignment="1">
      <alignment horizontal="justify" vertical="center" wrapText="1"/>
    </xf>
    <xf numFmtId="166" fontId="36" fillId="3" borderId="37" xfId="56" applyFont="1" applyFill="1" applyBorder="1" applyAlignment="1">
      <alignment horizontal="justify" vertical="center" wrapText="1"/>
    </xf>
    <xf numFmtId="166" fontId="38" fillId="76" borderId="1" xfId="56" applyFont="1" applyFill="1" applyBorder="1" applyAlignment="1">
      <alignment horizontal="justify" vertical="center" wrapText="1"/>
    </xf>
    <xf numFmtId="166" fontId="36" fillId="0" borderId="1" xfId="56" applyFont="1" applyBorder="1" applyAlignment="1">
      <alignment horizontal="center" vertical="center"/>
    </xf>
    <xf numFmtId="166" fontId="37" fillId="0" borderId="1" xfId="56" applyFont="1" applyBorder="1" applyAlignment="1">
      <alignment horizontal="center" vertical="center"/>
    </xf>
    <xf numFmtId="166" fontId="37" fillId="3" borderId="1" xfId="56" applyFont="1" applyFill="1" applyBorder="1" applyAlignment="1">
      <alignment horizontal="justify" vertical="center"/>
    </xf>
    <xf numFmtId="166" fontId="37" fillId="0" borderId="1" xfId="56" applyFont="1" applyBorder="1" applyAlignment="1">
      <alignment horizontal="justify" vertical="center"/>
    </xf>
    <xf numFmtId="166" fontId="37" fillId="70" borderId="1" xfId="56" applyFont="1" applyFill="1" applyBorder="1" applyAlignment="1">
      <alignment horizontal="justify" vertical="center"/>
    </xf>
    <xf numFmtId="166" fontId="38" fillId="3" borderId="0" xfId="56" applyFont="1" applyFill="1" applyBorder="1" applyAlignment="1">
      <alignment horizontal="justify" vertical="center"/>
    </xf>
    <xf numFmtId="166" fontId="37" fillId="3" borderId="0" xfId="56" applyFont="1" applyFill="1" applyBorder="1" applyAlignment="1">
      <alignment horizontal="justify" vertical="center"/>
    </xf>
    <xf numFmtId="166" fontId="36" fillId="63" borderId="1" xfId="56" applyFont="1" applyFill="1" applyBorder="1" applyAlignment="1">
      <alignment horizontal="justify" vertical="center"/>
    </xf>
    <xf numFmtId="4" fontId="36" fillId="63" borderId="1" xfId="56" applyNumberFormat="1" applyFont="1" applyFill="1" applyBorder="1" applyAlignment="1">
      <alignment horizontal="justify" vertical="center"/>
    </xf>
    <xf numFmtId="166" fontId="36" fillId="0" borderId="1" xfId="56" applyFont="1" applyBorder="1" applyAlignment="1">
      <alignment horizontal="justify" vertical="center"/>
    </xf>
    <xf numFmtId="166" fontId="36" fillId="0" borderId="1" xfId="56" applyFont="1" applyFill="1" applyBorder="1" applyAlignment="1">
      <alignment horizontal="justify" vertical="center"/>
    </xf>
    <xf numFmtId="165" fontId="37" fillId="3" borderId="1" xfId="56" applyNumberFormat="1" applyFont="1" applyFill="1" applyBorder="1" applyAlignment="1">
      <alignment horizontal="justify" vertical="center"/>
    </xf>
    <xf numFmtId="165" fontId="37" fillId="0" borderId="1" xfId="56" applyNumberFormat="1" applyFont="1" applyBorder="1" applyAlignment="1">
      <alignment horizontal="justify" vertical="center"/>
    </xf>
    <xf numFmtId="0" fontId="49" fillId="3" borderId="0" xfId="0" applyFont="1" applyFill="1" applyBorder="1" applyAlignment="1">
      <alignment horizontal="justify" vertical="center"/>
    </xf>
    <xf numFmtId="166" fontId="38" fillId="3" borderId="0" xfId="56" applyFont="1" applyFill="1" applyBorder="1" applyAlignment="1">
      <alignment horizontal="justify" vertical="center" wrapText="1"/>
    </xf>
    <xf numFmtId="166" fontId="38" fillId="70" borderId="1" xfId="56" applyFont="1" applyFill="1" applyBorder="1" applyAlignment="1">
      <alignment horizontal="justify" vertical="center" wrapText="1"/>
    </xf>
    <xf numFmtId="166" fontId="36" fillId="3" borderId="0" xfId="56" applyFont="1" applyFill="1" applyBorder="1" applyAlignment="1">
      <alignment horizontal="justify" vertical="center"/>
    </xf>
    <xf numFmtId="4" fontId="36" fillId="3" borderId="0" xfId="56" applyNumberFormat="1" applyFont="1" applyFill="1" applyBorder="1" applyAlignment="1">
      <alignment horizontal="justify" vertical="center"/>
    </xf>
    <xf numFmtId="166" fontId="9" fillId="70" borderId="1" xfId="56" applyFont="1" applyFill="1" applyBorder="1" applyAlignment="1">
      <alignment horizontal="justify" vertical="center"/>
    </xf>
    <xf numFmtId="166" fontId="36" fillId="63" borderId="1" xfId="56" applyFont="1" applyFill="1" applyBorder="1" applyAlignment="1">
      <alignment horizontal="center" vertical="center"/>
    </xf>
    <xf numFmtId="166" fontId="9" fillId="3" borderId="0" xfId="56" applyFont="1" applyFill="1" applyBorder="1" applyAlignment="1">
      <alignment horizontal="justify" vertical="center"/>
    </xf>
    <xf numFmtId="4" fontId="36" fillId="0" borderId="1" xfId="56" applyNumberFormat="1" applyFont="1" applyBorder="1" applyAlignment="1">
      <alignment horizontal="right" vertical="center"/>
    </xf>
    <xf numFmtId="4" fontId="36" fillId="63" borderId="1" xfId="56" applyNumberFormat="1" applyFont="1" applyFill="1" applyBorder="1" applyAlignment="1">
      <alignment horizontal="right" vertical="center"/>
    </xf>
    <xf numFmtId="0" fontId="86" fillId="0" borderId="0" xfId="0" applyFont="1"/>
    <xf numFmtId="0" fontId="86" fillId="53" borderId="0" xfId="0" applyFont="1" applyFill="1"/>
    <xf numFmtId="0" fontId="87" fillId="0" borderId="0" xfId="0" applyFont="1" applyFill="1" applyBorder="1" applyAlignment="1">
      <alignment horizontal="center"/>
    </xf>
    <xf numFmtId="0" fontId="88" fillId="0" borderId="0" xfId="0" applyFont="1" applyFill="1" applyBorder="1" applyAlignment="1"/>
    <xf numFmtId="2" fontId="89" fillId="73" borderId="1" xfId="0" applyNumberFormat="1" applyFont="1" applyFill="1" applyBorder="1" applyAlignment="1">
      <alignment horizontal="center" vertical="center" wrapText="1"/>
    </xf>
    <xf numFmtId="0" fontId="89" fillId="73" borderId="1" xfId="0" applyFont="1" applyFill="1" applyBorder="1" applyAlignment="1">
      <alignment horizontal="center" vertical="center" wrapText="1"/>
    </xf>
    <xf numFmtId="0" fontId="87" fillId="73" borderId="67" xfId="0" applyFont="1" applyFill="1" applyBorder="1" applyAlignment="1">
      <alignment horizontal="center" vertical="center" wrapText="1"/>
    </xf>
    <xf numFmtId="2" fontId="89" fillId="73" borderId="70" xfId="0" applyNumberFormat="1" applyFont="1" applyFill="1" applyBorder="1" applyAlignment="1">
      <alignment horizontal="center" vertical="center" wrapText="1"/>
    </xf>
    <xf numFmtId="0" fontId="89" fillId="73" borderId="70" xfId="0" applyFont="1" applyFill="1" applyBorder="1" applyAlignment="1">
      <alignment horizontal="center" vertical="center" wrapText="1"/>
    </xf>
    <xf numFmtId="164" fontId="89" fillId="3" borderId="0" xfId="0" applyNumberFormat="1" applyFont="1" applyFill="1" applyBorder="1" applyAlignment="1">
      <alignment horizontal="center" vertical="center" wrapText="1"/>
    </xf>
    <xf numFmtId="2" fontId="89" fillId="3" borderId="0" xfId="0" applyNumberFormat="1" applyFont="1" applyFill="1" applyBorder="1" applyAlignment="1">
      <alignment horizontal="center" vertical="center" wrapText="1"/>
    </xf>
    <xf numFmtId="0" fontId="89" fillId="3" borderId="0" xfId="0" applyFont="1" applyFill="1" applyBorder="1" applyAlignment="1">
      <alignment horizontal="center" vertical="center" wrapText="1"/>
    </xf>
    <xf numFmtId="0" fontId="90" fillId="0" borderId="0" xfId="0" applyFont="1" applyFill="1" applyAlignment="1">
      <alignment vertical="center" wrapText="1"/>
    </xf>
    <xf numFmtId="0" fontId="90" fillId="0" borderId="0" xfId="0" applyFont="1" applyFill="1" applyAlignment="1">
      <alignment horizontal="left"/>
    </xf>
    <xf numFmtId="2" fontId="90" fillId="0" borderId="0" xfId="0" applyNumberFormat="1" applyFont="1" applyFill="1" applyAlignment="1">
      <alignment vertical="center"/>
    </xf>
    <xf numFmtId="0" fontId="90" fillId="0" borderId="0" xfId="0" applyFont="1" applyFill="1" applyAlignment="1">
      <alignment vertical="center"/>
    </xf>
    <xf numFmtId="0" fontId="88" fillId="0" borderId="0" xfId="0" applyFont="1" applyFill="1" applyAlignment="1"/>
    <xf numFmtId="0" fontId="89" fillId="0" borderId="45" xfId="0" applyFont="1" applyFill="1" applyBorder="1" applyAlignment="1">
      <alignment horizontal="left"/>
    </xf>
    <xf numFmtId="2" fontId="89" fillId="0" borderId="45" xfId="0" applyNumberFormat="1" applyFont="1" applyFill="1" applyBorder="1" applyAlignment="1">
      <alignment vertical="center" wrapText="1"/>
    </xf>
    <xf numFmtId="4" fontId="89" fillId="0" borderId="45" xfId="0" applyNumberFormat="1" applyFont="1" applyFill="1" applyBorder="1" applyAlignment="1">
      <alignment vertical="center" wrapText="1"/>
    </xf>
    <xf numFmtId="164" fontId="87" fillId="0" borderId="46" xfId="0" applyNumberFormat="1" applyFont="1" applyFill="1" applyBorder="1" applyAlignment="1">
      <alignment horizontal="right" vertical="top" wrapText="1"/>
    </xf>
    <xf numFmtId="0" fontId="89" fillId="0" borderId="71" xfId="0" applyFont="1" applyFill="1" applyBorder="1" applyAlignment="1"/>
    <xf numFmtId="0" fontId="89" fillId="0" borderId="72" xfId="0" applyFont="1" applyFill="1" applyBorder="1" applyAlignment="1"/>
    <xf numFmtId="0" fontId="89" fillId="0" borderId="72" xfId="0" applyFont="1" applyFill="1" applyBorder="1" applyAlignment="1">
      <alignment horizontal="center"/>
    </xf>
    <xf numFmtId="2" fontId="90" fillId="0" borderId="72" xfId="0" applyNumberFormat="1" applyFont="1" applyFill="1" applyBorder="1" applyAlignment="1">
      <alignment horizontal="center" vertical="center"/>
    </xf>
    <xf numFmtId="4" fontId="90" fillId="0" borderId="72" xfId="0" applyNumberFormat="1" applyFont="1" applyFill="1" applyBorder="1" applyAlignment="1">
      <alignment vertical="center"/>
    </xf>
    <xf numFmtId="4" fontId="90" fillId="0" borderId="72" xfId="0" applyNumberFormat="1" applyFont="1" applyFill="1" applyBorder="1" applyAlignment="1">
      <alignment horizontal="right" vertical="center"/>
    </xf>
    <xf numFmtId="0" fontId="87" fillId="0" borderId="73" xfId="0" applyFont="1" applyFill="1" applyBorder="1"/>
    <xf numFmtId="2" fontId="90" fillId="0" borderId="74" xfId="0" applyNumberFormat="1" applyFont="1" applyFill="1" applyBorder="1" applyAlignment="1">
      <alignment horizontal="center" vertical="center"/>
    </xf>
    <xf numFmtId="0" fontId="90" fillId="0" borderId="75" xfId="0" applyFont="1" applyFill="1" applyBorder="1" applyAlignment="1">
      <alignment vertical="center"/>
    </xf>
    <xf numFmtId="9" fontId="91" fillId="0" borderId="75" xfId="0" applyNumberFormat="1" applyFont="1" applyFill="1" applyBorder="1" applyAlignment="1">
      <alignment horizontal="center"/>
    </xf>
    <xf numFmtId="2" fontId="90" fillId="0" borderId="75" xfId="0" applyNumberFormat="1" applyFont="1" applyFill="1" applyBorder="1" applyAlignment="1">
      <alignment horizontal="center" vertical="center"/>
    </xf>
    <xf numFmtId="2" fontId="90" fillId="0" borderId="75" xfId="0" applyNumberFormat="1" applyFont="1" applyFill="1" applyBorder="1" applyAlignment="1">
      <alignment horizontal="center"/>
    </xf>
    <xf numFmtId="164" fontId="90" fillId="0" borderId="75" xfId="0" applyNumberFormat="1" applyFont="1" applyFill="1" applyBorder="1" applyAlignment="1">
      <alignment horizontal="right" vertical="center"/>
    </xf>
    <xf numFmtId="0" fontId="87" fillId="0" borderId="76" xfId="0" applyFont="1" applyFill="1" applyBorder="1"/>
    <xf numFmtId="2" fontId="90" fillId="0" borderId="77" xfId="0" applyNumberFormat="1" applyFont="1" applyFill="1" applyBorder="1" applyAlignment="1">
      <alignment horizontal="center" vertical="center"/>
    </xf>
    <xf numFmtId="0" fontId="90" fillId="0" borderId="78" xfId="0" applyFont="1" applyFill="1" applyBorder="1" applyAlignment="1">
      <alignment vertical="center"/>
    </xf>
    <xf numFmtId="9" fontId="91" fillId="0" borderId="78" xfId="0" applyNumberFormat="1" applyFont="1" applyFill="1" applyBorder="1" applyAlignment="1">
      <alignment horizontal="center"/>
    </xf>
    <xf numFmtId="2" fontId="90" fillId="0" borderId="78" xfId="0" applyNumberFormat="1" applyFont="1" applyFill="1" applyBorder="1" applyAlignment="1">
      <alignment horizontal="center" vertical="center"/>
    </xf>
    <xf numFmtId="2" fontId="90" fillId="0" borderId="78" xfId="0" applyNumberFormat="1" applyFont="1" applyFill="1" applyBorder="1" applyAlignment="1">
      <alignment horizontal="center"/>
    </xf>
    <xf numFmtId="164" fontId="90" fillId="0" borderId="78" xfId="0" applyNumberFormat="1" applyFont="1" applyFill="1" applyBorder="1" applyAlignment="1">
      <alignment horizontal="right" vertical="center"/>
    </xf>
    <xf numFmtId="0" fontId="87" fillId="0" borderId="79" xfId="0" applyFont="1" applyFill="1" applyBorder="1"/>
    <xf numFmtId="0" fontId="86" fillId="0" borderId="0" xfId="0" applyFont="1" applyBorder="1"/>
    <xf numFmtId="2" fontId="90" fillId="0" borderId="80" xfId="0" applyNumberFormat="1" applyFont="1" applyFill="1" applyBorder="1" applyAlignment="1">
      <alignment horizontal="center" vertical="center"/>
    </xf>
    <xf numFmtId="0" fontId="90" fillId="0" borderId="81" xfId="0" applyFont="1" applyFill="1" applyBorder="1" applyAlignment="1">
      <alignment vertical="center"/>
    </xf>
    <xf numFmtId="0" fontId="91" fillId="0" borderId="81" xfId="0" applyFont="1" applyFill="1" applyBorder="1" applyAlignment="1">
      <alignment horizontal="center"/>
    </xf>
    <xf numFmtId="2" fontId="90" fillId="0" borderId="81" xfId="0" applyNumberFormat="1" applyFont="1" applyFill="1" applyBorder="1" applyAlignment="1">
      <alignment horizontal="center" vertical="center"/>
    </xf>
    <xf numFmtId="2" fontId="90" fillId="0" borderId="81" xfId="0" applyNumberFormat="1" applyFont="1" applyFill="1" applyBorder="1" applyAlignment="1">
      <alignment horizontal="center"/>
    </xf>
    <xf numFmtId="4" fontId="90" fillId="0" borderId="81" xfId="0" applyNumberFormat="1" applyFont="1" applyFill="1" applyBorder="1" applyAlignment="1">
      <alignment horizontal="right" vertical="center"/>
    </xf>
    <xf numFmtId="0" fontId="87" fillId="0" borderId="82" xfId="0" applyFont="1" applyFill="1" applyBorder="1"/>
    <xf numFmtId="164" fontId="87" fillId="60" borderId="1" xfId="0" applyNumberFormat="1" applyFont="1" applyFill="1" applyBorder="1" applyAlignment="1">
      <alignment horizontal="right"/>
    </xf>
    <xf numFmtId="0" fontId="92" fillId="42" borderId="0" xfId="0" applyFont="1" applyFill="1"/>
    <xf numFmtId="166" fontId="86" fillId="0" borderId="0" xfId="0" applyNumberFormat="1" applyFont="1"/>
    <xf numFmtId="4" fontId="82" fillId="0" borderId="1" xfId="0" applyNumberFormat="1" applyFont="1" applyBorder="1" applyAlignment="1" applyProtection="1">
      <alignment vertical="center" wrapText="1"/>
      <protection locked="0"/>
    </xf>
    <xf numFmtId="0" fontId="86" fillId="4" borderId="0" xfId="0" applyFont="1" applyFill="1"/>
    <xf numFmtId="166" fontId="86" fillId="0" borderId="0" xfId="56" applyFont="1"/>
    <xf numFmtId="166" fontId="86" fillId="53" borderId="0" xfId="56" applyFont="1" applyFill="1"/>
    <xf numFmtId="0" fontId="86" fillId="0" borderId="0" xfId="0" applyFont="1" applyAlignment="1">
      <alignment horizontal="center"/>
    </xf>
    <xf numFmtId="168" fontId="86" fillId="0" borderId="0" xfId="0" applyNumberFormat="1" applyFont="1"/>
    <xf numFmtId="9" fontId="86" fillId="5" borderId="0" xfId="0" applyNumberFormat="1" applyFont="1" applyFill="1" applyAlignment="1">
      <alignment horizontal="center" vertical="center"/>
    </xf>
    <xf numFmtId="168" fontId="86" fillId="53" borderId="0" xfId="0" applyNumberFormat="1" applyFont="1" applyFill="1"/>
    <xf numFmtId="164" fontId="86" fillId="0" borderId="0" xfId="0" applyNumberFormat="1" applyFont="1"/>
    <xf numFmtId="0" fontId="86" fillId="5" borderId="0" xfId="0" applyFont="1" applyFill="1" applyAlignment="1">
      <alignment horizontal="center" vertical="center"/>
    </xf>
    <xf numFmtId="168" fontId="86" fillId="0" borderId="0" xfId="0" applyNumberFormat="1" applyFont="1" applyBorder="1"/>
    <xf numFmtId="9" fontId="86" fillId="77" borderId="0" xfId="0" applyNumberFormat="1" applyFont="1" applyFill="1" applyAlignment="1">
      <alignment horizontal="center" vertical="center"/>
    </xf>
    <xf numFmtId="0" fontId="86" fillId="0" borderId="27" xfId="0" applyFont="1" applyBorder="1"/>
    <xf numFmtId="168" fontId="86" fillId="0" borderId="27" xfId="0" applyNumberFormat="1" applyFont="1" applyBorder="1"/>
    <xf numFmtId="9" fontId="86" fillId="42" borderId="27" xfId="0" applyNumberFormat="1" applyFont="1" applyFill="1" applyBorder="1" applyAlignment="1">
      <alignment horizontal="center" vertical="center"/>
    </xf>
    <xf numFmtId="168" fontId="86" fillId="53" borderId="0" xfId="0" applyNumberFormat="1" applyFont="1" applyFill="1" applyBorder="1"/>
    <xf numFmtId="0" fontId="92" fillId="0" borderId="0" xfId="0" applyFont="1"/>
    <xf numFmtId="168" fontId="92" fillId="0" borderId="0" xfId="0" applyNumberFormat="1" applyFont="1"/>
    <xf numFmtId="9" fontId="86" fillId="0" borderId="0" xfId="0" applyNumberFormat="1" applyFont="1" applyAlignment="1">
      <alignment horizontal="center"/>
    </xf>
    <xf numFmtId="168" fontId="92" fillId="53" borderId="0" xfId="0" applyNumberFormat="1" applyFont="1" applyFill="1"/>
    <xf numFmtId="0" fontId="93" fillId="53" borderId="0" xfId="0" applyFont="1" applyFill="1" applyAlignment="1">
      <alignment horizontal="center"/>
    </xf>
    <xf numFmtId="4" fontId="83" fillId="0" borderId="1" xfId="0" applyNumberFormat="1" applyFont="1" applyBorder="1" applyAlignment="1" applyProtection="1">
      <alignment vertical="center" wrapText="1"/>
      <protection locked="0"/>
    </xf>
    <xf numFmtId="0" fontId="86" fillId="53" borderId="0" xfId="0" applyFont="1" applyFill="1" applyBorder="1"/>
    <xf numFmtId="4" fontId="38" fillId="53" borderId="0" xfId="0" applyNumberFormat="1" applyFont="1" applyFill="1" applyBorder="1" applyAlignment="1" applyProtection="1">
      <alignment vertical="center" wrapText="1"/>
      <protection locked="0"/>
    </xf>
    <xf numFmtId="4" fontId="86" fillId="0" borderId="0" xfId="0" applyNumberFormat="1" applyFont="1"/>
    <xf numFmtId="4" fontId="82" fillId="3" borderId="1" xfId="0" applyNumberFormat="1" applyFont="1" applyFill="1" applyBorder="1" applyAlignment="1">
      <alignment vertical="center"/>
    </xf>
    <xf numFmtId="4" fontId="94" fillId="4" borderId="1" xfId="0" applyNumberFormat="1" applyFont="1" applyFill="1" applyBorder="1" applyAlignment="1">
      <alignment horizontal="right" vertical="center" wrapText="1"/>
    </xf>
    <xf numFmtId="0" fontId="37" fillId="50" borderId="0" xfId="0" applyFont="1" applyFill="1" applyAlignment="1">
      <alignment horizontal="center" vertical="center"/>
    </xf>
    <xf numFmtId="0" fontId="37" fillId="0" borderId="4" xfId="0" applyFont="1" applyBorder="1" applyAlignment="1">
      <alignment horizontal="left" vertical="center" wrapText="1"/>
    </xf>
    <xf numFmtId="0" fontId="37" fillId="0" borderId="2" xfId="0" applyFont="1" applyBorder="1" applyAlignment="1">
      <alignment vertical="center"/>
    </xf>
    <xf numFmtId="0" fontId="51" fillId="50" borderId="0" xfId="0" applyFont="1" applyFill="1" applyBorder="1" applyAlignment="1">
      <alignment vertical="center"/>
    </xf>
    <xf numFmtId="0" fontId="37" fillId="50" borderId="0" xfId="0" applyFont="1" applyFill="1" applyAlignment="1">
      <alignment vertical="center"/>
    </xf>
    <xf numFmtId="0" fontId="0" fillId="0" borderId="0" xfId="0" applyAlignment="1">
      <alignment vertical="center"/>
    </xf>
    <xf numFmtId="0" fontId="51" fillId="0" borderId="0" xfId="0" applyFont="1" applyAlignment="1">
      <alignment vertical="center"/>
    </xf>
    <xf numFmtId="0" fontId="51" fillId="3" borderId="1" xfId="0" applyFont="1" applyFill="1" applyBorder="1" applyAlignment="1">
      <alignment horizontal="center" vertical="center" wrapText="1" readingOrder="1"/>
    </xf>
    <xf numFmtId="0" fontId="51" fillId="0" borderId="1" xfId="0" applyFont="1" applyBorder="1"/>
    <xf numFmtId="0" fontId="37" fillId="0" borderId="1" xfId="0" applyFont="1" applyBorder="1" applyAlignment="1">
      <alignment horizontal="justify" vertical="center"/>
    </xf>
    <xf numFmtId="0" fontId="95" fillId="0" borderId="1" xfId="0" applyFont="1" applyBorder="1"/>
    <xf numFmtId="0" fontId="41" fillId="0" borderId="1" xfId="0" applyFont="1" applyBorder="1"/>
    <xf numFmtId="0" fontId="41" fillId="0" borderId="1" xfId="0" applyFont="1" applyBorder="1" applyAlignment="1">
      <alignment horizontal="center"/>
    </xf>
    <xf numFmtId="0" fontId="41" fillId="58" borderId="1" xfId="0" applyFont="1" applyFill="1" applyBorder="1" applyAlignment="1">
      <alignment horizontal="center" vertical="center" wrapText="1"/>
    </xf>
    <xf numFmtId="0" fontId="51" fillId="3" borderId="0" xfId="0" applyFont="1" applyFill="1" applyBorder="1" applyAlignment="1">
      <alignment horizontal="center" vertical="center" wrapText="1" readingOrder="1"/>
    </xf>
    <xf numFmtId="0" fontId="98" fillId="0" borderId="1" xfId="0" applyFont="1" applyBorder="1" applyAlignment="1">
      <alignment horizontal="justify" vertical="center"/>
    </xf>
    <xf numFmtId="0" fontId="36" fillId="9" borderId="1" xfId="0" applyFont="1" applyFill="1" applyBorder="1" applyAlignment="1">
      <alignment horizontal="center" vertical="center" wrapText="1" readingOrder="1"/>
    </xf>
    <xf numFmtId="0" fontId="51" fillId="3" borderId="5" xfId="0" applyFont="1" applyFill="1" applyBorder="1" applyAlignment="1">
      <alignment horizontal="center" vertical="center" wrapText="1" readingOrder="1"/>
    </xf>
    <xf numFmtId="0" fontId="51" fillId="3" borderId="6" xfId="0" applyFont="1" applyFill="1" applyBorder="1" applyAlignment="1">
      <alignment horizontal="center" vertical="center" wrapText="1" readingOrder="1"/>
    </xf>
    <xf numFmtId="0" fontId="51" fillId="3" borderId="7" xfId="0" applyFont="1" applyFill="1" applyBorder="1" applyAlignment="1">
      <alignment horizontal="center" vertical="center" wrapText="1" readingOrder="1"/>
    </xf>
    <xf numFmtId="0" fontId="51" fillId="3" borderId="1" xfId="0" applyFont="1" applyFill="1" applyBorder="1" applyAlignment="1">
      <alignment horizontal="center" vertical="center" wrapText="1" readingOrder="1"/>
    </xf>
    <xf numFmtId="0" fontId="51" fillId="58" borderId="1" xfId="0" applyFont="1" applyFill="1" applyBorder="1" applyAlignment="1">
      <alignment horizontal="justify" vertical="center"/>
    </xf>
    <xf numFmtId="0" fontId="51" fillId="0" borderId="1" xfId="0" applyFont="1" applyBorder="1" applyAlignment="1">
      <alignment horizontal="justify" vertical="center"/>
    </xf>
    <xf numFmtId="0" fontId="37" fillId="3" borderId="5" xfId="0" applyFont="1" applyFill="1" applyBorder="1" applyAlignment="1">
      <alignment horizontal="center" vertical="center"/>
    </xf>
    <xf numFmtId="0" fontId="37" fillId="3" borderId="7" xfId="0" applyFont="1" applyFill="1" applyBorder="1" applyAlignment="1">
      <alignment horizontal="center" vertical="center"/>
    </xf>
    <xf numFmtId="0" fontId="37"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0" fontId="41" fillId="3" borderId="1" xfId="0" applyFont="1" applyFill="1" applyBorder="1" applyAlignment="1">
      <alignment horizontal="justify" vertical="center" wrapText="1"/>
    </xf>
    <xf numFmtId="2" fontId="41" fillId="3" borderId="1" xfId="0" applyNumberFormat="1" applyFont="1" applyFill="1" applyBorder="1" applyAlignment="1">
      <alignment horizontal="center" vertical="center" wrapText="1"/>
    </xf>
    <xf numFmtId="0" fontId="9" fillId="54" borderId="1" xfId="0" applyFont="1" applyFill="1" applyBorder="1" applyAlignment="1">
      <alignment horizontal="center" vertical="center" wrapText="1"/>
    </xf>
    <xf numFmtId="166" fontId="41" fillId="0" borderId="1" xfId="56" applyFont="1" applyBorder="1" applyAlignment="1">
      <alignment horizontal="center" vertical="center" wrapText="1"/>
    </xf>
    <xf numFmtId="166" fontId="41" fillId="3" borderId="1" xfId="56" applyFont="1" applyFill="1" applyBorder="1" applyAlignment="1">
      <alignment horizontal="center" vertical="center"/>
    </xf>
    <xf numFmtId="0" fontId="51" fillId="0" borderId="1" xfId="0" applyFont="1" applyBorder="1" applyAlignment="1">
      <alignment horizontal="center" vertical="center"/>
    </xf>
    <xf numFmtId="0" fontId="37" fillId="3" borderId="4" xfId="0" applyFont="1" applyFill="1" applyBorder="1" applyAlignment="1">
      <alignment horizontal="center" vertical="center"/>
    </xf>
    <xf numFmtId="0" fontId="51" fillId="58" borderId="5" xfId="0" applyFont="1" applyFill="1" applyBorder="1" applyAlignment="1">
      <alignment vertical="center"/>
    </xf>
    <xf numFmtId="0" fontId="51" fillId="58" borderId="7" xfId="0" applyFont="1" applyFill="1" applyBorder="1" applyAlignment="1">
      <alignment vertical="center"/>
    </xf>
    <xf numFmtId="0" fontId="51" fillId="58" borderId="7" xfId="0" applyFont="1" applyFill="1" applyBorder="1" applyAlignment="1">
      <alignment horizontal="center" vertical="center"/>
    </xf>
    <xf numFmtId="0" fontId="82" fillId="58" borderId="7" xfId="0" applyFont="1" applyFill="1" applyBorder="1" applyAlignment="1">
      <alignment horizontal="justify" vertical="center"/>
    </xf>
    <xf numFmtId="0" fontId="82" fillId="0" borderId="7" xfId="0" applyFont="1" applyBorder="1" applyAlignment="1">
      <alignment horizontal="center" vertical="center"/>
    </xf>
    <xf numFmtId="0" fontId="36" fillId="3" borderId="4" xfId="0" applyFont="1" applyFill="1" applyBorder="1" applyAlignment="1">
      <alignment horizontal="center" vertical="center" wrapText="1" readingOrder="1"/>
    </xf>
    <xf numFmtId="0" fontId="51" fillId="3" borderId="1" xfId="0" applyFont="1" applyFill="1" applyBorder="1" applyAlignment="1">
      <alignment horizontal="center" vertical="center" wrapText="1" readingOrder="1"/>
    </xf>
    <xf numFmtId="0" fontId="37" fillId="3" borderId="1" xfId="0" applyFont="1" applyFill="1" applyBorder="1" applyAlignment="1">
      <alignment horizontal="center" vertical="center"/>
    </xf>
    <xf numFmtId="0" fontId="38" fillId="3" borderId="1" xfId="0" applyFont="1" applyFill="1" applyBorder="1" applyAlignment="1">
      <alignment horizontal="center" vertical="center"/>
    </xf>
    <xf numFmtId="0" fontId="37" fillId="3" borderId="1" xfId="0" applyFont="1" applyFill="1" applyBorder="1" applyAlignment="1">
      <alignment horizontal="justify" vertical="center"/>
    </xf>
    <xf numFmtId="0" fontId="37" fillId="3" borderId="1" xfId="0" applyFont="1" applyFill="1" applyBorder="1" applyAlignment="1">
      <alignment horizontal="justify" vertical="center" wrapText="1"/>
    </xf>
    <xf numFmtId="0" fontId="83" fillId="9" borderId="1" xfId="0" applyFont="1" applyFill="1" applyBorder="1" applyAlignment="1">
      <alignment horizontal="center" vertical="center"/>
    </xf>
    <xf numFmtId="0" fontId="42" fillId="9" borderId="1" xfId="0" applyFont="1" applyFill="1" applyBorder="1" applyAlignment="1">
      <alignment horizontal="center" vertical="center"/>
    </xf>
    <xf numFmtId="0" fontId="38" fillId="9" borderId="1" xfId="0" applyFont="1" applyFill="1" applyBorder="1" applyAlignment="1">
      <alignment horizontal="center" vertical="center"/>
    </xf>
    <xf numFmtId="0" fontId="37" fillId="3" borderId="1" xfId="0" applyFont="1" applyFill="1" applyBorder="1" applyAlignment="1">
      <alignment horizontal="center" vertical="center"/>
    </xf>
    <xf numFmtId="0" fontId="9" fillId="50" borderId="0" xfId="0" applyFont="1" applyFill="1" applyAlignment="1">
      <alignment horizontal="center" vertical="center"/>
    </xf>
    <xf numFmtId="0" fontId="41" fillId="3" borderId="0" xfId="0" applyFont="1" applyFill="1" applyAlignment="1">
      <alignment horizontal="justify" vertical="center"/>
    </xf>
    <xf numFmtId="0" fontId="22" fillId="3" borderId="0" xfId="0" applyFont="1" applyFill="1"/>
    <xf numFmtId="171" fontId="37" fillId="3" borderId="18" xfId="59" applyNumberFormat="1" applyFont="1" applyFill="1" applyBorder="1" applyAlignment="1">
      <alignment horizontal="center" vertical="center"/>
    </xf>
    <xf numFmtId="0" fontId="41" fillId="0" borderId="1" xfId="1" applyFont="1" applyBorder="1" applyAlignment="1">
      <alignment vertical="center" wrapText="1"/>
    </xf>
    <xf numFmtId="0" fontId="36" fillId="0" borderId="1" xfId="1" applyFont="1" applyBorder="1" applyAlignment="1">
      <alignment horizontal="justify" vertical="center" wrapText="1"/>
    </xf>
    <xf numFmtId="0" fontId="37" fillId="50" borderId="1" xfId="0" applyFont="1" applyFill="1" applyBorder="1" applyAlignment="1">
      <alignment horizontal="center" vertical="center"/>
    </xf>
    <xf numFmtId="0" fontId="39" fillId="50" borderId="1" xfId="1" applyFont="1" applyFill="1" applyBorder="1" applyAlignment="1">
      <alignment horizontal="center" vertical="center" wrapText="1"/>
    </xf>
    <xf numFmtId="170" fontId="37" fillId="3" borderId="1" xfId="0" applyNumberFormat="1" applyFont="1" applyFill="1" applyBorder="1" applyAlignment="1">
      <alignment horizontal="center" vertical="center"/>
    </xf>
    <xf numFmtId="0" fontId="82" fillId="0" borderId="1" xfId="1" applyFont="1" applyBorder="1" applyAlignment="1">
      <alignment horizontal="justify" vertical="center" wrapText="1"/>
    </xf>
    <xf numFmtId="0" fontId="37" fillId="42" borderId="1" xfId="0" applyFont="1" applyFill="1" applyBorder="1" applyAlignment="1">
      <alignment horizontal="center" vertical="center"/>
    </xf>
    <xf numFmtId="170" fontId="41" fillId="3" borderId="1" xfId="0" applyNumberFormat="1" applyFont="1" applyFill="1" applyBorder="1" applyAlignment="1">
      <alignment horizontal="center" vertical="center"/>
    </xf>
    <xf numFmtId="0" fontId="49" fillId="0" borderId="1" xfId="0" applyFont="1" applyBorder="1" applyAlignment="1">
      <alignment vertical="center"/>
    </xf>
    <xf numFmtId="0" fontId="41" fillId="0" borderId="1" xfId="1" applyFont="1" applyBorder="1" applyAlignment="1">
      <alignment horizontal="justify" vertical="center" wrapText="1"/>
    </xf>
    <xf numFmtId="0" fontId="36" fillId="3" borderId="18" xfId="0" applyFont="1" applyFill="1" applyBorder="1" applyAlignment="1">
      <alignment horizontal="justify" vertical="center" wrapText="1"/>
    </xf>
    <xf numFmtId="0" fontId="41" fillId="0" borderId="2" xfId="0" applyFont="1" applyFill="1" applyBorder="1" applyAlignment="1">
      <alignment horizontal="justify" vertical="center" wrapText="1"/>
    </xf>
    <xf numFmtId="0" fontId="36" fillId="0" borderId="2" xfId="0" applyFont="1" applyFill="1" applyBorder="1" applyAlignment="1">
      <alignment horizontal="justify" vertical="center" wrapText="1"/>
    </xf>
    <xf numFmtId="10" fontId="37" fillId="3" borderId="18" xfId="57" applyNumberFormat="1" applyFont="1" applyFill="1" applyBorder="1" applyAlignment="1">
      <alignment horizontal="center" vertical="center"/>
    </xf>
    <xf numFmtId="170" fontId="82" fillId="3" borderId="1" xfId="0" applyNumberFormat="1" applyFont="1" applyFill="1" applyBorder="1" applyAlignment="1">
      <alignment horizontal="center" vertical="center"/>
    </xf>
    <xf numFmtId="170" fontId="82" fillId="3" borderId="1" xfId="58" applyNumberFormat="1" applyFont="1" applyFill="1" applyBorder="1" applyAlignment="1">
      <alignment horizontal="center" vertical="center"/>
    </xf>
    <xf numFmtId="0" fontId="41" fillId="0" borderId="0" xfId="0" applyFont="1" applyAlignment="1">
      <alignment vertical="center"/>
    </xf>
    <xf numFmtId="0" fontId="82" fillId="3" borderId="0" xfId="0" applyFont="1" applyFill="1" applyAlignment="1">
      <alignment horizontal="justify" vertical="center"/>
    </xf>
    <xf numFmtId="0" fontId="83" fillId="3" borderId="0" xfId="0" applyFont="1" applyFill="1" applyAlignment="1">
      <alignment vertical="center"/>
    </xf>
    <xf numFmtId="170" fontId="37" fillId="3" borderId="0" xfId="0" applyNumberFormat="1" applyFont="1" applyFill="1"/>
    <xf numFmtId="170" fontId="37" fillId="3" borderId="1" xfId="0" applyNumberFormat="1" applyFont="1" applyFill="1" applyBorder="1" applyAlignment="1">
      <alignment vertical="center"/>
    </xf>
    <xf numFmtId="0" fontId="37" fillId="0" borderId="1" xfId="0" applyFont="1" applyBorder="1" applyAlignment="1">
      <alignment vertical="center"/>
    </xf>
    <xf numFmtId="0" fontId="41" fillId="0" borderId="1" xfId="0" applyFont="1" applyBorder="1" applyAlignment="1">
      <alignment horizontal="justify" vertical="center"/>
    </xf>
    <xf numFmtId="0" fontId="41" fillId="0" borderId="1" xfId="0" applyFont="1" applyBorder="1" applyAlignment="1">
      <alignment horizontal="center" vertical="center"/>
    </xf>
    <xf numFmtId="0" fontId="51" fillId="0" borderId="1" xfId="0" applyFont="1" applyBorder="1" applyAlignment="1">
      <alignment vertical="center"/>
    </xf>
    <xf numFmtId="0" fontId="95" fillId="0" borderId="1" xfId="0" applyFont="1" applyBorder="1" applyAlignment="1">
      <alignment vertical="center"/>
    </xf>
    <xf numFmtId="0" fontId="42" fillId="9" borderId="1" xfId="0" applyFont="1" applyFill="1" applyBorder="1" applyAlignment="1">
      <alignment horizontal="center" vertical="center" wrapText="1"/>
    </xf>
    <xf numFmtId="0" fontId="42" fillId="59" borderId="1" xfId="0" applyFont="1" applyFill="1" applyBorder="1" applyAlignment="1">
      <alignment horizontal="center" vertical="center"/>
    </xf>
    <xf numFmtId="4" fontId="42" fillId="59" borderId="1" xfId="0" applyNumberFormat="1" applyFont="1" applyFill="1" applyBorder="1" applyAlignment="1">
      <alignment horizontal="right" vertical="center"/>
    </xf>
    <xf numFmtId="0" fontId="41" fillId="3" borderId="1" xfId="0" applyFont="1" applyFill="1" applyBorder="1" applyAlignment="1">
      <alignment vertical="center"/>
    </xf>
    <xf numFmtId="2" fontId="41" fillId="3" borderId="1" xfId="0" applyNumberFormat="1" applyFont="1" applyFill="1" applyBorder="1" applyAlignment="1">
      <alignment horizontal="right" vertical="center"/>
    </xf>
    <xf numFmtId="4" fontId="41" fillId="3" borderId="1" xfId="0" applyNumberFormat="1" applyFont="1" applyFill="1" applyBorder="1" applyAlignment="1">
      <alignment horizontal="right" vertical="center"/>
    </xf>
    <xf numFmtId="0" fontId="41" fillId="3" borderId="1" xfId="0" applyFont="1" applyFill="1" applyBorder="1" applyAlignment="1">
      <alignment horizontal="justify" vertical="center"/>
    </xf>
    <xf numFmtId="2" fontId="42" fillId="59" borderId="1" xfId="0" applyNumberFormat="1" applyFont="1" applyFill="1" applyBorder="1" applyAlignment="1">
      <alignment vertical="center"/>
    </xf>
    <xf numFmtId="0" fontId="83" fillId="3" borderId="0" xfId="0" applyFont="1" applyFill="1" applyBorder="1" applyAlignment="1">
      <alignment horizontal="center" vertical="center"/>
    </xf>
    <xf numFmtId="4" fontId="83" fillId="3" borderId="0" xfId="0" applyNumberFormat="1" applyFont="1" applyFill="1" applyBorder="1" applyAlignment="1">
      <alignment horizontal="right" vertical="center"/>
    </xf>
    <xf numFmtId="0" fontId="83" fillId="50" borderId="1" xfId="0" applyFont="1" applyFill="1" applyBorder="1" applyAlignment="1">
      <alignment horizontal="center" vertical="center" wrapText="1"/>
    </xf>
    <xf numFmtId="4" fontId="83" fillId="50" borderId="1" xfId="0" applyNumberFormat="1" applyFont="1" applyFill="1" applyBorder="1" applyAlignment="1">
      <alignment horizontal="right" vertical="center"/>
    </xf>
    <xf numFmtId="0" fontId="83" fillId="63" borderId="1" xfId="0" applyFont="1" applyFill="1" applyBorder="1" applyAlignment="1">
      <alignment horizontal="center" vertical="center" wrapText="1"/>
    </xf>
    <xf numFmtId="0" fontId="83" fillId="63" borderId="1" xfId="0" applyFont="1" applyFill="1" applyBorder="1" applyAlignment="1">
      <alignment horizontal="center" vertical="center"/>
    </xf>
    <xf numFmtId="4" fontId="82" fillId="3" borderId="0" xfId="0" applyNumberFormat="1" applyFont="1" applyFill="1" applyAlignment="1">
      <alignment horizontal="center" vertical="center"/>
    </xf>
    <xf numFmtId="0" fontId="83" fillId="3" borderId="1" xfId="0" applyFont="1" applyFill="1" applyBorder="1" applyAlignment="1">
      <alignment horizontal="center" vertical="center"/>
    </xf>
    <xf numFmtId="4" fontId="82" fillId="3" borderId="0" xfId="0" applyNumberFormat="1" applyFont="1" applyFill="1" applyAlignment="1">
      <alignment horizontal="right" vertical="center"/>
    </xf>
    <xf numFmtId="0" fontId="83" fillId="50" borderId="1" xfId="0" applyFont="1" applyFill="1" applyBorder="1" applyAlignment="1">
      <alignment horizontal="center" vertical="center"/>
    </xf>
    <xf numFmtId="0" fontId="82" fillId="79" borderId="0" xfId="0" applyFont="1" applyFill="1" applyAlignment="1">
      <alignment vertical="center"/>
    </xf>
    <xf numFmtId="0" fontId="97" fillId="0" borderId="0" xfId="0" applyFont="1" applyAlignment="1">
      <alignment vertical="center"/>
    </xf>
    <xf numFmtId="0" fontId="38" fillId="50" borderId="1" xfId="0" applyFont="1" applyFill="1" applyBorder="1" applyAlignment="1">
      <alignment horizontal="center" vertical="center" wrapText="1"/>
    </xf>
    <xf numFmtId="0" fontId="36" fillId="3" borderId="1" xfId="0" applyFont="1" applyFill="1" applyBorder="1" applyAlignment="1">
      <alignment horizontal="justify" vertical="center" wrapText="1"/>
    </xf>
    <xf numFmtId="0" fontId="36" fillId="3" borderId="1" xfId="0" applyFont="1" applyFill="1" applyBorder="1" applyAlignment="1">
      <alignment horizontal="center" vertical="center" wrapText="1"/>
    </xf>
    <xf numFmtId="4" fontId="36" fillId="3" borderId="1" xfId="0" applyNumberFormat="1" applyFont="1" applyFill="1" applyBorder="1" applyAlignment="1">
      <alignment horizontal="right" vertical="center" wrapText="1"/>
    </xf>
    <xf numFmtId="4" fontId="36" fillId="3" borderId="1" xfId="0" applyNumberFormat="1" applyFont="1" applyFill="1" applyBorder="1" applyAlignment="1">
      <alignment horizontal="justify" vertical="center" wrapText="1"/>
    </xf>
    <xf numFmtId="4" fontId="36" fillId="3" borderId="1" xfId="0" applyNumberFormat="1" applyFont="1" applyFill="1" applyBorder="1" applyAlignment="1">
      <alignment horizontal="center" vertical="center"/>
    </xf>
    <xf numFmtId="0" fontId="47" fillId="59" borderId="7" xfId="0" applyFont="1" applyFill="1" applyBorder="1" applyAlignment="1">
      <alignment horizontal="justify" vertical="center"/>
    </xf>
    <xf numFmtId="10" fontId="46" fillId="3" borderId="0" xfId="57" applyNumberFormat="1" applyFont="1" applyFill="1" applyBorder="1" applyAlignment="1">
      <alignment horizontal="center" vertical="center"/>
    </xf>
    <xf numFmtId="0" fontId="47" fillId="3" borderId="0" xfId="0" applyFont="1" applyFill="1" applyBorder="1" applyAlignment="1">
      <alignment horizontal="center" vertical="center" wrapText="1"/>
    </xf>
    <xf numFmtId="4" fontId="41" fillId="3" borderId="5" xfId="0" applyNumberFormat="1" applyFont="1" applyFill="1" applyBorder="1" applyAlignment="1">
      <alignment horizontal="center" vertical="center"/>
    </xf>
    <xf numFmtId="0" fontId="47" fillId="3" borderId="0" xfId="0" applyFont="1" applyFill="1" applyBorder="1" applyAlignment="1">
      <alignment horizontal="left"/>
    </xf>
    <xf numFmtId="10" fontId="47" fillId="3" borderId="0" xfId="0" applyNumberFormat="1" applyFont="1" applyFill="1" applyBorder="1" applyAlignment="1">
      <alignment horizontal="right"/>
    </xf>
    <xf numFmtId="0" fontId="47" fillId="3" borderId="0" xfId="0" applyFont="1" applyFill="1" applyBorder="1" applyAlignment="1">
      <alignment horizontal="left" wrapText="1"/>
    </xf>
    <xf numFmtId="0" fontId="47" fillId="3" borderId="1" xfId="0" applyFont="1" applyFill="1" applyBorder="1" applyAlignment="1">
      <alignment horizontal="left"/>
    </xf>
    <xf numFmtId="4" fontId="47" fillId="65" borderId="1" xfId="0" applyNumberFormat="1" applyFont="1" applyFill="1" applyBorder="1" applyAlignment="1">
      <alignment horizontal="right"/>
    </xf>
    <xf numFmtId="0" fontId="63" fillId="80" borderId="24" xfId="1" applyFont="1" applyFill="1" applyBorder="1" applyAlignment="1">
      <alignment horizontal="left" vertical="center" wrapText="1" indent="1"/>
    </xf>
    <xf numFmtId="0" fontId="96" fillId="75" borderId="1" xfId="0" applyFont="1" applyFill="1" applyBorder="1" applyAlignment="1">
      <alignment horizontal="center" vertical="center"/>
    </xf>
    <xf numFmtId="0" fontId="96" fillId="75" borderId="1" xfId="0" applyFont="1" applyFill="1" applyBorder="1" applyAlignment="1">
      <alignment horizontal="center" vertical="center" wrapText="1"/>
    </xf>
    <xf numFmtId="166" fontId="4" fillId="3" borderId="1" xfId="0" applyNumberFormat="1" applyFont="1" applyFill="1" applyBorder="1"/>
    <xf numFmtId="0" fontId="0" fillId="3" borderId="1" xfId="0" applyFill="1" applyBorder="1"/>
    <xf numFmtId="166" fontId="96" fillId="3" borderId="1" xfId="0" applyNumberFormat="1" applyFont="1" applyFill="1" applyBorder="1"/>
    <xf numFmtId="0" fontId="96" fillId="3" borderId="1" xfId="0" applyFont="1" applyFill="1" applyBorder="1"/>
    <xf numFmtId="0" fontId="2" fillId="3" borderId="1" xfId="0" applyFont="1" applyFill="1" applyBorder="1"/>
    <xf numFmtId="0" fontId="2" fillId="3" borderId="1" xfId="0" applyFont="1" applyFill="1" applyBorder="1" applyAlignment="1">
      <alignment horizontal="center"/>
    </xf>
    <xf numFmtId="165" fontId="3" fillId="3" borderId="1" xfId="56" applyNumberFormat="1" applyFont="1" applyFill="1" applyBorder="1"/>
    <xf numFmtId="166" fontId="0" fillId="3" borderId="1" xfId="0" applyNumberFormat="1" applyFill="1" applyBorder="1"/>
    <xf numFmtId="0" fontId="2" fillId="3" borderId="1" xfId="0" applyFont="1" applyFill="1" applyBorder="1" applyAlignment="1">
      <alignment vertical="center"/>
    </xf>
    <xf numFmtId="165" fontId="2" fillId="3" borderId="1" xfId="56" applyNumberFormat="1" applyFont="1" applyFill="1" applyBorder="1" applyAlignment="1">
      <alignment horizontal="center"/>
    </xf>
    <xf numFmtId="166" fontId="96" fillId="3" borderId="4" xfId="0" applyNumberFormat="1" applyFont="1" applyFill="1" applyBorder="1"/>
    <xf numFmtId="0" fontId="2" fillId="3" borderId="1" xfId="0" applyFont="1" applyFill="1" applyBorder="1" applyAlignment="1">
      <alignment horizontal="center" vertical="center"/>
    </xf>
    <xf numFmtId="165" fontId="2" fillId="3" borderId="1" xfId="56" applyNumberFormat="1" applyFont="1" applyFill="1" applyBorder="1" applyAlignment="1">
      <alignment horizontal="center" vertical="center"/>
    </xf>
    <xf numFmtId="0" fontId="63" fillId="59" borderId="24" xfId="1" applyFont="1" applyFill="1" applyBorder="1" applyAlignment="1">
      <alignment horizontal="center" vertical="center" wrapText="1"/>
    </xf>
    <xf numFmtId="0" fontId="63" fillId="80" borderId="86" xfId="1" applyFont="1" applyFill="1" applyBorder="1" applyAlignment="1">
      <alignment horizontal="left" vertical="center" wrapText="1" indent="1"/>
    </xf>
    <xf numFmtId="0" fontId="2" fillId="3" borderId="0" xfId="1" applyFill="1"/>
    <xf numFmtId="166" fontId="63" fillId="59" borderId="24" xfId="1" applyNumberFormat="1" applyFont="1" applyFill="1" applyBorder="1" applyAlignment="1">
      <alignment horizontal="center" vertical="center" wrapText="1"/>
    </xf>
    <xf numFmtId="166" fontId="63" fillId="59" borderId="24" xfId="56" applyFont="1" applyFill="1" applyBorder="1" applyAlignment="1">
      <alignment horizontal="center" vertical="center" wrapText="1"/>
    </xf>
    <xf numFmtId="0" fontId="100" fillId="80" borderId="24" xfId="1" applyFont="1" applyFill="1" applyBorder="1" applyAlignment="1">
      <alignment horizontal="left" vertical="center" wrapText="1" indent="1"/>
    </xf>
    <xf numFmtId="166" fontId="100" fillId="59" borderId="24" xfId="56" applyFont="1" applyFill="1" applyBorder="1" applyAlignment="1">
      <alignment horizontal="center" vertical="center" wrapText="1"/>
    </xf>
    <xf numFmtId="166" fontId="100" fillId="59" borderId="24" xfId="1" applyNumberFormat="1" applyFont="1" applyFill="1" applyBorder="1" applyAlignment="1">
      <alignment horizontal="center" vertical="center" wrapText="1"/>
    </xf>
    <xf numFmtId="4" fontId="100" fillId="59" borderId="24" xfId="1" applyNumberFormat="1" applyFont="1" applyFill="1" applyBorder="1" applyAlignment="1">
      <alignment horizontal="center" vertical="center" wrapText="1"/>
    </xf>
    <xf numFmtId="4" fontId="63" fillId="59" borderId="24" xfId="100" applyNumberFormat="1" applyFont="1" applyFill="1" applyBorder="1" applyAlignment="1">
      <alignment horizontal="center" vertical="center" wrapText="1"/>
    </xf>
    <xf numFmtId="0" fontId="100" fillId="50" borderId="24" xfId="1" applyFont="1" applyFill="1" applyBorder="1" applyAlignment="1">
      <alignment horizontal="left" vertical="center" wrapText="1" indent="1"/>
    </xf>
    <xf numFmtId="166" fontId="100" fillId="50" borderId="24" xfId="1" applyNumberFormat="1" applyFont="1" applyFill="1" applyBorder="1" applyAlignment="1">
      <alignment horizontal="center" vertical="center" wrapText="1"/>
    </xf>
    <xf numFmtId="0" fontId="100" fillId="50" borderId="86" xfId="1" applyFont="1" applyFill="1" applyBorder="1" applyAlignment="1">
      <alignment horizontal="left" vertical="center" wrapText="1" indent="1"/>
    </xf>
    <xf numFmtId="4" fontId="100" fillId="50" borderId="87" xfId="100" applyNumberFormat="1" applyFont="1" applyFill="1" applyBorder="1" applyAlignment="1">
      <alignment horizontal="center" vertical="center" wrapText="1"/>
    </xf>
    <xf numFmtId="0" fontId="100" fillId="79" borderId="86" xfId="1" applyFont="1" applyFill="1" applyBorder="1" applyAlignment="1">
      <alignment horizontal="left" vertical="center" wrapText="1" indent="1"/>
    </xf>
    <xf numFmtId="4" fontId="63" fillId="79" borderId="0" xfId="1" applyNumberFormat="1" applyFont="1" applyFill="1" applyBorder="1" applyAlignment="1">
      <alignment horizontal="center" vertical="center" wrapText="1"/>
    </xf>
    <xf numFmtId="0" fontId="0" fillId="3" borderId="20" xfId="0" applyFill="1" applyBorder="1"/>
    <xf numFmtId="0" fontId="0" fillId="3" borderId="21" xfId="0" applyFill="1" applyBorder="1"/>
    <xf numFmtId="0" fontId="63" fillId="3" borderId="27" xfId="1" applyFont="1" applyFill="1" applyBorder="1" applyAlignment="1">
      <alignment horizontal="left" vertical="center" wrapText="1" indent="1"/>
    </xf>
    <xf numFmtId="4" fontId="63" fillId="3" borderId="27" xfId="1" applyNumberFormat="1" applyFont="1" applyFill="1" applyBorder="1" applyAlignment="1">
      <alignment horizontal="center" vertical="center" wrapText="1"/>
    </xf>
    <xf numFmtId="4" fontId="63" fillId="3" borderId="28" xfId="1" applyNumberFormat="1" applyFont="1" applyFill="1" applyBorder="1" applyAlignment="1">
      <alignment horizontal="center" vertical="center" wrapText="1"/>
    </xf>
    <xf numFmtId="0" fontId="96" fillId="3" borderId="2" xfId="0" applyFont="1" applyFill="1" applyBorder="1" applyAlignment="1"/>
    <xf numFmtId="0" fontId="96" fillId="3" borderId="3" xfId="0" applyFont="1" applyFill="1" applyBorder="1" applyAlignment="1"/>
    <xf numFmtId="0" fontId="96" fillId="3" borderId="4" xfId="0" applyFont="1" applyFill="1" applyBorder="1" applyAlignment="1"/>
    <xf numFmtId="0" fontId="0" fillId="3" borderId="1" xfId="0" applyFill="1" applyBorder="1" applyAlignment="1"/>
    <xf numFmtId="0" fontId="96" fillId="3" borderId="1" xfId="0" applyFont="1" applyFill="1" applyBorder="1" applyAlignment="1"/>
    <xf numFmtId="0" fontId="2" fillId="3" borderId="1" xfId="0" applyFont="1" applyFill="1" applyBorder="1" applyAlignment="1"/>
    <xf numFmtId="165" fontId="0" fillId="0" borderId="0" xfId="0" applyNumberFormat="1"/>
    <xf numFmtId="0" fontId="0" fillId="0" borderId="1" xfId="0" applyBorder="1" applyAlignment="1">
      <alignment horizontal="center"/>
    </xf>
    <xf numFmtId="166" fontId="46" fillId="0" borderId="1" xfId="56" applyFont="1" applyBorder="1" applyAlignment="1">
      <alignment horizontal="right"/>
    </xf>
    <xf numFmtId="0" fontId="47" fillId="50" borderId="1" xfId="0" applyFont="1" applyFill="1" applyBorder="1" applyAlignment="1">
      <alignment horizontal="left"/>
    </xf>
    <xf numFmtId="4" fontId="47" fillId="50" borderId="1" xfId="0" applyNumberFormat="1" applyFont="1" applyFill="1" applyBorder="1" applyAlignment="1">
      <alignment horizontal="right"/>
    </xf>
    <xf numFmtId="0" fontId="47" fillId="65" borderId="7" xfId="0" applyFont="1" applyFill="1" applyBorder="1" applyAlignment="1">
      <alignment horizontal="justify" vertical="center"/>
    </xf>
    <xf numFmtId="4" fontId="46" fillId="65" borderId="1" xfId="0" applyNumberFormat="1" applyFont="1" applyFill="1" applyBorder="1" applyAlignment="1">
      <alignment horizontal="right"/>
    </xf>
    <xf numFmtId="4" fontId="47" fillId="59" borderId="7" xfId="0" applyNumberFormat="1" applyFont="1" applyFill="1" applyBorder="1" applyAlignment="1">
      <alignment horizontal="right" vertical="center"/>
    </xf>
    <xf numFmtId="9" fontId="47" fillId="3" borderId="1" xfId="57" applyFont="1" applyFill="1" applyBorder="1"/>
    <xf numFmtId="189" fontId="37" fillId="3" borderId="2" xfId="0" applyNumberFormat="1" applyFont="1" applyFill="1" applyBorder="1" applyAlignment="1">
      <alignment vertical="center"/>
    </xf>
    <xf numFmtId="4" fontId="46" fillId="3" borderId="7" xfId="0" applyNumberFormat="1" applyFont="1" applyFill="1" applyBorder="1"/>
    <xf numFmtId="3" fontId="46" fillId="3" borderId="7" xfId="0" applyNumberFormat="1" applyFont="1" applyFill="1" applyBorder="1"/>
    <xf numFmtId="4" fontId="46" fillId="3" borderId="0" xfId="0" applyNumberFormat="1" applyFont="1" applyFill="1" applyBorder="1"/>
    <xf numFmtId="4" fontId="46" fillId="3" borderId="1" xfId="0" applyNumberFormat="1" applyFont="1" applyFill="1" applyBorder="1"/>
    <xf numFmtId="0" fontId="46" fillId="3" borderId="0" xfId="0" applyFont="1" applyFill="1" applyBorder="1" applyAlignment="1">
      <alignment vertical="center" wrapText="1"/>
    </xf>
    <xf numFmtId="0" fontId="47" fillId="3" borderId="0" xfId="0" applyFont="1" applyFill="1" applyBorder="1" applyAlignment="1">
      <alignment vertical="center" wrapText="1"/>
    </xf>
    <xf numFmtId="3" fontId="46" fillId="3" borderId="0" xfId="0" applyNumberFormat="1" applyFont="1" applyFill="1" applyBorder="1"/>
    <xf numFmtId="4" fontId="36" fillId="3" borderId="0" xfId="0" applyNumberFormat="1" applyFont="1" applyFill="1" applyBorder="1" applyAlignment="1">
      <alignment horizontal="center" vertical="center"/>
    </xf>
    <xf numFmtId="0" fontId="47" fillId="4" borderId="1" xfId="0" applyFont="1" applyFill="1" applyBorder="1" applyAlignment="1">
      <alignment horizontal="left"/>
    </xf>
    <xf numFmtId="4" fontId="47" fillId="4" borderId="1" xfId="0" applyNumberFormat="1" applyFont="1" applyFill="1" applyBorder="1" applyAlignment="1">
      <alignment horizontal="right"/>
    </xf>
    <xf numFmtId="4" fontId="37" fillId="4" borderId="1" xfId="0" applyNumberFormat="1" applyFont="1" applyFill="1" applyBorder="1" applyAlignment="1">
      <alignment vertical="center"/>
    </xf>
    <xf numFmtId="4" fontId="37" fillId="50" borderId="1" xfId="0" applyNumberFormat="1" applyFont="1" applyFill="1" applyBorder="1" applyAlignment="1">
      <alignment vertical="center"/>
    </xf>
    <xf numFmtId="0" fontId="46" fillId="3" borderId="1" xfId="0" applyFont="1" applyFill="1" applyBorder="1" applyAlignment="1">
      <alignment horizontal="left"/>
    </xf>
    <xf numFmtId="0" fontId="46" fillId="3" borderId="7" xfId="0" applyFont="1" applyFill="1" applyBorder="1" applyAlignment="1">
      <alignment horizontal="left"/>
    </xf>
    <xf numFmtId="0" fontId="47" fillId="73" borderId="1" xfId="0" applyFont="1" applyFill="1" applyBorder="1" applyAlignment="1">
      <alignment horizontal="center" vertical="center" wrapText="1"/>
    </xf>
    <xf numFmtId="166" fontId="36" fillId="3" borderId="0" xfId="56" applyFont="1" applyFill="1" applyBorder="1" applyAlignment="1">
      <alignment horizontal="center" vertical="center"/>
    </xf>
    <xf numFmtId="166" fontId="36" fillId="3" borderId="0" xfId="0" applyNumberFormat="1" applyFont="1" applyFill="1" applyBorder="1" applyAlignment="1">
      <alignment horizontal="center" vertical="center"/>
    </xf>
    <xf numFmtId="193" fontId="41" fillId="3" borderId="1" xfId="57" applyNumberFormat="1" applyFont="1" applyFill="1" applyBorder="1" applyAlignment="1">
      <alignment horizontal="center" vertical="center"/>
    </xf>
    <xf numFmtId="194" fontId="37" fillId="3" borderId="0" xfId="56" applyNumberFormat="1" applyFont="1" applyFill="1" applyAlignment="1">
      <alignment vertical="center"/>
    </xf>
    <xf numFmtId="173" fontId="37" fillId="0" borderId="0" xfId="0" applyNumberFormat="1" applyFont="1" applyAlignment="1">
      <alignment vertical="center"/>
    </xf>
    <xf numFmtId="194" fontId="41" fillId="3" borderId="1" xfId="56" applyNumberFormat="1" applyFont="1" applyFill="1" applyBorder="1" applyAlignment="1">
      <alignment horizontal="center" vertical="center"/>
    </xf>
    <xf numFmtId="0" fontId="103" fillId="68" borderId="1" xfId="0" applyFont="1" applyFill="1" applyBorder="1" applyAlignment="1">
      <alignment vertical="center"/>
    </xf>
    <xf numFmtId="0" fontId="104" fillId="68" borderId="1" xfId="0" applyFont="1" applyFill="1" applyBorder="1" applyAlignment="1">
      <alignment horizontal="center" vertical="center"/>
    </xf>
    <xf numFmtId="195" fontId="104" fillId="68" borderId="1" xfId="0" applyNumberFormat="1" applyFont="1" applyFill="1" applyBorder="1" applyAlignment="1">
      <alignment horizontal="center" vertical="center"/>
    </xf>
    <xf numFmtId="0" fontId="105" fillId="0" borderId="1" xfId="0" applyFont="1" applyBorder="1" applyAlignment="1">
      <alignment horizontal="center" vertical="center"/>
    </xf>
    <xf numFmtId="2" fontId="106" fillId="0" borderId="1" xfId="0" applyNumberFormat="1" applyFont="1" applyBorder="1" applyAlignment="1">
      <alignment horizontal="center" vertical="center"/>
    </xf>
    <xf numFmtId="195" fontId="105" fillId="0" borderId="1" xfId="0" applyNumberFormat="1" applyFont="1" applyBorder="1" applyAlignment="1">
      <alignment horizontal="center" vertical="center"/>
    </xf>
    <xf numFmtId="0" fontId="107" fillId="0" borderId="1" xfId="0" applyFont="1" applyBorder="1" applyAlignment="1">
      <alignment horizontal="center" vertical="center"/>
    </xf>
    <xf numFmtId="0" fontId="22" fillId="0" borderId="1" xfId="0" applyFont="1" applyBorder="1" applyAlignment="1">
      <alignment horizontal="center" vertical="center"/>
    </xf>
    <xf numFmtId="195" fontId="107" fillId="0" borderId="1" xfId="0" applyNumberFormat="1" applyFont="1" applyBorder="1" applyAlignment="1">
      <alignment horizontal="center" vertical="center"/>
    </xf>
    <xf numFmtId="0" fontId="108" fillId="0" borderId="1" xfId="0" applyFont="1" applyBorder="1" applyAlignment="1">
      <alignment horizontal="center" vertical="center"/>
    </xf>
    <xf numFmtId="2" fontId="108" fillId="0" borderId="1" xfId="0" applyNumberFormat="1" applyFont="1" applyBorder="1" applyAlignment="1">
      <alignment horizontal="center" vertical="center"/>
    </xf>
    <xf numFmtId="195" fontId="108" fillId="0" borderId="1" xfId="0" applyNumberFormat="1" applyFont="1" applyBorder="1" applyAlignment="1">
      <alignment horizontal="center" vertical="center"/>
    </xf>
    <xf numFmtId="2" fontId="107" fillId="0" borderId="1" xfId="0" applyNumberFormat="1" applyFont="1" applyBorder="1" applyAlignment="1">
      <alignment horizontal="center" vertical="center"/>
    </xf>
    <xf numFmtId="0" fontId="109" fillId="0" borderId="1" xfId="0" applyFont="1" applyBorder="1" applyAlignment="1">
      <alignment horizontal="center" vertical="center"/>
    </xf>
    <xf numFmtId="2" fontId="109" fillId="0" borderId="1" xfId="0" applyNumberFormat="1" applyFont="1" applyBorder="1" applyAlignment="1">
      <alignment horizontal="center" vertical="center"/>
    </xf>
    <xf numFmtId="0" fontId="111" fillId="0" borderId="1" xfId="0" applyFont="1" applyBorder="1" applyAlignment="1">
      <alignment horizontal="center" vertical="center"/>
    </xf>
    <xf numFmtId="2" fontId="111" fillId="0" borderId="1" xfId="0" applyNumberFormat="1" applyFont="1" applyBorder="1" applyAlignment="1">
      <alignment horizontal="center" vertical="center"/>
    </xf>
    <xf numFmtId="195" fontId="112" fillId="0" borderId="1" xfId="0" applyNumberFormat="1" applyFont="1" applyBorder="1" applyAlignment="1">
      <alignment horizontal="center" vertical="center"/>
    </xf>
    <xf numFmtId="0" fontId="112" fillId="0" borderId="1" xfId="0" applyFont="1" applyBorder="1" applyAlignment="1">
      <alignment horizontal="center" vertical="center"/>
    </xf>
    <xf numFmtId="2" fontId="112" fillId="0" borderId="1" xfId="0" applyNumberFormat="1" applyFont="1" applyBorder="1" applyAlignment="1">
      <alignment horizontal="center" vertical="center"/>
    </xf>
    <xf numFmtId="2" fontId="108" fillId="0" borderId="1" xfId="0" applyNumberFormat="1" applyFont="1" applyBorder="1" applyAlignment="1">
      <alignment horizontal="center" vertical="center" wrapText="1"/>
    </xf>
    <xf numFmtId="0" fontId="111" fillId="3" borderId="1" xfId="0" applyFont="1" applyFill="1" applyBorder="1" applyAlignment="1">
      <alignment horizontal="center" vertical="center"/>
    </xf>
    <xf numFmtId="2" fontId="111" fillId="3" borderId="1" xfId="0" applyNumberFormat="1" applyFont="1" applyFill="1" applyBorder="1" applyAlignment="1">
      <alignment horizontal="center" vertical="center"/>
    </xf>
    <xf numFmtId="195" fontId="111" fillId="3" borderId="1" xfId="0" applyNumberFormat="1" applyFont="1" applyFill="1" applyBorder="1" applyAlignment="1">
      <alignment horizontal="center" vertical="center"/>
    </xf>
    <xf numFmtId="195" fontId="111" fillId="3" borderId="1" xfId="0" applyNumberFormat="1" applyFont="1" applyFill="1" applyBorder="1"/>
    <xf numFmtId="195" fontId="111" fillId="63" borderId="1" xfId="0" applyNumberFormat="1" applyFont="1" applyFill="1" applyBorder="1" applyAlignment="1">
      <alignment horizontal="center" vertical="center"/>
    </xf>
    <xf numFmtId="0" fontId="4" fillId="4" borderId="84" xfId="0" applyFont="1" applyFill="1" applyBorder="1"/>
    <xf numFmtId="0" fontId="4" fillId="4" borderId="91" xfId="0" applyFont="1" applyFill="1" applyBorder="1" applyAlignment="1">
      <alignment horizontal="center" vertical="center"/>
    </xf>
    <xf numFmtId="0" fontId="112" fillId="0" borderId="7" xfId="0" applyFont="1" applyBorder="1"/>
    <xf numFmtId="166" fontId="112" fillId="0" borderId="93" xfId="56" applyFont="1" applyBorder="1" applyAlignment="1">
      <alignment horizontal="center" vertical="center"/>
    </xf>
    <xf numFmtId="0" fontId="112" fillId="0" borderId="1" xfId="0" applyFont="1" applyBorder="1"/>
    <xf numFmtId="166" fontId="112" fillId="0" borderId="67" xfId="56" applyFont="1" applyBorder="1" applyAlignment="1">
      <alignment horizontal="center" vertical="center"/>
    </xf>
    <xf numFmtId="0" fontId="114" fillId="63" borderId="84" xfId="0" applyFont="1" applyFill="1" applyBorder="1"/>
    <xf numFmtId="166" fontId="104" fillId="63" borderId="46" xfId="56" applyFont="1" applyFill="1" applyBorder="1" applyAlignment="1">
      <alignment horizontal="center" vertical="center"/>
    </xf>
    <xf numFmtId="0" fontId="105" fillId="0" borderId="1" xfId="0" applyFont="1" applyBorder="1" applyAlignment="1">
      <alignment horizontal="justify" vertical="center"/>
    </xf>
    <xf numFmtId="0" fontId="107" fillId="0" borderId="1" xfId="0" applyFont="1" applyBorder="1" applyAlignment="1">
      <alignment horizontal="justify" vertical="center"/>
    </xf>
    <xf numFmtId="0" fontId="108" fillId="0" borderId="1" xfId="0" applyFont="1" applyBorder="1" applyAlignment="1">
      <alignment horizontal="justify" vertical="center"/>
    </xf>
    <xf numFmtId="0" fontId="108" fillId="0" borderId="1" xfId="0" applyFont="1" applyBorder="1" applyAlignment="1">
      <alignment horizontal="justify" vertical="center" wrapText="1"/>
    </xf>
    <xf numFmtId="0" fontId="110" fillId="0" borderId="1" xfId="0" applyFont="1" applyBorder="1" applyAlignment="1">
      <alignment horizontal="justify" vertical="center"/>
    </xf>
    <xf numFmtId="0" fontId="111" fillId="0" borderId="1" xfId="0" applyFont="1" applyBorder="1" applyAlignment="1">
      <alignment horizontal="justify" vertical="center"/>
    </xf>
    <xf numFmtId="0" fontId="104" fillId="5" borderId="1" xfId="0" applyFont="1" applyFill="1" applyBorder="1" applyAlignment="1">
      <alignment horizontal="justify"/>
    </xf>
    <xf numFmtId="0" fontId="111" fillId="3" borderId="1" xfId="0" applyFont="1" applyFill="1" applyBorder="1" applyAlignment="1">
      <alignment horizontal="justify"/>
    </xf>
    <xf numFmtId="0" fontId="113" fillId="3" borderId="1" xfId="0" applyFont="1" applyFill="1" applyBorder="1" applyAlignment="1">
      <alignment horizontal="justify"/>
    </xf>
    <xf numFmtId="0" fontId="103" fillId="68" borderId="1" xfId="0" applyFont="1" applyFill="1" applyBorder="1" applyAlignment="1">
      <alignment horizontal="center" vertical="center"/>
    </xf>
    <xf numFmtId="0" fontId="106" fillId="0" borderId="1" xfId="0" applyFont="1" applyBorder="1" applyAlignment="1">
      <alignment horizontal="center" vertical="center"/>
    </xf>
    <xf numFmtId="0" fontId="110" fillId="0" borderId="1" xfId="0" applyFont="1" applyBorder="1" applyAlignment="1">
      <alignment horizontal="center" vertical="center"/>
    </xf>
    <xf numFmtId="0" fontId="104" fillId="0" borderId="1" xfId="0" applyFont="1" applyBorder="1" applyAlignment="1">
      <alignment horizontal="center" vertical="center"/>
    </xf>
    <xf numFmtId="0" fontId="104" fillId="4" borderId="83" xfId="0" applyFont="1" applyFill="1" applyBorder="1" applyAlignment="1">
      <alignment horizontal="center" vertical="center"/>
    </xf>
    <xf numFmtId="0" fontId="112" fillId="0" borderId="92" xfId="0" applyFont="1" applyBorder="1" applyAlignment="1">
      <alignment horizontal="center" vertical="center"/>
    </xf>
    <xf numFmtId="0" fontId="112" fillId="0" borderId="94" xfId="0" applyFont="1" applyBorder="1" applyAlignment="1">
      <alignment horizontal="center" vertical="center"/>
    </xf>
    <xf numFmtId="0" fontId="104" fillId="63" borderId="44" xfId="0" applyFont="1" applyFill="1" applyBorder="1" applyAlignment="1">
      <alignment horizontal="center" vertical="center"/>
    </xf>
    <xf numFmtId="165" fontId="2" fillId="3" borderId="0" xfId="1" applyNumberFormat="1" applyFill="1"/>
    <xf numFmtId="194" fontId="46" fillId="3" borderId="0" xfId="56" applyNumberFormat="1" applyFont="1" applyFill="1"/>
    <xf numFmtId="0" fontId="51" fillId="3" borderId="1" xfId="0" applyFont="1" applyFill="1" applyBorder="1" applyAlignment="1">
      <alignment horizontal="center" vertical="center" wrapText="1" readingOrder="1"/>
    </xf>
    <xf numFmtId="0" fontId="37" fillId="3" borderId="1" xfId="0" applyFont="1" applyFill="1" applyBorder="1" applyAlignment="1">
      <alignment horizontal="justify" vertical="center"/>
    </xf>
    <xf numFmtId="0" fontId="37" fillId="3" borderId="1" xfId="0" applyFont="1" applyFill="1" applyBorder="1" applyAlignment="1">
      <alignment horizontal="center" vertical="center"/>
    </xf>
    <xf numFmtId="0" fontId="37" fillId="3" borderId="85" xfId="0" applyFont="1" applyFill="1" applyBorder="1" applyAlignment="1">
      <alignment vertical="center"/>
    </xf>
    <xf numFmtId="4" fontId="37" fillId="3" borderId="85" xfId="0" applyNumberFormat="1" applyFont="1" applyFill="1" applyBorder="1" applyAlignment="1">
      <alignment vertical="center"/>
    </xf>
    <xf numFmtId="4" fontId="9" fillId="3" borderId="0" xfId="0" applyNumberFormat="1" applyFont="1" applyFill="1" applyAlignment="1">
      <alignment vertical="center"/>
    </xf>
    <xf numFmtId="4" fontId="57" fillId="3" borderId="4" xfId="0" applyNumberFormat="1" applyFont="1" applyFill="1" applyBorder="1" applyAlignment="1">
      <alignment horizontal="justify" vertical="center" wrapText="1"/>
    </xf>
    <xf numFmtId="0" fontId="9" fillId="3" borderId="0" xfId="0" applyFont="1" applyFill="1" applyBorder="1" applyAlignment="1">
      <alignment horizontal="justify" vertical="center"/>
    </xf>
    <xf numFmtId="0" fontId="37" fillId="7" borderId="0" xfId="0" applyFont="1" applyFill="1" applyAlignment="1">
      <alignment vertical="center"/>
    </xf>
    <xf numFmtId="0" fontId="37" fillId="7" borderId="0" xfId="0" applyFont="1" applyFill="1" applyBorder="1" applyAlignment="1">
      <alignment vertical="center"/>
    </xf>
    <xf numFmtId="0" fontId="9" fillId="7" borderId="0" xfId="0" applyFont="1" applyFill="1" applyBorder="1" applyAlignment="1">
      <alignment horizontal="justify" vertical="center"/>
    </xf>
    <xf numFmtId="4" fontId="38" fillId="7" borderId="0" xfId="0" applyNumberFormat="1" applyFont="1" applyFill="1" applyBorder="1" applyAlignment="1">
      <alignment horizontal="right" vertical="center"/>
    </xf>
    <xf numFmtId="4" fontId="82" fillId="0" borderId="5" xfId="0" applyNumberFormat="1" applyFont="1" applyBorder="1" applyAlignment="1" applyProtection="1">
      <alignment horizontal="right" vertical="center" wrapText="1"/>
      <protection locked="0"/>
    </xf>
    <xf numFmtId="0" fontId="4" fillId="0" borderId="1" xfId="0" applyFont="1" applyBorder="1" applyAlignment="1">
      <alignment horizontal="center" vertical="center" wrapText="1"/>
    </xf>
    <xf numFmtId="166" fontId="26" fillId="3" borderId="0" xfId="56" applyFont="1" applyFill="1"/>
    <xf numFmtId="166" fontId="25" fillId="3" borderId="0" xfId="56" applyFont="1" applyFill="1"/>
    <xf numFmtId="166" fontId="25" fillId="3" borderId="1" xfId="56" applyFont="1" applyFill="1" applyBorder="1" applyAlignment="1">
      <alignment horizontal="center" vertical="center"/>
    </xf>
    <xf numFmtId="166" fontId="25" fillId="3" borderId="1" xfId="56" applyFont="1" applyFill="1" applyBorder="1" applyAlignment="1">
      <alignment horizontal="center" vertical="center" wrapText="1"/>
    </xf>
    <xf numFmtId="166" fontId="26" fillId="3" borderId="1" xfId="56" applyFont="1" applyFill="1" applyBorder="1" applyAlignment="1">
      <alignment horizontal="center" vertical="center"/>
    </xf>
    <xf numFmtId="166" fontId="25" fillId="3" borderId="1" xfId="56" applyFont="1" applyFill="1" applyBorder="1" applyAlignment="1">
      <alignment horizontal="left" vertical="center"/>
    </xf>
    <xf numFmtId="166" fontId="26" fillId="3" borderId="1" xfId="56" applyFont="1" applyFill="1" applyBorder="1" applyAlignment="1">
      <alignment horizontal="left" vertical="center"/>
    </xf>
    <xf numFmtId="166" fontId="26" fillId="3" borderId="1" xfId="56" applyFont="1" applyFill="1" applyBorder="1" applyAlignment="1">
      <alignment horizontal="left" vertical="center" indent="1"/>
    </xf>
    <xf numFmtId="166" fontId="0" fillId="3" borderId="0" xfId="56" applyFont="1" applyFill="1"/>
    <xf numFmtId="166" fontId="4" fillId="3" borderId="0" xfId="56" applyFont="1" applyFill="1"/>
    <xf numFmtId="166" fontId="4" fillId="3" borderId="1" xfId="56" applyFont="1" applyFill="1" applyBorder="1" applyAlignment="1">
      <alignment horizontal="center" vertical="center"/>
    </xf>
    <xf numFmtId="166" fontId="4" fillId="3" borderId="1" xfId="56" applyFont="1" applyFill="1" applyBorder="1" applyAlignment="1">
      <alignment horizontal="center" vertical="center" wrapText="1"/>
    </xf>
    <xf numFmtId="166" fontId="0" fillId="3" borderId="1" xfId="56" applyFont="1" applyFill="1" applyBorder="1" applyAlignment="1">
      <alignment horizontal="center" vertical="center"/>
    </xf>
    <xf numFmtId="166" fontId="0" fillId="3" borderId="1" xfId="56" applyFont="1" applyFill="1" applyBorder="1" applyAlignment="1">
      <alignment horizontal="center" vertical="center" wrapText="1"/>
    </xf>
    <xf numFmtId="0" fontId="97" fillId="3" borderId="0" xfId="0" applyFont="1" applyFill="1"/>
    <xf numFmtId="2" fontId="97" fillId="3" borderId="0" xfId="0" applyNumberFormat="1" applyFont="1" applyFill="1"/>
    <xf numFmtId="0" fontId="26" fillId="2" borderId="1" xfId="0" applyFont="1" applyFill="1" applyBorder="1" applyAlignment="1">
      <alignment horizontal="center"/>
    </xf>
    <xf numFmtId="0" fontId="0" fillId="49" borderId="1" xfId="0" applyFill="1" applyBorder="1" applyAlignment="1">
      <alignment vertical="center"/>
    </xf>
    <xf numFmtId="0" fontId="0" fillId="49" borderId="1" xfId="0" applyFill="1" applyBorder="1"/>
    <xf numFmtId="165" fontId="0" fillId="49" borderId="1" xfId="0" applyNumberFormat="1" applyFill="1" applyBorder="1"/>
    <xf numFmtId="0" fontId="0" fillId="78" borderId="1" xfId="0" applyFill="1" applyBorder="1" applyAlignment="1">
      <alignment vertical="center"/>
    </xf>
    <xf numFmtId="0" fontId="0" fillId="78" borderId="1" xfId="0" applyFill="1" applyBorder="1"/>
    <xf numFmtId="165" fontId="0" fillId="78" borderId="1" xfId="0" applyNumberFormat="1" applyFill="1" applyBorder="1"/>
    <xf numFmtId="165" fontId="0" fillId="0" borderId="1" xfId="0" applyNumberFormat="1" applyBorder="1"/>
    <xf numFmtId="0" fontId="0" fillId="52" borderId="1" xfId="0" applyFill="1" applyBorder="1" applyAlignment="1">
      <alignment vertical="center"/>
    </xf>
    <xf numFmtId="0" fontId="0" fillId="52" borderId="1" xfId="0" applyFill="1" applyBorder="1"/>
    <xf numFmtId="165" fontId="0" fillId="52" borderId="1" xfId="0" applyNumberFormat="1" applyFill="1" applyBorder="1"/>
    <xf numFmtId="166" fontId="0" fillId="0" borderId="1" xfId="56" applyFont="1" applyBorder="1"/>
    <xf numFmtId="166" fontId="0" fillId="0" borderId="1" xfId="56" applyFont="1" applyBorder="1" applyAlignment="1"/>
    <xf numFmtId="166" fontId="4" fillId="0" borderId="1" xfId="56" applyFont="1" applyBorder="1"/>
    <xf numFmtId="166" fontId="0" fillId="3" borderId="1" xfId="56" applyFont="1" applyFill="1" applyBorder="1"/>
    <xf numFmtId="166" fontId="4" fillId="3" borderId="1" xfId="56" applyFont="1" applyFill="1" applyBorder="1"/>
    <xf numFmtId="165" fontId="0" fillId="3" borderId="41" xfId="0" applyNumberFormat="1" applyFill="1" applyBorder="1" applyAlignment="1">
      <alignment vertical="center"/>
    </xf>
    <xf numFmtId="165" fontId="0" fillId="3" borderId="0" xfId="0" applyNumberFormat="1" applyFill="1"/>
    <xf numFmtId="4" fontId="82" fillId="3" borderId="5" xfId="0" applyNumberFormat="1" applyFont="1" applyFill="1" applyBorder="1" applyAlignment="1" applyProtection="1">
      <alignment horizontal="center" vertical="center" wrapText="1"/>
      <protection locked="0"/>
    </xf>
    <xf numFmtId="4" fontId="86" fillId="0" borderId="0" xfId="0" applyNumberFormat="1" applyFont="1" applyAlignment="1">
      <alignment horizontal="left"/>
    </xf>
    <xf numFmtId="0" fontId="86" fillId="0" borderId="0" xfId="0" applyFont="1" applyAlignment="1">
      <alignment vertical="center"/>
    </xf>
    <xf numFmtId="43" fontId="37" fillId="3" borderId="0" xfId="0" applyNumberFormat="1" applyFont="1" applyFill="1" applyAlignment="1">
      <alignment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9" fillId="51" borderId="1" xfId="0" applyFont="1" applyFill="1" applyBorder="1" applyAlignment="1">
      <alignment horizontal="center" vertical="center"/>
    </xf>
    <xf numFmtId="0" fontId="9" fillId="52" borderId="1" xfId="0" applyFont="1" applyFill="1" applyBorder="1" applyAlignment="1">
      <alignment horizontal="center" vertical="center" wrapText="1"/>
    </xf>
    <xf numFmtId="0" fontId="9" fillId="51" borderId="2" xfId="0" applyFont="1" applyFill="1" applyBorder="1" applyAlignment="1">
      <alignment horizontal="center"/>
    </xf>
    <xf numFmtId="0" fontId="9" fillId="51" borderId="3" xfId="0" applyFont="1" applyFill="1" applyBorder="1" applyAlignment="1">
      <alignment horizontal="center"/>
    </xf>
    <xf numFmtId="0" fontId="9" fillId="43" borderId="1" xfId="0" applyFont="1" applyFill="1" applyBorder="1" applyAlignment="1">
      <alignment horizontal="center" vertical="center" wrapText="1"/>
    </xf>
    <xf numFmtId="0" fontId="9" fillId="51" borderId="1" xfId="0" applyFont="1" applyFill="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horizontal="center"/>
    </xf>
    <xf numFmtId="0" fontId="27" fillId="3" borderId="0" xfId="0" applyFont="1" applyFill="1" applyAlignment="1">
      <alignment horizontal="center" vertical="center"/>
    </xf>
    <xf numFmtId="0" fontId="31" fillId="3" borderId="1" xfId="0" applyFont="1" applyFill="1" applyBorder="1" applyAlignment="1">
      <alignment horizontal="center" vertical="center"/>
    </xf>
    <xf numFmtId="0" fontId="25"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38" fillId="3" borderId="0" xfId="0" applyFont="1" applyFill="1" applyAlignment="1">
      <alignment horizontal="center" vertical="center"/>
    </xf>
    <xf numFmtId="0" fontId="38" fillId="3" borderId="1" xfId="0" applyFont="1" applyFill="1" applyBorder="1" applyAlignment="1">
      <alignment horizontal="center" vertical="center"/>
    </xf>
    <xf numFmtId="0" fontId="38" fillId="43" borderId="1" xfId="0" applyFont="1" applyFill="1" applyBorder="1" applyAlignment="1">
      <alignment horizontal="center" vertical="center"/>
    </xf>
    <xf numFmtId="0" fontId="38" fillId="43" borderId="5" xfId="0" applyFont="1" applyFill="1" applyBorder="1" applyAlignment="1">
      <alignment horizontal="center" vertical="center"/>
    </xf>
    <xf numFmtId="0" fontId="38" fillId="43" borderId="7" xfId="0" applyFont="1" applyFill="1" applyBorder="1" applyAlignment="1">
      <alignment horizontal="center" vertical="center"/>
    </xf>
    <xf numFmtId="0" fontId="9" fillId="3" borderId="31" xfId="0" applyFont="1" applyFill="1" applyBorder="1" applyAlignment="1">
      <alignment horizontal="center"/>
    </xf>
    <xf numFmtId="0" fontId="9" fillId="3" borderId="8" xfId="0" applyFont="1" applyFill="1" applyBorder="1" applyAlignment="1">
      <alignment horizontal="center"/>
    </xf>
    <xf numFmtId="0" fontId="9" fillId="3" borderId="0" xfId="0" applyFont="1" applyFill="1" applyBorder="1" applyAlignment="1">
      <alignment horizontal="center"/>
    </xf>
    <xf numFmtId="0" fontId="39" fillId="9" borderId="1" xfId="1" applyFont="1" applyFill="1" applyBorder="1" applyAlignment="1">
      <alignment horizontal="center" vertical="center" wrapText="1"/>
    </xf>
    <xf numFmtId="0" fontId="9" fillId="43" borderId="1" xfId="0" applyFont="1" applyFill="1" applyBorder="1" applyAlignment="1">
      <alignment horizontal="center" vertical="center"/>
    </xf>
    <xf numFmtId="0" fontId="37" fillId="50" borderId="0" xfId="0" applyFont="1" applyFill="1" applyAlignment="1">
      <alignment horizontal="center" vertical="center"/>
    </xf>
    <xf numFmtId="0" fontId="37" fillId="56" borderId="0" xfId="0" applyFont="1" applyFill="1" applyAlignment="1">
      <alignment horizontal="center" vertical="center"/>
    </xf>
    <xf numFmtId="0" fontId="37" fillId="9" borderId="0" xfId="0" applyFont="1" applyFill="1" applyAlignment="1">
      <alignment horizontal="justify" vertical="center"/>
    </xf>
    <xf numFmtId="0" fontId="37" fillId="9" borderId="8" xfId="0" applyFont="1" applyFill="1" applyBorder="1" applyAlignment="1">
      <alignment horizontal="justify" vertical="center"/>
    </xf>
    <xf numFmtId="0" fontId="37" fillId="54" borderId="0" xfId="0" applyFont="1" applyFill="1" applyAlignment="1">
      <alignment horizontal="center" vertical="center"/>
    </xf>
    <xf numFmtId="0" fontId="37" fillId="4" borderId="0" xfId="0" applyFont="1" applyFill="1" applyAlignment="1">
      <alignment horizontal="center" vertical="center"/>
    </xf>
    <xf numFmtId="0" fontId="37" fillId="55" borderId="0" xfId="0" applyFont="1" applyFill="1" applyAlignment="1">
      <alignment horizontal="center" vertical="center"/>
    </xf>
    <xf numFmtId="0" fontId="37" fillId="42" borderId="0" xfId="0" applyFont="1" applyFill="1" applyAlignment="1">
      <alignment horizontal="center" vertical="center"/>
    </xf>
    <xf numFmtId="0" fontId="37" fillId="53" borderId="0" xfId="0" applyFont="1" applyFill="1" applyAlignment="1">
      <alignment horizontal="center" vertical="center"/>
    </xf>
    <xf numFmtId="0" fontId="9" fillId="3" borderId="1" xfId="0" applyFont="1" applyFill="1" applyBorder="1" applyAlignment="1">
      <alignment horizontal="center"/>
    </xf>
    <xf numFmtId="0" fontId="9" fillId="49" borderId="1" xfId="0" applyFont="1" applyFill="1" applyBorder="1" applyAlignment="1">
      <alignment horizontal="center"/>
    </xf>
    <xf numFmtId="0" fontId="9" fillId="49" borderId="2" xfId="0" applyFont="1" applyFill="1" applyBorder="1" applyAlignment="1">
      <alignment horizontal="center"/>
    </xf>
    <xf numFmtId="0" fontId="9" fillId="49" borderId="3" xfId="0" applyFont="1" applyFill="1" applyBorder="1" applyAlignment="1">
      <alignment horizontal="center"/>
    </xf>
    <xf numFmtId="0" fontId="9" fillId="49" borderId="4" xfId="0" applyFont="1" applyFill="1" applyBorder="1" applyAlignment="1">
      <alignment horizontal="center"/>
    </xf>
    <xf numFmtId="0" fontId="38" fillId="49" borderId="1" xfId="0" applyFont="1" applyFill="1" applyBorder="1" applyAlignment="1">
      <alignment horizontal="center"/>
    </xf>
    <xf numFmtId="0" fontId="9" fillId="0" borderId="1" xfId="0" applyFont="1" applyFill="1" applyBorder="1" applyAlignment="1">
      <alignment horizontal="center" vertical="center"/>
    </xf>
    <xf numFmtId="0" fontId="9" fillId="49" borderId="1" xfId="0" applyFont="1" applyFill="1" applyBorder="1" applyAlignment="1">
      <alignment horizontal="center" vertical="center"/>
    </xf>
    <xf numFmtId="0" fontId="38" fillId="49" borderId="2" xfId="0" applyFont="1" applyFill="1" applyBorder="1" applyAlignment="1">
      <alignment horizontal="center" vertical="center"/>
    </xf>
    <xf numFmtId="0" fontId="38" fillId="49" borderId="3" xfId="0" applyFont="1" applyFill="1" applyBorder="1" applyAlignment="1">
      <alignment horizontal="center" vertical="center"/>
    </xf>
    <xf numFmtId="0" fontId="38" fillId="49" borderId="4" xfId="0" applyFont="1" applyFill="1" applyBorder="1" applyAlignment="1">
      <alignment horizontal="center" vertical="center"/>
    </xf>
    <xf numFmtId="0" fontId="53" fillId="53" borderId="5" xfId="0" applyFont="1" applyFill="1" applyBorder="1" applyAlignment="1">
      <alignment horizontal="center" vertical="center" wrapText="1"/>
    </xf>
    <xf numFmtId="0" fontId="53" fillId="53" borderId="7" xfId="0" applyFont="1" applyFill="1" applyBorder="1" applyAlignment="1">
      <alignment horizontal="center" vertical="center" wrapText="1"/>
    </xf>
    <xf numFmtId="0" fontId="38" fillId="3" borderId="31" xfId="0" applyFont="1" applyFill="1" applyBorder="1" applyAlignment="1">
      <alignment horizontal="center" vertical="center"/>
    </xf>
    <xf numFmtId="0" fontId="38" fillId="3" borderId="8" xfId="0" applyFont="1" applyFill="1" applyBorder="1" applyAlignment="1">
      <alignment horizontal="center" vertical="center"/>
    </xf>
    <xf numFmtId="0" fontId="37" fillId="3" borderId="0" xfId="0" applyFont="1" applyFill="1" applyBorder="1" applyAlignment="1">
      <alignment horizontal="justify" wrapText="1"/>
    </xf>
    <xf numFmtId="0" fontId="37" fillId="3" borderId="8" xfId="0" applyFont="1" applyFill="1" applyBorder="1" applyAlignment="1">
      <alignment horizontal="justify" wrapText="1"/>
    </xf>
    <xf numFmtId="0" fontId="51" fillId="3" borderId="5" xfId="0" applyFont="1" applyFill="1" applyBorder="1" applyAlignment="1">
      <alignment horizontal="center" vertical="center" wrapText="1" readingOrder="1"/>
    </xf>
    <xf numFmtId="0" fontId="51" fillId="3" borderId="6" xfId="0" applyFont="1" applyFill="1" applyBorder="1" applyAlignment="1">
      <alignment horizontal="center" vertical="center" wrapText="1" readingOrder="1"/>
    </xf>
    <xf numFmtId="0" fontId="51" fillId="3" borderId="7" xfId="0" applyFont="1" applyFill="1" applyBorder="1" applyAlignment="1">
      <alignment horizontal="center" vertical="center" wrapText="1" readingOrder="1"/>
    </xf>
    <xf numFmtId="0" fontId="37" fillId="3" borderId="2" xfId="0" applyFont="1" applyFill="1" applyBorder="1" applyAlignment="1">
      <alignment horizontal="justify" vertical="center"/>
    </xf>
    <xf numFmtId="0" fontId="37" fillId="3" borderId="3" xfId="0" applyFont="1" applyFill="1" applyBorder="1" applyAlignment="1">
      <alignment horizontal="justify" vertical="center"/>
    </xf>
    <xf numFmtId="0" fontId="37" fillId="3" borderId="4" xfId="0" applyFont="1" applyFill="1" applyBorder="1" applyAlignment="1">
      <alignment horizontal="justify" vertical="center"/>
    </xf>
    <xf numFmtId="0" fontId="41" fillId="3" borderId="5" xfId="0" applyFont="1" applyFill="1" applyBorder="1" applyAlignment="1">
      <alignment horizontal="center" vertical="center" wrapText="1" readingOrder="1"/>
    </xf>
    <xf numFmtId="0" fontId="41" fillId="3" borderId="6" xfId="0" applyFont="1" applyFill="1" applyBorder="1" applyAlignment="1">
      <alignment horizontal="center" vertical="center" wrapText="1" readingOrder="1"/>
    </xf>
    <xf numFmtId="0" fontId="41" fillId="3" borderId="7" xfId="0" applyFont="1" applyFill="1" applyBorder="1" applyAlignment="1">
      <alignment horizontal="center" vertical="center" wrapText="1" readingOrder="1"/>
    </xf>
    <xf numFmtId="0" fontId="36" fillId="3" borderId="2" xfId="0" applyFont="1" applyFill="1" applyBorder="1" applyAlignment="1">
      <alignment horizontal="justify" vertical="center"/>
    </xf>
    <xf numFmtId="0" fontId="36" fillId="3" borderId="3" xfId="0" applyFont="1" applyFill="1" applyBorder="1" applyAlignment="1">
      <alignment horizontal="justify" vertical="center"/>
    </xf>
    <xf numFmtId="0" fontId="36" fillId="3" borderId="4" xfId="0" applyFont="1" applyFill="1" applyBorder="1" applyAlignment="1">
      <alignment horizontal="justify" vertical="center"/>
    </xf>
    <xf numFmtId="0" fontId="51" fillId="58" borderId="2" xfId="0" applyFont="1" applyFill="1" applyBorder="1" applyAlignment="1">
      <alignment horizontal="justify" vertical="center"/>
    </xf>
    <xf numFmtId="0" fontId="51" fillId="58" borderId="3" xfId="0" applyFont="1" applyFill="1" applyBorder="1" applyAlignment="1">
      <alignment horizontal="justify" vertical="center"/>
    </xf>
    <xf numFmtId="0" fontId="51" fillId="58" borderId="4" xfId="0" applyFont="1" applyFill="1" applyBorder="1" applyAlignment="1">
      <alignment horizontal="justify" vertical="center"/>
    </xf>
    <xf numFmtId="0" fontId="51" fillId="9" borderId="2" xfId="0" applyFont="1" applyFill="1" applyBorder="1" applyAlignment="1">
      <alignment horizontal="justify" vertical="center" wrapText="1" readingOrder="1"/>
    </xf>
    <xf numFmtId="0" fontId="51" fillId="9" borderId="3" xfId="0" applyFont="1" applyFill="1" applyBorder="1" applyAlignment="1">
      <alignment horizontal="justify" vertical="center" wrapText="1" readingOrder="1"/>
    </xf>
    <xf numFmtId="0" fontId="51" fillId="9" borderId="4" xfId="0" applyFont="1" applyFill="1" applyBorder="1" applyAlignment="1">
      <alignment horizontal="justify" vertical="center" wrapText="1" readingOrder="1"/>
    </xf>
    <xf numFmtId="0" fontId="37" fillId="3" borderId="0" xfId="0" applyFont="1" applyFill="1" applyAlignment="1">
      <alignment horizontal="justify" vertical="center"/>
    </xf>
    <xf numFmtId="0" fontId="51" fillId="9" borderId="1" xfId="0" applyFont="1" applyFill="1" applyBorder="1" applyAlignment="1">
      <alignment horizontal="justify" vertical="center" wrapText="1" readingOrder="1"/>
    </xf>
    <xf numFmtId="0" fontId="51" fillId="3" borderId="1" xfId="0" applyFont="1" applyFill="1" applyBorder="1" applyAlignment="1">
      <alignment horizontal="center" vertical="center" wrapText="1" readingOrder="1"/>
    </xf>
    <xf numFmtId="0" fontId="82" fillId="3" borderId="0" xfId="0" applyFont="1" applyFill="1" applyAlignment="1">
      <alignment horizontal="justify" vertical="center"/>
    </xf>
    <xf numFmtId="0" fontId="51" fillId="0" borderId="2" xfId="0" applyFont="1" applyBorder="1" applyAlignment="1">
      <alignment horizontal="justify" vertical="center"/>
    </xf>
    <xf numFmtId="0" fontId="51" fillId="0" borderId="3" xfId="0" applyFont="1" applyBorder="1" applyAlignment="1">
      <alignment horizontal="justify" vertical="center"/>
    </xf>
    <xf numFmtId="0" fontId="51" fillId="0" borderId="4" xfId="0" applyFont="1" applyBorder="1" applyAlignment="1">
      <alignment horizontal="justify" vertical="center"/>
    </xf>
    <xf numFmtId="0" fontId="9" fillId="9" borderId="2" xfId="0" applyFont="1" applyFill="1" applyBorder="1" applyAlignment="1">
      <alignment horizontal="justify" vertical="center" wrapText="1"/>
    </xf>
    <xf numFmtId="0" fontId="9" fillId="9" borderId="3" xfId="0" applyFont="1" applyFill="1" applyBorder="1" applyAlignment="1">
      <alignment horizontal="justify" vertical="center" wrapText="1"/>
    </xf>
    <xf numFmtId="0" fontId="9" fillId="9" borderId="4" xfId="0" applyFont="1" applyFill="1" applyBorder="1" applyAlignment="1">
      <alignment horizontal="justify" vertical="center" wrapText="1"/>
    </xf>
    <xf numFmtId="0" fontId="9" fillId="0" borderId="2" xfId="0" applyFont="1" applyBorder="1" applyAlignment="1">
      <alignment horizontal="justify" vertical="center" wrapText="1"/>
    </xf>
    <xf numFmtId="0" fontId="9" fillId="0" borderId="3" xfId="0" applyFont="1" applyBorder="1" applyAlignment="1">
      <alignment horizontal="justify" vertical="center" wrapText="1"/>
    </xf>
    <xf numFmtId="0" fontId="9" fillId="0" borderId="4" xfId="0" applyFont="1" applyBorder="1" applyAlignment="1">
      <alignment horizontal="justify" vertical="center" wrapText="1"/>
    </xf>
    <xf numFmtId="0" fontId="37" fillId="3" borderId="0" xfId="0" applyFont="1" applyFill="1" applyAlignment="1">
      <alignment horizontal="justify" vertical="center" wrapText="1"/>
    </xf>
    <xf numFmtId="0" fontId="38" fillId="43" borderId="37" xfId="0" applyFont="1" applyFill="1" applyBorder="1" applyAlignment="1">
      <alignment horizontal="center" vertical="center"/>
    </xf>
    <xf numFmtId="0" fontId="38" fillId="43" borderId="38" xfId="0" applyFont="1" applyFill="1" applyBorder="1" applyAlignment="1">
      <alignment horizontal="center" vertical="center"/>
    </xf>
    <xf numFmtId="0" fontId="36" fillId="9" borderId="1" xfId="0" applyFont="1" applyFill="1" applyBorder="1" applyAlignment="1">
      <alignment horizontal="justify" vertical="center" wrapText="1" readingOrder="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41" fillId="3" borderId="2" xfId="0" applyFont="1" applyFill="1" applyBorder="1" applyAlignment="1">
      <alignment horizontal="justify" vertical="center"/>
    </xf>
    <xf numFmtId="0" fontId="41" fillId="3" borderId="3" xfId="0" applyFont="1" applyFill="1" applyBorder="1" applyAlignment="1">
      <alignment horizontal="justify" vertical="center"/>
    </xf>
    <xf numFmtId="0" fontId="41" fillId="3" borderId="4" xfId="0" applyFont="1" applyFill="1" applyBorder="1" applyAlignment="1">
      <alignment horizontal="justify" vertical="center"/>
    </xf>
    <xf numFmtId="0" fontId="39" fillId="42" borderId="1" xfId="1" applyFont="1" applyFill="1" applyBorder="1" applyAlignment="1">
      <alignment horizontal="center" vertical="center" wrapText="1"/>
    </xf>
    <xf numFmtId="0" fontId="38" fillId="59" borderId="5" xfId="1" applyFont="1" applyFill="1" applyBorder="1" applyAlignment="1">
      <alignment horizontal="center" vertical="center" wrapText="1"/>
    </xf>
    <xf numFmtId="0" fontId="38" fillId="59" borderId="7" xfId="1" applyFont="1" applyFill="1" applyBorder="1" applyAlignment="1">
      <alignment horizontal="center" vertical="center" wrapText="1"/>
    </xf>
    <xf numFmtId="0" fontId="37" fillId="50" borderId="1"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54" borderId="2" xfId="0" applyFont="1" applyFill="1" applyBorder="1" applyAlignment="1">
      <alignment horizontal="justify" vertical="center" wrapText="1"/>
    </xf>
    <xf numFmtId="0" fontId="9" fillId="54" borderId="3" xfId="0" applyFont="1" applyFill="1" applyBorder="1" applyAlignment="1">
      <alignment horizontal="justify" vertical="center" wrapText="1"/>
    </xf>
    <xf numFmtId="0" fontId="9" fillId="54" borderId="4" xfId="0" applyFont="1" applyFill="1" applyBorder="1" applyAlignment="1">
      <alignment horizontal="justify" vertical="center" wrapText="1"/>
    </xf>
    <xf numFmtId="0" fontId="37" fillId="3" borderId="1" xfId="0" applyFont="1" applyFill="1" applyBorder="1" applyAlignment="1">
      <alignment horizontal="center" vertical="center" textRotation="90"/>
    </xf>
    <xf numFmtId="0" fontId="37" fillId="3" borderId="1" xfId="0" applyFont="1" applyFill="1" applyBorder="1" applyAlignment="1">
      <alignment horizontal="justify" vertical="center"/>
    </xf>
    <xf numFmtId="0" fontId="36" fillId="9" borderId="2" xfId="0" applyFont="1" applyFill="1" applyBorder="1" applyAlignment="1">
      <alignment horizontal="justify" vertical="center" wrapText="1" readingOrder="1"/>
    </xf>
    <xf numFmtId="0" fontId="36" fillId="9" borderId="3" xfId="0" applyFont="1" applyFill="1" applyBorder="1" applyAlignment="1">
      <alignment horizontal="justify" vertical="center" wrapText="1" readingOrder="1"/>
    </xf>
    <xf numFmtId="0" fontId="36" fillId="9" borderId="4" xfId="0" applyFont="1" applyFill="1" applyBorder="1" applyAlignment="1">
      <alignment horizontal="justify" vertical="center" wrapText="1" readingOrder="1"/>
    </xf>
    <xf numFmtId="0" fontId="36" fillId="59" borderId="22" xfId="1" applyFont="1" applyFill="1" applyBorder="1" applyAlignment="1">
      <alignment horizontal="justify" vertical="center"/>
    </xf>
    <xf numFmtId="0" fontId="36" fillId="59" borderId="42" xfId="1" applyFont="1" applyFill="1" applyBorder="1" applyAlignment="1">
      <alignment horizontal="justify" vertical="center"/>
    </xf>
    <xf numFmtId="0" fontId="36" fillId="59" borderId="39" xfId="1" applyFont="1" applyFill="1" applyBorder="1" applyAlignment="1">
      <alignment horizontal="justify" vertical="center"/>
    </xf>
    <xf numFmtId="0" fontId="36" fillId="59" borderId="40" xfId="1" applyFont="1" applyFill="1" applyBorder="1" applyAlignment="1">
      <alignment horizontal="justify" vertical="center"/>
    </xf>
    <xf numFmtId="0" fontId="36" fillId="59" borderId="37" xfId="1" applyFont="1" applyFill="1" applyBorder="1" applyAlignment="1">
      <alignment horizontal="justify" vertical="center"/>
    </xf>
    <xf numFmtId="0" fontId="36" fillId="0" borderId="0" xfId="1" applyFont="1" applyFill="1" applyAlignment="1">
      <alignment horizontal="left" vertical="center" wrapText="1"/>
    </xf>
    <xf numFmtId="0" fontId="36" fillId="59" borderId="0" xfId="1" applyFont="1" applyFill="1" applyBorder="1" applyAlignment="1">
      <alignment horizontal="justify" vertical="center"/>
    </xf>
    <xf numFmtId="0" fontId="38" fillId="60" borderId="1" xfId="1" applyFont="1" applyFill="1" applyBorder="1" applyAlignment="1">
      <alignment horizontal="center" vertical="center" wrapText="1"/>
    </xf>
    <xf numFmtId="4" fontId="57" fillId="59" borderId="2" xfId="0" applyNumberFormat="1" applyFont="1" applyFill="1" applyBorder="1" applyAlignment="1">
      <alignment horizontal="justify" vertical="center"/>
    </xf>
    <xf numFmtId="4" fontId="57" fillId="59" borderId="3" xfId="0" applyNumberFormat="1" applyFont="1" applyFill="1" applyBorder="1" applyAlignment="1">
      <alignment horizontal="justify" vertical="center"/>
    </xf>
    <xf numFmtId="4" fontId="57" fillId="59" borderId="4" xfId="0" applyNumberFormat="1" applyFont="1" applyFill="1" applyBorder="1" applyAlignment="1">
      <alignment horizontal="justify" vertical="center"/>
    </xf>
    <xf numFmtId="4" fontId="51" fillId="0" borderId="5" xfId="0" applyNumberFormat="1" applyFont="1" applyBorder="1" applyAlignment="1">
      <alignment horizontal="center" vertical="center" wrapText="1"/>
    </xf>
    <xf numFmtId="4" fontId="51" fillId="0" borderId="6" xfId="0" applyNumberFormat="1" applyFont="1" applyBorder="1" applyAlignment="1">
      <alignment horizontal="center" vertical="center" wrapText="1"/>
    </xf>
    <xf numFmtId="4" fontId="51" fillId="0" borderId="7" xfId="0" applyNumberFormat="1" applyFont="1" applyBorder="1" applyAlignment="1">
      <alignment horizontal="center" vertical="center" wrapText="1"/>
    </xf>
    <xf numFmtId="4" fontId="57" fillId="0" borderId="2" xfId="0" applyNumberFormat="1" applyFont="1" applyBorder="1" applyAlignment="1">
      <alignment horizontal="justify" vertical="center" wrapText="1"/>
    </xf>
    <xf numFmtId="4" fontId="57" fillId="0" borderId="3" xfId="0" applyNumberFormat="1" applyFont="1" applyBorder="1" applyAlignment="1">
      <alignment horizontal="justify" vertical="center" wrapText="1"/>
    </xf>
    <xf numFmtId="4" fontId="57" fillId="0" borderId="4" xfId="0" applyNumberFormat="1" applyFont="1" applyBorder="1" applyAlignment="1">
      <alignment horizontal="justify" vertical="center" wrapText="1"/>
    </xf>
    <xf numFmtId="4" fontId="57" fillId="59" borderId="2" xfId="0" applyNumberFormat="1" applyFont="1" applyFill="1" applyBorder="1" applyAlignment="1">
      <alignment horizontal="justify" vertical="center" wrapText="1"/>
    </xf>
    <xf numFmtId="4" fontId="57" fillId="59" borderId="3" xfId="0" applyNumberFormat="1" applyFont="1" applyFill="1" applyBorder="1" applyAlignment="1">
      <alignment horizontal="justify" vertical="center" wrapText="1"/>
    </xf>
    <xf numFmtId="4" fontId="57" fillId="59" borderId="4" xfId="0" applyNumberFormat="1" applyFont="1" applyFill="1" applyBorder="1" applyAlignment="1">
      <alignment horizontal="justify" vertical="center" wrapText="1"/>
    </xf>
    <xf numFmtId="4" fontId="58" fillId="59" borderId="2" xfId="0" applyNumberFormat="1" applyFont="1" applyFill="1" applyBorder="1" applyAlignment="1">
      <alignment horizontal="justify" vertical="center" wrapText="1"/>
    </xf>
    <xf numFmtId="4" fontId="58" fillId="59" borderId="3" xfId="0" applyNumberFormat="1" applyFont="1" applyFill="1" applyBorder="1" applyAlignment="1">
      <alignment horizontal="justify" vertical="center" wrapText="1"/>
    </xf>
    <xf numFmtId="4" fontId="58" fillId="59" borderId="4" xfId="0" applyNumberFormat="1" applyFont="1" applyFill="1" applyBorder="1" applyAlignment="1">
      <alignment horizontal="justify" vertical="center" wrapText="1"/>
    </xf>
    <xf numFmtId="4" fontId="82" fillId="0" borderId="5" xfId="0" applyNumberFormat="1" applyFont="1" applyBorder="1" applyAlignment="1">
      <alignment horizontal="right" vertical="center"/>
    </xf>
    <xf numFmtId="4" fontId="82" fillId="0" borderId="6" xfId="0" applyNumberFormat="1" applyFont="1" applyBorder="1" applyAlignment="1">
      <alignment horizontal="right" vertical="center"/>
    </xf>
    <xf numFmtId="4" fontId="82" fillId="0" borderId="7" xfId="0" applyNumberFormat="1" applyFont="1" applyBorder="1" applyAlignment="1">
      <alignment horizontal="right" vertical="center"/>
    </xf>
    <xf numFmtId="0" fontId="49" fillId="0" borderId="1" xfId="0" applyFont="1" applyBorder="1" applyAlignment="1">
      <alignment horizontal="center" vertical="center"/>
    </xf>
    <xf numFmtId="0" fontId="49" fillId="0" borderId="2" xfId="0" applyFont="1" applyBorder="1" applyAlignment="1">
      <alignment horizontal="center" vertical="center"/>
    </xf>
    <xf numFmtId="0" fontId="49" fillId="0" borderId="3" xfId="0" applyFont="1" applyBorder="1" applyAlignment="1">
      <alignment horizontal="center" vertical="center"/>
    </xf>
    <xf numFmtId="0" fontId="49" fillId="0" borderId="4" xfId="0" applyFont="1" applyBorder="1" applyAlignment="1">
      <alignment horizontal="center" vertical="center"/>
    </xf>
    <xf numFmtId="4" fontId="80" fillId="41" borderId="0" xfId="0" applyNumberFormat="1" applyFont="1" applyFill="1" applyAlignment="1">
      <alignment horizontal="center" vertical="center"/>
    </xf>
    <xf numFmtId="0" fontId="9" fillId="62" borderId="0" xfId="0" applyFont="1" applyFill="1" applyBorder="1" applyAlignment="1">
      <alignment horizontal="justify" vertical="center" wrapText="1"/>
    </xf>
    <xf numFmtId="0" fontId="9" fillId="5" borderId="2" xfId="0" applyFont="1" applyFill="1" applyBorder="1" applyAlignment="1">
      <alignment horizontal="justify" vertical="center"/>
    </xf>
    <xf numFmtId="0" fontId="9" fillId="5" borderId="3" xfId="0" applyFont="1" applyFill="1" applyBorder="1" applyAlignment="1">
      <alignment horizontal="justify" vertical="center"/>
    </xf>
    <xf numFmtId="0" fontId="9" fillId="5" borderId="4" xfId="0" applyFont="1" applyFill="1" applyBorder="1" applyAlignment="1">
      <alignment horizontal="justify" vertical="center"/>
    </xf>
    <xf numFmtId="0" fontId="9" fillId="50" borderId="0" xfId="0" applyFont="1" applyFill="1" applyBorder="1" applyAlignment="1">
      <alignment horizontal="justify" vertical="center"/>
    </xf>
    <xf numFmtId="0" fontId="9" fillId="50" borderId="2" xfId="0" applyFont="1" applyFill="1" applyBorder="1" applyAlignment="1">
      <alignment horizontal="justify" vertical="center"/>
    </xf>
    <xf numFmtId="0" fontId="9" fillId="50" borderId="3" xfId="0" applyFont="1" applyFill="1" applyBorder="1" applyAlignment="1">
      <alignment horizontal="justify" vertical="center"/>
    </xf>
    <xf numFmtId="0" fontId="9" fillId="50" borderId="4" xfId="0" applyFont="1" applyFill="1" applyBorder="1" applyAlignment="1">
      <alignment horizontal="justify" vertical="center"/>
    </xf>
    <xf numFmtId="0" fontId="37" fillId="5" borderId="1" xfId="0" applyFont="1" applyFill="1" applyBorder="1" applyAlignment="1">
      <alignment horizontal="justify"/>
    </xf>
    <xf numFmtId="0" fontId="9" fillId="5" borderId="1" xfId="0" applyFont="1" applyFill="1" applyBorder="1" applyAlignment="1">
      <alignment horizontal="justify"/>
    </xf>
    <xf numFmtId="0" fontId="9" fillId="5" borderId="1" xfId="0" applyFont="1" applyFill="1" applyBorder="1" applyAlignment="1">
      <alignment horizontal="justify" vertical="center"/>
    </xf>
    <xf numFmtId="0" fontId="37" fillId="0" borderId="41" xfId="0" applyFont="1" applyBorder="1" applyAlignment="1">
      <alignment horizontal="left" vertical="center" wrapText="1"/>
    </xf>
    <xf numFmtId="0" fontId="37" fillId="0" borderId="0" xfId="0" applyFont="1" applyBorder="1" applyAlignment="1">
      <alignment horizontal="left" vertical="center" wrapText="1"/>
    </xf>
    <xf numFmtId="0" fontId="49" fillId="0" borderId="1" xfId="0" applyFont="1" applyBorder="1" applyAlignment="1">
      <alignment horizontal="justify" vertical="center"/>
    </xf>
    <xf numFmtId="0" fontId="37" fillId="0" borderId="1" xfId="0" applyFont="1" applyBorder="1" applyAlignment="1">
      <alignment horizontal="justify" vertical="center" wrapText="1"/>
    </xf>
    <xf numFmtId="0" fontId="9" fillId="50" borderId="1" xfId="0" applyFont="1" applyFill="1" applyBorder="1" applyAlignment="1">
      <alignment horizontal="justify" vertical="center"/>
    </xf>
    <xf numFmtId="0" fontId="38" fillId="50" borderId="1" xfId="0" applyFont="1" applyFill="1" applyBorder="1" applyAlignment="1">
      <alignment horizontal="justify" vertical="center"/>
    </xf>
    <xf numFmtId="0" fontId="49" fillId="9" borderId="1" xfId="0" applyFont="1" applyFill="1" applyBorder="1" applyAlignment="1">
      <alignment horizontal="justify" vertical="center"/>
    </xf>
    <xf numFmtId="166" fontId="38" fillId="0" borderId="2" xfId="56" applyFont="1" applyBorder="1" applyAlignment="1">
      <alignment horizontal="justify" vertical="center"/>
    </xf>
    <xf numFmtId="166" fontId="38" fillId="0" borderId="3" xfId="56" applyFont="1" applyBorder="1" applyAlignment="1">
      <alignment horizontal="justify" vertical="center"/>
    </xf>
    <xf numFmtId="166" fontId="38" fillId="0" borderId="4" xfId="56" applyFont="1" applyBorder="1" applyAlignment="1">
      <alignment horizontal="justify" vertical="center"/>
    </xf>
    <xf numFmtId="0" fontId="37" fillId="3" borderId="1" xfId="0" applyFont="1" applyFill="1" applyBorder="1" applyAlignment="1">
      <alignment horizontal="justify" vertical="center" wrapText="1"/>
    </xf>
    <xf numFmtId="0" fontId="37" fillId="42" borderId="0" xfId="0" applyFont="1" applyFill="1" applyAlignment="1">
      <alignment horizontal="justify" vertical="center"/>
    </xf>
    <xf numFmtId="0" fontId="49" fillId="0" borderId="2" xfId="0" applyFont="1" applyBorder="1" applyAlignment="1">
      <alignment horizontal="justify" vertical="center"/>
    </xf>
    <xf numFmtId="0" fontId="49" fillId="0" borderId="3" xfId="0" applyFont="1" applyBorder="1" applyAlignment="1">
      <alignment horizontal="justify" vertical="center"/>
    </xf>
    <xf numFmtId="0" fontId="49" fillId="0" borderId="4" xfId="0" applyFont="1" applyBorder="1" applyAlignment="1">
      <alignment horizontal="justify" vertical="center"/>
    </xf>
    <xf numFmtId="166" fontId="4" fillId="0" borderId="1" xfId="56" applyFont="1" applyBorder="1" applyAlignment="1">
      <alignment horizontal="center"/>
    </xf>
    <xf numFmtId="0" fontId="4" fillId="64" borderId="0" xfId="0" applyFont="1" applyFill="1" applyAlignment="1">
      <alignment horizontal="center"/>
    </xf>
    <xf numFmtId="166" fontId="4" fillId="3" borderId="0" xfId="56" applyFont="1" applyFill="1" applyAlignment="1">
      <alignment horizontal="center" vertical="center"/>
    </xf>
    <xf numFmtId="166" fontId="4" fillId="3" borderId="1" xfId="56"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166" fontId="115" fillId="3" borderId="0" xfId="56" applyFont="1" applyFill="1" applyAlignment="1">
      <alignment horizontal="center" vertical="center"/>
    </xf>
    <xf numFmtId="166" fontId="4" fillId="3" borderId="1" xfId="56" applyFont="1" applyFill="1" applyBorder="1" applyAlignment="1">
      <alignment horizontal="center" vertical="center"/>
    </xf>
    <xf numFmtId="166" fontId="0" fillId="3" borderId="1" xfId="56" applyFont="1" applyFill="1" applyBorder="1" applyAlignment="1">
      <alignment horizontal="center" vertical="center"/>
    </xf>
    <xf numFmtId="166" fontId="0" fillId="3" borderId="1" xfId="56" applyFont="1" applyFill="1" applyBorder="1" applyAlignment="1">
      <alignment horizontal="left" vertical="center"/>
    </xf>
    <xf numFmtId="166" fontId="117" fillId="3" borderId="1" xfId="56" applyFont="1" applyFill="1" applyBorder="1" applyAlignment="1">
      <alignment horizontal="center" vertical="center"/>
    </xf>
    <xf numFmtId="166" fontId="0" fillId="3" borderId="2" xfId="56" applyFont="1" applyFill="1" applyBorder="1" applyAlignment="1">
      <alignment horizontal="left" vertical="center" wrapText="1"/>
    </xf>
    <xf numFmtId="166" fontId="0" fillId="3" borderId="3" xfId="56" applyFont="1" applyFill="1" applyBorder="1" applyAlignment="1">
      <alignment horizontal="left" vertical="center" wrapText="1"/>
    </xf>
    <xf numFmtId="166" fontId="0" fillId="3" borderId="4" xfId="56" applyFont="1" applyFill="1" applyBorder="1" applyAlignment="1">
      <alignment horizontal="left" vertical="center" wrapText="1"/>
    </xf>
    <xf numFmtId="166" fontId="0" fillId="3" borderId="2" xfId="56" applyFont="1" applyFill="1" applyBorder="1" applyAlignment="1">
      <alignment horizontal="center" vertical="center"/>
    </xf>
    <xf numFmtId="166" fontId="0" fillId="3" borderId="3" xfId="56" applyFont="1" applyFill="1" applyBorder="1" applyAlignment="1">
      <alignment horizontal="center" vertical="center"/>
    </xf>
    <xf numFmtId="166" fontId="0" fillId="3" borderId="4" xfId="56" applyFont="1" applyFill="1" applyBorder="1" applyAlignment="1">
      <alignment horizontal="center" vertical="center"/>
    </xf>
    <xf numFmtId="166" fontId="4" fillId="3" borderId="1" xfId="56" applyFont="1" applyFill="1" applyBorder="1" applyAlignment="1">
      <alignment horizontal="left" vertical="center" wrapText="1"/>
    </xf>
    <xf numFmtId="0" fontId="4" fillId="50" borderId="0" xfId="0" applyFont="1" applyFill="1" applyAlignment="1">
      <alignment horizontal="center"/>
    </xf>
    <xf numFmtId="166" fontId="4" fillId="3" borderId="1" xfId="56" applyFont="1" applyFill="1" applyBorder="1" applyAlignment="1">
      <alignment horizontal="left" vertical="center"/>
    </xf>
    <xf numFmtId="0" fontId="4" fillId="42" borderId="0" xfId="0" applyFont="1" applyFill="1" applyAlignment="1">
      <alignment horizontal="center"/>
    </xf>
    <xf numFmtId="166" fontId="26" fillId="3" borderId="1" xfId="56" applyFont="1" applyFill="1" applyBorder="1" applyAlignment="1">
      <alignment horizontal="left" vertical="center"/>
    </xf>
    <xf numFmtId="166" fontId="25" fillId="3" borderId="1" xfId="56" applyFont="1" applyFill="1" applyBorder="1" applyAlignment="1">
      <alignment horizontal="center" vertical="center"/>
    </xf>
    <xf numFmtId="166" fontId="26" fillId="3" borderId="1" xfId="56" applyFont="1" applyFill="1" applyBorder="1" applyAlignment="1">
      <alignment horizontal="justify" vertical="center" wrapText="1"/>
    </xf>
    <xf numFmtId="166" fontId="26" fillId="3" borderId="1" xfId="56" applyFont="1" applyFill="1" applyBorder="1" applyAlignment="1">
      <alignment horizontal="justify" vertical="center"/>
    </xf>
    <xf numFmtId="166" fontId="25" fillId="3" borderId="2" xfId="56" applyFont="1" applyFill="1" applyBorder="1" applyAlignment="1">
      <alignment horizontal="center" vertical="center" wrapText="1"/>
    </xf>
    <xf numFmtId="166" fontId="25" fillId="3" borderId="3" xfId="56" applyFont="1" applyFill="1" applyBorder="1" applyAlignment="1">
      <alignment horizontal="center" vertical="center" wrapText="1"/>
    </xf>
    <xf numFmtId="166" fontId="25" fillId="3" borderId="4" xfId="56" applyFont="1" applyFill="1" applyBorder="1" applyAlignment="1">
      <alignment horizontal="center" vertical="center" wrapText="1"/>
    </xf>
    <xf numFmtId="166" fontId="25" fillId="3" borderId="1" xfId="56" applyFont="1" applyFill="1" applyBorder="1" applyAlignment="1">
      <alignment horizontal="left" vertical="center"/>
    </xf>
    <xf numFmtId="166" fontId="26" fillId="3" borderId="2" xfId="56" applyFont="1" applyFill="1" applyBorder="1" applyAlignment="1">
      <alignment horizontal="justify" vertical="center" wrapText="1"/>
    </xf>
    <xf numFmtId="166" fontId="26" fillId="3" borderId="3" xfId="56" applyFont="1" applyFill="1" applyBorder="1" applyAlignment="1">
      <alignment horizontal="justify" vertical="center" wrapText="1"/>
    </xf>
    <xf numFmtId="166" fontId="26" fillId="3" borderId="4" xfId="56" applyFont="1" applyFill="1" applyBorder="1" applyAlignment="1">
      <alignment horizontal="justify" vertical="center" wrapText="1"/>
    </xf>
    <xf numFmtId="166" fontId="25" fillId="3" borderId="2" xfId="56" applyFont="1" applyFill="1" applyBorder="1" applyAlignment="1">
      <alignment horizontal="center" vertical="center"/>
    </xf>
    <xf numFmtId="166" fontId="25" fillId="3" borderId="3" xfId="56" applyFont="1" applyFill="1" applyBorder="1" applyAlignment="1">
      <alignment horizontal="center" vertical="center"/>
    </xf>
    <xf numFmtId="166" fontId="25" fillId="3" borderId="4" xfId="56" applyFont="1" applyFill="1" applyBorder="1" applyAlignment="1">
      <alignment horizontal="center" vertical="center"/>
    </xf>
    <xf numFmtId="166" fontId="116" fillId="3" borderId="0" xfId="56" applyFont="1" applyFill="1" applyAlignment="1">
      <alignment horizontal="center" vertical="center" wrapText="1"/>
    </xf>
    <xf numFmtId="0" fontId="9" fillId="3" borderId="2" xfId="0" applyFont="1" applyFill="1" applyBorder="1" applyAlignment="1">
      <alignment horizontal="justify" vertical="center"/>
    </xf>
    <xf numFmtId="0" fontId="9" fillId="3" borderId="3" xfId="0" applyFont="1" applyFill="1" applyBorder="1" applyAlignment="1">
      <alignment horizontal="justify" vertical="center"/>
    </xf>
    <xf numFmtId="0" fontId="9" fillId="3" borderId="4" xfId="0" applyFont="1" applyFill="1" applyBorder="1" applyAlignment="1">
      <alignment horizontal="justify" vertical="center"/>
    </xf>
    <xf numFmtId="0" fontId="38" fillId="59" borderId="2" xfId="0" applyFont="1" applyFill="1" applyBorder="1" applyAlignment="1">
      <alignment horizontal="justify" vertical="center"/>
    </xf>
    <xf numFmtId="0" fontId="38" fillId="59" borderId="3" xfId="0" applyFont="1" applyFill="1" applyBorder="1" applyAlignment="1">
      <alignment horizontal="justify" vertical="center"/>
    </xf>
    <xf numFmtId="0" fontId="38" fillId="59" borderId="4" xfId="0" applyFont="1" applyFill="1" applyBorder="1" applyAlignment="1">
      <alignment horizontal="justify" vertical="center"/>
    </xf>
    <xf numFmtId="0" fontId="38" fillId="59" borderId="1" xfId="0" applyFont="1" applyFill="1" applyBorder="1" applyAlignment="1">
      <alignment horizontal="justify" vertical="center"/>
    </xf>
    <xf numFmtId="0" fontId="38" fillId="59" borderId="5" xfId="0" applyFont="1" applyFill="1" applyBorder="1" applyAlignment="1">
      <alignment horizontal="justify" vertical="center"/>
    </xf>
    <xf numFmtId="0" fontId="38" fillId="9" borderId="1" xfId="0" applyFont="1" applyFill="1" applyBorder="1" applyAlignment="1">
      <alignment horizontal="center" vertical="center"/>
    </xf>
    <xf numFmtId="0" fontId="42" fillId="59" borderId="2" xfId="0" applyFont="1" applyFill="1" applyBorder="1" applyAlignment="1">
      <alignment horizontal="justify" vertical="center"/>
    </xf>
    <xf numFmtId="0" fontId="42" fillId="59" borderId="3" xfId="0" applyFont="1" applyFill="1" applyBorder="1" applyAlignment="1">
      <alignment horizontal="justify" vertical="center"/>
    </xf>
    <xf numFmtId="0" fontId="42" fillId="59" borderId="4" xfId="0" applyFont="1" applyFill="1" applyBorder="1" applyAlignment="1">
      <alignment horizontal="justify" vertical="center"/>
    </xf>
    <xf numFmtId="0" fontId="42" fillId="59" borderId="1" xfId="0" applyFont="1" applyFill="1" applyBorder="1" applyAlignment="1">
      <alignment horizontal="justify" vertical="center"/>
    </xf>
    <xf numFmtId="0" fontId="42" fillId="59" borderId="5" xfId="0" applyFont="1" applyFill="1" applyBorder="1" applyAlignment="1">
      <alignment horizontal="justify" vertical="center"/>
    </xf>
    <xf numFmtId="0" fontId="42" fillId="9" borderId="1" xfId="0" applyFont="1" applyFill="1" applyBorder="1" applyAlignment="1">
      <alignment horizontal="center" vertical="center"/>
    </xf>
    <xf numFmtId="0" fontId="83" fillId="9" borderId="1" xfId="0" applyFont="1" applyFill="1" applyBorder="1" applyAlignment="1">
      <alignment horizontal="center" vertical="center"/>
    </xf>
    <xf numFmtId="0" fontId="9" fillId="64" borderId="0" xfId="0" applyFont="1" applyFill="1" applyAlignment="1">
      <alignment horizontal="justify" vertical="center"/>
    </xf>
    <xf numFmtId="0" fontId="9" fillId="59" borderId="2" xfId="0" applyFont="1" applyFill="1" applyBorder="1" applyAlignment="1">
      <alignment horizontal="justify" vertical="center"/>
    </xf>
    <xf numFmtId="0" fontId="9" fillId="59" borderId="3" xfId="0" applyFont="1" applyFill="1" applyBorder="1" applyAlignment="1">
      <alignment horizontal="justify" vertical="center"/>
    </xf>
    <xf numFmtId="0" fontId="9" fillId="59" borderId="4" xfId="0" applyFont="1" applyFill="1" applyBorder="1" applyAlignment="1">
      <alignment horizontal="justify" vertical="center"/>
    </xf>
    <xf numFmtId="0" fontId="83" fillId="3" borderId="2" xfId="0" applyFont="1" applyFill="1" applyBorder="1" applyAlignment="1">
      <alignment horizontal="justify" vertical="center"/>
    </xf>
    <xf numFmtId="0" fontId="83" fillId="3" borderId="3" xfId="0" applyFont="1" applyFill="1" applyBorder="1" applyAlignment="1">
      <alignment horizontal="justify" vertical="center"/>
    </xf>
    <xf numFmtId="0" fontId="83" fillId="3" borderId="4" xfId="0" applyFont="1" applyFill="1" applyBorder="1" applyAlignment="1">
      <alignment horizontal="justify" vertical="center"/>
    </xf>
    <xf numFmtId="0" fontId="83" fillId="9" borderId="1" xfId="0" applyFont="1" applyFill="1" applyBorder="1" applyAlignment="1">
      <alignment horizontal="justify" vertical="center"/>
    </xf>
    <xf numFmtId="0" fontId="82" fillId="3" borderId="5" xfId="0" applyFont="1" applyFill="1" applyBorder="1" applyAlignment="1">
      <alignment horizontal="center" vertical="center"/>
    </xf>
    <xf numFmtId="0" fontId="82" fillId="3" borderId="7" xfId="0" applyFont="1" applyFill="1" applyBorder="1" applyAlignment="1">
      <alignment horizontal="center" vertical="center"/>
    </xf>
    <xf numFmtId="0" fontId="82" fillId="50" borderId="5" xfId="0" applyFont="1" applyFill="1" applyBorder="1" applyAlignment="1">
      <alignment horizontal="center" vertical="center"/>
    </xf>
    <xf numFmtId="0" fontId="82" fillId="50" borderId="6" xfId="0" applyFont="1" applyFill="1" applyBorder="1" applyAlignment="1">
      <alignment horizontal="center" vertical="center"/>
    </xf>
    <xf numFmtId="0" fontId="82" fillId="50" borderId="7" xfId="0" applyFont="1" applyFill="1" applyBorder="1" applyAlignment="1">
      <alignment horizontal="center" vertical="center"/>
    </xf>
    <xf numFmtId="0" fontId="83" fillId="59" borderId="1" xfId="0" applyFont="1" applyFill="1" applyBorder="1" applyAlignment="1">
      <alignment horizontal="justify" vertical="center"/>
    </xf>
    <xf numFmtId="0" fontId="83" fillId="50" borderId="0" xfId="0" applyFont="1" applyFill="1" applyBorder="1" applyAlignment="1">
      <alignment horizontal="justify" vertical="center"/>
    </xf>
    <xf numFmtId="0" fontId="83" fillId="50" borderId="1" xfId="0" applyFont="1" applyFill="1" applyBorder="1" applyAlignment="1">
      <alignment horizontal="justify" vertical="center"/>
    </xf>
    <xf numFmtId="0" fontId="83" fillId="59" borderId="2" xfId="0" applyFont="1" applyFill="1" applyBorder="1" applyAlignment="1">
      <alignment horizontal="justify" vertical="center"/>
    </xf>
    <xf numFmtId="0" fontId="83" fillId="59" borderId="3" xfId="0" applyFont="1" applyFill="1" applyBorder="1" applyAlignment="1">
      <alignment horizontal="justify" vertical="center"/>
    </xf>
    <xf numFmtId="0" fontId="83" fillId="59" borderId="4" xfId="0" applyFont="1" applyFill="1" applyBorder="1" applyAlignment="1">
      <alignment horizontal="justify" vertical="center"/>
    </xf>
    <xf numFmtId="0" fontId="50" fillId="65" borderId="0" xfId="0" applyFont="1" applyFill="1" applyAlignment="1">
      <alignment horizontal="justify" vertical="center" wrapText="1"/>
    </xf>
    <xf numFmtId="0" fontId="38" fillId="9" borderId="1" xfId="0" applyFont="1" applyFill="1" applyBorder="1" applyAlignment="1">
      <alignment horizontal="justify" vertical="center"/>
    </xf>
    <xf numFmtId="0" fontId="9" fillId="63" borderId="1" xfId="0" applyFont="1" applyFill="1" applyBorder="1" applyAlignment="1">
      <alignment horizontal="justify" vertical="center"/>
    </xf>
    <xf numFmtId="0" fontId="42" fillId="9" borderId="1" xfId="0" applyFont="1" applyFill="1" applyBorder="1" applyAlignment="1">
      <alignment horizontal="justify" vertical="center"/>
    </xf>
    <xf numFmtId="195" fontId="104" fillId="5" borderId="2" xfId="0" applyNumberFormat="1" applyFont="1" applyFill="1" applyBorder="1" applyAlignment="1">
      <alignment horizontal="center" vertical="center"/>
    </xf>
    <xf numFmtId="195" fontId="104" fillId="5" borderId="3" xfId="0" applyNumberFormat="1" applyFont="1" applyFill="1" applyBorder="1" applyAlignment="1">
      <alignment horizontal="center" vertical="center"/>
    </xf>
    <xf numFmtId="195" fontId="104" fillId="5" borderId="4" xfId="0" applyNumberFormat="1" applyFont="1" applyFill="1" applyBorder="1" applyAlignment="1">
      <alignment horizontal="center" vertical="center"/>
    </xf>
    <xf numFmtId="0" fontId="42" fillId="63" borderId="1" xfId="0" applyFont="1" applyFill="1" applyBorder="1" applyAlignment="1">
      <alignment horizontal="justify" vertical="center"/>
    </xf>
    <xf numFmtId="0" fontId="57" fillId="0" borderId="1" xfId="0" applyFont="1" applyBorder="1" applyAlignment="1">
      <alignment horizontal="center" vertical="center" wrapText="1"/>
    </xf>
    <xf numFmtId="4" fontId="38" fillId="3" borderId="2" xfId="58" applyNumberFormat="1" applyFont="1" applyFill="1" applyBorder="1" applyAlignment="1">
      <alignment horizontal="justify" vertical="center"/>
    </xf>
    <xf numFmtId="4" fontId="38" fillId="3" borderId="3" xfId="58" applyNumberFormat="1" applyFont="1" applyFill="1" applyBorder="1" applyAlignment="1">
      <alignment horizontal="justify" vertical="center"/>
    </xf>
    <xf numFmtId="4" fontId="38" fillId="3" borderId="4" xfId="58" applyNumberFormat="1" applyFont="1" applyFill="1" applyBorder="1" applyAlignment="1">
      <alignment horizontal="justify" vertical="center"/>
    </xf>
    <xf numFmtId="4" fontId="38" fillId="3" borderId="1" xfId="58" applyNumberFormat="1" applyFont="1" applyFill="1" applyBorder="1" applyAlignment="1">
      <alignment horizontal="justify" vertical="center"/>
    </xf>
    <xf numFmtId="4" fontId="38" fillId="3" borderId="0" xfId="58" applyNumberFormat="1" applyFont="1" applyFill="1" applyAlignment="1">
      <alignment horizontal="left" vertical="center"/>
    </xf>
    <xf numFmtId="182" fontId="38" fillId="3" borderId="0" xfId="58" applyNumberFormat="1" applyFont="1" applyFill="1" applyAlignment="1">
      <alignment horizontal="center" vertical="center"/>
    </xf>
    <xf numFmtId="182" fontId="38" fillId="3" borderId="0" xfId="58" quotePrefix="1" applyNumberFormat="1" applyFont="1" applyFill="1" applyAlignment="1">
      <alignment horizontal="center" vertical="center"/>
    </xf>
    <xf numFmtId="4" fontId="38" fillId="0" borderId="1" xfId="58" applyNumberFormat="1" applyFont="1" applyBorder="1" applyAlignment="1">
      <alignment horizontal="justify" vertical="center"/>
    </xf>
    <xf numFmtId="182" fontId="61" fillId="3" borderId="0" xfId="58" applyNumberFormat="1" applyFont="1" applyFill="1" applyAlignment="1">
      <alignment horizontal="justify" vertical="center"/>
    </xf>
    <xf numFmtId="182" fontId="61" fillId="3" borderId="0" xfId="58" quotePrefix="1" applyNumberFormat="1" applyFont="1" applyFill="1" applyAlignment="1">
      <alignment horizontal="justify" vertical="center"/>
    </xf>
    <xf numFmtId="182" fontId="38" fillId="3" borderId="0" xfId="58" applyNumberFormat="1" applyFont="1" applyFill="1" applyAlignment="1">
      <alignment horizontal="center" vertical="center" wrapText="1"/>
    </xf>
    <xf numFmtId="182" fontId="38" fillId="3" borderId="0" xfId="58" applyNumberFormat="1" applyFont="1" applyFill="1" applyAlignment="1">
      <alignment horizontal="justify" vertical="center"/>
    </xf>
    <xf numFmtId="4" fontId="38" fillId="43" borderId="44" xfId="58" applyNumberFormat="1" applyFont="1" applyFill="1" applyBorder="1" applyAlignment="1">
      <alignment horizontal="center" vertical="center"/>
    </xf>
    <xf numFmtId="4" fontId="38" fillId="43" borderId="45" xfId="58" applyNumberFormat="1" applyFont="1" applyFill="1" applyBorder="1" applyAlignment="1">
      <alignment horizontal="center" vertical="center"/>
    </xf>
    <xf numFmtId="182" fontId="42" fillId="3" borderId="0" xfId="58" applyNumberFormat="1" applyFont="1" applyFill="1" applyAlignment="1">
      <alignment horizontal="left" vertical="center"/>
    </xf>
    <xf numFmtId="182" fontId="38" fillId="0" borderId="2" xfId="58" applyNumberFormat="1" applyFont="1" applyBorder="1" applyAlignment="1">
      <alignment horizontal="justify" vertical="center"/>
    </xf>
    <xf numFmtId="182" fontId="38" fillId="0" borderId="4" xfId="58" applyNumberFormat="1" applyFont="1" applyBorder="1" applyAlignment="1">
      <alignment horizontal="justify" vertical="center"/>
    </xf>
    <xf numFmtId="4" fontId="38" fillId="3" borderId="1" xfId="0" applyNumberFormat="1" applyFont="1" applyFill="1" applyBorder="1" applyAlignment="1">
      <alignment horizontal="justify" vertical="center"/>
    </xf>
    <xf numFmtId="4" fontId="38" fillId="43" borderId="44" xfId="0" applyNumberFormat="1" applyFont="1" applyFill="1" applyBorder="1" applyAlignment="1">
      <alignment horizontal="center" vertical="center"/>
    </xf>
    <xf numFmtId="4" fontId="38" fillId="43" borderId="45" xfId="0" applyNumberFormat="1" applyFont="1" applyFill="1" applyBorder="1" applyAlignment="1">
      <alignment horizontal="center" vertical="center"/>
    </xf>
    <xf numFmtId="39" fontId="38" fillId="46" borderId="2" xfId="1" applyNumberFormat="1" applyFont="1" applyFill="1" applyBorder="1" applyAlignment="1">
      <alignment horizontal="center" vertical="center"/>
    </xf>
    <xf numFmtId="39" fontId="38" fillId="46" borderId="4" xfId="1" applyNumberFormat="1" applyFont="1" applyFill="1" applyBorder="1" applyAlignment="1">
      <alignment horizontal="center" vertical="center"/>
    </xf>
    <xf numFmtId="4" fontId="38" fillId="0" borderId="2" xfId="0" applyNumberFormat="1" applyFont="1" applyBorder="1" applyAlignment="1">
      <alignment horizontal="justify" vertical="center"/>
    </xf>
    <xf numFmtId="4" fontId="38" fillId="0" borderId="3" xfId="0" applyNumberFormat="1" applyFont="1" applyBorder="1" applyAlignment="1">
      <alignment horizontal="justify" vertical="center"/>
    </xf>
    <xf numFmtId="4" fontId="38" fillId="0" borderId="4" xfId="0" applyNumberFormat="1" applyFont="1" applyBorder="1" applyAlignment="1">
      <alignment horizontal="justify" vertical="center"/>
    </xf>
    <xf numFmtId="4" fontId="36" fillId="3" borderId="1" xfId="0" applyNumberFormat="1" applyFont="1" applyFill="1" applyBorder="1" applyAlignment="1">
      <alignment horizontal="center" vertical="center"/>
    </xf>
    <xf numFmtId="4" fontId="38" fillId="3" borderId="1" xfId="0" applyNumberFormat="1" applyFont="1" applyFill="1" applyBorder="1" applyAlignment="1">
      <alignment horizontal="center" vertical="center"/>
    </xf>
    <xf numFmtId="182" fontId="61" fillId="3" borderId="0" xfId="0" applyNumberFormat="1" applyFont="1" applyFill="1" applyAlignment="1">
      <alignment horizontal="justify" vertical="center"/>
    </xf>
    <xf numFmtId="182" fontId="36" fillId="3" borderId="0" xfId="0" applyNumberFormat="1" applyFont="1" applyFill="1" applyAlignment="1">
      <alignment horizontal="left" vertical="center" wrapText="1"/>
    </xf>
    <xf numFmtId="182" fontId="38" fillId="3" borderId="0" xfId="0" applyNumberFormat="1" applyFont="1" applyFill="1" applyAlignment="1">
      <alignment horizontal="center" vertical="center"/>
    </xf>
    <xf numFmtId="4" fontId="38" fillId="0" borderId="1" xfId="0" applyNumberFormat="1" applyFont="1" applyBorder="1" applyAlignment="1">
      <alignment horizontal="justify" vertical="center"/>
    </xf>
    <xf numFmtId="0" fontId="38" fillId="43" borderId="44" xfId="0" applyFont="1" applyFill="1" applyBorder="1" applyAlignment="1">
      <alignment horizontal="center" vertical="center"/>
    </xf>
    <xf numFmtId="0" fontId="38" fillId="43" borderId="45" xfId="0" applyFont="1" applyFill="1" applyBorder="1" applyAlignment="1">
      <alignment horizontal="center" vertical="center"/>
    </xf>
    <xf numFmtId="39" fontId="38" fillId="46" borderId="1" xfId="1" applyNumberFormat="1" applyFont="1" applyFill="1" applyBorder="1" applyAlignment="1">
      <alignment horizontal="justify" vertical="center"/>
    </xf>
    <xf numFmtId="182" fontId="36" fillId="3" borderId="0" xfId="0" applyNumberFormat="1" applyFont="1" applyFill="1" applyAlignment="1">
      <alignment horizontal="center" vertical="center" wrapText="1"/>
    </xf>
    <xf numFmtId="182" fontId="38" fillId="0" borderId="0" xfId="0" applyNumberFormat="1" applyFont="1" applyAlignment="1">
      <alignment horizontal="center" vertical="center"/>
    </xf>
    <xf numFmtId="4" fontId="36" fillId="0" borderId="5" xfId="0" applyNumberFormat="1" applyFont="1" applyBorder="1" applyAlignment="1">
      <alignment horizontal="center" vertical="center" wrapText="1"/>
    </xf>
    <xf numFmtId="4" fontId="36" fillId="0" borderId="6" xfId="0" applyNumberFormat="1" applyFont="1" applyBorder="1" applyAlignment="1">
      <alignment horizontal="center" vertical="center" wrapText="1"/>
    </xf>
    <xf numFmtId="182" fontId="38" fillId="3" borderId="0" xfId="58" applyNumberFormat="1" applyFont="1" applyFill="1" applyAlignment="1">
      <alignment horizontal="left" vertical="center"/>
    </xf>
    <xf numFmtId="39" fontId="38" fillId="46" borderId="2" xfId="1" applyNumberFormat="1" applyFont="1" applyFill="1" applyBorder="1" applyAlignment="1">
      <alignment horizontal="justify" vertical="center"/>
    </xf>
    <xf numFmtId="39" fontId="38" fillId="46" borderId="4" xfId="1" applyNumberFormat="1" applyFont="1" applyFill="1" applyBorder="1" applyAlignment="1">
      <alignment horizontal="justify" vertical="center"/>
    </xf>
    <xf numFmtId="0" fontId="85" fillId="0" borderId="0" xfId="0" applyFont="1" applyAlignment="1">
      <alignment horizontal="center" vertical="center" wrapText="1"/>
    </xf>
    <xf numFmtId="4" fontId="87" fillId="0" borderId="19" xfId="0" applyNumberFormat="1" applyFont="1" applyFill="1" applyBorder="1" applyAlignment="1">
      <alignment horizontal="center" vertical="center" wrapText="1"/>
    </xf>
    <xf numFmtId="4" fontId="87" fillId="0" borderId="20" xfId="0" applyNumberFormat="1" applyFont="1" applyFill="1" applyBorder="1" applyAlignment="1">
      <alignment horizontal="center" vertical="center" wrapText="1"/>
    </xf>
    <xf numFmtId="4" fontId="87" fillId="0" borderId="21" xfId="0" applyNumberFormat="1" applyFont="1" applyFill="1" applyBorder="1" applyAlignment="1">
      <alignment horizontal="center" vertical="center" wrapText="1"/>
    </xf>
    <xf numFmtId="4" fontId="87" fillId="0" borderId="26" xfId="0" applyNumberFormat="1" applyFont="1" applyFill="1" applyBorder="1" applyAlignment="1">
      <alignment horizontal="center" vertical="center" wrapText="1"/>
    </xf>
    <xf numFmtId="4" fontId="87" fillId="0" borderId="27" xfId="0" applyNumberFormat="1" applyFont="1" applyFill="1" applyBorder="1" applyAlignment="1">
      <alignment horizontal="center" vertical="center" wrapText="1"/>
    </xf>
    <xf numFmtId="4" fontId="87" fillId="0" borderId="28" xfId="0" applyNumberFormat="1" applyFont="1" applyFill="1" applyBorder="1" applyAlignment="1">
      <alignment horizontal="center" vertical="center" wrapText="1"/>
    </xf>
    <xf numFmtId="0" fontId="89" fillId="73" borderId="19" xfId="0" applyFont="1" applyFill="1" applyBorder="1" applyAlignment="1">
      <alignment horizontal="center" vertical="center" wrapText="1"/>
    </xf>
    <xf numFmtId="0" fontId="90" fillId="73" borderId="63" xfId="0" applyFont="1" applyFill="1" applyBorder="1" applyAlignment="1">
      <alignment horizontal="center" vertical="center" wrapText="1"/>
    </xf>
    <xf numFmtId="0" fontId="90" fillId="73" borderId="29" xfId="0" applyFont="1" applyFill="1" applyBorder="1" applyAlignment="1">
      <alignment horizontal="center" vertical="center" wrapText="1"/>
    </xf>
    <xf numFmtId="0" fontId="90" fillId="73" borderId="43" xfId="0" applyFont="1" applyFill="1" applyBorder="1" applyAlignment="1">
      <alignment horizontal="center" vertical="center" wrapText="1"/>
    </xf>
    <xf numFmtId="0" fontId="90" fillId="73" borderId="26" xfId="0" applyFont="1" applyFill="1" applyBorder="1" applyAlignment="1">
      <alignment horizontal="center" vertical="center" wrapText="1"/>
    </xf>
    <xf numFmtId="0" fontId="90" fillId="73" borderId="68" xfId="0" applyFont="1" applyFill="1" applyBorder="1" applyAlignment="1">
      <alignment horizontal="center" vertical="center" wrapText="1"/>
    </xf>
    <xf numFmtId="0" fontId="89" fillId="73" borderId="64" xfId="0" applyFont="1" applyFill="1" applyBorder="1" applyAlignment="1">
      <alignment horizontal="center" vertical="center" wrapText="1"/>
    </xf>
    <xf numFmtId="0" fontId="89" fillId="73" borderId="6" xfId="0" applyFont="1" applyFill="1" applyBorder="1" applyAlignment="1">
      <alignment horizontal="center" vertical="center" wrapText="1"/>
    </xf>
    <xf numFmtId="0" fontId="89" fillId="73" borderId="69" xfId="0" applyFont="1" applyFill="1" applyBorder="1" applyAlignment="1">
      <alignment horizontal="center" vertical="center" wrapText="1"/>
    </xf>
    <xf numFmtId="0" fontId="87" fillId="73" borderId="65" xfId="0" applyFont="1" applyFill="1" applyBorder="1" applyAlignment="1">
      <alignment horizontal="center" wrapText="1"/>
    </xf>
    <xf numFmtId="0" fontId="88" fillId="73" borderId="65" xfId="0" applyFont="1" applyFill="1" applyBorder="1" applyAlignment="1">
      <alignment horizontal="center" wrapText="1"/>
    </xf>
    <xf numFmtId="0" fontId="88" fillId="73" borderId="66" xfId="0" applyFont="1" applyFill="1" applyBorder="1" applyAlignment="1">
      <alignment horizontal="center" wrapText="1"/>
    </xf>
    <xf numFmtId="0" fontId="89" fillId="0" borderId="44" xfId="0" applyFont="1" applyFill="1" applyBorder="1" applyAlignment="1">
      <alignment horizontal="left"/>
    </xf>
    <xf numFmtId="0" fontId="89" fillId="0" borderId="45" xfId="0" applyFont="1" applyFill="1" applyBorder="1" applyAlignment="1">
      <alignment horizontal="left"/>
    </xf>
    <xf numFmtId="0" fontId="89" fillId="0" borderId="0" xfId="0" applyFont="1" applyFill="1" applyBorder="1" applyAlignment="1">
      <alignment horizontal="left"/>
    </xf>
    <xf numFmtId="2" fontId="89" fillId="60" borderId="2" xfId="0" applyNumberFormat="1" applyFont="1" applyFill="1" applyBorder="1" applyAlignment="1">
      <alignment horizontal="center"/>
    </xf>
    <xf numFmtId="2" fontId="89" fillId="60" borderId="3" xfId="0" applyNumberFormat="1" applyFont="1" applyFill="1" applyBorder="1" applyAlignment="1">
      <alignment horizontal="center"/>
    </xf>
    <xf numFmtId="2" fontId="89" fillId="60" borderId="4" xfId="0" applyNumberFormat="1" applyFont="1" applyFill="1" applyBorder="1" applyAlignment="1">
      <alignment horizontal="center"/>
    </xf>
    <xf numFmtId="0" fontId="93" fillId="5" borderId="0" xfId="0" applyFont="1" applyFill="1" applyAlignment="1">
      <alignment horizontal="center"/>
    </xf>
    <xf numFmtId="0" fontId="90" fillId="3" borderId="20" xfId="0" applyFont="1" applyFill="1" applyBorder="1" applyAlignment="1">
      <alignment horizontal="left" vertical="center" wrapText="1"/>
    </xf>
    <xf numFmtId="2" fontId="36" fillId="0" borderId="5" xfId="0" applyNumberFormat="1" applyFont="1" applyBorder="1" applyAlignment="1" applyProtection="1">
      <alignment horizontal="center" vertical="center" wrapText="1"/>
      <protection locked="0"/>
    </xf>
    <xf numFmtId="2" fontId="36" fillId="0" borderId="6" xfId="0" applyNumberFormat="1" applyFont="1" applyBorder="1" applyAlignment="1" applyProtection="1">
      <alignment horizontal="center" vertical="center" wrapText="1"/>
      <protection locked="0"/>
    </xf>
    <xf numFmtId="2" fontId="36" fillId="0" borderId="7" xfId="0" applyNumberFormat="1" applyFont="1" applyBorder="1" applyAlignment="1" applyProtection="1">
      <alignment horizontal="center" vertical="center" wrapText="1"/>
      <protection locked="0"/>
    </xf>
    <xf numFmtId="0" fontId="9" fillId="69" borderId="2" xfId="0" applyFont="1" applyFill="1" applyBorder="1" applyAlignment="1">
      <alignment horizontal="center" vertical="center" wrapText="1"/>
    </xf>
    <xf numFmtId="0" fontId="9" fillId="69" borderId="3" xfId="0" applyFont="1" applyFill="1" applyBorder="1" applyAlignment="1">
      <alignment horizontal="center" vertical="center" wrapText="1"/>
    </xf>
    <xf numFmtId="0" fontId="9" fillId="69" borderId="4" xfId="0" applyFont="1" applyFill="1" applyBorder="1" applyAlignment="1">
      <alignment horizontal="center" vertical="center" wrapText="1"/>
    </xf>
    <xf numFmtId="0" fontId="37" fillId="0" borderId="1" xfId="0" applyFont="1" applyBorder="1" applyAlignment="1">
      <alignment horizontal="center" vertical="center" wrapText="1"/>
    </xf>
    <xf numFmtId="0" fontId="37" fillId="3" borderId="1" xfId="0" applyFont="1" applyFill="1" applyBorder="1" applyAlignment="1">
      <alignment horizontal="center" vertical="center"/>
    </xf>
    <xf numFmtId="4" fontId="42" fillId="9" borderId="2" xfId="0" applyNumberFormat="1" applyFont="1" applyFill="1" applyBorder="1" applyAlignment="1" applyProtection="1">
      <alignment horizontal="justify" vertical="center" wrapText="1"/>
      <protection locked="0"/>
    </xf>
    <xf numFmtId="4" fontId="42" fillId="9" borderId="3" xfId="0" applyNumberFormat="1" applyFont="1" applyFill="1" applyBorder="1" applyAlignment="1" applyProtection="1">
      <alignment horizontal="justify" vertical="center" wrapText="1"/>
      <protection locked="0"/>
    </xf>
    <xf numFmtId="4" fontId="42" fillId="9" borderId="4" xfId="0" applyNumberFormat="1" applyFont="1" applyFill="1" applyBorder="1" applyAlignment="1" applyProtection="1">
      <alignment horizontal="justify" vertical="center" wrapText="1"/>
      <protection locked="0"/>
    </xf>
    <xf numFmtId="0" fontId="9" fillId="3" borderId="2" xfId="0" applyFont="1" applyFill="1" applyBorder="1" applyAlignment="1">
      <alignment horizontal="justify" vertical="center" wrapText="1"/>
    </xf>
    <xf numFmtId="0" fontId="9" fillId="3" borderId="3" xfId="0" applyFont="1" applyFill="1" applyBorder="1" applyAlignment="1">
      <alignment horizontal="justify" vertical="center" wrapText="1"/>
    </xf>
    <xf numFmtId="0" fontId="9" fillId="3" borderId="4" xfId="0" applyFont="1" applyFill="1" applyBorder="1" applyAlignment="1">
      <alignment horizontal="justify" vertical="center" wrapText="1"/>
    </xf>
    <xf numFmtId="4" fontId="38" fillId="59" borderId="2" xfId="0" applyNumberFormat="1" applyFont="1" applyFill="1" applyBorder="1" applyAlignment="1" applyProtection="1">
      <alignment horizontal="justify" vertical="center" wrapText="1"/>
      <protection locked="0"/>
    </xf>
    <xf numFmtId="4" fontId="38" fillId="59" borderId="3" xfId="0" applyNumberFormat="1" applyFont="1" applyFill="1" applyBorder="1" applyAlignment="1" applyProtection="1">
      <alignment horizontal="justify" vertical="center" wrapText="1"/>
      <protection locked="0"/>
    </xf>
    <xf numFmtId="4" fontId="38" fillId="59" borderId="4" xfId="0" applyNumberFormat="1" applyFont="1" applyFill="1" applyBorder="1" applyAlignment="1" applyProtection="1">
      <alignment horizontal="justify" vertical="center" wrapText="1"/>
      <protection locked="0"/>
    </xf>
    <xf numFmtId="4" fontId="38" fillId="9" borderId="2" xfId="0" applyNumberFormat="1" applyFont="1" applyFill="1" applyBorder="1" applyAlignment="1" applyProtection="1">
      <alignment horizontal="justify" vertical="center" wrapText="1"/>
      <protection locked="0"/>
    </xf>
    <xf numFmtId="4" fontId="38" fillId="9" borderId="3" xfId="0" applyNumberFormat="1" applyFont="1" applyFill="1" applyBorder="1" applyAlignment="1" applyProtection="1">
      <alignment horizontal="justify" vertical="center" wrapText="1"/>
      <protection locked="0"/>
    </xf>
    <xf numFmtId="4" fontId="38" fillId="9" borderId="4" xfId="0" applyNumberFormat="1" applyFont="1" applyFill="1" applyBorder="1" applyAlignment="1" applyProtection="1">
      <alignment horizontal="justify" vertical="center" wrapText="1"/>
      <protection locked="0"/>
    </xf>
    <xf numFmtId="4" fontId="82" fillId="0" borderId="5" xfId="0" applyNumberFormat="1" applyFont="1" applyBorder="1" applyAlignment="1" applyProtection="1">
      <alignment horizontal="right" vertical="center" wrapText="1"/>
      <protection locked="0"/>
    </xf>
    <xf numFmtId="4" fontId="82" fillId="0" borderId="6" xfId="0" applyNumberFormat="1" applyFont="1" applyBorder="1" applyAlignment="1" applyProtection="1">
      <alignment horizontal="right" vertical="center" wrapText="1"/>
      <protection locked="0"/>
    </xf>
    <xf numFmtId="4" fontId="82" fillId="0" borderId="7" xfId="0" applyNumberFormat="1" applyFont="1" applyBorder="1" applyAlignment="1" applyProtection="1">
      <alignment horizontal="right" vertical="center" wrapText="1"/>
      <protection locked="0"/>
    </xf>
    <xf numFmtId="0" fontId="9" fillId="50" borderId="0" xfId="0" applyFont="1" applyFill="1" applyAlignment="1">
      <alignment horizontal="center" vertical="center"/>
    </xf>
    <xf numFmtId="0" fontId="60" fillId="4" borderId="1" xfId="0" applyFont="1" applyFill="1" applyBorder="1" applyAlignment="1">
      <alignment horizontal="justify" vertical="center" wrapText="1"/>
    </xf>
    <xf numFmtId="0" fontId="9" fillId="3" borderId="1" xfId="0" applyFont="1" applyFill="1" applyBorder="1" applyAlignment="1">
      <alignment horizontal="justify" vertical="center" wrapText="1"/>
    </xf>
    <xf numFmtId="0" fontId="9" fillId="69" borderId="1" xfId="0" applyFont="1" applyFill="1" applyBorder="1" applyAlignment="1">
      <alignment horizontal="justify" vertical="center" wrapText="1"/>
    </xf>
    <xf numFmtId="0" fontId="102" fillId="79" borderId="0" xfId="1" applyFont="1" applyFill="1" applyAlignment="1">
      <alignment horizontal="center"/>
    </xf>
    <xf numFmtId="0" fontId="100" fillId="80" borderId="86" xfId="1" applyFont="1" applyFill="1" applyBorder="1" applyAlignment="1">
      <alignment horizontal="center" vertical="center" wrapText="1"/>
    </xf>
    <xf numFmtId="0" fontId="100" fillId="80" borderId="87" xfId="1" applyFont="1" applyFill="1" applyBorder="1" applyAlignment="1">
      <alignment horizontal="center" vertical="center" wrapText="1"/>
    </xf>
    <xf numFmtId="0" fontId="100" fillId="80" borderId="88" xfId="1" applyFont="1" applyFill="1" applyBorder="1" applyAlignment="1">
      <alignment horizontal="center" vertical="center" wrapText="1"/>
    </xf>
    <xf numFmtId="0" fontId="100" fillId="80" borderId="89" xfId="1" applyFont="1" applyFill="1" applyBorder="1" applyAlignment="1">
      <alignment horizontal="center" vertical="center" wrapText="1"/>
    </xf>
    <xf numFmtId="0" fontId="100" fillId="80" borderId="29" xfId="1" applyFont="1" applyFill="1" applyBorder="1" applyAlignment="1">
      <alignment horizontal="center" vertical="center" wrapText="1"/>
    </xf>
    <xf numFmtId="0" fontId="100" fillId="80" borderId="90" xfId="1" applyFont="1" applyFill="1" applyBorder="1" applyAlignment="1">
      <alignment horizontal="center" vertical="center" wrapText="1"/>
    </xf>
    <xf numFmtId="0" fontId="101" fillId="81" borderId="8" xfId="0" applyFont="1" applyFill="1" applyBorder="1" applyAlignment="1">
      <alignment horizontal="center"/>
    </xf>
    <xf numFmtId="0" fontId="101" fillId="82" borderId="0" xfId="0" applyFont="1" applyFill="1" applyBorder="1" applyAlignment="1">
      <alignment horizont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96" fillId="3" borderId="2" xfId="0" applyFont="1" applyFill="1" applyBorder="1" applyAlignment="1">
      <alignment horizontal="left"/>
    </xf>
    <xf numFmtId="0" fontId="96" fillId="3" borderId="3" xfId="0" applyFont="1" applyFill="1" applyBorder="1" applyAlignment="1">
      <alignment horizontal="left"/>
    </xf>
    <xf numFmtId="0" fontId="96" fillId="3" borderId="4" xfId="0" applyFont="1" applyFill="1" applyBorder="1" applyAlignment="1">
      <alignment horizontal="left"/>
    </xf>
    <xf numFmtId="0" fontId="102" fillId="50" borderId="0" xfId="1" applyFont="1" applyFill="1" applyAlignment="1">
      <alignment horizontal="center"/>
    </xf>
    <xf numFmtId="0" fontId="71" fillId="50" borderId="0" xfId="0" applyFont="1" applyFill="1" applyAlignment="1">
      <alignment horizontal="center" vertical="center"/>
    </xf>
    <xf numFmtId="0" fontId="37" fillId="3" borderId="48" xfId="0" applyFont="1" applyFill="1" applyBorder="1" applyAlignment="1">
      <alignment horizontal="center" vertical="center"/>
    </xf>
    <xf numFmtId="0" fontId="37" fillId="3" borderId="49" xfId="0" applyFont="1" applyFill="1" applyBorder="1" applyAlignment="1">
      <alignment horizontal="center" vertical="center"/>
    </xf>
    <xf numFmtId="0" fontId="37" fillId="3" borderId="50" xfId="0" applyFont="1" applyFill="1" applyBorder="1" applyAlignment="1">
      <alignment horizontal="center" vertical="center"/>
    </xf>
    <xf numFmtId="0" fontId="38" fillId="3" borderId="37" xfId="0" applyFont="1" applyFill="1" applyBorder="1" applyAlignment="1">
      <alignment horizontal="center" vertical="center"/>
    </xf>
    <xf numFmtId="0" fontId="37" fillId="3" borderId="38" xfId="0" applyFont="1" applyFill="1" applyBorder="1" applyAlignment="1">
      <alignment horizontal="center" vertical="center"/>
    </xf>
    <xf numFmtId="0" fontId="36" fillId="3" borderId="3" xfId="0" applyFont="1" applyFill="1" applyBorder="1" applyAlignment="1">
      <alignment horizontal="center"/>
    </xf>
    <xf numFmtId="166" fontId="36" fillId="3" borderId="44" xfId="56" applyFont="1" applyFill="1" applyBorder="1" applyAlignment="1">
      <alignment horizontal="center"/>
    </xf>
    <xf numFmtId="166" fontId="36" fillId="3" borderId="45" xfId="56" applyFont="1" applyFill="1" applyBorder="1" applyAlignment="1">
      <alignment horizontal="center"/>
    </xf>
    <xf numFmtId="166" fontId="36" fillId="3" borderId="46" xfId="56" applyFont="1" applyFill="1" applyBorder="1" applyAlignment="1">
      <alignment horizontal="center"/>
    </xf>
    <xf numFmtId="0" fontId="9" fillId="70" borderId="51" xfId="0" applyFont="1" applyFill="1" applyBorder="1" applyAlignment="1">
      <alignment horizontal="center" vertical="center"/>
    </xf>
    <xf numFmtId="0" fontId="9" fillId="70" borderId="52" xfId="0" applyFont="1" applyFill="1" applyBorder="1" applyAlignment="1">
      <alignment horizontal="center" vertical="center"/>
    </xf>
    <xf numFmtId="0" fontId="9" fillId="70" borderId="53" xfId="0" applyFont="1" applyFill="1" applyBorder="1" applyAlignment="1">
      <alignment horizontal="center" vertical="center"/>
    </xf>
    <xf numFmtId="0" fontId="67" fillId="0" borderId="48" xfId="0" applyFont="1" applyBorder="1" applyAlignment="1">
      <alignment horizontal="center" vertical="center"/>
    </xf>
    <xf numFmtId="0" fontId="67" fillId="0" borderId="49" xfId="0" applyFont="1" applyBorder="1" applyAlignment="1">
      <alignment horizontal="center" vertical="center"/>
    </xf>
    <xf numFmtId="0" fontId="67" fillId="0" borderId="50" xfId="0" applyFont="1" applyBorder="1" applyAlignment="1">
      <alignment horizontal="center" vertical="center"/>
    </xf>
    <xf numFmtId="0" fontId="57" fillId="3" borderId="1" xfId="0" applyFont="1" applyFill="1" applyBorder="1" applyAlignment="1">
      <alignment horizontal="justify" vertical="center" wrapText="1"/>
    </xf>
    <xf numFmtId="0" fontId="9" fillId="70" borderId="47" xfId="0" applyFont="1" applyFill="1" applyBorder="1" applyAlignment="1">
      <alignment horizontal="center" vertical="center"/>
    </xf>
    <xf numFmtId="0" fontId="9" fillId="70" borderId="48" xfId="0" applyFont="1" applyFill="1" applyBorder="1" applyAlignment="1">
      <alignment horizontal="center" vertical="center"/>
    </xf>
    <xf numFmtId="0" fontId="9" fillId="70" borderId="49" xfId="0" applyFont="1" applyFill="1" applyBorder="1" applyAlignment="1">
      <alignment horizontal="center" vertical="center"/>
    </xf>
    <xf numFmtId="0" fontId="9" fillId="70" borderId="50" xfId="0" applyFont="1" applyFill="1" applyBorder="1" applyAlignment="1">
      <alignment horizontal="center" vertical="center"/>
    </xf>
    <xf numFmtId="4" fontId="9" fillId="70" borderId="48" xfId="0" applyNumberFormat="1" applyFont="1" applyFill="1" applyBorder="1" applyAlignment="1">
      <alignment horizontal="center" vertical="center" wrapText="1"/>
    </xf>
    <xf numFmtId="4" fontId="9" fillId="70" borderId="49" xfId="0" applyNumberFormat="1" applyFont="1" applyFill="1" applyBorder="1" applyAlignment="1">
      <alignment horizontal="center" vertical="center" wrapText="1"/>
    </xf>
    <xf numFmtId="4" fontId="9" fillId="70" borderId="50" xfId="0" applyNumberFormat="1" applyFont="1" applyFill="1" applyBorder="1" applyAlignment="1">
      <alignment horizontal="center" vertical="center" wrapText="1"/>
    </xf>
    <xf numFmtId="0" fontId="71" fillId="42" borderId="0" xfId="0" applyFont="1" applyFill="1" applyAlignment="1">
      <alignment horizontal="center" vertical="center"/>
    </xf>
    <xf numFmtId="0" fontId="9" fillId="42" borderId="0" xfId="0" applyFont="1" applyFill="1" applyAlignment="1">
      <alignment horizontal="center" vertical="center"/>
    </xf>
    <xf numFmtId="0" fontId="9" fillId="3" borderId="51" xfId="0" applyFont="1" applyFill="1" applyBorder="1" applyAlignment="1">
      <alignment horizontal="justify" vertical="center"/>
    </xf>
    <xf numFmtId="0" fontId="9" fillId="3" borderId="52" xfId="0" applyFont="1" applyFill="1" applyBorder="1" applyAlignment="1">
      <alignment horizontal="justify" vertical="center"/>
    </xf>
    <xf numFmtId="0" fontId="9" fillId="3" borderId="53" xfId="0" applyFont="1" applyFill="1" applyBorder="1" applyAlignment="1">
      <alignment horizontal="justify" vertical="center"/>
    </xf>
    <xf numFmtId="0" fontId="71" fillId="42" borderId="0" xfId="0" applyFont="1" applyFill="1" applyBorder="1" applyAlignment="1">
      <alignment horizontal="center" vertical="center"/>
    </xf>
    <xf numFmtId="0" fontId="38" fillId="3" borderId="51" xfId="0" applyFont="1" applyFill="1" applyBorder="1" applyAlignment="1">
      <alignment horizontal="justify" vertical="center"/>
    </xf>
    <xf numFmtId="0" fontId="38" fillId="3" borderId="53" xfId="0" applyFont="1" applyFill="1" applyBorder="1" applyAlignment="1">
      <alignment horizontal="justify" vertical="center"/>
    </xf>
    <xf numFmtId="0" fontId="38" fillId="42" borderId="0" xfId="0" applyFont="1" applyFill="1" applyAlignment="1">
      <alignment horizontal="justify" vertical="center"/>
    </xf>
    <xf numFmtId="0" fontId="38" fillId="45" borderId="0" xfId="0" applyFont="1" applyFill="1" applyAlignment="1">
      <alignment horizontal="justify" vertical="center"/>
    </xf>
    <xf numFmtId="0" fontId="38" fillId="4" borderId="0" xfId="0" applyFont="1" applyFill="1" applyAlignment="1">
      <alignment horizontal="justify" vertical="center"/>
    </xf>
    <xf numFmtId="0" fontId="38" fillId="8" borderId="0" xfId="0" applyFont="1" applyFill="1" applyAlignment="1">
      <alignment horizontal="justify" vertical="center"/>
    </xf>
    <xf numFmtId="4" fontId="38" fillId="70" borderId="55" xfId="0" applyNumberFormat="1" applyFont="1" applyFill="1" applyBorder="1" applyAlignment="1">
      <alignment horizontal="center" vertical="center" wrapText="1"/>
    </xf>
    <xf numFmtId="4" fontId="38" fillId="70" borderId="49" xfId="0" applyNumberFormat="1" applyFont="1" applyFill="1" applyBorder="1" applyAlignment="1">
      <alignment horizontal="center" vertical="center" wrapText="1"/>
    </xf>
    <xf numFmtId="4" fontId="38" fillId="70" borderId="50" xfId="0" applyNumberFormat="1" applyFont="1" applyFill="1" applyBorder="1" applyAlignment="1">
      <alignment horizontal="center" vertical="center" wrapText="1"/>
    </xf>
    <xf numFmtId="0" fontId="38" fillId="70" borderId="51" xfId="0" applyFont="1" applyFill="1" applyBorder="1" applyAlignment="1">
      <alignment horizontal="center" vertical="center"/>
    </xf>
    <xf numFmtId="0" fontId="38" fillId="70" borderId="52" xfId="0" applyFont="1" applyFill="1" applyBorder="1" applyAlignment="1">
      <alignment horizontal="center" vertical="center"/>
    </xf>
    <xf numFmtId="0" fontId="38" fillId="70" borderId="53" xfId="0" applyFont="1" applyFill="1" applyBorder="1" applyAlignment="1">
      <alignment horizontal="center" vertical="center"/>
    </xf>
    <xf numFmtId="0" fontId="38" fillId="71" borderId="0" xfId="0" applyFont="1" applyFill="1" applyAlignment="1">
      <alignment horizontal="justify" vertical="center"/>
    </xf>
    <xf numFmtId="4" fontId="38" fillId="70" borderId="48" xfId="0" applyNumberFormat="1" applyFont="1" applyFill="1" applyBorder="1" applyAlignment="1">
      <alignment horizontal="center" vertical="center" wrapText="1"/>
    </xf>
    <xf numFmtId="0" fontId="38" fillId="70" borderId="48" xfId="0" applyFont="1" applyFill="1" applyBorder="1" applyAlignment="1">
      <alignment horizontal="center" vertical="center"/>
    </xf>
    <xf numFmtId="0" fontId="38" fillId="70" borderId="49" xfId="0" applyFont="1" applyFill="1" applyBorder="1" applyAlignment="1">
      <alignment horizontal="center" vertical="center"/>
    </xf>
    <xf numFmtId="0" fontId="38" fillId="70" borderId="50" xfId="0" applyFont="1" applyFill="1" applyBorder="1" applyAlignment="1">
      <alignment horizontal="center" vertical="center"/>
    </xf>
    <xf numFmtId="0" fontId="36" fillId="3" borderId="48" xfId="0" applyFont="1" applyFill="1" applyBorder="1" applyAlignment="1">
      <alignment horizontal="center" vertical="center"/>
    </xf>
    <xf numFmtId="0" fontId="36" fillId="3" borderId="50" xfId="0" applyFont="1" applyFill="1" applyBorder="1" applyAlignment="1">
      <alignment horizontal="center" vertical="center"/>
    </xf>
    <xf numFmtId="0" fontId="38" fillId="3" borderId="48" xfId="0" applyFont="1" applyFill="1" applyBorder="1" applyAlignment="1">
      <alignment horizontal="center" vertical="center"/>
    </xf>
    <xf numFmtId="0" fontId="38" fillId="3" borderId="49" xfId="0" applyFont="1" applyFill="1" applyBorder="1" applyAlignment="1">
      <alignment horizontal="center" vertical="center"/>
    </xf>
    <xf numFmtId="0" fontId="38" fillId="3" borderId="50" xfId="0" applyFont="1" applyFill="1" applyBorder="1" applyAlignment="1">
      <alignment horizontal="center" vertical="center"/>
    </xf>
    <xf numFmtId="0" fontId="9" fillId="72" borderId="0" xfId="0" applyFont="1" applyFill="1" applyAlignment="1">
      <alignment horizontal="justify" vertical="center"/>
    </xf>
    <xf numFmtId="0" fontId="9" fillId="50" borderId="0" xfId="0" applyFont="1" applyFill="1" applyAlignment="1">
      <alignment horizontal="justify"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75" fillId="53" borderId="0" xfId="0" applyFont="1" applyFill="1" applyAlignment="1">
      <alignment horizontal="center" vertical="center"/>
    </xf>
    <xf numFmtId="0" fontId="9" fillId="42" borderId="0" xfId="0" applyFont="1" applyFill="1" applyAlignment="1">
      <alignment horizontal="justify" vertical="center"/>
    </xf>
    <xf numFmtId="0" fontId="9" fillId="59" borderId="0" xfId="0" applyFont="1" applyFill="1" applyAlignment="1">
      <alignment horizontal="justify" vertical="center"/>
    </xf>
    <xf numFmtId="0" fontId="9" fillId="53" borderId="0" xfId="0" applyFont="1" applyFill="1" applyAlignment="1">
      <alignment horizontal="justify" vertical="center"/>
    </xf>
    <xf numFmtId="0" fontId="75" fillId="50" borderId="0" xfId="0" applyFont="1" applyFill="1" applyAlignment="1">
      <alignment horizontal="center" vertical="center"/>
    </xf>
    <xf numFmtId="0" fontId="9" fillId="54" borderId="0" xfId="0" applyFont="1" applyFill="1" applyAlignment="1">
      <alignment horizontal="justify" vertical="center"/>
    </xf>
    <xf numFmtId="0" fontId="9" fillId="51" borderId="0" xfId="0" applyFont="1" applyFill="1" applyAlignment="1">
      <alignment horizontal="justify" vertical="center"/>
    </xf>
    <xf numFmtId="4" fontId="9" fillId="70" borderId="55" xfId="0" applyNumberFormat="1" applyFont="1" applyFill="1" applyBorder="1" applyAlignment="1">
      <alignment horizontal="center" vertical="center" wrapText="1"/>
    </xf>
    <xf numFmtId="0" fontId="47" fillId="65" borderId="1" xfId="0" applyFont="1" applyFill="1" applyBorder="1" applyAlignment="1">
      <alignment horizontal="center"/>
    </xf>
    <xf numFmtId="0" fontId="47" fillId="65" borderId="5" xfId="0" applyFont="1" applyFill="1" applyBorder="1" applyAlignment="1">
      <alignment horizontal="justify" vertical="center"/>
    </xf>
    <xf numFmtId="0" fontId="47" fillId="65" borderId="7" xfId="0" applyFont="1" applyFill="1" applyBorder="1" applyAlignment="1">
      <alignment horizontal="justify" vertical="center"/>
    </xf>
    <xf numFmtId="0" fontId="78" fillId="65" borderId="5" xfId="0" applyFont="1" applyFill="1" applyBorder="1" applyAlignment="1">
      <alignment horizontal="center" vertical="center"/>
    </xf>
    <xf numFmtId="0" fontId="78" fillId="65" borderId="7" xfId="0" applyFont="1" applyFill="1" applyBorder="1" applyAlignment="1">
      <alignment horizontal="center" vertical="center"/>
    </xf>
    <xf numFmtId="0" fontId="79" fillId="59" borderId="0" xfId="0" applyFont="1" applyFill="1" applyAlignment="1">
      <alignment horizontal="justify" vertical="center"/>
    </xf>
    <xf numFmtId="0" fontId="78" fillId="59" borderId="5" xfId="0" applyFont="1" applyFill="1" applyBorder="1" applyAlignment="1">
      <alignment horizontal="center" vertical="center"/>
    </xf>
    <xf numFmtId="0" fontId="78" fillId="59" borderId="7" xfId="0" applyFont="1" applyFill="1" applyBorder="1" applyAlignment="1">
      <alignment horizontal="center" vertical="center"/>
    </xf>
    <xf numFmtId="0" fontId="47" fillId="59" borderId="2" xfId="0" applyFont="1" applyFill="1" applyBorder="1" applyAlignment="1">
      <alignment horizontal="center"/>
    </xf>
    <xf numFmtId="0" fontId="47" fillId="59" borderId="3" xfId="0" applyFont="1" applyFill="1" applyBorder="1" applyAlignment="1">
      <alignment horizontal="center"/>
    </xf>
    <xf numFmtId="0" fontId="47" fillId="59" borderId="4" xfId="0" applyFont="1" applyFill="1" applyBorder="1" applyAlignment="1">
      <alignment horizontal="center"/>
    </xf>
    <xf numFmtId="0" fontId="47" fillId="59" borderId="5" xfId="0" applyFont="1" applyFill="1" applyBorder="1" applyAlignment="1">
      <alignment horizontal="center" vertical="center"/>
    </xf>
    <xf numFmtId="0" fontId="47" fillId="59" borderId="6" xfId="0" applyFont="1" applyFill="1" applyBorder="1" applyAlignment="1">
      <alignment horizontal="center" vertical="center"/>
    </xf>
    <xf numFmtId="0" fontId="47" fillId="59" borderId="7" xfId="0" applyFont="1" applyFill="1" applyBorder="1" applyAlignment="1">
      <alignment horizontal="center" vertical="center"/>
    </xf>
    <xf numFmtId="39" fontId="37" fillId="50" borderId="1" xfId="56" applyNumberFormat="1" applyFont="1" applyFill="1" applyBorder="1" applyAlignment="1">
      <alignment horizontal="center" vertical="center"/>
    </xf>
    <xf numFmtId="0" fontId="78" fillId="9" borderId="5" xfId="0" applyFont="1" applyFill="1" applyBorder="1" applyAlignment="1">
      <alignment horizontal="center" vertical="center"/>
    </xf>
    <xf numFmtId="0" fontId="78" fillId="9" borderId="7" xfId="0" applyFont="1" applyFill="1" applyBorder="1" applyAlignment="1">
      <alignment horizontal="center" vertical="center"/>
    </xf>
    <xf numFmtId="10" fontId="46" fillId="3" borderId="0" xfId="57" applyNumberFormat="1" applyFont="1" applyFill="1" applyBorder="1" applyAlignment="1">
      <alignment horizontal="center" vertical="center"/>
    </xf>
    <xf numFmtId="0" fontId="79" fillId="54" borderId="0" xfId="0" applyFont="1" applyFill="1" applyAlignment="1">
      <alignment horizontal="center" vertical="center"/>
    </xf>
    <xf numFmtId="0" fontId="81" fillId="73" borderId="0" xfId="0" applyFont="1" applyFill="1" applyBorder="1" applyAlignment="1">
      <alignment horizontal="center" vertical="center" wrapText="1"/>
    </xf>
    <xf numFmtId="0" fontId="81" fillId="73" borderId="58" xfId="0" applyFont="1" applyFill="1" applyBorder="1" applyAlignment="1">
      <alignment horizontal="center" vertical="center" wrapText="1"/>
    </xf>
    <xf numFmtId="0" fontId="81" fillId="63" borderId="59" xfId="0" applyFont="1" applyFill="1" applyBorder="1" applyAlignment="1">
      <alignment horizontal="center" vertical="center" wrapText="1"/>
    </xf>
    <xf numFmtId="0" fontId="81" fillId="63" borderId="0" xfId="0" applyFont="1" applyFill="1" applyBorder="1" applyAlignment="1">
      <alignment horizontal="center" vertical="center" wrapText="1"/>
    </xf>
    <xf numFmtId="0" fontId="47" fillId="73" borderId="5" xfId="0" applyFont="1" applyFill="1" applyBorder="1" applyAlignment="1">
      <alignment horizontal="center" vertical="center" wrapText="1"/>
    </xf>
    <xf numFmtId="0" fontId="47" fillId="73" borderId="7" xfId="0" applyFont="1" applyFill="1" applyBorder="1" applyAlignment="1">
      <alignment horizontal="center" vertical="center" wrapText="1"/>
    </xf>
    <xf numFmtId="0" fontId="47" fillId="73" borderId="1" xfId="0" applyFont="1" applyFill="1" applyBorder="1" applyAlignment="1">
      <alignment horizontal="center" vertical="center" wrapText="1"/>
    </xf>
    <xf numFmtId="0" fontId="47" fillId="3" borderId="0" xfId="0" applyFont="1" applyFill="1" applyBorder="1" applyAlignment="1">
      <alignment horizontal="center" vertical="center" wrapText="1"/>
    </xf>
    <xf numFmtId="0" fontId="79" fillId="42" borderId="0" xfId="0" applyFont="1" applyFill="1" applyAlignment="1">
      <alignment horizontal="center" vertical="center"/>
    </xf>
    <xf numFmtId="0" fontId="47" fillId="54" borderId="1" xfId="0" applyFont="1" applyFill="1" applyBorder="1" applyAlignment="1">
      <alignment horizontal="center" vertical="center" wrapText="1"/>
    </xf>
    <xf numFmtId="0" fontId="47" fillId="9"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47" fillId="9" borderId="1" xfId="0" applyFont="1" applyFill="1" applyBorder="1" applyAlignment="1">
      <alignment horizontal="center"/>
    </xf>
    <xf numFmtId="0" fontId="47" fillId="9" borderId="5" xfId="0" applyFont="1" applyFill="1" applyBorder="1" applyAlignment="1">
      <alignment horizontal="justify" vertical="center"/>
    </xf>
    <xf numFmtId="0" fontId="47" fillId="9" borderId="7" xfId="0" applyFont="1" applyFill="1" applyBorder="1" applyAlignment="1">
      <alignment horizontal="justify" vertical="center"/>
    </xf>
    <xf numFmtId="0" fontId="47" fillId="59" borderId="5" xfId="0" applyFont="1" applyFill="1" applyBorder="1" applyAlignment="1">
      <alignment horizontal="justify" vertical="center"/>
    </xf>
    <xf numFmtId="0" fontId="47" fillId="59" borderId="7" xfId="0" applyFont="1" applyFill="1" applyBorder="1" applyAlignment="1">
      <alignment horizontal="justify" vertical="center"/>
    </xf>
    <xf numFmtId="0" fontId="79" fillId="45" borderId="0" xfId="0" applyFont="1" applyFill="1" applyAlignment="1">
      <alignment horizontal="center" vertical="center"/>
    </xf>
    <xf numFmtId="0" fontId="47" fillId="65" borderId="5" xfId="0" applyFont="1" applyFill="1" applyBorder="1" applyAlignment="1">
      <alignment horizontal="center" vertical="center"/>
    </xf>
    <xf numFmtId="0" fontId="47" fillId="65" borderId="6" xfId="0" applyFont="1" applyFill="1" applyBorder="1" applyAlignment="1">
      <alignment horizontal="center" vertical="center"/>
    </xf>
    <xf numFmtId="0" fontId="47" fillId="65" borderId="7" xfId="0" applyFont="1" applyFill="1" applyBorder="1" applyAlignment="1">
      <alignment horizontal="center" vertical="center"/>
    </xf>
    <xf numFmtId="0" fontId="37" fillId="3" borderId="5" xfId="0" applyFont="1" applyFill="1" applyBorder="1" applyAlignment="1">
      <alignment horizontal="center" vertical="center" textRotation="90"/>
    </xf>
    <xf numFmtId="0" fontId="37" fillId="3" borderId="6" xfId="0" applyFont="1" applyFill="1" applyBorder="1" applyAlignment="1">
      <alignment horizontal="center" vertical="center" textRotation="90"/>
    </xf>
    <xf numFmtId="0" fontId="37" fillId="3" borderId="7" xfId="0" applyFont="1" applyFill="1" applyBorder="1" applyAlignment="1">
      <alignment horizontal="center" vertical="center" textRotation="90"/>
    </xf>
    <xf numFmtId="0" fontId="9" fillId="3" borderId="1" xfId="0" applyFont="1" applyFill="1" applyBorder="1" applyAlignment="1">
      <alignment horizontal="center" vertical="center" textRotation="45"/>
    </xf>
    <xf numFmtId="0" fontId="47" fillId="9" borderId="5" xfId="0" applyFont="1" applyFill="1" applyBorder="1" applyAlignment="1">
      <alignment horizontal="center" vertical="center"/>
    </xf>
    <xf numFmtId="0" fontId="47" fillId="9" borderId="7" xfId="0" applyFont="1" applyFill="1" applyBorder="1" applyAlignment="1">
      <alignment horizontal="center" vertical="center"/>
    </xf>
    <xf numFmtId="0" fontId="47" fillId="9" borderId="6" xfId="0" applyFont="1" applyFill="1" applyBorder="1" applyAlignment="1">
      <alignment horizontal="center" vertical="center"/>
    </xf>
    <xf numFmtId="0" fontId="9" fillId="64" borderId="4" xfId="0" applyFont="1" applyFill="1" applyBorder="1" applyAlignment="1">
      <alignment horizontal="center" vertical="center" textRotation="45"/>
    </xf>
    <xf numFmtId="0" fontId="9" fillId="50" borderId="1" xfId="0" applyFont="1" applyFill="1" applyBorder="1" applyAlignment="1">
      <alignment horizontal="center" vertical="center" textRotation="45"/>
    </xf>
    <xf numFmtId="0" fontId="9" fillId="64" borderId="1" xfId="0" applyFont="1" applyFill="1" applyBorder="1" applyAlignment="1">
      <alignment horizontal="center" vertical="center" textRotation="45"/>
    </xf>
    <xf numFmtId="0" fontId="47" fillId="9" borderId="1" xfId="0" applyFont="1" applyFill="1" applyBorder="1" applyAlignment="1">
      <alignment horizontal="center" vertical="center"/>
    </xf>
    <xf numFmtId="0" fontId="47" fillId="9" borderId="2" xfId="0" applyFont="1" applyFill="1" applyBorder="1" applyAlignment="1">
      <alignment horizontal="center"/>
    </xf>
    <xf numFmtId="0" fontId="47" fillId="9" borderId="3" xfId="0" applyFont="1" applyFill="1" applyBorder="1" applyAlignment="1">
      <alignment horizontal="center"/>
    </xf>
    <xf numFmtId="0" fontId="47" fillId="9" borderId="4" xfId="0" applyFont="1" applyFill="1" applyBorder="1" applyAlignment="1">
      <alignment horizontal="center"/>
    </xf>
    <xf numFmtId="9" fontId="37" fillId="50" borderId="60" xfId="57" applyFont="1" applyFill="1" applyBorder="1" applyAlignment="1">
      <alignment horizontal="center" vertical="center"/>
    </xf>
  </cellXfs>
  <cellStyles count="101">
    <cellStyle name="20% - Énfasis1" xfId="28" builtinId="30" customBuiltin="1"/>
    <cellStyle name="20% - Énfasis2" xfId="32" builtinId="34" customBuiltin="1"/>
    <cellStyle name="20% - Énfasis3" xfId="36" builtinId="38" customBuiltin="1"/>
    <cellStyle name="20% - Énfasis4" xfId="40" builtinId="42" customBuiltin="1"/>
    <cellStyle name="20% - Énfasis5" xfId="44" builtinId="46" customBuiltin="1"/>
    <cellStyle name="20% - Énfasis6" xfId="48" builtinId="50" customBuiltin="1"/>
    <cellStyle name="40% - Énfasis1" xfId="29" builtinId="31" customBuiltin="1"/>
    <cellStyle name="40% - Énfasis2" xfId="33" builtinId="35" customBuiltin="1"/>
    <cellStyle name="40% - Énfasis3" xfId="37" builtinId="39" customBuiltin="1"/>
    <cellStyle name="40% - Énfasis4" xfId="41" builtinId="43" customBuiltin="1"/>
    <cellStyle name="40% - Énfasis5" xfId="45" builtinId="47" customBuiltin="1"/>
    <cellStyle name="40% - Énfasis6" xfId="49" builtinId="51" customBuiltin="1"/>
    <cellStyle name="60% - Énfasis1" xfId="30" builtinId="32" customBuiltin="1"/>
    <cellStyle name="60% - Énfasis2" xfId="34" builtinId="36" customBuiltin="1"/>
    <cellStyle name="60% - Énfasis3" xfId="38" builtinId="40" customBuiltin="1"/>
    <cellStyle name="60% - Énfasis4" xfId="42" builtinId="44" customBuiltin="1"/>
    <cellStyle name="60% - Énfasis5" xfId="46" builtinId="48" customBuiltin="1"/>
    <cellStyle name="60% - Énfasis6" xfId="50"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Comma 2" xfId="60" xr:uid="{00000000-0005-0000-0000-000016000000}"/>
    <cellStyle name="Encabezado 1" xfId="11" builtinId="16" customBuiltin="1"/>
    <cellStyle name="Encabezado 4" xfId="14" builtinId="19" customBuiltin="1"/>
    <cellStyle name="Énfasis1" xfId="27" builtinId="29" customBuiltin="1"/>
    <cellStyle name="Énfasis2" xfId="31" builtinId="33" customBuiltin="1"/>
    <cellStyle name="Énfasis3" xfId="35" builtinId="37" customBuiltin="1"/>
    <cellStyle name="Énfasis4" xfId="39" builtinId="41" customBuiltin="1"/>
    <cellStyle name="Énfasis5" xfId="43" builtinId="45" customBuiltin="1"/>
    <cellStyle name="Énfasis6" xfId="47" builtinId="49" customBuiltin="1"/>
    <cellStyle name="Entrada" xfId="18" builtinId="20" customBuiltin="1"/>
    <cellStyle name="Euro" xfId="61" xr:uid="{00000000-0005-0000-0000-000020000000}"/>
    <cellStyle name="Incorrecto" xfId="16" builtinId="27" customBuiltin="1"/>
    <cellStyle name="Millares" xfId="56" builtinId="3"/>
    <cellStyle name="Millares 2" xfId="62" xr:uid="{00000000-0005-0000-0000-000023000000}"/>
    <cellStyle name="Millares 2 2" xfId="63" xr:uid="{00000000-0005-0000-0000-000024000000}"/>
    <cellStyle name="Millares 3" xfId="64" xr:uid="{00000000-0005-0000-0000-000025000000}"/>
    <cellStyle name="Millares 4" xfId="65" xr:uid="{00000000-0005-0000-0000-000026000000}"/>
    <cellStyle name="Millares 4 2" xfId="66" xr:uid="{00000000-0005-0000-0000-000027000000}"/>
    <cellStyle name="Moneda" xfId="100" builtinId="4"/>
    <cellStyle name="Moneda 2" xfId="67" xr:uid="{00000000-0005-0000-0000-000028000000}"/>
    <cellStyle name="Moneda 2 2" xfId="68" xr:uid="{00000000-0005-0000-0000-000029000000}"/>
    <cellStyle name="Moneda 3" xfId="69" xr:uid="{00000000-0005-0000-0000-00002A000000}"/>
    <cellStyle name="Neutral" xfId="17" builtinId="28" customBuiltin="1"/>
    <cellStyle name="Normal" xfId="0" builtinId="0"/>
    <cellStyle name="Normal 10" xfId="70" xr:uid="{00000000-0005-0000-0000-00002D000000}"/>
    <cellStyle name="Normal 12" xfId="71" xr:uid="{00000000-0005-0000-0000-00002E000000}"/>
    <cellStyle name="Normal 2" xfId="1" xr:uid="{00000000-0005-0000-0000-00002F000000}"/>
    <cellStyle name="Normal 2 2" xfId="2" xr:uid="{00000000-0005-0000-0000-000030000000}"/>
    <cellStyle name="Normal 2 2 2" xfId="72" xr:uid="{00000000-0005-0000-0000-000031000000}"/>
    <cellStyle name="Normal 2 3" xfId="73" xr:uid="{00000000-0005-0000-0000-000032000000}"/>
    <cellStyle name="Normal 2 3 2" xfId="74" xr:uid="{00000000-0005-0000-0000-000033000000}"/>
    <cellStyle name="Normal 2 3 2 2" xfId="75" xr:uid="{00000000-0005-0000-0000-000034000000}"/>
    <cellStyle name="Normal 3" xfId="76" xr:uid="{00000000-0005-0000-0000-000035000000}"/>
    <cellStyle name="Normal 3 2" xfId="77" xr:uid="{00000000-0005-0000-0000-000036000000}"/>
    <cellStyle name="Normal 3 3" xfId="78" xr:uid="{00000000-0005-0000-0000-000037000000}"/>
    <cellStyle name="Normal 3 4" xfId="79" xr:uid="{00000000-0005-0000-0000-000038000000}"/>
    <cellStyle name="Normal 4" xfId="80" xr:uid="{00000000-0005-0000-0000-000039000000}"/>
    <cellStyle name="Normal 4 2" xfId="81" xr:uid="{00000000-0005-0000-0000-00003A000000}"/>
    <cellStyle name="Normal 5" xfId="82" xr:uid="{00000000-0005-0000-0000-00003B000000}"/>
    <cellStyle name="Normal 5 2" xfId="83" xr:uid="{00000000-0005-0000-0000-00003C000000}"/>
    <cellStyle name="Normal 6" xfId="58" xr:uid="{00000000-0005-0000-0000-00003D000000}"/>
    <cellStyle name="Normal 7" xfId="84" xr:uid="{00000000-0005-0000-0000-00003E000000}"/>
    <cellStyle name="Normal 7 2" xfId="85" xr:uid="{00000000-0005-0000-0000-00003F000000}"/>
    <cellStyle name="Normal 7 3" xfId="86" xr:uid="{00000000-0005-0000-0000-000040000000}"/>
    <cellStyle name="Normal 8" xfId="87" xr:uid="{00000000-0005-0000-0000-000041000000}"/>
    <cellStyle name="Normal 9" xfId="88" xr:uid="{00000000-0005-0000-0000-000042000000}"/>
    <cellStyle name="Notas" xfId="24" builtinId="10" customBuiltin="1"/>
    <cellStyle name="Percent 2" xfId="89" xr:uid="{00000000-0005-0000-0000-000044000000}"/>
    <cellStyle name="Porcentaje" xfId="57" builtinId="5"/>
    <cellStyle name="Porcentaje 2" xfId="90" xr:uid="{00000000-0005-0000-0000-000046000000}"/>
    <cellStyle name="Porcentaje 3" xfId="91" xr:uid="{00000000-0005-0000-0000-000047000000}"/>
    <cellStyle name="Porcentual 2" xfId="92" xr:uid="{00000000-0005-0000-0000-000048000000}"/>
    <cellStyle name="Porcentual 2 2" xfId="59" xr:uid="{00000000-0005-0000-0000-000049000000}"/>
    <cellStyle name="Porcentual 2 2 2" xfId="93" xr:uid="{00000000-0005-0000-0000-00004A000000}"/>
    <cellStyle name="Porcentual 2 3" xfId="94" xr:uid="{00000000-0005-0000-0000-00004B000000}"/>
    <cellStyle name="Porcentual 2 4" xfId="95" xr:uid="{00000000-0005-0000-0000-00004C000000}"/>
    <cellStyle name="Porcentual 3" xfId="96" xr:uid="{00000000-0005-0000-0000-00004D000000}"/>
    <cellStyle name="Porcentual 3 2" xfId="97" xr:uid="{00000000-0005-0000-0000-00004E000000}"/>
    <cellStyle name="Porcentual 4" xfId="98" xr:uid="{00000000-0005-0000-0000-00004F000000}"/>
    <cellStyle name="Porcentual 5" xfId="99" xr:uid="{00000000-0005-0000-0000-000050000000}"/>
    <cellStyle name="Salida" xfId="19" builtinId="21" customBuiltin="1"/>
    <cellStyle name="style1537279825927" xfId="51" xr:uid="{00000000-0005-0000-0000-000052000000}"/>
    <cellStyle name="style1537279826037" xfId="55" xr:uid="{00000000-0005-0000-0000-000053000000}"/>
    <cellStyle name="style1537279836365" xfId="52" xr:uid="{00000000-0005-0000-0000-000054000000}"/>
    <cellStyle name="style1537279836428" xfId="53" xr:uid="{00000000-0005-0000-0000-000055000000}"/>
    <cellStyle name="style1537279836490" xfId="54" xr:uid="{00000000-0005-0000-0000-000056000000}"/>
    <cellStyle name="style1537492290022" xfId="9" xr:uid="{00000000-0005-0000-0000-000057000000}"/>
    <cellStyle name="style1537492295334" xfId="7" xr:uid="{00000000-0005-0000-0000-000058000000}"/>
    <cellStyle name="style1537492295616" xfId="3" xr:uid="{00000000-0005-0000-0000-000059000000}"/>
    <cellStyle name="style1537492295678" xfId="4" xr:uid="{00000000-0005-0000-0000-00005A000000}"/>
    <cellStyle name="style1537492295756" xfId="5" xr:uid="{00000000-0005-0000-0000-00005B000000}"/>
    <cellStyle name="style1537492295819" xfId="6" xr:uid="{00000000-0005-0000-0000-00005C000000}"/>
    <cellStyle name="style1537492307397" xfId="8" xr:uid="{00000000-0005-0000-0000-00005D000000}"/>
    <cellStyle name="Texto de advertencia" xfId="23" builtinId="11" customBuiltin="1"/>
    <cellStyle name="Texto explicativo" xfId="25" builtinId="53" customBuiltin="1"/>
    <cellStyle name="Título" xfId="10" builtinId="15" customBuiltin="1"/>
    <cellStyle name="Título 2" xfId="12" builtinId="17" customBuiltin="1"/>
    <cellStyle name="Título 3" xfId="13" builtinId="18" customBuiltin="1"/>
    <cellStyle name="Total" xfId="26" builtinId="25" customBuiltin="1"/>
  </cellStyles>
  <dxfs count="31">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FF66CC"/>
      <color rgb="FF0000CC"/>
      <color rgb="FF339933"/>
      <color rgb="FF336600"/>
      <color rgb="FFFFFF99"/>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sz="1400" b="1">
                <a:effectLst/>
              </a:rPr>
              <a:t>NIÑOS MENORES DE 05 AÑOS CON DESNUTRICION</a:t>
            </a:r>
            <a:r>
              <a:rPr lang="es-PE" sz="1400" b="1" baseline="0">
                <a:effectLst/>
              </a:rPr>
              <a:t> CRONICA_DISTRITOS/ I  SEMESTRE_2019</a:t>
            </a:r>
            <a:endParaRPr lang="es-PE" sz="1400">
              <a:effectLst/>
            </a:endParaRPr>
          </a:p>
        </c:rich>
      </c:tx>
      <c:overlay val="0"/>
      <c:spPr>
        <a:noFill/>
        <a:ln w="25400">
          <a:noFill/>
        </a:ln>
      </c:spPr>
    </c:title>
    <c:autoTitleDeleted val="0"/>
    <c:view3D>
      <c:rotX val="15"/>
      <c:rotY val="20"/>
      <c:depthPercent val="100"/>
      <c:rAngAx val="1"/>
    </c:view3D>
    <c:floor>
      <c:thickness val="0"/>
      <c:spPr>
        <a:noFill/>
        <a:ln w="6350">
          <a:noFill/>
        </a:ln>
      </c:spPr>
    </c:floor>
    <c:sideWall>
      <c:thickness val="0"/>
      <c:spPr>
        <a:noFill/>
        <a:ln w="25400">
          <a:noFill/>
        </a:ln>
      </c:spPr>
    </c:sideWall>
    <c:backWall>
      <c:thickness val="0"/>
      <c:spPr>
        <a:noFill/>
        <a:ln w="25400">
          <a:noFill/>
        </a:ln>
      </c:spPr>
    </c:backWall>
    <c:plotArea>
      <c:layout/>
      <c:bar3DChart>
        <c:barDir val="col"/>
        <c:grouping val="clustered"/>
        <c:varyColors val="0"/>
        <c:ser>
          <c:idx val="0"/>
          <c:order val="0"/>
          <c:tx>
            <c:strRef>
              <c:f>'[3]DISTRITO MAYOR A MENOR'!$N$4</c:f>
              <c:strCache>
                <c:ptCount val="1"/>
                <c:pt idx="0">
                  <c:v>PREVALENCIA</c:v>
                </c:pt>
              </c:strCache>
            </c:strRef>
          </c:tx>
          <c:spPr>
            <a:solidFill>
              <a:srgbClr val="FFFF00"/>
            </a:solidFill>
            <a:ln w="25400">
              <a:noFill/>
            </a:ln>
          </c:spPr>
          <c:invertIfNegative val="0"/>
          <c:dPt>
            <c:idx val="5"/>
            <c:invertIfNegative val="0"/>
            <c:bubble3D val="0"/>
            <c:spPr>
              <a:solidFill>
                <a:srgbClr val="00B050"/>
              </a:solidFill>
              <a:ln w="25400">
                <a:noFill/>
              </a:ln>
            </c:spPr>
            <c:extLst>
              <c:ext xmlns:c16="http://schemas.microsoft.com/office/drawing/2014/chart" uri="{C3380CC4-5D6E-409C-BE32-E72D297353CC}">
                <c16:uniqueId val="{00000001-5AD3-4D64-B2A7-AF95EEF048D3}"/>
              </c:ext>
            </c:extLst>
          </c:dPt>
          <c:dPt>
            <c:idx val="6"/>
            <c:invertIfNegative val="0"/>
            <c:bubble3D val="0"/>
            <c:spPr>
              <a:solidFill>
                <a:srgbClr val="00B050"/>
              </a:solidFill>
              <a:ln w="25400">
                <a:noFill/>
              </a:ln>
            </c:spPr>
            <c:extLst>
              <c:ext xmlns:c16="http://schemas.microsoft.com/office/drawing/2014/chart" uri="{C3380CC4-5D6E-409C-BE32-E72D297353CC}">
                <c16:uniqueId val="{00000003-5AD3-4D64-B2A7-AF95EEF048D3}"/>
              </c:ext>
            </c:extLst>
          </c:dPt>
          <c:dLbls>
            <c:spPr>
              <a:noFill/>
              <a:ln w="25400">
                <a:noFill/>
              </a:ln>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'[3]DISTRITO MAYOR A MENOR'!$I$5:$I$11</c:f>
              <c:strCache>
                <c:ptCount val="7"/>
                <c:pt idx="0">
                  <c:v> ANTABAMBA</c:v>
                </c:pt>
                <c:pt idx="1">
                  <c:v> COTABAMBAS</c:v>
                </c:pt>
                <c:pt idx="2">
                  <c:v> CHINCHEROS</c:v>
                </c:pt>
                <c:pt idx="3">
                  <c:v> AYMARAES</c:v>
                </c:pt>
                <c:pt idx="4">
                  <c:v> GRAU</c:v>
                </c:pt>
                <c:pt idx="5">
                  <c:v> ANDAHUAYLAS</c:v>
                </c:pt>
                <c:pt idx="6">
                  <c:v> ABANCAY</c:v>
                </c:pt>
              </c:strCache>
            </c:strRef>
          </c:cat>
          <c:val>
            <c:numRef>
              <c:f>'[3]DISTRITO MAYOR A MENOR'!$N$5:$N$11</c:f>
              <c:numCache>
                <c:formatCode>General</c:formatCode>
                <c:ptCount val="7"/>
                <c:pt idx="0">
                  <c:v>0.27400468384074944</c:v>
                </c:pt>
                <c:pt idx="1">
                  <c:v>0.26304228445908839</c:v>
                </c:pt>
                <c:pt idx="2">
                  <c:v>0.25759140673414582</c:v>
                </c:pt>
                <c:pt idx="3">
                  <c:v>0.21917376222011983</c:v>
                </c:pt>
                <c:pt idx="4">
                  <c:v>0.21424501424501424</c:v>
                </c:pt>
                <c:pt idx="5">
                  <c:v>0.1943620178041543</c:v>
                </c:pt>
                <c:pt idx="6">
                  <c:v>0.12785622593068036</c:v>
                </c:pt>
              </c:numCache>
            </c:numRef>
          </c:val>
          <c:extLst>
            <c:ext xmlns:c16="http://schemas.microsoft.com/office/drawing/2014/chart" uri="{C3380CC4-5D6E-409C-BE32-E72D297353CC}">
              <c16:uniqueId val="{00000004-5AD3-4D64-B2A7-AF95EEF048D3}"/>
            </c:ext>
          </c:extLst>
        </c:ser>
        <c:dLbls>
          <c:showLegendKey val="0"/>
          <c:showVal val="0"/>
          <c:showCatName val="0"/>
          <c:showSerName val="0"/>
          <c:showPercent val="0"/>
          <c:showBubbleSize val="0"/>
        </c:dLbls>
        <c:gapWidth val="150"/>
        <c:shape val="box"/>
        <c:axId val="-908435104"/>
        <c:axId val="-908440000"/>
        <c:axId val="0"/>
      </c:bar3DChart>
      <c:catAx>
        <c:axId val="-908435104"/>
        <c:scaling>
          <c:orientation val="minMax"/>
        </c:scaling>
        <c:delete val="0"/>
        <c:axPos val="b"/>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PE"/>
          </a:p>
        </c:txPr>
        <c:crossAx val="-908440000"/>
        <c:crosses val="autoZero"/>
        <c:auto val="1"/>
        <c:lblAlgn val="ctr"/>
        <c:lblOffset val="100"/>
        <c:noMultiLvlLbl val="0"/>
      </c:catAx>
      <c:valAx>
        <c:axId val="-9084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90843510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345281</xdr:colOff>
      <xdr:row>36</xdr:row>
      <xdr:rowOff>47625</xdr:rowOff>
    </xdr:from>
    <xdr:to>
      <xdr:col>15</xdr:col>
      <xdr:colOff>142454</xdr:colOff>
      <xdr:row>52</xdr:row>
      <xdr:rowOff>28575</xdr:rowOff>
    </xdr:to>
    <xdr:graphicFrame macro="">
      <xdr:nvGraphicFramePr>
        <xdr:cNvPr id="2" name="Gráfico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607219</xdr:colOff>
      <xdr:row>12</xdr:row>
      <xdr:rowOff>71437</xdr:rowOff>
    </xdr:from>
    <xdr:to>
      <xdr:col>14</xdr:col>
      <xdr:colOff>452437</xdr:colOff>
      <xdr:row>88</xdr:row>
      <xdr:rowOff>154781</xdr:rowOff>
    </xdr:to>
    <xdr:sp macro="" textlink="">
      <xdr:nvSpPr>
        <xdr:cNvPr id="3" name="Flecha: doblada 2">
          <a:extLst>
            <a:ext uri="{FF2B5EF4-FFF2-40B4-BE49-F238E27FC236}">
              <a16:creationId xmlns:a16="http://schemas.microsoft.com/office/drawing/2014/main" id="{70E42B6D-0C0B-4903-B68D-747B4366BB43}"/>
            </a:ext>
          </a:extLst>
        </xdr:cNvPr>
        <xdr:cNvSpPr/>
      </xdr:nvSpPr>
      <xdr:spPr>
        <a:xfrm flipH="1">
          <a:off x="7762875" y="2071687"/>
          <a:ext cx="4679156" cy="14656594"/>
        </a:xfrm>
        <a:prstGeom prst="bentArrow">
          <a:avLst>
            <a:gd name="adj1" fmla="val 25000"/>
            <a:gd name="adj2" fmla="val 21000"/>
            <a:gd name="adj3" fmla="val 15657"/>
            <a:gd name="adj4" fmla="val 0"/>
          </a:avLst>
        </a:prstGeom>
        <a:solidFill>
          <a:schemeClr val="accent3">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chemeClr val="tx1"/>
            </a:solidFill>
          </a:endParaRPr>
        </a:p>
        <a:p>
          <a:pPr algn="l"/>
          <a:endParaRPr lang="es-PE" sz="1100">
            <a:solidFill>
              <a:schemeClr val="tx1"/>
            </a:solidFill>
          </a:endParaRPr>
        </a:p>
        <a:p>
          <a:pPr algn="l"/>
          <a:endParaRPr lang="es-PE" sz="1100">
            <a:solidFill>
              <a:schemeClr val="tx1"/>
            </a:solidFill>
          </a:endParaRPr>
        </a:p>
        <a:p>
          <a:pPr algn="l"/>
          <a:endParaRPr lang="es-PE" sz="1100" b="1">
            <a:solidFill>
              <a:schemeClr val="tx1"/>
            </a:solidFill>
          </a:endParaRPr>
        </a:p>
        <a:p>
          <a:pPr algn="ctr"/>
          <a:r>
            <a:rPr lang="es-PE" sz="1100" b="1">
              <a:solidFill>
                <a:srgbClr val="0000CC"/>
              </a:solidFill>
            </a:rPr>
            <a:t>LAS</a:t>
          </a:r>
          <a:r>
            <a:rPr lang="es-PE" sz="1100" b="1" baseline="0">
              <a:solidFill>
                <a:srgbClr val="0000CC"/>
              </a:solidFill>
            </a:rPr>
            <a:t> REMUNERACIONES DE LOS PROFESIONALES ESTAN INCLUIDOS EN LOS CUADROS DE COSTOS DE PRODUCCIÓN DEL ALGA ESPIRULINA Y EN LOS COSTOS DE PRODUCCIÓN DE ESPIRULINA EN POLVO.</a:t>
          </a:r>
          <a:endParaRPr lang="es-PE" sz="1100" b="1">
            <a:solidFill>
              <a:srgbClr val="0000CC"/>
            </a:solidFill>
          </a:endParaRPr>
        </a:p>
      </xdr:txBody>
    </xdr:sp>
    <xdr:clientData/>
  </xdr:twoCellAnchor>
  <xdr:twoCellAnchor>
    <xdr:from>
      <xdr:col>8</xdr:col>
      <xdr:colOff>607218</xdr:colOff>
      <xdr:row>50</xdr:row>
      <xdr:rowOff>107156</xdr:rowOff>
    </xdr:from>
    <xdr:to>
      <xdr:col>13</xdr:col>
      <xdr:colOff>119063</xdr:colOff>
      <xdr:row>64</xdr:row>
      <xdr:rowOff>23812</xdr:rowOff>
    </xdr:to>
    <xdr:sp macro="" textlink="">
      <xdr:nvSpPr>
        <xdr:cNvPr id="4" name="Flecha: hacia la izquierda 3">
          <a:extLst>
            <a:ext uri="{FF2B5EF4-FFF2-40B4-BE49-F238E27FC236}">
              <a16:creationId xmlns:a16="http://schemas.microsoft.com/office/drawing/2014/main" id="{B12B3C14-3E34-4D5E-9C4C-12CBE8BF5337}"/>
            </a:ext>
          </a:extLst>
        </xdr:cNvPr>
        <xdr:cNvSpPr/>
      </xdr:nvSpPr>
      <xdr:spPr>
        <a:xfrm>
          <a:off x="7762874" y="8751094"/>
          <a:ext cx="3500439" cy="2250281"/>
        </a:xfrm>
        <a:prstGeom prst="leftArrow">
          <a:avLst/>
        </a:prstGeom>
        <a:solidFill>
          <a:schemeClr val="accent3">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23812</xdr:colOff>
      <xdr:row>82</xdr:row>
      <xdr:rowOff>333375</xdr:rowOff>
    </xdr:from>
    <xdr:to>
      <xdr:col>13</xdr:col>
      <xdr:colOff>130970</xdr:colOff>
      <xdr:row>88</xdr:row>
      <xdr:rowOff>142875</xdr:rowOff>
    </xdr:to>
    <xdr:sp macro="" textlink="">
      <xdr:nvSpPr>
        <xdr:cNvPr id="5" name="Flecha: hacia la izquierda 4">
          <a:extLst>
            <a:ext uri="{FF2B5EF4-FFF2-40B4-BE49-F238E27FC236}">
              <a16:creationId xmlns:a16="http://schemas.microsoft.com/office/drawing/2014/main" id="{9E7AE157-C3DE-4BEE-8D23-E398F2A74BF6}"/>
            </a:ext>
          </a:extLst>
        </xdr:cNvPr>
        <xdr:cNvSpPr/>
      </xdr:nvSpPr>
      <xdr:spPr>
        <a:xfrm rot="10800000">
          <a:off x="6274593" y="14466094"/>
          <a:ext cx="5000627" cy="2250281"/>
        </a:xfrm>
        <a:prstGeom prst="leftArrow">
          <a:avLst/>
        </a:prstGeom>
        <a:solidFill>
          <a:schemeClr val="accent3">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9</xdr:col>
      <xdr:colOff>214312</xdr:colOff>
      <xdr:row>36</xdr:row>
      <xdr:rowOff>59531</xdr:rowOff>
    </xdr:from>
    <xdr:to>
      <xdr:col>10</xdr:col>
      <xdr:colOff>190499</xdr:colOff>
      <xdr:row>41</xdr:row>
      <xdr:rowOff>107156</xdr:rowOff>
    </xdr:to>
    <xdr:sp macro="" textlink="">
      <xdr:nvSpPr>
        <xdr:cNvPr id="6" name="Flecha: a la izquierda, derecha y arriba 5">
          <a:extLst>
            <a:ext uri="{FF2B5EF4-FFF2-40B4-BE49-F238E27FC236}">
              <a16:creationId xmlns:a16="http://schemas.microsoft.com/office/drawing/2014/main" id="{1F7F55B9-4641-4118-AFDE-A934224C04A1}"/>
            </a:ext>
          </a:extLst>
        </xdr:cNvPr>
        <xdr:cNvSpPr/>
      </xdr:nvSpPr>
      <xdr:spPr>
        <a:xfrm rot="5185584">
          <a:off x="8072437" y="6286500"/>
          <a:ext cx="881063" cy="738187"/>
        </a:xfrm>
        <a:prstGeom prst="leftRigh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41670</xdr:colOff>
      <xdr:row>40</xdr:row>
      <xdr:rowOff>29765</xdr:rowOff>
    </xdr:from>
    <xdr:to>
      <xdr:col>7</xdr:col>
      <xdr:colOff>226217</xdr:colOff>
      <xdr:row>49</xdr:row>
      <xdr:rowOff>107155</xdr:rowOff>
    </xdr:to>
    <xdr:sp macro="" textlink="">
      <xdr:nvSpPr>
        <xdr:cNvPr id="3" name="Flecha: a la derecha 2">
          <a:extLst>
            <a:ext uri="{FF2B5EF4-FFF2-40B4-BE49-F238E27FC236}">
              <a16:creationId xmlns:a16="http://schemas.microsoft.com/office/drawing/2014/main" id="{48B3CD57-1ED0-41C7-8F42-1332652A66DF}"/>
            </a:ext>
          </a:extLst>
        </xdr:cNvPr>
        <xdr:cNvSpPr/>
      </xdr:nvSpPr>
      <xdr:spPr>
        <a:xfrm rot="16200000">
          <a:off x="4083843" y="6024561"/>
          <a:ext cx="1577578" cy="3232547"/>
        </a:xfrm>
        <a:prstGeom prst="rightArrow">
          <a:avLst/>
        </a:prstGeom>
        <a:solidFill>
          <a:schemeClr val="accent3">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s-PE" sz="800" b="1">
              <a:solidFill>
                <a:srgbClr val="0000CC"/>
              </a:solidFill>
              <a:effectLst/>
              <a:latin typeface="+mn-lt"/>
              <a:ea typeface="+mn-ea"/>
              <a:cs typeface="+mn-cs"/>
            </a:rPr>
            <a:t>LAS</a:t>
          </a:r>
          <a:r>
            <a:rPr lang="es-PE" sz="800" b="1" baseline="0">
              <a:solidFill>
                <a:srgbClr val="0000CC"/>
              </a:solidFill>
              <a:effectLst/>
              <a:latin typeface="+mn-lt"/>
              <a:ea typeface="+mn-ea"/>
              <a:cs typeface="+mn-cs"/>
            </a:rPr>
            <a:t> REMUNERACIONES DE LOS PROFESIONALES ESTAN INCLUIDOS EN LOS CUADROS DE COSTOS DE PRODUCCIÓN DEL ALGA ESPIRULINA Y EN LOS COSTOS DE PRODUCCIÓN DE ESPIRULINA EN POLVO</a:t>
          </a:r>
          <a:r>
            <a:rPr lang="es-PE" sz="1100" b="1" baseline="0">
              <a:solidFill>
                <a:schemeClr val="lt1"/>
              </a:solidFill>
              <a:effectLst/>
              <a:latin typeface="+mn-lt"/>
              <a:ea typeface="+mn-ea"/>
              <a:cs typeface="+mn-cs"/>
            </a:rPr>
            <a:t>.</a:t>
          </a:r>
          <a:endParaRPr lang="es-PE">
            <a:effectLst/>
          </a:endParaRPr>
        </a:p>
        <a:p>
          <a:pPr algn="l"/>
          <a:endParaRPr lang="es-PE" sz="1100"/>
        </a:p>
      </xdr:txBody>
    </xdr:sp>
    <xdr:clientData/>
  </xdr:twoCellAnchor>
  <xdr:twoCellAnchor>
    <xdr:from>
      <xdr:col>2</xdr:col>
      <xdr:colOff>1666876</xdr:colOff>
      <xdr:row>61</xdr:row>
      <xdr:rowOff>23814</xdr:rowOff>
    </xdr:from>
    <xdr:to>
      <xdr:col>7</xdr:col>
      <xdr:colOff>160735</xdr:colOff>
      <xdr:row>70</xdr:row>
      <xdr:rowOff>101204</xdr:rowOff>
    </xdr:to>
    <xdr:sp macro="" textlink="">
      <xdr:nvSpPr>
        <xdr:cNvPr id="4" name="Flecha: a la derecha 3">
          <a:extLst>
            <a:ext uri="{FF2B5EF4-FFF2-40B4-BE49-F238E27FC236}">
              <a16:creationId xmlns:a16="http://schemas.microsoft.com/office/drawing/2014/main" id="{EB3C4E10-50CC-4F1C-868E-7F2C7AFC044E}"/>
            </a:ext>
          </a:extLst>
        </xdr:cNvPr>
        <xdr:cNvSpPr/>
      </xdr:nvSpPr>
      <xdr:spPr>
        <a:xfrm rot="5400000">
          <a:off x="4018361" y="11114485"/>
          <a:ext cx="1577578" cy="3232547"/>
        </a:xfrm>
        <a:prstGeom prst="rightArrow">
          <a:avLst/>
        </a:prstGeom>
        <a:solidFill>
          <a:schemeClr val="accent3">
            <a:lumMod val="40000"/>
            <a:lumOff val="6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s-PE" sz="800" b="1">
              <a:solidFill>
                <a:srgbClr val="0000CC"/>
              </a:solidFill>
              <a:effectLst/>
              <a:latin typeface="+mn-lt"/>
              <a:ea typeface="+mn-ea"/>
              <a:cs typeface="+mn-cs"/>
            </a:rPr>
            <a:t>LAS</a:t>
          </a:r>
          <a:r>
            <a:rPr lang="es-PE" sz="800" b="1" baseline="0">
              <a:solidFill>
                <a:srgbClr val="0000CC"/>
              </a:solidFill>
              <a:effectLst/>
              <a:latin typeface="+mn-lt"/>
              <a:ea typeface="+mn-ea"/>
              <a:cs typeface="+mn-cs"/>
            </a:rPr>
            <a:t> REMUNERACIONES DE LOS PROFESIONALES ESTAN INCLUIDOS EN LOS CUADROS DE COSTOS DE PRODUCCIÓN DEL ALGA ESPIRULINA Y EN LOS COSTOS DE PRODUCCIÓN DE ESPIRULINA EN POLVO</a:t>
          </a:r>
          <a:r>
            <a:rPr lang="es-PE" sz="1100" b="1" baseline="0">
              <a:solidFill>
                <a:schemeClr val="lt1"/>
              </a:solidFill>
              <a:effectLst/>
              <a:latin typeface="+mn-lt"/>
              <a:ea typeface="+mn-ea"/>
              <a:cs typeface="+mn-cs"/>
            </a:rPr>
            <a:t>.</a:t>
          </a:r>
          <a:endParaRPr lang="es-PE">
            <a:effectLst/>
          </a:endParaRPr>
        </a:p>
        <a:p>
          <a:pPr algn="l"/>
          <a:endParaRPr lang="es-PE" sz="1100"/>
        </a:p>
      </xdr:txBody>
    </xdr:sp>
    <xdr:clientData/>
  </xdr:twoCellAnchor>
  <xdr:twoCellAnchor>
    <xdr:from>
      <xdr:col>7</xdr:col>
      <xdr:colOff>214312</xdr:colOff>
      <xdr:row>34</xdr:row>
      <xdr:rowOff>23814</xdr:rowOff>
    </xdr:from>
    <xdr:to>
      <xdr:col>7</xdr:col>
      <xdr:colOff>571499</xdr:colOff>
      <xdr:row>38</xdr:row>
      <xdr:rowOff>142876</xdr:rowOff>
    </xdr:to>
    <xdr:sp macro="" textlink="">
      <xdr:nvSpPr>
        <xdr:cNvPr id="6" name="Flecha: hacia abajo 5">
          <a:extLst>
            <a:ext uri="{FF2B5EF4-FFF2-40B4-BE49-F238E27FC236}">
              <a16:creationId xmlns:a16="http://schemas.microsoft.com/office/drawing/2014/main" id="{7C952C9D-4C3C-4E88-ADEA-46797F03D29D}"/>
            </a:ext>
          </a:extLst>
        </xdr:cNvPr>
        <xdr:cNvSpPr/>
      </xdr:nvSpPr>
      <xdr:spPr>
        <a:xfrm>
          <a:off x="6477000" y="5845970"/>
          <a:ext cx="357187" cy="785812"/>
        </a:xfrm>
        <a:prstGeom prst="downArrow">
          <a:avLst/>
        </a:prstGeom>
        <a:solidFill>
          <a:srgbClr val="0000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250032</xdr:colOff>
      <xdr:row>34</xdr:row>
      <xdr:rowOff>23812</xdr:rowOff>
    </xdr:from>
    <xdr:to>
      <xdr:col>12</xdr:col>
      <xdr:colOff>607219</xdr:colOff>
      <xdr:row>38</xdr:row>
      <xdr:rowOff>142874</xdr:rowOff>
    </xdr:to>
    <xdr:sp macro="" textlink="">
      <xdr:nvSpPr>
        <xdr:cNvPr id="7" name="Flecha: hacia abajo 6">
          <a:extLst>
            <a:ext uri="{FF2B5EF4-FFF2-40B4-BE49-F238E27FC236}">
              <a16:creationId xmlns:a16="http://schemas.microsoft.com/office/drawing/2014/main" id="{1EEE70B5-AA94-49B7-9BEC-3FF5FDAC67F1}"/>
            </a:ext>
          </a:extLst>
        </xdr:cNvPr>
        <xdr:cNvSpPr/>
      </xdr:nvSpPr>
      <xdr:spPr>
        <a:xfrm>
          <a:off x="10358438" y="5845968"/>
          <a:ext cx="357187" cy="785812"/>
        </a:xfrm>
        <a:prstGeom prst="downArrow">
          <a:avLst/>
        </a:prstGeom>
        <a:solidFill>
          <a:srgbClr val="0000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226219</xdr:colOff>
      <xdr:row>100</xdr:row>
      <xdr:rowOff>23813</xdr:rowOff>
    </xdr:from>
    <xdr:to>
      <xdr:col>7</xdr:col>
      <xdr:colOff>583406</xdr:colOff>
      <xdr:row>104</xdr:row>
      <xdr:rowOff>142875</xdr:rowOff>
    </xdr:to>
    <xdr:sp macro="" textlink="">
      <xdr:nvSpPr>
        <xdr:cNvPr id="8" name="Flecha: hacia abajo 7">
          <a:extLst>
            <a:ext uri="{FF2B5EF4-FFF2-40B4-BE49-F238E27FC236}">
              <a16:creationId xmlns:a16="http://schemas.microsoft.com/office/drawing/2014/main" id="{136CC247-4BE8-42CA-9BCB-29FA81932EA3}"/>
            </a:ext>
          </a:extLst>
        </xdr:cNvPr>
        <xdr:cNvSpPr/>
      </xdr:nvSpPr>
      <xdr:spPr>
        <a:xfrm>
          <a:off x="6488907" y="18597563"/>
          <a:ext cx="357187" cy="785812"/>
        </a:xfrm>
        <a:prstGeom prst="downArrow">
          <a:avLst/>
        </a:prstGeom>
        <a:solidFill>
          <a:srgbClr val="0000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238125</xdr:colOff>
      <xdr:row>100</xdr:row>
      <xdr:rowOff>23813</xdr:rowOff>
    </xdr:from>
    <xdr:to>
      <xdr:col>12</xdr:col>
      <xdr:colOff>595312</xdr:colOff>
      <xdr:row>104</xdr:row>
      <xdr:rowOff>142875</xdr:rowOff>
    </xdr:to>
    <xdr:sp macro="" textlink="">
      <xdr:nvSpPr>
        <xdr:cNvPr id="9" name="Flecha: hacia abajo 8">
          <a:extLst>
            <a:ext uri="{FF2B5EF4-FFF2-40B4-BE49-F238E27FC236}">
              <a16:creationId xmlns:a16="http://schemas.microsoft.com/office/drawing/2014/main" id="{6F02DED8-2E96-4F7D-B813-1789696344A5}"/>
            </a:ext>
          </a:extLst>
        </xdr:cNvPr>
        <xdr:cNvSpPr/>
      </xdr:nvSpPr>
      <xdr:spPr>
        <a:xfrm>
          <a:off x="10346531" y="18597563"/>
          <a:ext cx="357187" cy="785812"/>
        </a:xfrm>
        <a:prstGeom prst="downArrow">
          <a:avLst/>
        </a:prstGeom>
        <a:solidFill>
          <a:srgbClr val="0000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107156</xdr:colOff>
      <xdr:row>22</xdr:row>
      <xdr:rowOff>23812</xdr:rowOff>
    </xdr:from>
    <xdr:to>
      <xdr:col>4</xdr:col>
      <xdr:colOff>395287</xdr:colOff>
      <xdr:row>22</xdr:row>
      <xdr:rowOff>2000250</xdr:rowOff>
    </xdr:to>
    <xdr:pic>
      <xdr:nvPicPr>
        <xdr:cNvPr id="2" name="Imagen 1">
          <a:extLst>
            <a:ext uri="{FF2B5EF4-FFF2-40B4-BE49-F238E27FC236}">
              <a16:creationId xmlns:a16="http://schemas.microsoft.com/office/drawing/2014/main" id="{EFE8C124-6328-42CE-BB43-91C5EB157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5062" y="4167187"/>
          <a:ext cx="1323975" cy="1976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119062</xdr:colOff>
      <xdr:row>22</xdr:row>
      <xdr:rowOff>47625</xdr:rowOff>
    </xdr:from>
    <xdr:to>
      <xdr:col>4</xdr:col>
      <xdr:colOff>1285875</xdr:colOff>
      <xdr:row>22</xdr:row>
      <xdr:rowOff>2012155</xdr:rowOff>
    </xdr:to>
    <xdr:pic>
      <xdr:nvPicPr>
        <xdr:cNvPr id="3" name="Imagen 2">
          <a:extLst>
            <a:ext uri="{FF2B5EF4-FFF2-40B4-BE49-F238E27FC236}">
              <a16:creationId xmlns:a16="http://schemas.microsoft.com/office/drawing/2014/main" id="{8E7E3AE0-375B-4531-963F-8009F50B0A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76687" y="4191000"/>
          <a:ext cx="1166813" cy="1964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95250</xdr:colOff>
      <xdr:row>22</xdr:row>
      <xdr:rowOff>35719</xdr:rowOff>
    </xdr:from>
    <xdr:to>
      <xdr:col>5</xdr:col>
      <xdr:colOff>1038225</xdr:colOff>
      <xdr:row>22</xdr:row>
      <xdr:rowOff>1976437</xdr:rowOff>
    </xdr:to>
    <xdr:pic>
      <xdr:nvPicPr>
        <xdr:cNvPr id="4" name="Imagen 3">
          <a:extLst>
            <a:ext uri="{FF2B5EF4-FFF2-40B4-BE49-F238E27FC236}">
              <a16:creationId xmlns:a16="http://schemas.microsoft.com/office/drawing/2014/main" id="{7890508F-0594-4604-9CEE-954C8907B8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86375" y="4179094"/>
          <a:ext cx="942975" cy="1940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IP\PRODUCCI&#211;N\Base%20de%20Datos\INFORMACI&#211;N%20SECUNDARIA\INEI\REDATAM%20POBLACION%20AE\INEI%20ACTIVIDAD%20ECONOMICA.sl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PIP\PRODUCCI&#211;N\Base%20de%20Datos\INFORMACI&#211;N%20SECUNDARIA\INEI\REDATAM%20POBLACION%20AE\INEI%20ACTIVIDAD%20ECONOMICA.slk"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ORFEI7~1\AppData\Local\Temp\Rar$DIa5588.31211\desnutricion%20infantil_ee.ss_distrito_ENERO%20JULI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ESPIRULINA\ULTIMO%20-%20ESPIRULINA\PRESUPUESTO%20ESPIRULINA%20(Autoguard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EI ACTIVIDAD ECONOMICA"/>
    </sheetNames>
    <sheetDataSet>
      <sheetData sheetId="0">
        <row r="56">
          <cell r="B56">
            <v>510</v>
          </cell>
        </row>
        <row r="57">
          <cell r="B57">
            <v>1</v>
          </cell>
        </row>
        <row r="58">
          <cell r="B58">
            <v>14</v>
          </cell>
        </row>
        <row r="59">
          <cell r="B59">
            <v>17</v>
          </cell>
        </row>
        <row r="60">
          <cell r="B60">
            <v>2</v>
          </cell>
        </row>
        <row r="61">
          <cell r="B61">
            <v>12</v>
          </cell>
        </row>
        <row r="62">
          <cell r="B62">
            <v>9</v>
          </cell>
        </row>
        <row r="63">
          <cell r="B63">
            <v>5</v>
          </cell>
        </row>
        <row r="64">
          <cell r="B64">
            <v>6</v>
          </cell>
        </row>
        <row r="65">
          <cell r="B65">
            <v>9</v>
          </cell>
        </row>
        <row r="66">
          <cell r="B66">
            <v>4</v>
          </cell>
        </row>
        <row r="67">
          <cell r="B67">
            <v>2</v>
          </cell>
        </row>
        <row r="68">
          <cell r="B68">
            <v>21</v>
          </cell>
        </row>
        <row r="76">
          <cell r="B76">
            <v>2733</v>
          </cell>
        </row>
        <row r="77">
          <cell r="B77">
            <v>16</v>
          </cell>
        </row>
        <row r="78">
          <cell r="B78">
            <v>85</v>
          </cell>
        </row>
        <row r="79">
          <cell r="B79">
            <v>2</v>
          </cell>
        </row>
        <row r="80">
          <cell r="B80">
            <v>200</v>
          </cell>
        </row>
        <row r="81">
          <cell r="B81">
            <v>19</v>
          </cell>
        </row>
        <row r="82">
          <cell r="B82">
            <v>6</v>
          </cell>
        </row>
        <row r="83">
          <cell r="B83">
            <v>341</v>
          </cell>
        </row>
        <row r="84">
          <cell r="B84">
            <v>99</v>
          </cell>
        </row>
        <row r="85">
          <cell r="B85">
            <v>126</v>
          </cell>
        </row>
        <row r="86">
          <cell r="B86">
            <v>4</v>
          </cell>
        </row>
        <row r="87">
          <cell r="B87">
            <v>20</v>
          </cell>
        </row>
        <row r="88">
          <cell r="B88">
            <v>92</v>
          </cell>
        </row>
        <row r="89">
          <cell r="B89">
            <v>252</v>
          </cell>
        </row>
        <row r="90">
          <cell r="B90">
            <v>96</v>
          </cell>
        </row>
        <row r="91">
          <cell r="B91">
            <v>26</v>
          </cell>
        </row>
        <row r="92">
          <cell r="B92">
            <v>51</v>
          </cell>
        </row>
        <row r="93">
          <cell r="B93">
            <v>63</v>
          </cell>
        </row>
        <row r="101">
          <cell r="B101">
            <v>871</v>
          </cell>
        </row>
        <row r="102">
          <cell r="B102">
            <v>6</v>
          </cell>
        </row>
        <row r="103">
          <cell r="B103">
            <v>17</v>
          </cell>
        </row>
        <row r="104">
          <cell r="B104">
            <v>2</v>
          </cell>
        </row>
        <row r="105">
          <cell r="B105">
            <v>35</v>
          </cell>
        </row>
        <row r="106">
          <cell r="B106">
            <v>23</v>
          </cell>
        </row>
        <row r="107">
          <cell r="B107">
            <v>14</v>
          </cell>
        </row>
        <row r="108">
          <cell r="B108">
            <v>1</v>
          </cell>
        </row>
        <row r="109">
          <cell r="B109">
            <v>8</v>
          </cell>
        </row>
        <row r="110">
          <cell r="B110">
            <v>25</v>
          </cell>
        </row>
        <row r="111">
          <cell r="B111">
            <v>11</v>
          </cell>
        </row>
        <row r="112">
          <cell r="B112">
            <v>2</v>
          </cell>
        </row>
        <row r="113">
          <cell r="B113">
            <v>5</v>
          </cell>
        </row>
        <row r="114">
          <cell r="B114">
            <v>146</v>
          </cell>
        </row>
        <row r="122">
          <cell r="B122">
            <v>1171</v>
          </cell>
        </row>
        <row r="123">
          <cell r="B123">
            <v>2</v>
          </cell>
        </row>
        <row r="124">
          <cell r="B124">
            <v>6</v>
          </cell>
        </row>
        <row r="125">
          <cell r="B125">
            <v>33</v>
          </cell>
        </row>
        <row r="126">
          <cell r="B126">
            <v>79</v>
          </cell>
        </row>
        <row r="127">
          <cell r="B127">
            <v>2</v>
          </cell>
        </row>
        <row r="128">
          <cell r="B128">
            <v>1</v>
          </cell>
        </row>
        <row r="129">
          <cell r="B129">
            <v>54</v>
          </cell>
        </row>
        <row r="130">
          <cell r="B130">
            <v>32</v>
          </cell>
        </row>
        <row r="131">
          <cell r="B131">
            <v>10</v>
          </cell>
        </row>
        <row r="132">
          <cell r="B132">
            <v>8</v>
          </cell>
        </row>
        <row r="133">
          <cell r="B133">
            <v>12</v>
          </cell>
        </row>
        <row r="134">
          <cell r="B134">
            <v>29</v>
          </cell>
        </row>
        <row r="135">
          <cell r="B135">
            <v>21</v>
          </cell>
        </row>
        <row r="136">
          <cell r="B136">
            <v>5</v>
          </cell>
        </row>
        <row r="137">
          <cell r="B137">
            <v>11</v>
          </cell>
        </row>
        <row r="138">
          <cell r="B138">
            <v>45</v>
          </cell>
        </row>
        <row r="146">
          <cell r="B146">
            <v>893</v>
          </cell>
        </row>
        <row r="147">
          <cell r="B147">
            <v>2</v>
          </cell>
        </row>
        <row r="148">
          <cell r="B148">
            <v>1</v>
          </cell>
        </row>
        <row r="149">
          <cell r="B149">
            <v>10</v>
          </cell>
        </row>
        <row r="150">
          <cell r="B150">
            <v>27</v>
          </cell>
        </row>
        <row r="151">
          <cell r="B151">
            <v>1</v>
          </cell>
        </row>
        <row r="152">
          <cell r="B152">
            <v>30</v>
          </cell>
        </row>
        <row r="153">
          <cell r="B153">
            <v>9</v>
          </cell>
        </row>
        <row r="154">
          <cell r="B154">
            <v>5</v>
          </cell>
        </row>
        <row r="155">
          <cell r="B155">
            <v>2</v>
          </cell>
        </row>
        <row r="156">
          <cell r="B156">
            <v>16</v>
          </cell>
        </row>
        <row r="157">
          <cell r="B157">
            <v>9</v>
          </cell>
        </row>
        <row r="158">
          <cell r="B158">
            <v>11</v>
          </cell>
        </row>
        <row r="159">
          <cell r="B159">
            <v>2</v>
          </cell>
        </row>
        <row r="160">
          <cell r="B160">
            <v>6</v>
          </cell>
        </row>
        <row r="161">
          <cell r="B161">
            <v>45</v>
          </cell>
        </row>
        <row r="169">
          <cell r="B169">
            <v>810</v>
          </cell>
        </row>
        <row r="170">
          <cell r="B170">
            <v>23</v>
          </cell>
        </row>
        <row r="171">
          <cell r="B171">
            <v>20</v>
          </cell>
        </row>
        <row r="172">
          <cell r="B172">
            <v>1</v>
          </cell>
        </row>
        <row r="173">
          <cell r="B173">
            <v>78</v>
          </cell>
        </row>
        <row r="174">
          <cell r="B174">
            <v>43</v>
          </cell>
        </row>
        <row r="175">
          <cell r="B175">
            <v>31</v>
          </cell>
        </row>
        <row r="176">
          <cell r="B176">
            <v>12</v>
          </cell>
        </row>
        <row r="177">
          <cell r="B177">
            <v>17</v>
          </cell>
        </row>
        <row r="178">
          <cell r="B178">
            <v>32</v>
          </cell>
        </row>
        <row r="179">
          <cell r="B179">
            <v>19</v>
          </cell>
        </row>
        <row r="180">
          <cell r="B180">
            <v>5</v>
          </cell>
        </row>
        <row r="181">
          <cell r="B181">
            <v>11</v>
          </cell>
        </row>
        <row r="182">
          <cell r="B182">
            <v>28</v>
          </cell>
        </row>
        <row r="264">
          <cell r="B264">
            <v>104</v>
          </cell>
        </row>
        <row r="265">
          <cell r="B265">
            <v>9</v>
          </cell>
        </row>
        <row r="266">
          <cell r="B266">
            <v>9</v>
          </cell>
        </row>
        <row r="267">
          <cell r="B267">
            <v>5</v>
          </cell>
        </row>
        <row r="268">
          <cell r="B268">
            <v>8</v>
          </cell>
        </row>
        <row r="269">
          <cell r="B269">
            <v>5</v>
          </cell>
        </row>
        <row r="270">
          <cell r="B270">
            <v>12</v>
          </cell>
        </row>
        <row r="271">
          <cell r="B271">
            <v>15</v>
          </cell>
        </row>
        <row r="272">
          <cell r="B272">
            <v>1</v>
          </cell>
        </row>
        <row r="344">
          <cell r="B344">
            <v>1888</v>
          </cell>
        </row>
        <row r="345">
          <cell r="B345">
            <v>4</v>
          </cell>
          <cell r="C345">
            <v>0.18</v>
          </cell>
        </row>
        <row r="346">
          <cell r="B346">
            <v>16</v>
          </cell>
          <cell r="C346">
            <v>0.74</v>
          </cell>
        </row>
        <row r="347">
          <cell r="B347">
            <v>37</v>
          </cell>
          <cell r="C347">
            <v>1.7</v>
          </cell>
        </row>
        <row r="348">
          <cell r="B348">
            <v>4</v>
          </cell>
          <cell r="C348">
            <v>0.18</v>
          </cell>
        </row>
        <row r="349">
          <cell r="C349">
            <v>0.23</v>
          </cell>
        </row>
        <row r="350">
          <cell r="C350">
            <v>2.76</v>
          </cell>
        </row>
        <row r="351">
          <cell r="C351">
            <v>1.52</v>
          </cell>
        </row>
        <row r="352">
          <cell r="C352">
            <v>1.43</v>
          </cell>
        </row>
        <row r="353">
          <cell r="C353">
            <v>0.05</v>
          </cell>
        </row>
        <row r="354">
          <cell r="C354">
            <v>1.38</v>
          </cell>
        </row>
        <row r="355">
          <cell r="C355">
            <v>1.2</v>
          </cell>
        </row>
        <row r="356">
          <cell r="C356">
            <v>1.01</v>
          </cell>
        </row>
        <row r="357">
          <cell r="C357">
            <v>0.09</v>
          </cell>
        </row>
        <row r="358">
          <cell r="C358">
            <v>0.18</v>
          </cell>
        </row>
        <row r="359">
          <cell r="C359">
            <v>0.37</v>
          </cell>
        </row>
        <row r="471">
          <cell r="B471">
            <v>2913</v>
          </cell>
        </row>
        <row r="472">
          <cell r="B472">
            <v>7</v>
          </cell>
        </row>
        <row r="473">
          <cell r="B473">
            <v>199</v>
          </cell>
        </row>
        <row r="474">
          <cell r="B474">
            <v>11</v>
          </cell>
        </row>
        <row r="475">
          <cell r="B475">
            <v>142</v>
          </cell>
        </row>
        <row r="476">
          <cell r="B476">
            <v>40</v>
          </cell>
        </row>
        <row r="477">
          <cell r="B477">
            <v>31</v>
          </cell>
        </row>
        <row r="478">
          <cell r="B478">
            <v>386</v>
          </cell>
        </row>
        <row r="479">
          <cell r="B479">
            <v>119</v>
          </cell>
        </row>
        <row r="480">
          <cell r="B480">
            <v>285</v>
          </cell>
        </row>
        <row r="481">
          <cell r="B481">
            <v>12</v>
          </cell>
        </row>
        <row r="482">
          <cell r="B482">
            <v>78</v>
          </cell>
        </row>
        <row r="483">
          <cell r="B483">
            <v>163</v>
          </cell>
        </row>
        <row r="484">
          <cell r="B484">
            <v>549</v>
          </cell>
        </row>
        <row r="485">
          <cell r="B485">
            <v>168</v>
          </cell>
        </row>
        <row r="486">
          <cell r="B486">
            <v>94</v>
          </cell>
        </row>
        <row r="487">
          <cell r="B487">
            <v>155</v>
          </cell>
        </row>
        <row r="488">
          <cell r="B488">
            <v>163</v>
          </cell>
        </row>
        <row r="496">
          <cell r="B496">
            <v>204</v>
          </cell>
        </row>
        <row r="497">
          <cell r="B497">
            <v>1</v>
          </cell>
        </row>
        <row r="498">
          <cell r="B498">
            <v>8</v>
          </cell>
        </row>
        <row r="499">
          <cell r="B499">
            <v>9</v>
          </cell>
        </row>
        <row r="500">
          <cell r="B500">
            <v>2</v>
          </cell>
        </row>
        <row r="501">
          <cell r="B501">
            <v>5</v>
          </cell>
        </row>
        <row r="502">
          <cell r="B502">
            <v>3</v>
          </cell>
        </row>
        <row r="503">
          <cell r="B503">
            <v>8</v>
          </cell>
        </row>
        <row r="504">
          <cell r="B504">
            <v>1</v>
          </cell>
        </row>
        <row r="505">
          <cell r="B505">
            <v>1</v>
          </cell>
        </row>
        <row r="815">
          <cell r="B815">
            <v>385</v>
          </cell>
        </row>
        <row r="816">
          <cell r="B816">
            <v>9</v>
          </cell>
        </row>
        <row r="817">
          <cell r="B817">
            <v>2</v>
          </cell>
        </row>
        <row r="818">
          <cell r="B818">
            <v>6</v>
          </cell>
        </row>
        <row r="819">
          <cell r="B819">
            <v>1</v>
          </cell>
        </row>
        <row r="820">
          <cell r="B820">
            <v>1</v>
          </cell>
        </row>
        <row r="821">
          <cell r="B821">
            <v>27</v>
          </cell>
        </row>
        <row r="822">
          <cell r="B822">
            <v>2</v>
          </cell>
        </row>
        <row r="823">
          <cell r="B823">
            <v>5</v>
          </cell>
        </row>
        <row r="824">
          <cell r="B824">
            <v>3</v>
          </cell>
        </row>
        <row r="825">
          <cell r="B825">
            <v>13</v>
          </cell>
        </row>
        <row r="826">
          <cell r="B826">
            <v>34</v>
          </cell>
        </row>
        <row r="827">
          <cell r="B827">
            <v>4</v>
          </cell>
        </row>
        <row r="828">
          <cell r="B828">
            <v>2</v>
          </cell>
        </row>
        <row r="829">
          <cell r="B829">
            <v>4</v>
          </cell>
        </row>
        <row r="830">
          <cell r="B830">
            <v>5</v>
          </cell>
        </row>
        <row r="881">
          <cell r="B881">
            <v>685</v>
          </cell>
        </row>
        <row r="882">
          <cell r="B882">
            <v>5</v>
          </cell>
        </row>
        <row r="883">
          <cell r="B883">
            <v>851</v>
          </cell>
        </row>
        <row r="884">
          <cell r="B884">
            <v>4</v>
          </cell>
        </row>
        <row r="885">
          <cell r="B885">
            <v>19</v>
          </cell>
        </row>
        <row r="886">
          <cell r="B886">
            <v>2</v>
          </cell>
        </row>
        <row r="887">
          <cell r="B887">
            <v>2</v>
          </cell>
        </row>
        <row r="888">
          <cell r="B888">
            <v>33</v>
          </cell>
        </row>
        <row r="889">
          <cell r="B889">
            <v>12</v>
          </cell>
        </row>
        <row r="890">
          <cell r="B890">
            <v>17</v>
          </cell>
        </row>
        <row r="891">
          <cell r="B891">
            <v>4</v>
          </cell>
        </row>
        <row r="892">
          <cell r="B892">
            <v>29</v>
          </cell>
        </row>
        <row r="893">
          <cell r="B893">
            <v>25</v>
          </cell>
        </row>
        <row r="894">
          <cell r="B894">
            <v>4</v>
          </cell>
        </row>
        <row r="895">
          <cell r="B895">
            <v>7</v>
          </cell>
        </row>
        <row r="896">
          <cell r="B896">
            <v>1</v>
          </cell>
        </row>
        <row r="897">
          <cell r="B897">
            <v>40</v>
          </cell>
        </row>
        <row r="939">
          <cell r="B939">
            <v>342</v>
          </cell>
        </row>
        <row r="940">
          <cell r="B940">
            <v>9</v>
          </cell>
        </row>
        <row r="941">
          <cell r="B941">
            <v>8</v>
          </cell>
        </row>
        <row r="942">
          <cell r="B942">
            <v>10</v>
          </cell>
        </row>
        <row r="943">
          <cell r="B943">
            <v>2</v>
          </cell>
        </row>
        <row r="944">
          <cell r="B944">
            <v>4</v>
          </cell>
        </row>
        <row r="945">
          <cell r="B945">
            <v>5</v>
          </cell>
        </row>
        <row r="946">
          <cell r="B946">
            <v>13</v>
          </cell>
        </row>
        <row r="947">
          <cell r="B947">
            <v>6</v>
          </cell>
        </row>
        <row r="948">
          <cell r="B948">
            <v>1</v>
          </cell>
        </row>
        <row r="949">
          <cell r="B949">
            <v>1</v>
          </cell>
        </row>
        <row r="950">
          <cell r="B950">
            <v>10</v>
          </cell>
        </row>
        <row r="1000">
          <cell r="B1000">
            <v>369</v>
          </cell>
        </row>
        <row r="1001">
          <cell r="B1001">
            <v>11</v>
          </cell>
        </row>
        <row r="1002">
          <cell r="B1002">
            <v>3</v>
          </cell>
        </row>
        <row r="1003">
          <cell r="B1003">
            <v>14</v>
          </cell>
        </row>
        <row r="1004">
          <cell r="B1004">
            <v>2</v>
          </cell>
        </row>
        <row r="1005">
          <cell r="B1005">
            <v>17</v>
          </cell>
        </row>
        <row r="1006">
          <cell r="B1006">
            <v>4</v>
          </cell>
        </row>
        <row r="1007">
          <cell r="B1007">
            <v>3</v>
          </cell>
        </row>
        <row r="1008">
          <cell r="B1008">
            <v>1</v>
          </cell>
        </row>
        <row r="1009">
          <cell r="B1009">
            <v>13</v>
          </cell>
        </row>
        <row r="1010">
          <cell r="B1010">
            <v>12</v>
          </cell>
        </row>
        <row r="1011">
          <cell r="B1011">
            <v>3</v>
          </cell>
        </row>
        <row r="1012">
          <cell r="B1012">
            <v>2</v>
          </cell>
        </row>
        <row r="1013">
          <cell r="B1013">
            <v>3</v>
          </cell>
        </row>
        <row r="1014">
          <cell r="B1014">
            <v>15</v>
          </cell>
        </row>
        <row r="1040">
          <cell r="B1040">
            <v>489</v>
          </cell>
        </row>
        <row r="1041">
          <cell r="B1041">
            <v>13</v>
          </cell>
        </row>
        <row r="1042">
          <cell r="B1042">
            <v>6</v>
          </cell>
        </row>
        <row r="1043">
          <cell r="B1043">
            <v>10</v>
          </cell>
        </row>
        <row r="1044">
          <cell r="B1044">
            <v>2</v>
          </cell>
        </row>
        <row r="1045">
          <cell r="B1045">
            <v>30</v>
          </cell>
        </row>
        <row r="1046">
          <cell r="B1046">
            <v>6</v>
          </cell>
        </row>
        <row r="1047">
          <cell r="B1047">
            <v>2</v>
          </cell>
        </row>
        <row r="1048">
          <cell r="B1048">
            <v>2</v>
          </cell>
        </row>
        <row r="1049">
          <cell r="B1049">
            <v>22</v>
          </cell>
        </row>
        <row r="1050">
          <cell r="B1050">
            <v>17</v>
          </cell>
        </row>
        <row r="1051">
          <cell r="B1051">
            <v>11</v>
          </cell>
        </row>
        <row r="1052">
          <cell r="B1052">
            <v>3</v>
          </cell>
        </row>
        <row r="1053">
          <cell r="B1053">
            <v>3</v>
          </cell>
        </row>
        <row r="1061">
          <cell r="B1061">
            <v>508</v>
          </cell>
        </row>
        <row r="1062">
          <cell r="B1062">
            <v>11</v>
          </cell>
        </row>
        <row r="1063">
          <cell r="B1063">
            <v>1</v>
          </cell>
        </row>
        <row r="1064">
          <cell r="B1064">
            <v>41</v>
          </cell>
        </row>
        <row r="1065">
          <cell r="B1065">
            <v>3</v>
          </cell>
        </row>
        <row r="1066">
          <cell r="B1066">
            <v>55</v>
          </cell>
        </row>
        <row r="1067">
          <cell r="B1067">
            <v>17</v>
          </cell>
        </row>
        <row r="1068">
          <cell r="B1068">
            <v>17</v>
          </cell>
        </row>
        <row r="1069">
          <cell r="B1069">
            <v>1</v>
          </cell>
        </row>
        <row r="1070">
          <cell r="B1070">
            <v>1</v>
          </cell>
        </row>
        <row r="1071">
          <cell r="B1071">
            <v>15</v>
          </cell>
        </row>
        <row r="1072">
          <cell r="B1072">
            <v>39</v>
          </cell>
        </row>
        <row r="1073">
          <cell r="B1073">
            <v>9</v>
          </cell>
        </row>
        <row r="1074">
          <cell r="B1074">
            <v>4</v>
          </cell>
        </row>
        <row r="1075">
          <cell r="B1075">
            <v>10</v>
          </cell>
        </row>
        <row r="1076">
          <cell r="B1076">
            <v>9</v>
          </cell>
        </row>
        <row r="1084">
          <cell r="B1084">
            <v>332</v>
          </cell>
        </row>
        <row r="1085">
          <cell r="B1085">
            <v>6</v>
          </cell>
        </row>
        <row r="1086">
          <cell r="B1086">
            <v>6</v>
          </cell>
        </row>
        <row r="1087">
          <cell r="B1087">
            <v>25</v>
          </cell>
        </row>
        <row r="1088">
          <cell r="B1088">
            <v>1</v>
          </cell>
        </row>
        <row r="1089">
          <cell r="B1089">
            <v>14</v>
          </cell>
        </row>
        <row r="1090">
          <cell r="B1090">
            <v>5</v>
          </cell>
        </row>
        <row r="1091">
          <cell r="B1091">
            <v>5</v>
          </cell>
        </row>
        <row r="1092">
          <cell r="B1092">
            <v>4</v>
          </cell>
        </row>
        <row r="1093">
          <cell r="B1093">
            <v>12</v>
          </cell>
        </row>
        <row r="1094">
          <cell r="B1094">
            <v>21</v>
          </cell>
        </row>
        <row r="1095">
          <cell r="B1095">
            <v>11</v>
          </cell>
        </row>
        <row r="1096">
          <cell r="B1096">
            <v>3</v>
          </cell>
        </row>
        <row r="1097">
          <cell r="B1097">
            <v>4</v>
          </cell>
        </row>
        <row r="1098">
          <cell r="B1098">
            <v>2</v>
          </cell>
        </row>
        <row r="1106">
          <cell r="B1106">
            <v>275</v>
          </cell>
        </row>
        <row r="1107">
          <cell r="B1107">
            <v>8</v>
          </cell>
        </row>
        <row r="1108">
          <cell r="B1108">
            <v>1</v>
          </cell>
        </row>
        <row r="1109">
          <cell r="B1109">
            <v>21</v>
          </cell>
        </row>
        <row r="1110">
          <cell r="B1110">
            <v>23</v>
          </cell>
        </row>
        <row r="1111">
          <cell r="B1111">
            <v>15</v>
          </cell>
        </row>
        <row r="1112">
          <cell r="B1112">
            <v>2</v>
          </cell>
        </row>
        <row r="1113">
          <cell r="B1113">
            <v>2</v>
          </cell>
        </row>
        <row r="1114">
          <cell r="B1114">
            <v>22</v>
          </cell>
        </row>
        <row r="1115">
          <cell r="B1115">
            <v>28</v>
          </cell>
        </row>
        <row r="1116">
          <cell r="B1116">
            <v>4</v>
          </cell>
        </row>
        <row r="1117">
          <cell r="B1117">
            <v>6</v>
          </cell>
        </row>
        <row r="1118">
          <cell r="B1118">
            <v>6</v>
          </cell>
        </row>
        <row r="1119">
          <cell r="B1119">
            <v>1</v>
          </cell>
        </row>
        <row r="1127">
          <cell r="B1127">
            <v>1497</v>
          </cell>
        </row>
        <row r="1128">
          <cell r="B1128">
            <v>7</v>
          </cell>
        </row>
        <row r="1129">
          <cell r="B1129">
            <v>79</v>
          </cell>
        </row>
        <row r="1130">
          <cell r="B1130">
            <v>9</v>
          </cell>
        </row>
        <row r="1131">
          <cell r="B1131">
            <v>142</v>
          </cell>
        </row>
        <row r="1132">
          <cell r="B1132">
            <v>6</v>
          </cell>
        </row>
        <row r="1133">
          <cell r="B1133">
            <v>4</v>
          </cell>
        </row>
        <row r="1134">
          <cell r="B1134">
            <v>89</v>
          </cell>
        </row>
        <row r="1135">
          <cell r="B1135">
            <v>42</v>
          </cell>
        </row>
        <row r="1136">
          <cell r="B1136">
            <v>22</v>
          </cell>
        </row>
        <row r="1137">
          <cell r="B1137">
            <v>2</v>
          </cell>
        </row>
        <row r="1138">
          <cell r="B1138">
            <v>14</v>
          </cell>
        </row>
        <row r="1139">
          <cell r="B1139">
            <v>84</v>
          </cell>
        </row>
        <row r="1140">
          <cell r="B1140">
            <v>197</v>
          </cell>
        </row>
        <row r="1141">
          <cell r="B1141">
            <v>38</v>
          </cell>
        </row>
        <row r="1142">
          <cell r="B1142">
            <v>18</v>
          </cell>
        </row>
        <row r="1143">
          <cell r="B1143">
            <v>40</v>
          </cell>
        </row>
        <row r="1144">
          <cell r="B1144">
            <v>99</v>
          </cell>
        </row>
        <row r="1221">
          <cell r="B1221">
            <v>401</v>
          </cell>
        </row>
        <row r="1222">
          <cell r="B1222">
            <v>2</v>
          </cell>
        </row>
        <row r="1223">
          <cell r="B1223">
            <v>14</v>
          </cell>
        </row>
        <row r="1224">
          <cell r="B1224">
            <v>62</v>
          </cell>
        </row>
        <row r="1225">
          <cell r="B1225">
            <v>33</v>
          </cell>
        </row>
        <row r="1226">
          <cell r="B1226">
            <v>15</v>
          </cell>
        </row>
        <row r="1227">
          <cell r="B1227">
            <v>8</v>
          </cell>
        </row>
        <row r="1228">
          <cell r="B1228">
            <v>2</v>
          </cell>
        </row>
        <row r="1229">
          <cell r="B1229">
            <v>29</v>
          </cell>
        </row>
        <row r="1230">
          <cell r="B1230">
            <v>85</v>
          </cell>
        </row>
        <row r="1231">
          <cell r="B1231">
            <v>17</v>
          </cell>
        </row>
        <row r="1232">
          <cell r="B1232">
            <v>3</v>
          </cell>
        </row>
        <row r="1233">
          <cell r="B1233">
            <v>7</v>
          </cell>
        </row>
        <row r="1234">
          <cell r="B1234">
            <v>57</v>
          </cell>
        </row>
        <row r="1242">
          <cell r="B1242">
            <v>104</v>
          </cell>
        </row>
        <row r="1243">
          <cell r="B1243">
            <v>376</v>
          </cell>
        </row>
        <row r="1244">
          <cell r="B1244">
            <v>38</v>
          </cell>
        </row>
        <row r="1245">
          <cell r="B1245">
            <v>5</v>
          </cell>
        </row>
        <row r="1246">
          <cell r="B1246">
            <v>80</v>
          </cell>
        </row>
        <row r="1247">
          <cell r="B1247">
            <v>9</v>
          </cell>
        </row>
        <row r="1248">
          <cell r="B1248">
            <v>1</v>
          </cell>
        </row>
        <row r="1249">
          <cell r="B1249">
            <v>69</v>
          </cell>
        </row>
        <row r="1250">
          <cell r="B1250">
            <v>49</v>
          </cell>
        </row>
        <row r="1251">
          <cell r="B1251">
            <v>32</v>
          </cell>
        </row>
        <row r="1252">
          <cell r="B1252">
            <v>68</v>
          </cell>
        </row>
        <row r="1253">
          <cell r="B1253">
            <v>38</v>
          </cell>
        </row>
        <row r="1254">
          <cell r="B1254">
            <v>104</v>
          </cell>
        </row>
        <row r="1255">
          <cell r="B1255">
            <v>18</v>
          </cell>
        </row>
        <row r="1256">
          <cell r="B1256">
            <v>13</v>
          </cell>
        </row>
        <row r="1257">
          <cell r="B1257">
            <v>5</v>
          </cell>
        </row>
        <row r="1258">
          <cell r="B1258">
            <v>44</v>
          </cell>
        </row>
        <row r="1266">
          <cell r="B1266">
            <v>647</v>
          </cell>
        </row>
        <row r="1267">
          <cell r="B1267">
            <v>1</v>
          </cell>
        </row>
        <row r="1268">
          <cell r="B1268">
            <v>80</v>
          </cell>
        </row>
        <row r="1269">
          <cell r="B1269">
            <v>3</v>
          </cell>
        </row>
        <row r="1270">
          <cell r="B1270">
            <v>74</v>
          </cell>
        </row>
        <row r="1271">
          <cell r="B1271">
            <v>13</v>
          </cell>
        </row>
        <row r="1272">
          <cell r="B1272">
            <v>6</v>
          </cell>
        </row>
        <row r="1273">
          <cell r="B1273">
            <v>134</v>
          </cell>
        </row>
        <row r="1274">
          <cell r="B1274">
            <v>41</v>
          </cell>
        </row>
        <row r="1275">
          <cell r="B1275">
            <v>48</v>
          </cell>
        </row>
        <row r="1276">
          <cell r="B1276">
            <v>4</v>
          </cell>
        </row>
        <row r="1277">
          <cell r="B1277">
            <v>33</v>
          </cell>
        </row>
        <row r="1278">
          <cell r="B1278">
            <v>99</v>
          </cell>
        </row>
        <row r="1279">
          <cell r="B1279">
            <v>200</v>
          </cell>
        </row>
        <row r="1280">
          <cell r="B1280">
            <v>49</v>
          </cell>
        </row>
        <row r="1281">
          <cell r="B1281">
            <v>25</v>
          </cell>
        </row>
        <row r="1282">
          <cell r="B1282">
            <v>32</v>
          </cell>
        </row>
        <row r="1283">
          <cell r="B1283">
            <v>26</v>
          </cell>
        </row>
        <row r="1403">
          <cell r="B1403">
            <v>414</v>
          </cell>
        </row>
        <row r="1404">
          <cell r="B1404">
            <v>4</v>
          </cell>
        </row>
        <row r="1405">
          <cell r="B1405">
            <v>21</v>
          </cell>
        </row>
        <row r="1406">
          <cell r="B1406">
            <v>2</v>
          </cell>
        </row>
        <row r="1407">
          <cell r="B1407">
            <v>15</v>
          </cell>
        </row>
        <row r="1408">
          <cell r="B1408">
            <v>6</v>
          </cell>
        </row>
        <row r="1409">
          <cell r="B1409">
            <v>3</v>
          </cell>
        </row>
        <row r="1410">
          <cell r="B1410">
            <v>4</v>
          </cell>
        </row>
        <row r="1411">
          <cell r="B1411">
            <v>18</v>
          </cell>
        </row>
        <row r="1412">
          <cell r="B1412">
            <v>38</v>
          </cell>
        </row>
        <row r="1413">
          <cell r="B1413">
            <v>8</v>
          </cell>
        </row>
        <row r="1414">
          <cell r="B1414">
            <v>2</v>
          </cell>
        </row>
        <row r="1415">
          <cell r="B1415">
            <v>2</v>
          </cell>
        </row>
        <row r="1416">
          <cell r="B1416">
            <v>7</v>
          </cell>
        </row>
        <row r="1446">
          <cell r="B1446">
            <v>727</v>
          </cell>
        </row>
        <row r="1447">
          <cell r="B1447">
            <v>5</v>
          </cell>
        </row>
        <row r="1448">
          <cell r="B1448">
            <v>59</v>
          </cell>
        </row>
        <row r="1449">
          <cell r="B1449">
            <v>4</v>
          </cell>
        </row>
        <row r="1450">
          <cell r="B1450">
            <v>50</v>
          </cell>
        </row>
        <row r="1451">
          <cell r="B1451">
            <v>5</v>
          </cell>
        </row>
        <row r="1452">
          <cell r="B1452">
            <v>7</v>
          </cell>
        </row>
        <row r="1453">
          <cell r="B1453">
            <v>160</v>
          </cell>
        </row>
        <row r="1454">
          <cell r="B1454">
            <v>59</v>
          </cell>
        </row>
        <row r="1455">
          <cell r="B1455">
            <v>31</v>
          </cell>
        </row>
        <row r="1456">
          <cell r="B1456">
            <v>3</v>
          </cell>
        </row>
        <row r="1457">
          <cell r="B1457">
            <v>14</v>
          </cell>
        </row>
        <row r="1458">
          <cell r="B1458">
            <v>117</v>
          </cell>
        </row>
        <row r="1459">
          <cell r="B1459">
            <v>262</v>
          </cell>
        </row>
        <row r="1460">
          <cell r="B1460">
            <v>40</v>
          </cell>
        </row>
        <row r="1461">
          <cell r="B1461">
            <v>17</v>
          </cell>
        </row>
        <row r="1462">
          <cell r="B1462">
            <v>49</v>
          </cell>
        </row>
        <row r="1463">
          <cell r="B1463">
            <v>14</v>
          </cell>
        </row>
        <row r="1471">
          <cell r="B1471">
            <v>464</v>
          </cell>
        </row>
        <row r="1472">
          <cell r="B1472">
            <v>7</v>
          </cell>
        </row>
        <row r="1473">
          <cell r="B1473">
            <v>50</v>
          </cell>
        </row>
        <row r="1474">
          <cell r="B1474">
            <v>31</v>
          </cell>
        </row>
        <row r="1475">
          <cell r="B1475">
            <v>20</v>
          </cell>
        </row>
        <row r="1476">
          <cell r="B1476">
            <v>4</v>
          </cell>
        </row>
        <row r="1477">
          <cell r="B1477">
            <v>11</v>
          </cell>
        </row>
        <row r="1478">
          <cell r="B1478">
            <v>3</v>
          </cell>
        </row>
        <row r="1479">
          <cell r="B1479">
            <v>15</v>
          </cell>
        </row>
        <row r="1480">
          <cell r="B1480">
            <v>22</v>
          </cell>
        </row>
        <row r="1481">
          <cell r="B1481">
            <v>10</v>
          </cell>
        </row>
        <row r="1482">
          <cell r="B1482">
            <v>2</v>
          </cell>
        </row>
        <row r="1483">
          <cell r="B1483">
            <v>10</v>
          </cell>
        </row>
        <row r="1567">
          <cell r="B1567">
            <v>215</v>
          </cell>
        </row>
        <row r="1568">
          <cell r="B1568">
            <v>3</v>
          </cell>
        </row>
        <row r="1569">
          <cell r="B1569">
            <v>4</v>
          </cell>
        </row>
        <row r="1570">
          <cell r="B1570">
            <v>11</v>
          </cell>
        </row>
        <row r="1571">
          <cell r="B1571">
            <v>7</v>
          </cell>
        </row>
        <row r="1572">
          <cell r="B1572">
            <v>1</v>
          </cell>
        </row>
        <row r="1573">
          <cell r="B1573">
            <v>1</v>
          </cell>
        </row>
        <row r="1574">
          <cell r="B1574">
            <v>4</v>
          </cell>
        </row>
        <row r="1575">
          <cell r="B1575">
            <v>7</v>
          </cell>
        </row>
        <row r="1576">
          <cell r="B1576">
            <v>4</v>
          </cell>
        </row>
        <row r="1577">
          <cell r="B1577">
            <v>1</v>
          </cell>
        </row>
        <row r="1578">
          <cell r="B1578">
            <v>29</v>
          </cell>
        </row>
        <row r="1650">
          <cell r="B1650">
            <v>133</v>
          </cell>
        </row>
        <row r="1651">
          <cell r="B1651">
            <v>95</v>
          </cell>
        </row>
        <row r="1652">
          <cell r="B1652">
            <v>2</v>
          </cell>
        </row>
        <row r="1653">
          <cell r="B1653">
            <v>8</v>
          </cell>
        </row>
        <row r="1654">
          <cell r="B1654">
            <v>2</v>
          </cell>
        </row>
        <row r="1655">
          <cell r="B1655">
            <v>18</v>
          </cell>
        </row>
        <row r="1656">
          <cell r="B1656">
            <v>5</v>
          </cell>
        </row>
        <row r="1657">
          <cell r="B1657">
            <v>1</v>
          </cell>
        </row>
        <row r="1658">
          <cell r="B1658">
            <v>19</v>
          </cell>
        </row>
        <row r="1659">
          <cell r="B1659">
            <v>17</v>
          </cell>
        </row>
        <row r="1660">
          <cell r="B1660">
            <v>3</v>
          </cell>
        </row>
        <row r="1661">
          <cell r="B1661">
            <v>8</v>
          </cell>
        </row>
        <row r="1689">
          <cell r="B1689">
            <v>119</v>
          </cell>
        </row>
        <row r="1690">
          <cell r="B1690">
            <v>69</v>
          </cell>
        </row>
        <row r="1691">
          <cell r="B1691">
            <v>10</v>
          </cell>
        </row>
        <row r="1692">
          <cell r="B1692">
            <v>28</v>
          </cell>
        </row>
        <row r="1693">
          <cell r="B1693">
            <v>27</v>
          </cell>
        </row>
        <row r="1694">
          <cell r="B1694">
            <v>5</v>
          </cell>
        </row>
        <row r="1695">
          <cell r="B1695">
            <v>2</v>
          </cell>
        </row>
        <row r="1696">
          <cell r="B1696">
            <v>21</v>
          </cell>
        </row>
        <row r="1697">
          <cell r="B1697">
            <v>12</v>
          </cell>
        </row>
        <row r="1698">
          <cell r="B1698">
            <v>1</v>
          </cell>
        </row>
        <row r="1699">
          <cell r="B1699">
            <v>3</v>
          </cell>
        </row>
        <row r="1700">
          <cell r="B1700">
            <v>1</v>
          </cell>
        </row>
        <row r="1701">
          <cell r="B1701">
            <v>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EI ACTIVIDAD ECONOMICA"/>
    </sheetNames>
    <sheetDataSet>
      <sheetData sheetId="0">
        <row r="6">
          <cell r="B6">
            <v>2125</v>
          </cell>
        </row>
        <row r="7">
          <cell r="B7">
            <v>6</v>
          </cell>
        </row>
        <row r="8">
          <cell r="B8">
            <v>92</v>
          </cell>
        </row>
        <row r="9">
          <cell r="B9">
            <v>879</v>
          </cell>
        </row>
        <row r="10">
          <cell r="B10">
            <v>71</v>
          </cell>
        </row>
        <row r="11">
          <cell r="B11">
            <v>1495</v>
          </cell>
        </row>
        <row r="12">
          <cell r="B12">
            <v>341</v>
          </cell>
        </row>
        <row r="13">
          <cell r="B13">
            <v>194</v>
          </cell>
        </row>
        <row r="14">
          <cell r="B14">
            <v>3664</v>
          </cell>
        </row>
        <row r="15">
          <cell r="B15">
            <v>1163</v>
          </cell>
        </row>
        <row r="16">
          <cell r="B16">
            <v>1295</v>
          </cell>
        </row>
        <row r="17">
          <cell r="B17">
            <v>154</v>
          </cell>
        </row>
        <row r="18">
          <cell r="B18">
            <v>818</v>
          </cell>
        </row>
        <row r="19">
          <cell r="B19">
            <v>1662</v>
          </cell>
        </row>
        <row r="20">
          <cell r="B20">
            <v>2642</v>
          </cell>
        </row>
        <row r="21">
          <cell r="B21">
            <v>889</v>
          </cell>
        </row>
        <row r="22">
          <cell r="B22">
            <v>624</v>
          </cell>
        </row>
        <row r="23">
          <cell r="B23">
            <v>617</v>
          </cell>
        </row>
        <row r="24">
          <cell r="B24">
            <v>1</v>
          </cell>
        </row>
        <row r="25">
          <cell r="B25">
            <v>375</v>
          </cell>
        </row>
        <row r="33">
          <cell r="B33">
            <v>180</v>
          </cell>
        </row>
        <row r="34">
          <cell r="B34">
            <v>4</v>
          </cell>
        </row>
        <row r="35">
          <cell r="B35">
            <v>16</v>
          </cell>
        </row>
        <row r="36">
          <cell r="B36">
            <v>15</v>
          </cell>
        </row>
        <row r="37">
          <cell r="B37">
            <v>2</v>
          </cell>
        </row>
        <row r="38">
          <cell r="B38">
            <v>1</v>
          </cell>
        </row>
        <row r="39">
          <cell r="B39">
            <v>44</v>
          </cell>
        </row>
        <row r="40">
          <cell r="B40">
            <v>7</v>
          </cell>
        </row>
        <row r="41">
          <cell r="B41">
            <v>14</v>
          </cell>
        </row>
        <row r="42">
          <cell r="B42">
            <v>1</v>
          </cell>
        </row>
        <row r="43">
          <cell r="B43">
            <v>9</v>
          </cell>
        </row>
        <row r="44">
          <cell r="B44">
            <v>15</v>
          </cell>
        </row>
        <row r="45">
          <cell r="B45">
            <v>8</v>
          </cell>
        </row>
        <row r="46">
          <cell r="B46">
            <v>1</v>
          </cell>
        </row>
        <row r="47">
          <cell r="B47">
            <v>7</v>
          </cell>
        </row>
        <row r="48">
          <cell r="B48">
            <v>1</v>
          </cell>
        </row>
        <row r="49">
          <cell r="B49">
            <v>325</v>
          </cell>
        </row>
        <row r="792">
          <cell r="B792">
            <v>182</v>
          </cell>
        </row>
        <row r="793">
          <cell r="B793">
            <v>11</v>
          </cell>
        </row>
        <row r="794">
          <cell r="B794">
            <v>1</v>
          </cell>
        </row>
        <row r="795">
          <cell r="B795">
            <v>9</v>
          </cell>
        </row>
        <row r="796">
          <cell r="B796">
            <v>1</v>
          </cell>
        </row>
        <row r="797">
          <cell r="B797">
            <v>1</v>
          </cell>
        </row>
        <row r="798">
          <cell r="B798">
            <v>18</v>
          </cell>
        </row>
        <row r="799">
          <cell r="B799">
            <v>3</v>
          </cell>
        </row>
        <row r="800">
          <cell r="B800">
            <v>8</v>
          </cell>
        </row>
        <row r="801">
          <cell r="B801">
            <v>1</v>
          </cell>
        </row>
        <row r="802">
          <cell r="B802">
            <v>18</v>
          </cell>
        </row>
        <row r="803">
          <cell r="B803">
            <v>19</v>
          </cell>
        </row>
        <row r="804">
          <cell r="B804">
            <v>3</v>
          </cell>
        </row>
        <row r="805">
          <cell r="B805">
            <v>1</v>
          </cell>
        </row>
        <row r="806">
          <cell r="B806">
            <v>4</v>
          </cell>
        </row>
        <row r="807">
          <cell r="B807">
            <v>3</v>
          </cell>
        </row>
        <row r="838">
          <cell r="B838">
            <v>304</v>
          </cell>
        </row>
        <row r="839">
          <cell r="B839">
            <v>4</v>
          </cell>
        </row>
        <row r="840">
          <cell r="B840">
            <v>7</v>
          </cell>
        </row>
        <row r="841">
          <cell r="B841">
            <v>10</v>
          </cell>
        </row>
        <row r="842">
          <cell r="B842">
            <v>25</v>
          </cell>
        </row>
        <row r="843">
          <cell r="B843">
            <v>8</v>
          </cell>
        </row>
        <row r="844">
          <cell r="B844">
            <v>5</v>
          </cell>
        </row>
        <row r="845">
          <cell r="B845">
            <v>3</v>
          </cell>
        </row>
        <row r="846">
          <cell r="B846">
            <v>3</v>
          </cell>
        </row>
        <row r="847">
          <cell r="B847">
            <v>18</v>
          </cell>
        </row>
        <row r="848">
          <cell r="B848">
            <v>10</v>
          </cell>
        </row>
        <row r="849">
          <cell r="B849">
            <v>1</v>
          </cell>
        </row>
        <row r="850">
          <cell r="B850">
            <v>1</v>
          </cell>
        </row>
        <row r="851">
          <cell r="B851">
            <v>14</v>
          </cell>
        </row>
        <row r="859">
          <cell r="B859">
            <v>131</v>
          </cell>
        </row>
        <row r="860">
          <cell r="B860">
            <v>3</v>
          </cell>
        </row>
        <row r="861">
          <cell r="B861">
            <v>4</v>
          </cell>
        </row>
        <row r="862">
          <cell r="B862">
            <v>25</v>
          </cell>
        </row>
        <row r="863">
          <cell r="B863">
            <v>3</v>
          </cell>
        </row>
        <row r="864">
          <cell r="B864">
            <v>19</v>
          </cell>
        </row>
        <row r="865">
          <cell r="B865">
            <v>4</v>
          </cell>
        </row>
        <row r="866">
          <cell r="B866">
            <v>10</v>
          </cell>
        </row>
        <row r="867">
          <cell r="B867">
            <v>1</v>
          </cell>
        </row>
        <row r="868">
          <cell r="B868">
            <v>18</v>
          </cell>
        </row>
        <row r="869">
          <cell r="B869">
            <v>6</v>
          </cell>
        </row>
        <row r="870">
          <cell r="B870">
            <v>2</v>
          </cell>
        </row>
        <row r="871">
          <cell r="B871">
            <v>4</v>
          </cell>
        </row>
        <row r="872">
          <cell r="B872">
            <v>3</v>
          </cell>
        </row>
        <row r="873">
          <cell r="B873">
            <v>2</v>
          </cell>
        </row>
        <row r="958">
          <cell r="B958">
            <v>225</v>
          </cell>
        </row>
        <row r="959">
          <cell r="B959">
            <v>10</v>
          </cell>
        </row>
        <row r="960">
          <cell r="B960">
            <v>1</v>
          </cell>
        </row>
        <row r="961">
          <cell r="B961">
            <v>18</v>
          </cell>
        </row>
        <row r="962">
          <cell r="B962">
            <v>8</v>
          </cell>
        </row>
        <row r="963">
          <cell r="B963">
            <v>1</v>
          </cell>
        </row>
        <row r="964">
          <cell r="B964">
            <v>1</v>
          </cell>
        </row>
        <row r="965">
          <cell r="B965">
            <v>1</v>
          </cell>
        </row>
        <row r="966">
          <cell r="B966">
            <v>2</v>
          </cell>
        </row>
        <row r="967">
          <cell r="B967">
            <v>6</v>
          </cell>
        </row>
        <row r="968">
          <cell r="B968">
            <v>17</v>
          </cell>
        </row>
        <row r="969">
          <cell r="B969">
            <v>6</v>
          </cell>
        </row>
        <row r="970">
          <cell r="B970">
            <v>2</v>
          </cell>
        </row>
        <row r="971">
          <cell r="B971">
            <v>2</v>
          </cell>
        </row>
        <row r="972">
          <cell r="B972">
            <v>4</v>
          </cell>
        </row>
        <row r="1022">
          <cell r="B1022">
            <v>203</v>
          </cell>
        </row>
        <row r="1023">
          <cell r="B1023">
            <v>1</v>
          </cell>
        </row>
        <row r="1024">
          <cell r="B1024">
            <v>1</v>
          </cell>
        </row>
        <row r="1025">
          <cell r="B1025">
            <v>34</v>
          </cell>
        </row>
        <row r="1026">
          <cell r="B1026">
            <v>8</v>
          </cell>
        </row>
        <row r="1027">
          <cell r="B1027">
            <v>1</v>
          </cell>
        </row>
        <row r="1028">
          <cell r="B1028">
            <v>3</v>
          </cell>
        </row>
        <row r="1029">
          <cell r="B1029">
            <v>8</v>
          </cell>
        </row>
        <row r="1030">
          <cell r="B1030">
            <v>4</v>
          </cell>
        </row>
        <row r="1031">
          <cell r="B1031">
            <v>2</v>
          </cell>
        </row>
        <row r="1032">
          <cell r="B1032">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SS"/>
      <sheetName val="DISTRITO"/>
      <sheetName val="DISTRITO MAYOR A MENOR"/>
    </sheetNames>
    <sheetDataSet>
      <sheetData sheetId="0"/>
      <sheetData sheetId="1"/>
      <sheetData sheetId="2">
        <row r="4">
          <cell r="N4" t="str">
            <v>PREVALENCIA</v>
          </cell>
        </row>
        <row r="5">
          <cell r="I5" t="str">
            <v xml:space="preserve"> ANTABAMBA</v>
          </cell>
          <cell r="N5">
            <v>0.27400468384074944</v>
          </cell>
        </row>
        <row r="6">
          <cell r="I6" t="str">
            <v xml:space="preserve"> COTABAMBAS</v>
          </cell>
          <cell r="N6">
            <v>0.26304228445908839</v>
          </cell>
        </row>
        <row r="7">
          <cell r="I7" t="str">
            <v xml:space="preserve"> CHINCHEROS</v>
          </cell>
          <cell r="N7">
            <v>0.25759140673414582</v>
          </cell>
        </row>
        <row r="8">
          <cell r="I8" t="str">
            <v xml:space="preserve"> AYMARAES</v>
          </cell>
          <cell r="N8">
            <v>0.21917376222011983</v>
          </cell>
        </row>
        <row r="9">
          <cell r="I9" t="str">
            <v xml:space="preserve"> GRAU</v>
          </cell>
          <cell r="N9">
            <v>0.21424501424501424</v>
          </cell>
        </row>
        <row r="10">
          <cell r="I10" t="str">
            <v xml:space="preserve"> ANDAHUAYLAS</v>
          </cell>
          <cell r="N10">
            <v>0.1943620178041543</v>
          </cell>
        </row>
        <row r="11">
          <cell r="I11" t="str">
            <v xml:space="preserve"> ABANCAY</v>
          </cell>
          <cell r="N11">
            <v>0.12785622593068036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XM2"/>
      <sheetName val="1.- VAL UNIT."/>
      <sheetName val="2.- CXM2"/>
      <sheetName val="3.- ALT 1"/>
      <sheetName val="4.-CXHM"/>
    </sheetNames>
    <sheetDataSet>
      <sheetData sheetId="0"/>
      <sheetData sheetId="1"/>
      <sheetData sheetId="2"/>
      <sheetData sheetId="3">
        <row r="91">
          <cell r="P91">
            <v>4659126.5885923002</v>
          </cell>
        </row>
      </sheetData>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topLeftCell="A25" workbookViewId="0">
      <selection activeCell="J55" sqref="J55"/>
    </sheetView>
  </sheetViews>
  <sheetFormatPr baseColWidth="10" defaultRowHeight="15" x14ac:dyDescent="0.25"/>
  <cols>
    <col min="1" max="1" width="10.5703125" customWidth="1"/>
    <col min="2" max="2" width="10.7109375" customWidth="1"/>
    <col min="9" max="9" width="12.7109375" customWidth="1"/>
    <col min="10" max="10" width="14.85546875" customWidth="1"/>
    <col min="16" max="16" width="10.7109375" customWidth="1"/>
    <col min="25" max="25" width="13.140625" customWidth="1"/>
  </cols>
  <sheetData>
    <row r="1" spans="1:14" x14ac:dyDescent="0.25">
      <c r="A1" t="s">
        <v>46</v>
      </c>
    </row>
    <row r="3" spans="1:14" x14ac:dyDescent="0.25">
      <c r="A3" s="7" t="s">
        <v>15</v>
      </c>
      <c r="B3" s="7" t="s">
        <v>40</v>
      </c>
      <c r="C3" s="7" t="s">
        <v>45</v>
      </c>
      <c r="D3" s="7" t="s">
        <v>2</v>
      </c>
      <c r="E3" s="7" t="s">
        <v>3</v>
      </c>
      <c r="F3" s="7" t="s">
        <v>42</v>
      </c>
      <c r="G3" s="7" t="s">
        <v>4</v>
      </c>
      <c r="H3" s="7" t="s">
        <v>5</v>
      </c>
      <c r="I3" s="7" t="s">
        <v>6</v>
      </c>
      <c r="J3" s="7" t="s">
        <v>16</v>
      </c>
      <c r="K3" s="7" t="s">
        <v>17</v>
      </c>
      <c r="L3" s="7" t="s">
        <v>7</v>
      </c>
      <c r="M3" s="7" t="s">
        <v>8</v>
      </c>
      <c r="N3" s="7" t="s">
        <v>49</v>
      </c>
    </row>
    <row r="4" spans="1:14" x14ac:dyDescent="0.25">
      <c r="A4" s="3" t="s">
        <v>24</v>
      </c>
      <c r="B4" s="3">
        <v>751</v>
      </c>
      <c r="C4" s="3">
        <v>783</v>
      </c>
      <c r="D4" s="3">
        <v>518</v>
      </c>
      <c r="E4" s="3">
        <v>111</v>
      </c>
      <c r="F4" s="3">
        <v>1001</v>
      </c>
      <c r="G4" s="3">
        <v>1023</v>
      </c>
      <c r="H4" s="3">
        <v>353</v>
      </c>
      <c r="I4" s="3">
        <v>115</v>
      </c>
      <c r="J4" s="3">
        <v>398</v>
      </c>
      <c r="K4" s="3">
        <v>1062</v>
      </c>
      <c r="L4" s="3">
        <v>244</v>
      </c>
      <c r="M4" s="3">
        <v>461</v>
      </c>
      <c r="N4" s="6">
        <v>244</v>
      </c>
    </row>
    <row r="5" spans="1:14" x14ac:dyDescent="0.25">
      <c r="A5" s="3" t="s">
        <v>25</v>
      </c>
      <c r="B5" s="3">
        <v>777</v>
      </c>
      <c r="C5" s="3">
        <v>886</v>
      </c>
      <c r="D5" s="3">
        <v>549</v>
      </c>
      <c r="E5" s="3">
        <v>110</v>
      </c>
      <c r="F5" s="3">
        <v>997</v>
      </c>
      <c r="G5" s="3">
        <v>1074</v>
      </c>
      <c r="H5" s="3">
        <v>326</v>
      </c>
      <c r="I5" s="3">
        <v>117</v>
      </c>
      <c r="J5" s="3">
        <v>463</v>
      </c>
      <c r="K5" s="3">
        <v>1097</v>
      </c>
      <c r="L5" s="3">
        <v>245</v>
      </c>
      <c r="M5" s="3">
        <v>484</v>
      </c>
      <c r="N5" s="6">
        <v>282</v>
      </c>
    </row>
    <row r="6" spans="1:14" x14ac:dyDescent="0.25">
      <c r="A6" s="3" t="s">
        <v>26</v>
      </c>
      <c r="B6" s="3">
        <v>922</v>
      </c>
      <c r="C6" s="3">
        <v>1059</v>
      </c>
      <c r="D6" s="3">
        <v>608</v>
      </c>
      <c r="E6" s="3">
        <v>124</v>
      </c>
      <c r="F6" s="3">
        <v>1190</v>
      </c>
      <c r="G6" s="3">
        <v>1412</v>
      </c>
      <c r="H6" s="3">
        <v>296</v>
      </c>
      <c r="I6" s="3">
        <v>136</v>
      </c>
      <c r="J6" s="3">
        <v>477</v>
      </c>
      <c r="K6" s="3">
        <v>1457</v>
      </c>
      <c r="L6" s="3">
        <v>320</v>
      </c>
      <c r="M6" s="3">
        <v>548</v>
      </c>
      <c r="N6" s="6">
        <v>310</v>
      </c>
    </row>
    <row r="7" spans="1:14" x14ac:dyDescent="0.25">
      <c r="A7" s="3" t="s">
        <v>27</v>
      </c>
      <c r="B7" s="3">
        <v>637</v>
      </c>
      <c r="C7" s="3">
        <v>707</v>
      </c>
      <c r="D7" s="3">
        <v>408</v>
      </c>
      <c r="E7" s="3">
        <v>75</v>
      </c>
      <c r="F7" s="3">
        <v>926</v>
      </c>
      <c r="G7" s="3">
        <v>1214</v>
      </c>
      <c r="H7" s="3">
        <v>200</v>
      </c>
      <c r="I7" s="3">
        <v>88</v>
      </c>
      <c r="J7" s="3">
        <v>280</v>
      </c>
      <c r="K7" s="3">
        <v>1087</v>
      </c>
      <c r="L7" s="3">
        <v>194</v>
      </c>
      <c r="M7" s="3">
        <v>420</v>
      </c>
      <c r="N7" s="6">
        <v>207</v>
      </c>
    </row>
    <row r="8" spans="1:14" x14ac:dyDescent="0.25">
      <c r="A8" s="3" t="s">
        <v>28</v>
      </c>
      <c r="B8" s="3">
        <v>400</v>
      </c>
      <c r="C8" s="3">
        <v>469</v>
      </c>
      <c r="D8" s="3">
        <v>242</v>
      </c>
      <c r="E8" s="3">
        <v>55</v>
      </c>
      <c r="F8" s="3">
        <v>643</v>
      </c>
      <c r="G8" s="3">
        <v>647</v>
      </c>
      <c r="H8" s="3">
        <v>126</v>
      </c>
      <c r="I8" s="3">
        <v>63</v>
      </c>
      <c r="J8" s="3">
        <v>166</v>
      </c>
      <c r="K8" s="3">
        <v>706</v>
      </c>
      <c r="L8" s="3">
        <v>147</v>
      </c>
      <c r="M8" s="3">
        <v>250</v>
      </c>
      <c r="N8" s="6">
        <v>151</v>
      </c>
    </row>
    <row r="9" spans="1:14" x14ac:dyDescent="0.25">
      <c r="A9" s="3" t="s">
        <v>29</v>
      </c>
      <c r="B9" s="3">
        <v>378</v>
      </c>
      <c r="C9" s="3">
        <v>384</v>
      </c>
      <c r="D9" s="3">
        <v>243</v>
      </c>
      <c r="E9" s="3">
        <v>69</v>
      </c>
      <c r="F9" s="3">
        <v>540</v>
      </c>
      <c r="G9" s="3">
        <v>539</v>
      </c>
      <c r="H9" s="3">
        <v>150</v>
      </c>
      <c r="I9" s="3">
        <v>47</v>
      </c>
      <c r="J9" s="3">
        <v>172</v>
      </c>
      <c r="K9" s="3">
        <v>584</v>
      </c>
      <c r="L9" s="3">
        <v>127</v>
      </c>
      <c r="M9" s="3">
        <v>241</v>
      </c>
      <c r="N9" s="6">
        <v>151</v>
      </c>
    </row>
    <row r="10" spans="1:14" x14ac:dyDescent="0.25">
      <c r="A10" s="3" t="s">
        <v>30</v>
      </c>
      <c r="B10" s="3">
        <v>357</v>
      </c>
      <c r="C10" s="3">
        <v>438</v>
      </c>
      <c r="D10" s="3">
        <v>237</v>
      </c>
      <c r="E10" s="3">
        <v>59</v>
      </c>
      <c r="F10" s="3">
        <v>484</v>
      </c>
      <c r="G10" s="3">
        <v>589</v>
      </c>
      <c r="H10" s="3">
        <v>161</v>
      </c>
      <c r="I10" s="3">
        <v>46</v>
      </c>
      <c r="J10" s="3">
        <v>186</v>
      </c>
      <c r="K10" s="3">
        <v>501</v>
      </c>
      <c r="L10" s="3">
        <v>110</v>
      </c>
      <c r="M10" s="3">
        <v>227</v>
      </c>
      <c r="N10" s="6">
        <v>131</v>
      </c>
    </row>
    <row r="11" spans="1:14" x14ac:dyDescent="0.25">
      <c r="A11" s="3" t="s">
        <v>31</v>
      </c>
      <c r="B11" s="3">
        <v>394</v>
      </c>
      <c r="C11" s="3">
        <v>431</v>
      </c>
      <c r="D11" s="3">
        <v>244</v>
      </c>
      <c r="E11" s="3">
        <v>51</v>
      </c>
      <c r="F11" s="3">
        <v>475</v>
      </c>
      <c r="G11" s="3">
        <v>631</v>
      </c>
      <c r="H11" s="3">
        <v>138</v>
      </c>
      <c r="I11" s="3">
        <v>45</v>
      </c>
      <c r="J11" s="3">
        <v>169</v>
      </c>
      <c r="K11" s="3">
        <v>547</v>
      </c>
      <c r="L11" s="3">
        <v>123</v>
      </c>
      <c r="M11" s="3">
        <v>220</v>
      </c>
      <c r="N11" s="6">
        <v>150</v>
      </c>
    </row>
    <row r="12" spans="1:14" x14ac:dyDescent="0.25">
      <c r="A12" s="3" t="s">
        <v>32</v>
      </c>
      <c r="B12" s="3">
        <v>332</v>
      </c>
      <c r="C12" s="3">
        <v>387</v>
      </c>
      <c r="D12" s="3">
        <v>220</v>
      </c>
      <c r="E12" s="3">
        <v>43</v>
      </c>
      <c r="F12" s="3">
        <v>406</v>
      </c>
      <c r="G12" s="3">
        <v>562</v>
      </c>
      <c r="H12" s="3">
        <v>115</v>
      </c>
      <c r="I12" s="3">
        <v>60</v>
      </c>
      <c r="J12" s="3">
        <v>169</v>
      </c>
      <c r="K12" s="3">
        <v>460</v>
      </c>
      <c r="L12" s="3">
        <v>106</v>
      </c>
      <c r="M12" s="3">
        <v>205</v>
      </c>
      <c r="N12" s="6">
        <v>144</v>
      </c>
    </row>
    <row r="13" spans="1:14" x14ac:dyDescent="0.25">
      <c r="A13" s="3" t="s">
        <v>33</v>
      </c>
      <c r="B13" s="3">
        <v>256</v>
      </c>
      <c r="C13" s="3">
        <v>349</v>
      </c>
      <c r="D13" s="3">
        <v>191</v>
      </c>
      <c r="E13" s="3">
        <v>27</v>
      </c>
      <c r="F13" s="3">
        <v>292</v>
      </c>
      <c r="G13" s="3">
        <v>425</v>
      </c>
      <c r="H13" s="3">
        <v>137</v>
      </c>
      <c r="I13" s="3">
        <v>45</v>
      </c>
      <c r="J13" s="3">
        <v>124</v>
      </c>
      <c r="K13" s="3">
        <v>398</v>
      </c>
      <c r="L13" s="3">
        <v>95</v>
      </c>
      <c r="M13" s="3">
        <v>187</v>
      </c>
      <c r="N13" s="6">
        <v>110</v>
      </c>
    </row>
    <row r="14" spans="1:14" x14ac:dyDescent="0.25">
      <c r="A14" s="3" t="s">
        <v>34</v>
      </c>
      <c r="B14" s="3">
        <v>286</v>
      </c>
      <c r="C14" s="3">
        <v>266</v>
      </c>
      <c r="D14" s="3">
        <v>146</v>
      </c>
      <c r="E14" s="3">
        <v>43</v>
      </c>
      <c r="F14" s="3">
        <v>228</v>
      </c>
      <c r="G14" s="3">
        <v>368</v>
      </c>
      <c r="H14" s="3">
        <v>74</v>
      </c>
      <c r="I14" s="3">
        <v>35</v>
      </c>
      <c r="J14" s="3">
        <v>92</v>
      </c>
      <c r="K14" s="3">
        <v>338</v>
      </c>
      <c r="L14" s="3">
        <v>93</v>
      </c>
      <c r="M14" s="3">
        <v>141</v>
      </c>
      <c r="N14" s="6">
        <v>98</v>
      </c>
    </row>
    <row r="15" spans="1:14" x14ac:dyDescent="0.25">
      <c r="A15" s="3" t="s">
        <v>35</v>
      </c>
      <c r="B15" s="3">
        <v>198</v>
      </c>
      <c r="C15" s="3">
        <v>210</v>
      </c>
      <c r="D15" s="3">
        <v>157</v>
      </c>
      <c r="E15" s="3">
        <v>37</v>
      </c>
      <c r="F15" s="3">
        <v>187</v>
      </c>
      <c r="G15" s="3">
        <v>277</v>
      </c>
      <c r="H15" s="3">
        <v>72</v>
      </c>
      <c r="I15" s="3">
        <v>31</v>
      </c>
      <c r="J15" s="3">
        <v>83</v>
      </c>
      <c r="K15" s="3">
        <v>298</v>
      </c>
      <c r="L15" s="3">
        <v>73</v>
      </c>
      <c r="M15" s="3">
        <v>148</v>
      </c>
      <c r="N15" s="6">
        <v>92</v>
      </c>
    </row>
    <row r="16" spans="1:14" x14ac:dyDescent="0.25">
      <c r="A16" s="3" t="s">
        <v>36</v>
      </c>
      <c r="B16" s="3">
        <v>199</v>
      </c>
      <c r="C16" s="3">
        <v>191</v>
      </c>
      <c r="D16" s="3">
        <v>171</v>
      </c>
      <c r="E16" s="3">
        <v>43</v>
      </c>
      <c r="F16" s="3">
        <v>202</v>
      </c>
      <c r="G16" s="3">
        <v>277</v>
      </c>
      <c r="H16" s="3">
        <v>58</v>
      </c>
      <c r="I16" s="3">
        <v>36</v>
      </c>
      <c r="J16" s="3">
        <v>108</v>
      </c>
      <c r="K16" s="3">
        <v>256</v>
      </c>
      <c r="L16" s="3">
        <v>59</v>
      </c>
      <c r="M16" s="3">
        <v>127</v>
      </c>
      <c r="N16" s="6">
        <v>102</v>
      </c>
    </row>
    <row r="17" spans="1:14" x14ac:dyDescent="0.25">
      <c r="A17" s="3" t="s">
        <v>37</v>
      </c>
      <c r="B17" s="3">
        <v>144</v>
      </c>
      <c r="C17" s="3">
        <v>158</v>
      </c>
      <c r="D17" s="3">
        <v>150</v>
      </c>
      <c r="E17" s="3">
        <v>40</v>
      </c>
      <c r="F17" s="3">
        <v>160</v>
      </c>
      <c r="G17" s="3">
        <v>273</v>
      </c>
      <c r="H17" s="3">
        <v>94</v>
      </c>
      <c r="I17" s="3">
        <v>32</v>
      </c>
      <c r="J17" s="3">
        <v>109</v>
      </c>
      <c r="K17" s="3">
        <v>220</v>
      </c>
      <c r="L17" s="3">
        <v>71</v>
      </c>
      <c r="M17" s="3">
        <v>127</v>
      </c>
      <c r="N17" s="6">
        <v>74</v>
      </c>
    </row>
    <row r="18" spans="1:14" x14ac:dyDescent="0.25">
      <c r="A18" s="3" t="s">
        <v>38</v>
      </c>
      <c r="B18" s="3">
        <v>143</v>
      </c>
      <c r="C18" s="3">
        <v>122</v>
      </c>
      <c r="D18" s="3">
        <v>118</v>
      </c>
      <c r="E18" s="3">
        <v>31</v>
      </c>
      <c r="F18" s="3">
        <v>116</v>
      </c>
      <c r="G18" s="3">
        <v>184</v>
      </c>
      <c r="H18" s="3">
        <v>61</v>
      </c>
      <c r="I18" s="3">
        <v>19</v>
      </c>
      <c r="J18" s="3">
        <v>73</v>
      </c>
      <c r="K18" s="3">
        <v>159</v>
      </c>
      <c r="L18" s="3">
        <v>61</v>
      </c>
      <c r="M18" s="3">
        <v>109</v>
      </c>
      <c r="N18" s="6">
        <v>51</v>
      </c>
    </row>
    <row r="19" spans="1:14" x14ac:dyDescent="0.25">
      <c r="A19" s="3" t="s">
        <v>39</v>
      </c>
      <c r="B19" s="3">
        <v>111</v>
      </c>
      <c r="C19" s="3">
        <v>103</v>
      </c>
      <c r="D19" s="3">
        <v>82</v>
      </c>
      <c r="E19" s="3">
        <v>19</v>
      </c>
      <c r="F19" s="3">
        <v>89</v>
      </c>
      <c r="G19" s="3">
        <v>142</v>
      </c>
      <c r="H19" s="3">
        <v>52</v>
      </c>
      <c r="I19" s="3">
        <v>26</v>
      </c>
      <c r="J19" s="3">
        <v>56</v>
      </c>
      <c r="K19" s="3">
        <v>116</v>
      </c>
      <c r="L19" s="3">
        <v>27</v>
      </c>
      <c r="M19" s="3">
        <v>73</v>
      </c>
      <c r="N19" s="6">
        <v>48</v>
      </c>
    </row>
    <row r="20" spans="1:14" x14ac:dyDescent="0.25">
      <c r="A20" s="3" t="s">
        <v>48</v>
      </c>
      <c r="B20" s="4">
        <v>156</v>
      </c>
      <c r="C20" s="4">
        <v>135</v>
      </c>
      <c r="D20" s="4">
        <v>103</v>
      </c>
      <c r="E20" s="4">
        <v>24</v>
      </c>
      <c r="F20" s="4">
        <v>97</v>
      </c>
      <c r="G20" s="4">
        <v>204</v>
      </c>
      <c r="H20" s="4">
        <v>65</v>
      </c>
      <c r="I20" s="4">
        <v>31</v>
      </c>
      <c r="J20" s="4">
        <v>61</v>
      </c>
      <c r="K20" s="4">
        <v>144</v>
      </c>
      <c r="L20" s="4">
        <v>49</v>
      </c>
      <c r="M20" s="4">
        <v>98</v>
      </c>
      <c r="N20" s="4">
        <v>65</v>
      </c>
    </row>
    <row r="21" spans="1:14" x14ac:dyDescent="0.25">
      <c r="A21" s="3" t="s">
        <v>1</v>
      </c>
      <c r="B21" s="3">
        <f>SUM(B4:B20)</f>
        <v>6441</v>
      </c>
      <c r="C21" s="3">
        <f>SUM(C4:C20)</f>
        <v>7078</v>
      </c>
      <c r="D21" s="3">
        <f>SUM(D4:D20)</f>
        <v>4387</v>
      </c>
      <c r="E21" s="3">
        <f>SUM(E4:E20)</f>
        <v>961</v>
      </c>
      <c r="F21" s="3">
        <f>SUM(F4:F20)</f>
        <v>8033</v>
      </c>
      <c r="G21" s="3">
        <f t="shared" ref="G21:N21" si="0">SUM(G4:G20)</f>
        <v>9841</v>
      </c>
      <c r="H21" s="3">
        <f t="shared" si="0"/>
        <v>2478</v>
      </c>
      <c r="I21" s="3">
        <f t="shared" si="0"/>
        <v>972</v>
      </c>
      <c r="J21" s="3">
        <f t="shared" si="0"/>
        <v>3186</v>
      </c>
      <c r="K21" s="3">
        <f t="shared" si="0"/>
        <v>9430</v>
      </c>
      <c r="L21" s="3">
        <f t="shared" si="0"/>
        <v>2144</v>
      </c>
      <c r="M21" s="3">
        <f t="shared" si="0"/>
        <v>4066</v>
      </c>
      <c r="N21" s="6">
        <f t="shared" si="0"/>
        <v>2410</v>
      </c>
    </row>
    <row r="23" spans="1:14" x14ac:dyDescent="0.25">
      <c r="A23" t="s">
        <v>23</v>
      </c>
    </row>
    <row r="24" spans="1:14" x14ac:dyDescent="0.25">
      <c r="I24" s="1516" t="s">
        <v>47</v>
      </c>
      <c r="J24" s="1517"/>
      <c r="K24" s="1518"/>
    </row>
    <row r="25" spans="1:14" x14ac:dyDescent="0.25">
      <c r="A25" s="7" t="s">
        <v>15</v>
      </c>
      <c r="B25" s="7" t="s">
        <v>10</v>
      </c>
      <c r="C25" s="7" t="s">
        <v>11</v>
      </c>
      <c r="D25" s="7" t="s">
        <v>12</v>
      </c>
      <c r="E25" s="7" t="s">
        <v>13</v>
      </c>
      <c r="F25" s="7" t="s">
        <v>14</v>
      </c>
      <c r="G25" s="7" t="s">
        <v>43</v>
      </c>
      <c r="I25" s="7" t="s">
        <v>19</v>
      </c>
      <c r="J25" s="7" t="s">
        <v>20</v>
      </c>
      <c r="K25" s="7" t="s">
        <v>21</v>
      </c>
    </row>
    <row r="26" spans="1:14" x14ac:dyDescent="0.25">
      <c r="A26" s="3" t="s">
        <v>25</v>
      </c>
      <c r="B26" s="3">
        <v>621</v>
      </c>
      <c r="C26" s="3">
        <v>1292</v>
      </c>
      <c r="D26" s="3">
        <v>1172</v>
      </c>
      <c r="E26" s="3">
        <v>946</v>
      </c>
      <c r="F26" s="3">
        <v>368</v>
      </c>
      <c r="G26" s="3">
        <v>691</v>
      </c>
      <c r="I26" s="1523" t="s">
        <v>0</v>
      </c>
      <c r="J26" s="1" t="s">
        <v>40</v>
      </c>
      <c r="K26" s="9">
        <f>B21</f>
        <v>6441</v>
      </c>
    </row>
    <row r="27" spans="1:14" x14ac:dyDescent="0.25">
      <c r="A27" s="3" t="s">
        <v>26</v>
      </c>
      <c r="B27" s="3">
        <v>774</v>
      </c>
      <c r="C27" s="3">
        <v>1627</v>
      </c>
      <c r="D27" s="3">
        <v>1305</v>
      </c>
      <c r="E27" s="3">
        <v>1284</v>
      </c>
      <c r="F27" s="3">
        <v>457</v>
      </c>
      <c r="G27" s="3">
        <v>762</v>
      </c>
      <c r="I27" s="1524"/>
      <c r="J27" s="1" t="s">
        <v>41</v>
      </c>
      <c r="K27" s="9">
        <f>C21</f>
        <v>7078</v>
      </c>
    </row>
    <row r="28" spans="1:14" x14ac:dyDescent="0.25">
      <c r="A28" s="3" t="s">
        <v>27</v>
      </c>
      <c r="B28" s="3">
        <v>586</v>
      </c>
      <c r="C28" s="3">
        <v>1182</v>
      </c>
      <c r="D28" s="3">
        <v>846</v>
      </c>
      <c r="E28" s="3">
        <v>798</v>
      </c>
      <c r="F28" s="3">
        <v>291</v>
      </c>
      <c r="G28" s="3">
        <v>451</v>
      </c>
      <c r="I28" s="1524"/>
      <c r="J28" s="1" t="s">
        <v>2</v>
      </c>
      <c r="K28" s="9">
        <f>D21</f>
        <v>4387</v>
      </c>
    </row>
    <row r="29" spans="1:14" x14ac:dyDescent="0.25">
      <c r="A29" s="3" t="s">
        <v>28</v>
      </c>
      <c r="B29" s="3">
        <v>424</v>
      </c>
      <c r="C29" s="3">
        <v>723</v>
      </c>
      <c r="D29" s="3">
        <v>570</v>
      </c>
      <c r="E29" s="3">
        <v>456</v>
      </c>
      <c r="F29" s="3">
        <v>211</v>
      </c>
      <c r="G29" s="3">
        <v>282</v>
      </c>
      <c r="I29" s="1524"/>
      <c r="J29" s="1" t="s">
        <v>3</v>
      </c>
      <c r="K29" s="9">
        <f>E21</f>
        <v>961</v>
      </c>
    </row>
    <row r="30" spans="1:14" x14ac:dyDescent="0.25">
      <c r="A30" s="3" t="s">
        <v>29</v>
      </c>
      <c r="B30" s="3">
        <v>344</v>
      </c>
      <c r="C30" s="3">
        <v>657</v>
      </c>
      <c r="D30" s="3">
        <v>551</v>
      </c>
      <c r="E30" s="3">
        <v>437</v>
      </c>
      <c r="F30" s="3">
        <v>191</v>
      </c>
      <c r="G30" s="3">
        <v>276</v>
      </c>
      <c r="I30" s="1524"/>
      <c r="J30" s="1" t="s">
        <v>42</v>
      </c>
      <c r="K30" s="9">
        <f>F21</f>
        <v>8033</v>
      </c>
    </row>
    <row r="31" spans="1:14" x14ac:dyDescent="0.25">
      <c r="A31" s="3" t="s">
        <v>31</v>
      </c>
      <c r="B31" s="3">
        <v>346</v>
      </c>
      <c r="C31" s="3">
        <v>670</v>
      </c>
      <c r="D31" s="3">
        <v>523</v>
      </c>
      <c r="E31" s="3">
        <v>421</v>
      </c>
      <c r="F31" s="3">
        <v>170</v>
      </c>
      <c r="G31" s="3">
        <v>269</v>
      </c>
      <c r="I31" s="1524"/>
      <c r="J31" s="1" t="s">
        <v>4</v>
      </c>
      <c r="K31" s="9">
        <f>G21</f>
        <v>9841</v>
      </c>
    </row>
    <row r="32" spans="1:14" x14ac:dyDescent="0.25">
      <c r="A32" s="3" t="s">
        <v>32</v>
      </c>
      <c r="B32" s="3">
        <v>288</v>
      </c>
      <c r="C32" s="3">
        <v>617</v>
      </c>
      <c r="D32" s="3">
        <v>475</v>
      </c>
      <c r="E32" s="3">
        <v>389</v>
      </c>
      <c r="F32" s="3">
        <v>173</v>
      </c>
      <c r="G32" s="3">
        <v>224</v>
      </c>
      <c r="I32" s="1524"/>
      <c r="J32" s="1" t="s">
        <v>5</v>
      </c>
      <c r="K32" s="9">
        <f>H21</f>
        <v>2478</v>
      </c>
    </row>
    <row r="33" spans="1:11" x14ac:dyDescent="0.25">
      <c r="A33" s="3" t="s">
        <v>33</v>
      </c>
      <c r="B33" s="3">
        <v>259</v>
      </c>
      <c r="C33" s="3">
        <v>477</v>
      </c>
      <c r="D33" s="3">
        <v>407</v>
      </c>
      <c r="E33" s="3">
        <v>326</v>
      </c>
      <c r="F33" s="3">
        <v>108</v>
      </c>
      <c r="G33" s="3">
        <v>197</v>
      </c>
      <c r="I33" s="1524"/>
      <c r="J33" s="1" t="s">
        <v>6</v>
      </c>
      <c r="K33" s="9">
        <f>I21</f>
        <v>972</v>
      </c>
    </row>
    <row r="34" spans="1:11" x14ac:dyDescent="0.25">
      <c r="A34" s="3" t="s">
        <v>34</v>
      </c>
      <c r="B34" s="3">
        <v>193</v>
      </c>
      <c r="C34" s="3">
        <v>365</v>
      </c>
      <c r="D34" s="3">
        <v>315</v>
      </c>
      <c r="E34" s="3">
        <v>268</v>
      </c>
      <c r="F34" s="3">
        <v>89</v>
      </c>
      <c r="G34" s="3">
        <v>114</v>
      </c>
      <c r="I34" s="1524"/>
      <c r="J34" s="1" t="s">
        <v>16</v>
      </c>
      <c r="K34" s="9">
        <f>J21</f>
        <v>3186</v>
      </c>
    </row>
    <row r="35" spans="1:11" x14ac:dyDescent="0.25">
      <c r="A35" s="3" t="s">
        <v>36</v>
      </c>
      <c r="B35" s="3">
        <v>156</v>
      </c>
      <c r="C35" s="3">
        <v>259</v>
      </c>
      <c r="D35" s="3">
        <v>283</v>
      </c>
      <c r="E35" s="3">
        <v>199</v>
      </c>
      <c r="F35" s="3">
        <v>90</v>
      </c>
      <c r="G35" s="3">
        <v>113</v>
      </c>
      <c r="I35" s="1524"/>
      <c r="J35" s="1" t="s">
        <v>17</v>
      </c>
      <c r="K35" s="9">
        <f>K21</f>
        <v>9430</v>
      </c>
    </row>
    <row r="36" spans="1:11" x14ac:dyDescent="0.25">
      <c r="A36" s="3" t="s">
        <v>38</v>
      </c>
      <c r="B36" s="3">
        <v>126</v>
      </c>
      <c r="C36" s="3">
        <v>189</v>
      </c>
      <c r="D36" s="3">
        <v>196</v>
      </c>
      <c r="E36" s="3">
        <v>156</v>
      </c>
      <c r="F36" s="3">
        <v>69</v>
      </c>
      <c r="G36" s="3">
        <v>56</v>
      </c>
      <c r="I36" s="1524"/>
      <c r="J36" s="1" t="s">
        <v>7</v>
      </c>
      <c r="K36" s="9">
        <f>L21</f>
        <v>2144</v>
      </c>
    </row>
    <row r="37" spans="1:11" x14ac:dyDescent="0.25">
      <c r="A37" s="3" t="s">
        <v>39</v>
      </c>
      <c r="B37" s="3">
        <v>92</v>
      </c>
      <c r="C37" s="3">
        <v>148</v>
      </c>
      <c r="D37" s="3">
        <v>162</v>
      </c>
      <c r="E37" s="3">
        <v>110</v>
      </c>
      <c r="F37" s="3">
        <v>55</v>
      </c>
      <c r="G37" s="3">
        <v>52</v>
      </c>
      <c r="I37" s="1524"/>
      <c r="J37" s="1" t="s">
        <v>8</v>
      </c>
      <c r="K37" s="9">
        <f>M21</f>
        <v>4066</v>
      </c>
    </row>
    <row r="38" spans="1:11" x14ac:dyDescent="0.25">
      <c r="A38" s="3" t="s">
        <v>48</v>
      </c>
      <c r="B38" s="3">
        <v>112</v>
      </c>
      <c r="C38" s="3">
        <v>202</v>
      </c>
      <c r="D38" s="3">
        <v>228</v>
      </c>
      <c r="E38" s="3">
        <v>155</v>
      </c>
      <c r="F38" s="3">
        <v>56</v>
      </c>
      <c r="G38" s="3">
        <v>55</v>
      </c>
      <c r="I38" s="1525"/>
      <c r="J38" s="1" t="s">
        <v>49</v>
      </c>
      <c r="K38" s="9">
        <f>N21</f>
        <v>2410</v>
      </c>
    </row>
    <row r="39" spans="1:11" x14ac:dyDescent="0.25">
      <c r="A39" s="3" t="s">
        <v>1</v>
      </c>
      <c r="B39" s="3">
        <f t="shared" ref="B39:G39" si="1">SUM(B26:B38)</f>
        <v>4321</v>
      </c>
      <c r="C39" s="3">
        <f t="shared" si="1"/>
        <v>8408</v>
      </c>
      <c r="D39" s="3">
        <f t="shared" si="1"/>
        <v>7033</v>
      </c>
      <c r="E39" s="3">
        <f t="shared" si="1"/>
        <v>5945</v>
      </c>
      <c r="F39" s="3">
        <f t="shared" si="1"/>
        <v>2328</v>
      </c>
      <c r="G39" s="3">
        <f t="shared" si="1"/>
        <v>3542</v>
      </c>
    </row>
    <row r="41" spans="1:11" x14ac:dyDescent="0.25">
      <c r="I41" s="1519" t="s">
        <v>47</v>
      </c>
      <c r="J41" s="1519"/>
      <c r="K41" s="1519"/>
    </row>
    <row r="42" spans="1:11" x14ac:dyDescent="0.25">
      <c r="I42" s="7" t="s">
        <v>19</v>
      </c>
      <c r="J42" s="7" t="s">
        <v>20</v>
      </c>
      <c r="K42" s="7" t="s">
        <v>22</v>
      </c>
    </row>
    <row r="43" spans="1:11" x14ac:dyDescent="0.25">
      <c r="I43" s="1520" t="s">
        <v>10</v>
      </c>
      <c r="J43" s="9" t="s">
        <v>10</v>
      </c>
      <c r="K43" s="9">
        <f>B39</f>
        <v>4321</v>
      </c>
    </row>
    <row r="44" spans="1:11" x14ac:dyDescent="0.25">
      <c r="I44" s="1521"/>
      <c r="J44" s="9" t="s">
        <v>11</v>
      </c>
      <c r="K44" s="9">
        <f>C39</f>
        <v>8408</v>
      </c>
    </row>
    <row r="45" spans="1:11" x14ac:dyDescent="0.25">
      <c r="I45" s="1521"/>
      <c r="J45" s="9" t="s">
        <v>12</v>
      </c>
      <c r="K45" s="9">
        <f>D39</f>
        <v>7033</v>
      </c>
    </row>
    <row r="46" spans="1:11" x14ac:dyDescent="0.25">
      <c r="I46" s="1521"/>
      <c r="J46" s="9" t="s">
        <v>13</v>
      </c>
      <c r="K46" s="9">
        <f>E39</f>
        <v>5945</v>
      </c>
    </row>
    <row r="47" spans="1:11" x14ac:dyDescent="0.25">
      <c r="I47" s="1521"/>
      <c r="J47" s="9" t="s">
        <v>14</v>
      </c>
      <c r="K47" s="9">
        <f>F39</f>
        <v>2328</v>
      </c>
    </row>
    <row r="48" spans="1:11" x14ac:dyDescent="0.25">
      <c r="I48" s="1522"/>
      <c r="J48" s="2" t="s">
        <v>43</v>
      </c>
      <c r="K48" s="9">
        <f>G39</f>
        <v>3542</v>
      </c>
    </row>
  </sheetData>
  <mergeCells count="4">
    <mergeCell ref="I24:K24"/>
    <mergeCell ref="I41:K41"/>
    <mergeCell ref="I43:I48"/>
    <mergeCell ref="I26:I3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Y169"/>
  <sheetViews>
    <sheetView view="pageBreakPreview" zoomScale="80" zoomScaleNormal="80" zoomScaleSheetLayoutView="80" workbookViewId="0">
      <selection activeCell="X26" sqref="X26"/>
    </sheetView>
  </sheetViews>
  <sheetFormatPr baseColWidth="10" defaultColWidth="11.5703125" defaultRowHeight="12.75" x14ac:dyDescent="0.2"/>
  <cols>
    <col min="1" max="1" width="11.5703125" style="52"/>
    <col min="2" max="2" width="36" style="150" customWidth="1"/>
    <col min="3" max="3" width="13.140625" style="150" customWidth="1"/>
    <col min="4" max="6" width="11.7109375" style="189" customWidth="1"/>
    <col min="7" max="8" width="11.7109375" style="150" customWidth="1"/>
    <col min="9" max="9" width="11" style="150" customWidth="1"/>
    <col min="10" max="10" width="10.42578125" style="150" customWidth="1"/>
    <col min="11" max="11" width="13" style="150" customWidth="1"/>
    <col min="12" max="22" width="11.5703125" style="150" customWidth="1"/>
    <col min="23" max="23" width="11.5703125" style="52" customWidth="1"/>
    <col min="24" max="24" width="11.5703125" style="52"/>
    <col min="25" max="16384" width="11.5703125" style="150"/>
  </cols>
  <sheetData>
    <row r="1" spans="1:25" s="52" customFormat="1" x14ac:dyDescent="0.2">
      <c r="D1" s="134"/>
      <c r="E1" s="134"/>
      <c r="F1" s="134"/>
    </row>
    <row r="2" spans="1:25" s="52" customFormat="1" x14ac:dyDescent="0.2">
      <c r="D2" s="134"/>
      <c r="E2" s="134"/>
      <c r="F2" s="134"/>
    </row>
    <row r="3" spans="1:25" x14ac:dyDescent="0.2">
      <c r="B3" s="1534" t="s">
        <v>244</v>
      </c>
      <c r="C3" s="1534"/>
      <c r="D3" s="1534"/>
      <c r="E3" s="1534"/>
      <c r="F3" s="1534"/>
      <c r="G3" s="1534"/>
      <c r="H3" s="1534"/>
      <c r="I3" s="1534"/>
      <c r="J3" s="1534"/>
      <c r="K3" s="52"/>
      <c r="L3" s="52"/>
      <c r="M3" s="52"/>
      <c r="N3" s="52"/>
      <c r="O3" s="52"/>
      <c r="P3" s="52"/>
      <c r="Q3" s="52"/>
      <c r="R3" s="52"/>
      <c r="S3" s="52"/>
      <c r="T3" s="52"/>
      <c r="U3" s="52"/>
      <c r="V3" s="52"/>
      <c r="Y3" s="52"/>
    </row>
    <row r="4" spans="1:25" ht="28.9" customHeight="1" x14ac:dyDescent="0.2">
      <c r="B4" s="151" t="s">
        <v>217</v>
      </c>
      <c r="C4" s="46" t="s">
        <v>184</v>
      </c>
      <c r="D4" s="46" t="s">
        <v>191</v>
      </c>
      <c r="E4" s="46" t="s">
        <v>185</v>
      </c>
      <c r="F4" s="46" t="s">
        <v>187</v>
      </c>
      <c r="G4" s="46" t="s">
        <v>186</v>
      </c>
      <c r="H4" s="46" t="s">
        <v>192</v>
      </c>
      <c r="I4" s="46" t="s">
        <v>162</v>
      </c>
      <c r="J4" s="46" t="s">
        <v>190</v>
      </c>
      <c r="K4" s="52"/>
      <c r="L4" s="52"/>
      <c r="M4" s="52"/>
      <c r="N4" s="52"/>
      <c r="O4" s="204" t="s">
        <v>561</v>
      </c>
      <c r="P4" s="52"/>
      <c r="Q4" s="52"/>
      <c r="R4" s="52"/>
      <c r="S4" s="52"/>
      <c r="T4" s="52"/>
      <c r="U4" s="52"/>
      <c r="V4" s="52"/>
      <c r="Y4" s="52"/>
    </row>
    <row r="5" spans="1:25" ht="13.5" customHeight="1" x14ac:dyDescent="0.2">
      <c r="A5" s="52">
        <v>1</v>
      </c>
      <c r="B5" s="152" t="s">
        <v>220</v>
      </c>
      <c r="C5" s="44">
        <f>+'[1]INEI ACTIVIDAD ECONOMICA'!$B$56</f>
        <v>510</v>
      </c>
      <c r="D5" s="153">
        <f>+'[1]INEI ACTIVIDAD ECONOMICA'!$B$76</f>
        <v>2733</v>
      </c>
      <c r="E5" s="153">
        <f>+'[1]INEI ACTIVIDAD ECONOMICA'!$B$101</f>
        <v>871</v>
      </c>
      <c r="F5" s="154">
        <f>+'[1]INEI ACTIVIDAD ECONOMICA'!$B$122</f>
        <v>1171</v>
      </c>
      <c r="G5" s="154">
        <f>+'[1]INEI ACTIVIDAD ECONOMICA'!$B$146</f>
        <v>893</v>
      </c>
      <c r="H5" s="153">
        <f>+'[1]INEI ACTIVIDAD ECONOMICA'!$B$169</f>
        <v>810</v>
      </c>
      <c r="I5" s="155">
        <f>+'[2]INEI ACTIVIDAD ECONOMICA'!B6</f>
        <v>2125</v>
      </c>
      <c r="J5" s="155">
        <f>+'[2]INEI ACTIVIDAD ECONOMICA'!$B$33</f>
        <v>180</v>
      </c>
      <c r="K5" s="52"/>
      <c r="L5" s="52"/>
      <c r="M5" s="52"/>
      <c r="N5" s="52"/>
      <c r="O5" s="205" t="s">
        <v>562</v>
      </c>
      <c r="P5" s="52"/>
      <c r="Q5" s="52"/>
      <c r="R5" s="52"/>
      <c r="S5" s="52"/>
      <c r="T5" s="52"/>
      <c r="U5" s="52"/>
      <c r="V5" s="52"/>
      <c r="Y5" s="52"/>
    </row>
    <row r="6" spans="1:25" ht="13.5" customHeight="1" x14ac:dyDescent="0.2">
      <c r="A6" s="52">
        <v>2</v>
      </c>
      <c r="B6" s="152" t="s">
        <v>221</v>
      </c>
      <c r="C6" s="44"/>
      <c r="D6" s="63"/>
      <c r="E6" s="63"/>
      <c r="F6" s="154">
        <f>+'[1]INEI ACTIVIDAD ECONOMICA'!$B$123</f>
        <v>2</v>
      </c>
      <c r="G6" s="154">
        <f>+'[1]INEI ACTIVIDAD ECONOMICA'!$B$147</f>
        <v>2</v>
      </c>
      <c r="H6" s="156"/>
      <c r="I6" s="155">
        <f>+'[2]INEI ACTIVIDAD ECONOMICA'!B7</f>
        <v>6</v>
      </c>
      <c r="J6" s="63"/>
      <c r="K6" s="52"/>
      <c r="L6" s="52"/>
      <c r="M6" s="52"/>
      <c r="N6" s="52"/>
      <c r="O6" s="207" t="s">
        <v>323</v>
      </c>
      <c r="P6" s="208"/>
      <c r="Q6" s="206">
        <v>0.23699999999999999</v>
      </c>
      <c r="R6" s="208" t="s">
        <v>322</v>
      </c>
      <c r="S6" s="209"/>
      <c r="T6" s="52"/>
      <c r="U6" s="52">
        <v>1000</v>
      </c>
      <c r="V6" s="52"/>
      <c r="Y6" s="52"/>
    </row>
    <row r="7" spans="1:25" x14ac:dyDescent="0.2">
      <c r="A7" s="52">
        <v>3</v>
      </c>
      <c r="B7" s="152" t="s">
        <v>222</v>
      </c>
      <c r="C7" s="44">
        <f>+'[1]INEI ACTIVIDAD ECONOMICA'!B57</f>
        <v>1</v>
      </c>
      <c r="D7" s="155">
        <f>+'[1]INEI ACTIVIDAD ECONOMICA'!$B$77</f>
        <v>16</v>
      </c>
      <c r="E7" s="153"/>
      <c r="F7" s="154">
        <f>+'[1]INEI ACTIVIDAD ECONOMICA'!$B$124</f>
        <v>6</v>
      </c>
      <c r="G7" s="154">
        <f>+'[1]INEI ACTIVIDAD ECONOMICA'!$B$148</f>
        <v>1</v>
      </c>
      <c r="H7" s="156"/>
      <c r="I7" s="155">
        <f>+'[2]INEI ACTIVIDAD ECONOMICA'!B8</f>
        <v>92</v>
      </c>
      <c r="J7" s="155">
        <f>+'[2]INEI ACTIVIDAD ECONOMICA'!$B$34</f>
        <v>4</v>
      </c>
      <c r="K7" s="52"/>
      <c r="L7" s="52"/>
      <c r="M7" s="52"/>
      <c r="N7" s="52"/>
      <c r="O7" s="52"/>
      <c r="P7" s="52"/>
      <c r="Q7" s="52"/>
      <c r="R7" s="52"/>
      <c r="S7" s="52"/>
      <c r="T7" s="52"/>
      <c r="U7" s="52"/>
      <c r="V7" s="52"/>
      <c r="Y7" s="52"/>
    </row>
    <row r="8" spans="1:25" x14ac:dyDescent="0.2">
      <c r="A8" s="52">
        <v>4</v>
      </c>
      <c r="B8" s="152" t="s">
        <v>223</v>
      </c>
      <c r="C8" s="44">
        <f>+'[1]INEI ACTIVIDAD ECONOMICA'!B58</f>
        <v>14</v>
      </c>
      <c r="D8" s="153">
        <f>+'[1]INEI ACTIVIDAD ECONOMICA'!$B$78</f>
        <v>85</v>
      </c>
      <c r="E8" s="153">
        <f>+'[1]INEI ACTIVIDAD ECONOMICA'!$B$102</f>
        <v>6</v>
      </c>
      <c r="F8" s="154">
        <f>+'[1]INEI ACTIVIDAD ECONOMICA'!$B$125</f>
        <v>33</v>
      </c>
      <c r="G8" s="154">
        <f>+'[1]INEI ACTIVIDAD ECONOMICA'!$B$149</f>
        <v>10</v>
      </c>
      <c r="H8" s="153">
        <f>+'[1]INEI ACTIVIDAD ECONOMICA'!$B$170</f>
        <v>23</v>
      </c>
      <c r="I8" s="155">
        <f>+'[2]INEI ACTIVIDAD ECONOMICA'!B9</f>
        <v>879</v>
      </c>
      <c r="J8" s="155">
        <f>+'[2]INEI ACTIVIDAD ECONOMICA'!$B$35</f>
        <v>16</v>
      </c>
      <c r="K8" s="52"/>
      <c r="L8" s="52"/>
      <c r="M8" s="52"/>
      <c r="N8" s="52"/>
      <c r="O8" s="52"/>
      <c r="P8" s="52"/>
      <c r="Q8" s="52"/>
      <c r="R8" s="52"/>
      <c r="S8" s="52"/>
      <c r="T8" s="52"/>
      <c r="U8" s="52">
        <f>U6*Q6</f>
        <v>237</v>
      </c>
      <c r="V8" s="52"/>
      <c r="Y8" s="52"/>
    </row>
    <row r="9" spans="1:25" x14ac:dyDescent="0.2">
      <c r="A9" s="52">
        <v>5</v>
      </c>
      <c r="B9" s="152" t="s">
        <v>224</v>
      </c>
      <c r="D9" s="153">
        <f>+'[1]INEI ACTIVIDAD ECONOMICA'!$B$79</f>
        <v>2</v>
      </c>
      <c r="E9" s="153"/>
      <c r="F9" s="154"/>
      <c r="G9" s="154"/>
      <c r="H9" s="156"/>
      <c r="I9" s="155">
        <f>+'[2]INEI ACTIVIDAD ECONOMICA'!B10</f>
        <v>71</v>
      </c>
      <c r="J9" s="63"/>
      <c r="K9" s="52"/>
      <c r="L9" s="52"/>
      <c r="M9" s="52"/>
      <c r="N9" s="52"/>
      <c r="O9" s="52"/>
      <c r="P9" s="52"/>
      <c r="Q9" s="52"/>
      <c r="R9" s="52"/>
      <c r="S9" s="52"/>
      <c r="T9" s="52"/>
      <c r="U9" s="52"/>
      <c r="V9" s="52"/>
      <c r="Y9" s="52"/>
    </row>
    <row r="10" spans="1:25" ht="13.5" customHeight="1" x14ac:dyDescent="0.2">
      <c r="A10" s="52">
        <v>6</v>
      </c>
      <c r="B10" s="152" t="s">
        <v>225</v>
      </c>
      <c r="C10" s="44">
        <f>+'[1]INEI ACTIVIDAD ECONOMICA'!B59</f>
        <v>17</v>
      </c>
      <c r="D10" s="153">
        <f>+'[1]INEI ACTIVIDAD ECONOMICA'!$B$80</f>
        <v>200</v>
      </c>
      <c r="E10" s="153">
        <f>+'[1]INEI ACTIVIDAD ECONOMICA'!$B$103</f>
        <v>17</v>
      </c>
      <c r="F10" s="154">
        <f>+'[1]INEI ACTIVIDAD ECONOMICA'!$B$126</f>
        <v>79</v>
      </c>
      <c r="G10" s="154">
        <f>+'[1]INEI ACTIVIDAD ECONOMICA'!$B$150</f>
        <v>27</v>
      </c>
      <c r="H10" s="153">
        <f>+'[1]INEI ACTIVIDAD ECONOMICA'!$B$171</f>
        <v>20</v>
      </c>
      <c r="I10" s="155">
        <f>+'[2]INEI ACTIVIDAD ECONOMICA'!B11</f>
        <v>1495</v>
      </c>
      <c r="J10" s="155">
        <f>+'[2]INEI ACTIVIDAD ECONOMICA'!B36</f>
        <v>15</v>
      </c>
      <c r="K10" s="52"/>
      <c r="L10" s="52"/>
      <c r="M10" s="52"/>
      <c r="N10" s="52"/>
      <c r="O10" s="52"/>
      <c r="P10" s="52"/>
      <c r="Q10" s="52"/>
      <c r="R10" s="52"/>
      <c r="S10" s="52"/>
      <c r="T10" s="52"/>
      <c r="U10" s="52"/>
      <c r="V10" s="52"/>
      <c r="Y10" s="52"/>
    </row>
    <row r="11" spans="1:25" x14ac:dyDescent="0.2">
      <c r="A11" s="52">
        <v>7</v>
      </c>
      <c r="B11" s="152" t="s">
        <v>226</v>
      </c>
      <c r="C11" s="44">
        <f>+'[1]INEI ACTIVIDAD ECONOMICA'!B60</f>
        <v>2</v>
      </c>
      <c r="D11" s="153">
        <f>+'[1]INEI ACTIVIDAD ECONOMICA'!B81</f>
        <v>19</v>
      </c>
      <c r="E11" s="153">
        <f>+'[1]INEI ACTIVIDAD ECONOMICA'!$B$104</f>
        <v>2</v>
      </c>
      <c r="F11" s="154">
        <f>+'[1]INEI ACTIVIDAD ECONOMICA'!B127</f>
        <v>2</v>
      </c>
      <c r="G11" s="154">
        <f>+'[1]INEI ACTIVIDAD ECONOMICA'!$B$151</f>
        <v>1</v>
      </c>
      <c r="H11" s="156">
        <f>+'[1]INEI ACTIVIDAD ECONOMICA'!$B$172</f>
        <v>1</v>
      </c>
      <c r="I11" s="155">
        <f>+'[2]INEI ACTIVIDAD ECONOMICA'!B12</f>
        <v>341</v>
      </c>
      <c r="J11" s="155">
        <f>+'[2]INEI ACTIVIDAD ECONOMICA'!B37</f>
        <v>2</v>
      </c>
      <c r="K11" s="52"/>
      <c r="L11" s="52"/>
      <c r="M11" s="52"/>
      <c r="N11" s="52"/>
      <c r="O11" s="52"/>
      <c r="P11" s="52"/>
      <c r="Q11" s="52"/>
      <c r="R11" s="52"/>
      <c r="S11" s="52"/>
      <c r="T11" s="52"/>
      <c r="U11" s="52"/>
      <c r="V11" s="52"/>
      <c r="Y11" s="52"/>
    </row>
    <row r="12" spans="1:25" x14ac:dyDescent="0.2">
      <c r="A12" s="52">
        <v>8</v>
      </c>
      <c r="B12" s="152" t="s">
        <v>227</v>
      </c>
      <c r="C12" s="63"/>
      <c r="D12" s="153">
        <f>+'[1]INEI ACTIVIDAD ECONOMICA'!B82</f>
        <v>6</v>
      </c>
      <c r="E12" s="153"/>
      <c r="F12" s="154">
        <f>+'[1]INEI ACTIVIDAD ECONOMICA'!B128</f>
        <v>1</v>
      </c>
      <c r="G12" s="63"/>
      <c r="H12" s="156"/>
      <c r="I12" s="155">
        <f>+'[2]INEI ACTIVIDAD ECONOMICA'!B13</f>
        <v>194</v>
      </c>
      <c r="J12" s="155">
        <f>+'[2]INEI ACTIVIDAD ECONOMICA'!B38</f>
        <v>1</v>
      </c>
      <c r="K12" s="52"/>
      <c r="L12" s="52"/>
      <c r="M12" s="52"/>
      <c r="N12" s="52"/>
      <c r="O12" s="52"/>
      <c r="P12" s="52"/>
      <c r="Q12" s="52"/>
      <c r="R12" s="52"/>
      <c r="S12" s="52"/>
      <c r="T12" s="52"/>
      <c r="U12" s="52"/>
      <c r="V12" s="52"/>
      <c r="Y12" s="52"/>
    </row>
    <row r="13" spans="1:25" x14ac:dyDescent="0.2">
      <c r="A13" s="52">
        <v>9</v>
      </c>
      <c r="B13" s="152" t="s">
        <v>228</v>
      </c>
      <c r="C13" s="44">
        <f>+'[1]INEI ACTIVIDAD ECONOMICA'!$B$61</f>
        <v>12</v>
      </c>
      <c r="D13" s="153">
        <f>+'[1]INEI ACTIVIDAD ECONOMICA'!B83</f>
        <v>341</v>
      </c>
      <c r="E13" s="153">
        <f>+'[1]INEI ACTIVIDAD ECONOMICA'!$B$105</f>
        <v>35</v>
      </c>
      <c r="F13" s="154">
        <f>+'[1]INEI ACTIVIDAD ECONOMICA'!B129</f>
        <v>54</v>
      </c>
      <c r="G13" s="155">
        <f>+'[1]INEI ACTIVIDAD ECONOMICA'!$B$152</f>
        <v>30</v>
      </c>
      <c r="H13" s="156">
        <f>+'[1]INEI ACTIVIDAD ECONOMICA'!$B$173</f>
        <v>78</v>
      </c>
      <c r="I13" s="155">
        <f>+'[2]INEI ACTIVIDAD ECONOMICA'!B14</f>
        <v>3664</v>
      </c>
      <c r="J13" s="155">
        <f>+'[2]INEI ACTIVIDAD ECONOMICA'!B39</f>
        <v>44</v>
      </c>
      <c r="K13" s="52"/>
      <c r="L13" s="52"/>
      <c r="M13" s="52"/>
      <c r="N13" s="52"/>
      <c r="O13" s="52"/>
      <c r="P13" s="52"/>
      <c r="Q13" s="52"/>
      <c r="R13" s="52"/>
      <c r="S13" s="52"/>
      <c r="T13" s="52"/>
      <c r="U13" s="52"/>
      <c r="V13" s="52"/>
      <c r="Y13" s="52"/>
    </row>
    <row r="14" spans="1:25" x14ac:dyDescent="0.2">
      <c r="A14" s="52">
        <v>10</v>
      </c>
      <c r="B14" s="152" t="s">
        <v>229</v>
      </c>
      <c r="C14" s="44">
        <f>+'[1]INEI ACTIVIDAD ECONOMICA'!$B$62</f>
        <v>9</v>
      </c>
      <c r="D14" s="153">
        <f>+'[1]INEI ACTIVIDAD ECONOMICA'!B84</f>
        <v>99</v>
      </c>
      <c r="E14" s="153">
        <f>+'[1]INEI ACTIVIDAD ECONOMICA'!$B$106</f>
        <v>23</v>
      </c>
      <c r="F14" s="154">
        <f>+'[1]INEI ACTIVIDAD ECONOMICA'!B130</f>
        <v>32</v>
      </c>
      <c r="G14" s="154">
        <f>+'[1]INEI ACTIVIDAD ECONOMICA'!$B$153</f>
        <v>9</v>
      </c>
      <c r="H14" s="156">
        <f>+'[1]INEI ACTIVIDAD ECONOMICA'!$B$174</f>
        <v>43</v>
      </c>
      <c r="I14" s="155">
        <f>+'[2]INEI ACTIVIDAD ECONOMICA'!B15</f>
        <v>1163</v>
      </c>
      <c r="J14" s="155">
        <f>+'[2]INEI ACTIVIDAD ECONOMICA'!B40</f>
        <v>7</v>
      </c>
      <c r="K14" s="52"/>
      <c r="L14" s="52"/>
      <c r="M14" s="52"/>
      <c r="N14" s="52"/>
      <c r="O14" s="204" t="s">
        <v>320</v>
      </c>
      <c r="P14" s="52"/>
      <c r="Q14" s="52"/>
      <c r="R14" s="52"/>
      <c r="S14" s="52"/>
      <c r="T14" s="52"/>
      <c r="U14" s="52"/>
      <c r="V14" s="52"/>
      <c r="Y14" s="52"/>
    </row>
    <row r="15" spans="1:25" x14ac:dyDescent="0.2">
      <c r="A15" s="52">
        <v>11</v>
      </c>
      <c r="B15" s="152" t="s">
        <v>230</v>
      </c>
      <c r="C15" s="44">
        <f>+'[1]INEI ACTIVIDAD ECONOMICA'!$B$63</f>
        <v>5</v>
      </c>
      <c r="D15" s="153">
        <f>+'[1]INEI ACTIVIDAD ECONOMICA'!B85</f>
        <v>126</v>
      </c>
      <c r="E15" s="153">
        <f>+'[1]INEI ACTIVIDAD ECONOMICA'!$B$107</f>
        <v>14</v>
      </c>
      <c r="F15" s="154">
        <f>+'[1]INEI ACTIVIDAD ECONOMICA'!B131</f>
        <v>10</v>
      </c>
      <c r="G15" s="154">
        <f>+'[1]INEI ACTIVIDAD ECONOMICA'!$B$154</f>
        <v>5</v>
      </c>
      <c r="H15" s="156">
        <f>+'[1]INEI ACTIVIDAD ECONOMICA'!$B$175</f>
        <v>31</v>
      </c>
      <c r="I15" s="155">
        <f>+'[2]INEI ACTIVIDAD ECONOMICA'!B16</f>
        <v>1295</v>
      </c>
      <c r="J15" s="155">
        <f>+'[2]INEI ACTIVIDAD ECONOMICA'!B41</f>
        <v>14</v>
      </c>
      <c r="K15" s="52"/>
      <c r="L15" s="52"/>
      <c r="M15" s="52"/>
      <c r="N15" s="52"/>
      <c r="O15" s="205" t="s">
        <v>321</v>
      </c>
      <c r="P15" s="52"/>
      <c r="Q15" s="52"/>
      <c r="R15" s="52"/>
      <c r="S15" s="52"/>
      <c r="T15" s="52"/>
      <c r="U15" s="52"/>
      <c r="V15" s="52"/>
      <c r="Y15" s="52"/>
    </row>
    <row r="16" spans="1:25" x14ac:dyDescent="0.2">
      <c r="A16" s="52">
        <v>12</v>
      </c>
      <c r="B16" s="152" t="s">
        <v>231</v>
      </c>
      <c r="C16" s="44"/>
      <c r="D16" s="153">
        <f>+'[1]INEI ACTIVIDAD ECONOMICA'!B86</f>
        <v>4</v>
      </c>
      <c r="E16" s="157"/>
      <c r="F16" s="154"/>
      <c r="G16" s="63"/>
      <c r="H16" s="156"/>
      <c r="I16" s="155">
        <f>+'[2]INEI ACTIVIDAD ECONOMICA'!B17</f>
        <v>154</v>
      </c>
      <c r="J16" s="63"/>
      <c r="K16" s="52"/>
      <c r="L16" s="52"/>
      <c r="M16" s="52"/>
      <c r="N16" s="52"/>
      <c r="O16" s="207" t="s">
        <v>323</v>
      </c>
      <c r="P16" s="208"/>
      <c r="Q16" s="206">
        <v>0.17699999999999999</v>
      </c>
      <c r="R16" s="208" t="s">
        <v>322</v>
      </c>
      <c r="S16" s="209"/>
      <c r="T16" s="332" t="s">
        <v>563</v>
      </c>
      <c r="U16" s="333"/>
      <c r="V16" s="334"/>
      <c r="Y16" s="52"/>
    </row>
    <row r="17" spans="1:25" x14ac:dyDescent="0.2">
      <c r="A17" s="52">
        <v>13</v>
      </c>
      <c r="B17" s="158" t="s">
        <v>232</v>
      </c>
      <c r="C17" s="44"/>
      <c r="D17" s="153">
        <f>+'[1]INEI ACTIVIDAD ECONOMICA'!B87</f>
        <v>20</v>
      </c>
      <c r="E17" s="153">
        <f>+'[1]INEI ACTIVIDAD ECONOMICA'!$B$108</f>
        <v>1</v>
      </c>
      <c r="F17" s="154">
        <f>+'[1]INEI ACTIVIDAD ECONOMICA'!$B$132</f>
        <v>8</v>
      </c>
      <c r="G17" s="154">
        <f>+'[1]INEI ACTIVIDAD ECONOMICA'!$B$155</f>
        <v>2</v>
      </c>
      <c r="H17" s="156">
        <f>+'[1]INEI ACTIVIDAD ECONOMICA'!$B$176</f>
        <v>12</v>
      </c>
      <c r="I17" s="155">
        <f>+'[2]INEI ACTIVIDAD ECONOMICA'!B18</f>
        <v>818</v>
      </c>
      <c r="J17" s="155">
        <f>+'[2]INEI ACTIVIDAD ECONOMICA'!B42</f>
        <v>1</v>
      </c>
      <c r="K17" s="52"/>
      <c r="L17" s="52"/>
      <c r="M17" s="52"/>
      <c r="N17" s="52"/>
      <c r="O17" s="52"/>
      <c r="P17" s="52"/>
      <c r="Q17" s="331">
        <v>0.74680000000000002</v>
      </c>
      <c r="R17" s="52"/>
      <c r="S17" s="52"/>
      <c r="T17" s="52"/>
      <c r="U17" s="52"/>
      <c r="V17" s="52"/>
      <c r="Y17" s="52"/>
    </row>
    <row r="18" spans="1:25" x14ac:dyDescent="0.2">
      <c r="A18" s="52">
        <v>14</v>
      </c>
      <c r="B18" s="152" t="s">
        <v>233</v>
      </c>
      <c r="C18" s="44">
        <f>+'[1]INEI ACTIVIDAD ECONOMICA'!$B$64</f>
        <v>6</v>
      </c>
      <c r="D18" s="153">
        <f>+'[1]INEI ACTIVIDAD ECONOMICA'!B88</f>
        <v>92</v>
      </c>
      <c r="E18" s="153">
        <f>+'[1]INEI ACTIVIDAD ECONOMICA'!$B$109</f>
        <v>8</v>
      </c>
      <c r="F18" s="154">
        <f>+'[1]INEI ACTIVIDAD ECONOMICA'!$B$133</f>
        <v>12</v>
      </c>
      <c r="G18" s="154">
        <f>+'[1]INEI ACTIVIDAD ECONOMICA'!$B$156</f>
        <v>16</v>
      </c>
      <c r="H18" s="156">
        <f>+'[1]INEI ACTIVIDAD ECONOMICA'!$B$177</f>
        <v>17</v>
      </c>
      <c r="I18" s="155">
        <f>+'[2]INEI ACTIVIDAD ECONOMICA'!B19</f>
        <v>1662</v>
      </c>
      <c r="J18" s="155">
        <f>+'[2]INEI ACTIVIDAD ECONOMICA'!B43</f>
        <v>9</v>
      </c>
      <c r="K18" s="52"/>
      <c r="L18" s="52"/>
      <c r="M18" s="52"/>
      <c r="N18" s="52"/>
      <c r="O18" s="52"/>
      <c r="P18" s="52"/>
      <c r="Q18" s="52"/>
      <c r="R18" s="52"/>
      <c r="S18" s="52"/>
      <c r="T18" s="52"/>
      <c r="U18" s="52"/>
      <c r="V18" s="52"/>
      <c r="Y18" s="52"/>
    </row>
    <row r="19" spans="1:25" x14ac:dyDescent="0.2">
      <c r="A19" s="52">
        <v>15</v>
      </c>
      <c r="B19" s="152" t="s">
        <v>234</v>
      </c>
      <c r="C19" s="44">
        <f>+'[1]INEI ACTIVIDAD ECONOMICA'!$B$65</f>
        <v>9</v>
      </c>
      <c r="D19" s="153">
        <f>+'[1]INEI ACTIVIDAD ECONOMICA'!B89</f>
        <v>252</v>
      </c>
      <c r="E19" s="153">
        <f>+'[1]INEI ACTIVIDAD ECONOMICA'!$B$110</f>
        <v>25</v>
      </c>
      <c r="F19" s="154">
        <f>+'[1]INEI ACTIVIDAD ECONOMICA'!$B$134</f>
        <v>29</v>
      </c>
      <c r="G19" s="154">
        <f>+'[1]INEI ACTIVIDAD ECONOMICA'!$B$157</f>
        <v>9</v>
      </c>
      <c r="H19" s="156">
        <f>+'[1]INEI ACTIVIDAD ECONOMICA'!$B$178</f>
        <v>32</v>
      </c>
      <c r="I19" s="155">
        <f>+'[2]INEI ACTIVIDAD ECONOMICA'!B20</f>
        <v>2642</v>
      </c>
      <c r="J19" s="155">
        <f>+'[2]INEI ACTIVIDAD ECONOMICA'!B44</f>
        <v>15</v>
      </c>
      <c r="K19" s="52"/>
      <c r="L19" s="52"/>
      <c r="M19" s="52"/>
      <c r="N19" s="52"/>
      <c r="O19" s="52"/>
      <c r="P19" s="52"/>
      <c r="Q19" s="52"/>
      <c r="R19" s="52"/>
      <c r="S19" s="52"/>
      <c r="T19" s="52"/>
      <c r="U19" s="52"/>
      <c r="V19" s="52"/>
      <c r="Y19" s="52"/>
    </row>
    <row r="20" spans="1:25" x14ac:dyDescent="0.2">
      <c r="A20" s="52">
        <v>16</v>
      </c>
      <c r="B20" s="152" t="s">
        <v>235</v>
      </c>
      <c r="C20" s="44">
        <f>+'[1]INEI ACTIVIDAD ECONOMICA'!$B$66</f>
        <v>4</v>
      </c>
      <c r="D20" s="153">
        <f>+'[1]INEI ACTIVIDAD ECONOMICA'!B90</f>
        <v>96</v>
      </c>
      <c r="E20" s="153">
        <f>+'[1]INEI ACTIVIDAD ECONOMICA'!$B$111</f>
        <v>11</v>
      </c>
      <c r="F20" s="154">
        <f>+'[1]INEI ACTIVIDAD ECONOMICA'!$B$135</f>
        <v>21</v>
      </c>
      <c r="G20" s="154">
        <f>+'[1]INEI ACTIVIDAD ECONOMICA'!$B$158</f>
        <v>11</v>
      </c>
      <c r="H20" s="156">
        <f>+'[1]INEI ACTIVIDAD ECONOMICA'!$B$179</f>
        <v>19</v>
      </c>
      <c r="I20" s="155">
        <f>+'[2]INEI ACTIVIDAD ECONOMICA'!B21</f>
        <v>889</v>
      </c>
      <c r="J20" s="155">
        <f>+'[2]INEI ACTIVIDAD ECONOMICA'!B45</f>
        <v>8</v>
      </c>
      <c r="K20" s="52"/>
      <c r="L20" s="52"/>
      <c r="M20" s="52"/>
      <c r="N20" s="52"/>
      <c r="O20" s="52"/>
      <c r="P20" s="52"/>
      <c r="Q20" s="52"/>
      <c r="R20" s="52"/>
      <c r="S20" s="52"/>
      <c r="T20" s="52"/>
      <c r="U20" s="52"/>
      <c r="V20" s="52"/>
      <c r="Y20" s="52"/>
    </row>
    <row r="21" spans="1:25" x14ac:dyDescent="0.2">
      <c r="A21" s="52">
        <v>17</v>
      </c>
      <c r="B21" s="152" t="s">
        <v>236</v>
      </c>
      <c r="C21" s="44"/>
      <c r="D21" s="153">
        <f>+'[1]INEI ACTIVIDAD ECONOMICA'!B91</f>
        <v>26</v>
      </c>
      <c r="E21" s="153">
        <f>+'[1]INEI ACTIVIDAD ECONOMICA'!$B$112</f>
        <v>2</v>
      </c>
      <c r="F21" s="154">
        <f>+'[1]INEI ACTIVIDAD ECONOMICA'!$B$136</f>
        <v>5</v>
      </c>
      <c r="G21" s="154">
        <f>+'[1]INEI ACTIVIDAD ECONOMICA'!$B$159</f>
        <v>2</v>
      </c>
      <c r="H21" s="156"/>
      <c r="I21" s="155">
        <f>+'[2]INEI ACTIVIDAD ECONOMICA'!B22</f>
        <v>624</v>
      </c>
      <c r="J21" s="155">
        <f>+'[2]INEI ACTIVIDAD ECONOMICA'!B46</f>
        <v>1</v>
      </c>
      <c r="K21" s="52"/>
      <c r="L21" s="52"/>
      <c r="M21" s="52"/>
      <c r="N21" s="52"/>
      <c r="O21" s="52"/>
      <c r="P21" s="52"/>
      <c r="Q21" s="52"/>
      <c r="R21" s="52"/>
      <c r="S21" s="52"/>
      <c r="T21" s="52"/>
      <c r="U21" s="52"/>
      <c r="V21" s="52"/>
      <c r="Y21" s="52"/>
    </row>
    <row r="22" spans="1:25" ht="19.5" customHeight="1" x14ac:dyDescent="0.2">
      <c r="A22" s="52">
        <v>18</v>
      </c>
      <c r="B22" s="152" t="s">
        <v>237</v>
      </c>
      <c r="C22" s="44">
        <f>+'[1]INEI ACTIVIDAD ECONOMICA'!$B$67</f>
        <v>2</v>
      </c>
      <c r="D22" s="153">
        <f>+'[1]INEI ACTIVIDAD ECONOMICA'!B92</f>
        <v>51</v>
      </c>
      <c r="E22" s="153">
        <f>+'[1]INEI ACTIVIDAD ECONOMICA'!$B$113</f>
        <v>5</v>
      </c>
      <c r="F22" s="154">
        <f>+'[1]INEI ACTIVIDAD ECONOMICA'!$B$137</f>
        <v>11</v>
      </c>
      <c r="G22" s="154">
        <f>+'[1]INEI ACTIVIDAD ECONOMICA'!$B$160</f>
        <v>6</v>
      </c>
      <c r="H22" s="156">
        <f>+'[1]INEI ACTIVIDAD ECONOMICA'!$B$181</f>
        <v>11</v>
      </c>
      <c r="I22" s="155">
        <f>+'[2]INEI ACTIVIDAD ECONOMICA'!B23</f>
        <v>617</v>
      </c>
      <c r="J22" s="155">
        <f>+'[2]INEI ACTIVIDAD ECONOMICA'!B47</f>
        <v>7</v>
      </c>
      <c r="K22" s="52"/>
      <c r="L22" s="52"/>
      <c r="M22" s="52"/>
      <c r="N22" s="52"/>
      <c r="O22" s="204" t="s">
        <v>566</v>
      </c>
      <c r="P22" s="52"/>
      <c r="Q22" s="52"/>
      <c r="R22" s="52"/>
      <c r="S22" s="52"/>
      <c r="T22" s="52"/>
      <c r="U22" s="52"/>
      <c r="V22" s="52"/>
      <c r="Y22" s="52"/>
    </row>
    <row r="23" spans="1:25" x14ac:dyDescent="0.2">
      <c r="A23" s="52">
        <v>19</v>
      </c>
      <c r="B23" s="152" t="s">
        <v>238</v>
      </c>
      <c r="C23" s="44"/>
      <c r="D23" s="153"/>
      <c r="E23" s="153"/>
      <c r="F23" s="154"/>
      <c r="G23" s="63"/>
      <c r="H23" s="156">
        <f>+'[1]INEI ACTIVIDAD ECONOMICA'!$B$180</f>
        <v>5</v>
      </c>
      <c r="I23" s="155">
        <f>+'[2]INEI ACTIVIDAD ECONOMICA'!B24</f>
        <v>1</v>
      </c>
      <c r="J23" s="155">
        <f>+'[2]INEI ACTIVIDAD ECONOMICA'!B48</f>
        <v>1</v>
      </c>
      <c r="K23" s="52"/>
      <c r="L23" s="52"/>
      <c r="M23" s="52"/>
      <c r="N23" s="52"/>
      <c r="O23" s="205" t="s">
        <v>564</v>
      </c>
      <c r="P23" s="52"/>
      <c r="Q23" s="52"/>
      <c r="R23" s="52"/>
      <c r="S23" s="52"/>
      <c r="T23" s="52"/>
      <c r="U23" s="52"/>
      <c r="V23" s="52"/>
      <c r="Y23" s="52"/>
    </row>
    <row r="24" spans="1:25" x14ac:dyDescent="0.2">
      <c r="A24" s="52">
        <v>20</v>
      </c>
      <c r="B24" s="152" t="s">
        <v>239</v>
      </c>
      <c r="C24" s="44">
        <f>+'[1]INEI ACTIVIDAD ECONOMICA'!$B$68</f>
        <v>21</v>
      </c>
      <c r="D24" s="153">
        <f>+'[1]INEI ACTIVIDAD ECONOMICA'!$B$93</f>
        <v>63</v>
      </c>
      <c r="E24" s="153">
        <f>+'[1]INEI ACTIVIDAD ECONOMICA'!$B$114</f>
        <v>146</v>
      </c>
      <c r="F24" s="154">
        <f>+'[1]INEI ACTIVIDAD ECONOMICA'!$B$138</f>
        <v>45</v>
      </c>
      <c r="G24" s="154">
        <f>+'[1]INEI ACTIVIDAD ECONOMICA'!$B$161</f>
        <v>45</v>
      </c>
      <c r="H24" s="156">
        <f>+'[1]INEI ACTIVIDAD ECONOMICA'!$B$182</f>
        <v>28</v>
      </c>
      <c r="I24" s="155">
        <f>+'[2]INEI ACTIVIDAD ECONOMICA'!B25</f>
        <v>375</v>
      </c>
      <c r="J24" s="155">
        <f>+'[2]INEI ACTIVIDAD ECONOMICA'!B49</f>
        <v>325</v>
      </c>
      <c r="K24" s="52"/>
      <c r="L24" s="52"/>
      <c r="M24" s="52"/>
      <c r="N24" s="52"/>
      <c r="O24" s="207" t="s">
        <v>323</v>
      </c>
      <c r="P24" s="208"/>
      <c r="Q24" s="344">
        <v>0.748</v>
      </c>
      <c r="R24" s="208" t="s">
        <v>565</v>
      </c>
      <c r="S24" s="208"/>
      <c r="T24" s="334"/>
      <c r="U24" s="1573" t="s">
        <v>581</v>
      </c>
      <c r="V24" s="1573"/>
      <c r="Y24" s="52"/>
    </row>
    <row r="25" spans="1:25" ht="13.5" customHeight="1" x14ac:dyDescent="0.2">
      <c r="B25" s="159" t="s">
        <v>1</v>
      </c>
      <c r="C25" s="160">
        <f>SUM(C4:C24)</f>
        <v>612</v>
      </c>
      <c r="D25" s="161">
        <f t="shared" ref="D25:J25" si="0">SUM(D5:D24)</f>
        <v>4231</v>
      </c>
      <c r="E25" s="161">
        <f t="shared" si="0"/>
        <v>1166</v>
      </c>
      <c r="F25" s="161">
        <f t="shared" si="0"/>
        <v>1521</v>
      </c>
      <c r="G25" s="161">
        <f t="shared" si="0"/>
        <v>1069</v>
      </c>
      <c r="H25" s="161">
        <f t="shared" si="0"/>
        <v>1130</v>
      </c>
      <c r="I25" s="161">
        <f t="shared" si="0"/>
        <v>19107</v>
      </c>
      <c r="J25" s="161">
        <f t="shared" si="0"/>
        <v>650</v>
      </c>
      <c r="K25" s="52"/>
      <c r="L25" s="52"/>
      <c r="M25" s="52"/>
      <c r="N25" s="52"/>
      <c r="O25" s="52"/>
      <c r="P25" s="52"/>
      <c r="Q25" s="52"/>
      <c r="R25" s="52"/>
      <c r="S25" s="52"/>
      <c r="T25" s="52"/>
      <c r="U25" s="1573"/>
      <c r="V25" s="1573"/>
      <c r="Y25" s="52"/>
    </row>
    <row r="26" spans="1:25" s="162" customFormat="1" ht="24" customHeight="1" x14ac:dyDescent="0.25">
      <c r="A26" s="191"/>
      <c r="B26" s="163"/>
      <c r="C26" s="197">
        <f t="shared" ref="C26:J26" si="1">C5/C25</f>
        <v>0.83333333333333337</v>
      </c>
      <c r="D26" s="197">
        <f t="shared" si="1"/>
        <v>0.64594658473174194</v>
      </c>
      <c r="E26" s="197">
        <f t="shared" si="1"/>
        <v>0.74699828473413377</v>
      </c>
      <c r="F26" s="197">
        <f t="shared" si="1"/>
        <v>0.76988823142669294</v>
      </c>
      <c r="G26" s="197">
        <f t="shared" si="1"/>
        <v>0.8353601496725912</v>
      </c>
      <c r="H26" s="197">
        <f t="shared" si="1"/>
        <v>0.7168141592920354</v>
      </c>
      <c r="I26" s="197">
        <f t="shared" si="1"/>
        <v>0.11121578479091432</v>
      </c>
      <c r="J26" s="197">
        <f t="shared" si="1"/>
        <v>0.27692307692307694</v>
      </c>
      <c r="K26" s="203">
        <f>AVERAGE(C26:J26)</f>
        <v>0.61705995061306507</v>
      </c>
      <c r="L26" s="191"/>
      <c r="M26" s="191"/>
      <c r="N26" s="191"/>
      <c r="O26" s="191"/>
      <c r="P26" s="191"/>
      <c r="Q26" s="191"/>
      <c r="R26" s="191"/>
      <c r="S26" s="191"/>
      <c r="T26" s="191"/>
      <c r="U26" s="1573"/>
      <c r="V26" s="1573"/>
      <c r="W26" s="191"/>
      <c r="X26" s="191"/>
      <c r="Y26" s="191"/>
    </row>
    <row r="27" spans="1:25" s="191" customFormat="1" ht="43.5" customHeight="1" x14ac:dyDescent="0.25">
      <c r="B27" s="192"/>
      <c r="C27" s="177"/>
      <c r="D27" s="177"/>
      <c r="E27" s="177"/>
      <c r="F27" s="177"/>
      <c r="G27" s="177"/>
      <c r="H27" s="177"/>
      <c r="U27" s="1574"/>
      <c r="V27" s="1574"/>
    </row>
    <row r="28" spans="1:25" s="162" customFormat="1" x14ac:dyDescent="0.2">
      <c r="A28" s="191"/>
      <c r="B28" s="1534" t="s">
        <v>216</v>
      </c>
      <c r="C28" s="1534"/>
      <c r="D28" s="1534"/>
      <c r="E28" s="1534"/>
      <c r="F28" s="1534"/>
      <c r="G28" s="1534"/>
      <c r="H28" s="1534"/>
      <c r="I28" s="1534"/>
      <c r="J28" s="1534"/>
      <c r="K28" s="1534"/>
      <c r="L28" s="1534"/>
      <c r="M28" s="1534"/>
      <c r="N28" s="1534"/>
      <c r="O28" s="1534"/>
      <c r="P28" s="1534"/>
      <c r="Q28" s="1534"/>
      <c r="R28" s="1534"/>
      <c r="S28" s="1534"/>
      <c r="T28" s="1534"/>
      <c r="U28" s="1534"/>
      <c r="V28" s="1534"/>
      <c r="W28" s="185"/>
      <c r="X28" s="191"/>
    </row>
    <row r="29" spans="1:25" s="162" customFormat="1" ht="28.9" customHeight="1" x14ac:dyDescent="0.25">
      <c r="A29" s="191"/>
      <c r="B29" s="151" t="s">
        <v>217</v>
      </c>
      <c r="C29" s="166" t="s">
        <v>0</v>
      </c>
      <c r="D29" s="167" t="s">
        <v>40</v>
      </c>
      <c r="E29" s="167" t="s">
        <v>156</v>
      </c>
      <c r="F29" s="167" t="s">
        <v>41</v>
      </c>
      <c r="G29" s="167" t="s">
        <v>2</v>
      </c>
      <c r="H29" s="166" t="s">
        <v>3</v>
      </c>
      <c r="I29" s="166" t="s">
        <v>42</v>
      </c>
      <c r="J29" s="166" t="s">
        <v>49</v>
      </c>
      <c r="K29" s="167" t="s">
        <v>42</v>
      </c>
      <c r="L29" s="167" t="s">
        <v>157</v>
      </c>
      <c r="M29" s="167" t="s">
        <v>4</v>
      </c>
      <c r="N29" s="167" t="s">
        <v>5</v>
      </c>
      <c r="O29" s="167" t="s">
        <v>6</v>
      </c>
      <c r="P29" s="167" t="s">
        <v>218</v>
      </c>
      <c r="Q29" s="167" t="s">
        <v>245</v>
      </c>
      <c r="R29" s="168" t="s">
        <v>246</v>
      </c>
      <c r="S29" s="167" t="s">
        <v>219</v>
      </c>
      <c r="T29" s="167" t="s">
        <v>158</v>
      </c>
      <c r="U29" s="166" t="s">
        <v>7</v>
      </c>
      <c r="V29" s="167" t="s">
        <v>8</v>
      </c>
      <c r="W29" s="129"/>
      <c r="X29" s="191"/>
    </row>
    <row r="30" spans="1:25" s="162" customFormat="1" ht="13.5" customHeight="1" x14ac:dyDescent="0.2">
      <c r="A30" s="191"/>
      <c r="B30" s="152" t="s">
        <v>220</v>
      </c>
      <c r="C30" s="169">
        <v>3962</v>
      </c>
      <c r="D30" s="153">
        <v>361</v>
      </c>
      <c r="E30" s="170">
        <f>+'[1]INEI ACTIVIDAD ECONOMICA'!$B$264</f>
        <v>104</v>
      </c>
      <c r="F30" s="153">
        <v>2173</v>
      </c>
      <c r="G30" s="154">
        <v>1412</v>
      </c>
      <c r="H30" s="154">
        <v>55</v>
      </c>
      <c r="I30" s="170">
        <f>+'[1]INEI ACTIVIDAD ECONOMICA'!$B$344</f>
        <v>1888</v>
      </c>
      <c r="J30" s="153">
        <v>250</v>
      </c>
      <c r="K30" s="154">
        <v>1888</v>
      </c>
      <c r="L30" s="154">
        <v>1546</v>
      </c>
      <c r="M30" s="154">
        <v>1729</v>
      </c>
      <c r="N30" s="154">
        <v>472</v>
      </c>
      <c r="O30" s="154">
        <v>164</v>
      </c>
      <c r="P30" s="154">
        <v>558</v>
      </c>
      <c r="Q30" s="170">
        <f>+'[1]INEI ACTIVIDAD ECONOMICA'!$B$471</f>
        <v>2913</v>
      </c>
      <c r="R30" s="170">
        <f>+'[1]INEI ACTIVIDAD ECONOMICA'!$B$496</f>
        <v>204</v>
      </c>
      <c r="S30" s="154">
        <v>2257</v>
      </c>
      <c r="T30" s="154">
        <v>2250</v>
      </c>
      <c r="U30" s="154">
        <v>393</v>
      </c>
      <c r="V30" s="154">
        <v>1251</v>
      </c>
      <c r="W30" s="171"/>
      <c r="X30" s="191"/>
    </row>
    <row r="31" spans="1:25" s="162" customFormat="1" ht="13.5" customHeight="1" x14ac:dyDescent="0.2">
      <c r="A31" s="191"/>
      <c r="B31" s="152" t="s">
        <v>221</v>
      </c>
      <c r="C31" s="169">
        <v>2</v>
      </c>
      <c r="D31" s="63">
        <v>0</v>
      </c>
      <c r="E31" s="172"/>
      <c r="F31" s="63">
        <v>0</v>
      </c>
      <c r="G31" s="154">
        <v>0</v>
      </c>
      <c r="H31" s="154">
        <v>0</v>
      </c>
      <c r="I31" s="172"/>
      <c r="J31" s="156">
        <v>0</v>
      </c>
      <c r="K31" s="154"/>
      <c r="L31" s="154">
        <v>26</v>
      </c>
      <c r="M31" s="154">
        <v>5</v>
      </c>
      <c r="N31" s="154">
        <v>1</v>
      </c>
      <c r="O31" s="154">
        <v>1</v>
      </c>
      <c r="P31" s="154">
        <v>0</v>
      </c>
      <c r="Q31" s="172"/>
      <c r="R31" s="172"/>
      <c r="S31" s="154">
        <v>0</v>
      </c>
      <c r="T31" s="154">
        <v>1</v>
      </c>
      <c r="U31" s="154">
        <v>0</v>
      </c>
      <c r="V31" s="154">
        <v>1</v>
      </c>
      <c r="W31" s="173"/>
      <c r="X31" s="191"/>
    </row>
    <row r="32" spans="1:25" s="162" customFormat="1" x14ac:dyDescent="0.2">
      <c r="A32" s="191"/>
      <c r="B32" s="152" t="s">
        <v>222</v>
      </c>
      <c r="C32" s="169">
        <v>25</v>
      </c>
      <c r="D32" s="63">
        <v>0</v>
      </c>
      <c r="E32" s="170">
        <f>+'[1]INEI ACTIVIDAD ECONOMICA'!$B$265</f>
        <v>9</v>
      </c>
      <c r="F32" s="153">
        <v>8</v>
      </c>
      <c r="G32" s="154">
        <v>0</v>
      </c>
      <c r="H32" s="154">
        <v>0</v>
      </c>
      <c r="I32" s="170">
        <f>+'[1]INEI ACTIVIDAD ECONOMICA'!$C$345</f>
        <v>0.18</v>
      </c>
      <c r="J32" s="156">
        <v>0</v>
      </c>
      <c r="K32" s="154">
        <f>+'[1]INEI ACTIVIDAD ECONOMICA'!$B$345</f>
        <v>4</v>
      </c>
      <c r="L32" s="154"/>
      <c r="M32" s="154">
        <v>0</v>
      </c>
      <c r="N32" s="154">
        <v>3</v>
      </c>
      <c r="O32" s="154">
        <v>0</v>
      </c>
      <c r="P32" s="154">
        <v>0</v>
      </c>
      <c r="Q32" s="170">
        <f>+'[1]INEI ACTIVIDAD ECONOMICA'!$B$472</f>
        <v>7</v>
      </c>
      <c r="R32" s="172"/>
      <c r="S32" s="154">
        <v>0</v>
      </c>
      <c r="T32" s="154">
        <v>8</v>
      </c>
      <c r="U32" s="154">
        <v>0</v>
      </c>
      <c r="V32" s="154">
        <v>9</v>
      </c>
      <c r="W32" s="173"/>
      <c r="X32" s="191"/>
    </row>
    <row r="33" spans="1:24" s="162" customFormat="1" x14ac:dyDescent="0.2">
      <c r="A33" s="191"/>
      <c r="B33" s="152" t="s">
        <v>223</v>
      </c>
      <c r="C33" s="169">
        <v>649</v>
      </c>
      <c r="D33" s="153">
        <v>24</v>
      </c>
      <c r="E33" s="170">
        <f>+'[1]INEI ACTIVIDAD ECONOMICA'!$B$266</f>
        <v>9</v>
      </c>
      <c r="F33" s="153">
        <v>47</v>
      </c>
      <c r="G33" s="154">
        <v>10</v>
      </c>
      <c r="H33" s="154">
        <v>2</v>
      </c>
      <c r="I33" s="170">
        <f>+'[1]INEI ACTIVIDAD ECONOMICA'!$C$346</f>
        <v>0.74</v>
      </c>
      <c r="J33" s="153">
        <v>10</v>
      </c>
      <c r="K33" s="154">
        <f>+'[1]INEI ACTIVIDAD ECONOMICA'!$B$346</f>
        <v>16</v>
      </c>
      <c r="L33" s="63"/>
      <c r="M33" s="154">
        <v>36</v>
      </c>
      <c r="N33" s="154">
        <v>30</v>
      </c>
      <c r="O33" s="154">
        <v>4</v>
      </c>
      <c r="P33" s="154">
        <v>3</v>
      </c>
      <c r="Q33" s="170">
        <f>+'[1]INEI ACTIVIDAD ECONOMICA'!$B$473</f>
        <v>199</v>
      </c>
      <c r="R33" s="170">
        <f>+'[1]INEI ACTIVIDAD ECONOMICA'!$B$497</f>
        <v>1</v>
      </c>
      <c r="S33" s="154">
        <v>27</v>
      </c>
      <c r="T33" s="154">
        <v>330</v>
      </c>
      <c r="U33" s="154">
        <v>5</v>
      </c>
      <c r="V33" s="154">
        <v>0</v>
      </c>
      <c r="W33" s="171"/>
      <c r="X33" s="191"/>
    </row>
    <row r="34" spans="1:24" s="162" customFormat="1" x14ac:dyDescent="0.2">
      <c r="A34" s="191"/>
      <c r="B34" s="152" t="s">
        <v>224</v>
      </c>
      <c r="C34" s="169">
        <v>12</v>
      </c>
      <c r="D34" s="153">
        <v>1</v>
      </c>
      <c r="E34" s="172"/>
      <c r="F34" s="153">
        <v>1</v>
      </c>
      <c r="G34" s="154">
        <v>2</v>
      </c>
      <c r="H34" s="154">
        <v>0</v>
      </c>
      <c r="I34" s="172"/>
      <c r="J34" s="156">
        <v>0</v>
      </c>
      <c r="K34" s="154"/>
      <c r="L34" s="162">
        <v>1</v>
      </c>
      <c r="M34" s="154">
        <v>0</v>
      </c>
      <c r="N34" s="154">
        <v>1</v>
      </c>
      <c r="O34" s="154">
        <v>0</v>
      </c>
      <c r="P34" s="154">
        <v>0</v>
      </c>
      <c r="Q34" s="170">
        <f>+'[1]INEI ACTIVIDAD ECONOMICA'!$B$474</f>
        <v>11</v>
      </c>
      <c r="R34" s="172"/>
      <c r="S34" s="154">
        <v>3</v>
      </c>
      <c r="T34" s="154">
        <v>1</v>
      </c>
      <c r="U34" s="154">
        <v>0</v>
      </c>
      <c r="V34" s="154">
        <v>0</v>
      </c>
      <c r="W34" s="173"/>
      <c r="X34" s="191"/>
    </row>
    <row r="35" spans="1:24" s="162" customFormat="1" ht="13.5" customHeight="1" x14ac:dyDescent="0.2">
      <c r="A35" s="191"/>
      <c r="B35" s="152" t="s">
        <v>225</v>
      </c>
      <c r="C35" s="169">
        <v>445</v>
      </c>
      <c r="D35" s="153">
        <v>26</v>
      </c>
      <c r="E35" s="170">
        <f>+'[1]INEI ACTIVIDAD ECONOMICA'!$B$267</f>
        <v>5</v>
      </c>
      <c r="F35" s="153">
        <v>66</v>
      </c>
      <c r="G35" s="154">
        <v>20</v>
      </c>
      <c r="H35" s="154">
        <v>6</v>
      </c>
      <c r="I35" s="170">
        <f>+'[1]INEI ACTIVIDAD ECONOMICA'!$C$347</f>
        <v>1.7</v>
      </c>
      <c r="J35" s="153">
        <v>41</v>
      </c>
      <c r="K35" s="154">
        <f>+'[1]INEI ACTIVIDAD ECONOMICA'!$B$347</f>
        <v>37</v>
      </c>
      <c r="L35" s="154">
        <v>40</v>
      </c>
      <c r="M35" s="154">
        <v>68</v>
      </c>
      <c r="N35" s="154">
        <v>32</v>
      </c>
      <c r="O35" s="154">
        <v>4</v>
      </c>
      <c r="P35" s="154">
        <v>2</v>
      </c>
      <c r="Q35" s="170">
        <f>+'[1]INEI ACTIVIDAD ECONOMICA'!$B$475</f>
        <v>142</v>
      </c>
      <c r="R35" s="170">
        <f>+'[1]INEI ACTIVIDAD ECONOMICA'!$B$498</f>
        <v>8</v>
      </c>
      <c r="S35" s="154">
        <v>30</v>
      </c>
      <c r="T35" s="154">
        <v>225</v>
      </c>
      <c r="U35" s="154">
        <v>4</v>
      </c>
      <c r="V35" s="154">
        <v>21</v>
      </c>
      <c r="W35" s="171"/>
      <c r="X35" s="191"/>
    </row>
    <row r="36" spans="1:24" s="162" customFormat="1" x14ac:dyDescent="0.2">
      <c r="A36" s="191"/>
      <c r="B36" s="152" t="s">
        <v>226</v>
      </c>
      <c r="C36" s="169">
        <v>233</v>
      </c>
      <c r="D36" s="174">
        <v>0</v>
      </c>
      <c r="E36" s="172"/>
      <c r="F36" s="153">
        <v>10</v>
      </c>
      <c r="G36" s="154">
        <v>0</v>
      </c>
      <c r="H36" s="154">
        <v>0</v>
      </c>
      <c r="I36" s="170">
        <f>+'[1]INEI ACTIVIDAD ECONOMICA'!$C$348</f>
        <v>0.18</v>
      </c>
      <c r="J36" s="156">
        <v>0</v>
      </c>
      <c r="K36" s="154">
        <f>+'[1]INEI ACTIVIDAD ECONOMICA'!$B$348</f>
        <v>4</v>
      </c>
      <c r="L36" s="154">
        <v>2</v>
      </c>
      <c r="M36" s="154">
        <v>3</v>
      </c>
      <c r="N36" s="154">
        <v>4</v>
      </c>
      <c r="O36" s="154">
        <v>0</v>
      </c>
      <c r="P36" s="154">
        <v>0</v>
      </c>
      <c r="Q36" s="170">
        <f>+'[1]INEI ACTIVIDAD ECONOMICA'!$B$476</f>
        <v>40</v>
      </c>
      <c r="R36" s="172"/>
      <c r="S36" s="154">
        <v>9</v>
      </c>
      <c r="T36" s="154">
        <v>44</v>
      </c>
      <c r="U36" s="154">
        <v>1</v>
      </c>
      <c r="V36" s="154">
        <v>0</v>
      </c>
      <c r="W36" s="173"/>
      <c r="X36" s="191"/>
    </row>
    <row r="37" spans="1:24" s="162" customFormat="1" x14ac:dyDescent="0.2">
      <c r="A37" s="191"/>
      <c r="B37" s="152" t="s">
        <v>227</v>
      </c>
      <c r="C37" s="169">
        <v>82</v>
      </c>
      <c r="D37" s="174">
        <v>0</v>
      </c>
      <c r="E37" s="172"/>
      <c r="F37" s="153">
        <v>4</v>
      </c>
      <c r="G37" s="154">
        <v>1</v>
      </c>
      <c r="H37" s="154">
        <v>0</v>
      </c>
      <c r="I37" s="170">
        <f>+'[1]INEI ACTIVIDAD ECONOMICA'!$C$349</f>
        <v>0.23</v>
      </c>
      <c r="J37" s="156">
        <v>0</v>
      </c>
      <c r="K37" s="154">
        <v>5</v>
      </c>
      <c r="L37" s="156"/>
      <c r="M37" s="154">
        <v>0</v>
      </c>
      <c r="N37" s="154"/>
      <c r="O37" s="154">
        <v>0</v>
      </c>
      <c r="P37" s="154">
        <v>0</v>
      </c>
      <c r="Q37" s="170">
        <f>+'[1]INEI ACTIVIDAD ECONOMICA'!$B$477</f>
        <v>31</v>
      </c>
      <c r="R37" s="172"/>
      <c r="S37" s="154">
        <v>1</v>
      </c>
      <c r="T37" s="154">
        <v>14</v>
      </c>
      <c r="U37" s="154">
        <v>2</v>
      </c>
      <c r="V37" s="154">
        <v>0</v>
      </c>
      <c r="W37" s="173"/>
      <c r="X37" s="191"/>
    </row>
    <row r="38" spans="1:24" s="162" customFormat="1" x14ac:dyDescent="0.2">
      <c r="A38" s="191"/>
      <c r="B38" s="152" t="s">
        <v>228</v>
      </c>
      <c r="C38" s="169">
        <v>2331</v>
      </c>
      <c r="D38" s="174">
        <v>39</v>
      </c>
      <c r="E38" s="170">
        <f>+'[1]INEI ACTIVIDAD ECONOMICA'!$B$268</f>
        <v>8</v>
      </c>
      <c r="F38" s="153">
        <v>227</v>
      </c>
      <c r="G38" s="154">
        <v>83</v>
      </c>
      <c r="H38" s="154">
        <v>8</v>
      </c>
      <c r="I38" s="170">
        <f>+'[1]INEI ACTIVIDAD ECONOMICA'!$C$350</f>
        <v>2.76</v>
      </c>
      <c r="J38" s="156">
        <v>0</v>
      </c>
      <c r="K38" s="154">
        <v>60</v>
      </c>
      <c r="L38" s="154">
        <v>64</v>
      </c>
      <c r="M38" s="154">
        <v>64</v>
      </c>
      <c r="N38" s="154">
        <v>40</v>
      </c>
      <c r="O38" s="154">
        <v>15</v>
      </c>
      <c r="P38" s="154">
        <v>31</v>
      </c>
      <c r="Q38" s="170">
        <f>+'[1]INEI ACTIVIDAD ECONOMICA'!$B$478</f>
        <v>386</v>
      </c>
      <c r="R38" s="170">
        <f>+'[1]INEI ACTIVIDAD ECONOMICA'!$B$499</f>
        <v>9</v>
      </c>
      <c r="S38" s="154">
        <v>114</v>
      </c>
      <c r="T38" s="154">
        <v>506</v>
      </c>
      <c r="U38" s="154">
        <v>26</v>
      </c>
      <c r="V38" s="154">
        <v>43</v>
      </c>
      <c r="W38" s="171"/>
      <c r="X38" s="191"/>
    </row>
    <row r="39" spans="1:24" s="162" customFormat="1" x14ac:dyDescent="0.2">
      <c r="A39" s="191"/>
      <c r="B39" s="152" t="s">
        <v>229</v>
      </c>
      <c r="C39" s="169">
        <v>630</v>
      </c>
      <c r="D39" s="174">
        <v>22</v>
      </c>
      <c r="E39" s="172"/>
      <c r="F39" s="153">
        <v>62</v>
      </c>
      <c r="G39" s="154">
        <v>13</v>
      </c>
      <c r="H39" s="154">
        <v>1</v>
      </c>
      <c r="I39" s="170">
        <f>+'[1]INEI ACTIVIDAD ECONOMICA'!$C$351</f>
        <v>1.52</v>
      </c>
      <c r="J39" s="156">
        <v>20</v>
      </c>
      <c r="K39" s="154">
        <v>33</v>
      </c>
      <c r="L39" s="154">
        <v>24</v>
      </c>
      <c r="M39" s="154">
        <v>18</v>
      </c>
      <c r="N39" s="154">
        <v>18</v>
      </c>
      <c r="O39" s="154">
        <v>1</v>
      </c>
      <c r="P39" s="154">
        <v>8</v>
      </c>
      <c r="Q39" s="170">
        <f>+'[1]INEI ACTIVIDAD ECONOMICA'!$B$479</f>
        <v>119</v>
      </c>
      <c r="R39" s="172"/>
      <c r="S39" s="154">
        <v>36</v>
      </c>
      <c r="T39" s="154">
        <v>137</v>
      </c>
      <c r="U39" s="154">
        <v>12</v>
      </c>
      <c r="V39" s="154">
        <v>15</v>
      </c>
      <c r="W39" s="171"/>
      <c r="X39" s="191"/>
    </row>
    <row r="40" spans="1:24" s="162" customFormat="1" x14ac:dyDescent="0.2">
      <c r="A40" s="191"/>
      <c r="B40" s="152" t="s">
        <v>230</v>
      </c>
      <c r="C40" s="169">
        <v>810</v>
      </c>
      <c r="D40" s="174">
        <v>16</v>
      </c>
      <c r="E40" s="170">
        <f>+'[1]INEI ACTIVIDAD ECONOMICA'!$B$269</f>
        <v>5</v>
      </c>
      <c r="F40" s="153">
        <v>47</v>
      </c>
      <c r="G40" s="154">
        <v>9</v>
      </c>
      <c r="H40" s="154">
        <v>2</v>
      </c>
      <c r="I40" s="170">
        <f>+'[1]INEI ACTIVIDAD ECONOMICA'!$C$352</f>
        <v>1.43</v>
      </c>
      <c r="J40" s="156">
        <v>6</v>
      </c>
      <c r="K40" s="154">
        <v>31</v>
      </c>
      <c r="L40" s="154">
        <v>16</v>
      </c>
      <c r="M40" s="154">
        <v>45</v>
      </c>
      <c r="N40" s="154">
        <v>11</v>
      </c>
      <c r="O40" s="154">
        <v>0</v>
      </c>
      <c r="P40" s="154">
        <v>5</v>
      </c>
      <c r="Q40" s="170">
        <f>+'[1]INEI ACTIVIDAD ECONOMICA'!$B$480</f>
        <v>285</v>
      </c>
      <c r="R40" s="170">
        <f>+'[1]INEI ACTIVIDAD ECONOMICA'!$B$500</f>
        <v>2</v>
      </c>
      <c r="S40" s="154">
        <v>43</v>
      </c>
      <c r="T40" s="154">
        <v>308</v>
      </c>
      <c r="U40" s="154">
        <v>3</v>
      </c>
      <c r="V40" s="154">
        <v>5</v>
      </c>
      <c r="W40" s="171"/>
      <c r="X40" s="191"/>
    </row>
    <row r="41" spans="1:24" s="162" customFormat="1" x14ac:dyDescent="0.2">
      <c r="A41" s="191"/>
      <c r="B41" s="152" t="s">
        <v>231</v>
      </c>
      <c r="C41" s="169">
        <v>61</v>
      </c>
      <c r="D41" s="174">
        <v>0</v>
      </c>
      <c r="E41" s="172"/>
      <c r="F41" s="153">
        <v>8</v>
      </c>
      <c r="G41" s="154">
        <v>0</v>
      </c>
      <c r="H41" s="154">
        <v>0</v>
      </c>
      <c r="I41" s="172"/>
      <c r="J41" s="156">
        <v>3</v>
      </c>
      <c r="K41" s="154"/>
      <c r="L41" s="156"/>
      <c r="M41" s="154">
        <v>1</v>
      </c>
      <c r="N41" s="154"/>
      <c r="O41" s="154">
        <v>0</v>
      </c>
      <c r="P41" s="154">
        <v>0</v>
      </c>
      <c r="Q41" s="170">
        <f>+'[1]INEI ACTIVIDAD ECONOMICA'!$B$481</f>
        <v>12</v>
      </c>
      <c r="R41" s="172"/>
      <c r="S41" s="154">
        <v>0</v>
      </c>
      <c r="T41" s="154">
        <v>9</v>
      </c>
      <c r="U41" s="154">
        <v>0</v>
      </c>
      <c r="V41" s="154">
        <v>0</v>
      </c>
      <c r="W41" s="173"/>
      <c r="X41" s="191"/>
    </row>
    <row r="42" spans="1:24" s="162" customFormat="1" x14ac:dyDescent="0.2">
      <c r="A42" s="191"/>
      <c r="B42" s="158" t="s">
        <v>232</v>
      </c>
      <c r="C42" s="175">
        <v>394</v>
      </c>
      <c r="D42" s="174">
        <v>6</v>
      </c>
      <c r="E42" s="172"/>
      <c r="F42" s="153">
        <v>6</v>
      </c>
      <c r="G42" s="154">
        <v>1</v>
      </c>
      <c r="H42" s="154">
        <v>3</v>
      </c>
      <c r="I42" s="170">
        <f>+'[1]INEI ACTIVIDAD ECONOMICA'!$C$353</f>
        <v>0.05</v>
      </c>
      <c r="J42" s="156">
        <v>0</v>
      </c>
      <c r="K42" s="154">
        <v>1</v>
      </c>
      <c r="L42" s="156"/>
      <c r="M42" s="154">
        <v>4</v>
      </c>
      <c r="N42" s="154">
        <v>2</v>
      </c>
      <c r="O42" s="154">
        <v>1</v>
      </c>
      <c r="P42" s="154">
        <v>1</v>
      </c>
      <c r="Q42" s="170">
        <f>+'[1]INEI ACTIVIDAD ECONOMICA'!$B$482</f>
        <v>78</v>
      </c>
      <c r="R42" s="172"/>
      <c r="S42" s="154">
        <v>2</v>
      </c>
      <c r="T42" s="154">
        <v>68</v>
      </c>
      <c r="U42" s="154">
        <v>2</v>
      </c>
      <c r="V42" s="154">
        <v>0</v>
      </c>
      <c r="W42" s="171"/>
      <c r="X42" s="191"/>
    </row>
    <row r="43" spans="1:24" s="162" customFormat="1" x14ac:dyDescent="0.2">
      <c r="A43" s="191"/>
      <c r="B43" s="152" t="s">
        <v>233</v>
      </c>
      <c r="C43" s="169">
        <v>580</v>
      </c>
      <c r="D43" s="174">
        <v>25</v>
      </c>
      <c r="E43" s="170">
        <f>+'[1]INEI ACTIVIDAD ECONOMICA'!$B$270</f>
        <v>12</v>
      </c>
      <c r="F43" s="153">
        <v>44</v>
      </c>
      <c r="G43" s="154">
        <v>35</v>
      </c>
      <c r="H43" s="154">
        <v>3</v>
      </c>
      <c r="I43" s="170">
        <f>+'[1]INEI ACTIVIDAD ECONOMICA'!$C$354</f>
        <v>1.38</v>
      </c>
      <c r="J43" s="156">
        <v>3</v>
      </c>
      <c r="K43" s="154">
        <v>30</v>
      </c>
      <c r="L43" s="154">
        <v>15</v>
      </c>
      <c r="M43" s="154">
        <v>75</v>
      </c>
      <c r="N43" s="154">
        <v>11</v>
      </c>
      <c r="O43" s="154">
        <v>15</v>
      </c>
      <c r="P43" s="154">
        <v>12</v>
      </c>
      <c r="Q43" s="170">
        <f>+'[1]INEI ACTIVIDAD ECONOMICA'!$B$483</f>
        <v>163</v>
      </c>
      <c r="R43" s="170">
        <f>+'[1]INEI ACTIVIDAD ECONOMICA'!B501</f>
        <v>5</v>
      </c>
      <c r="S43" s="154">
        <v>28</v>
      </c>
      <c r="T43" s="154">
        <v>197</v>
      </c>
      <c r="U43" s="154">
        <v>12</v>
      </c>
      <c r="V43" s="154">
        <v>12</v>
      </c>
      <c r="W43" s="171"/>
      <c r="X43" s="191"/>
    </row>
    <row r="44" spans="1:24" s="162" customFormat="1" x14ac:dyDescent="0.2">
      <c r="A44" s="191"/>
      <c r="B44" s="152" t="s">
        <v>234</v>
      </c>
      <c r="C44" s="169">
        <v>1433</v>
      </c>
      <c r="D44" s="174">
        <v>10</v>
      </c>
      <c r="E44" s="170">
        <f>+'[1]INEI ACTIVIDAD ECONOMICA'!$B$271</f>
        <v>15</v>
      </c>
      <c r="F44" s="153">
        <v>136</v>
      </c>
      <c r="G44" s="154">
        <v>41</v>
      </c>
      <c r="H44" s="154">
        <v>7</v>
      </c>
      <c r="I44" s="170">
        <f>+'[1]INEI ACTIVIDAD ECONOMICA'!$C$355</f>
        <v>1.2</v>
      </c>
      <c r="J44" s="156">
        <v>9</v>
      </c>
      <c r="K44" s="154">
        <v>26</v>
      </c>
      <c r="L44" s="154">
        <v>55</v>
      </c>
      <c r="M44" s="154">
        <v>35</v>
      </c>
      <c r="N44" s="154">
        <v>35</v>
      </c>
      <c r="O44" s="154">
        <v>7</v>
      </c>
      <c r="P44" s="154">
        <v>14</v>
      </c>
      <c r="Q44" s="170">
        <f>+'[1]INEI ACTIVIDAD ECONOMICA'!$B$484</f>
        <v>549</v>
      </c>
      <c r="R44" s="170">
        <f>+'[1]INEI ACTIVIDAD ECONOMICA'!B502</f>
        <v>3</v>
      </c>
      <c r="S44" s="154">
        <v>31</v>
      </c>
      <c r="T44" s="154">
        <v>587</v>
      </c>
      <c r="U44" s="154">
        <v>10</v>
      </c>
      <c r="V44" s="154">
        <v>9</v>
      </c>
      <c r="W44" s="171"/>
      <c r="X44" s="191"/>
    </row>
    <row r="45" spans="1:24" s="162" customFormat="1" x14ac:dyDescent="0.2">
      <c r="A45" s="191"/>
      <c r="B45" s="152" t="s">
        <v>235</v>
      </c>
      <c r="C45" s="169">
        <v>474</v>
      </c>
      <c r="D45" s="174">
        <v>17</v>
      </c>
      <c r="E45" s="170">
        <f>+'[1]INEI ACTIVIDAD ECONOMICA'!$B$272</f>
        <v>1</v>
      </c>
      <c r="F45" s="153">
        <v>35</v>
      </c>
      <c r="G45" s="154">
        <v>13</v>
      </c>
      <c r="H45" s="154">
        <v>2</v>
      </c>
      <c r="I45" s="170">
        <f>+'[1]INEI ACTIVIDAD ECONOMICA'!$C$356</f>
        <v>1.01</v>
      </c>
      <c r="J45" s="156">
        <v>7</v>
      </c>
      <c r="K45" s="154">
        <v>22</v>
      </c>
      <c r="L45" s="154">
        <v>36</v>
      </c>
      <c r="M45" s="154">
        <v>39</v>
      </c>
      <c r="N45" s="154">
        <v>24</v>
      </c>
      <c r="O45" s="154">
        <v>0</v>
      </c>
      <c r="P45" s="154">
        <v>5</v>
      </c>
      <c r="Q45" s="170">
        <f>+'[1]INEI ACTIVIDAD ECONOMICA'!$B$485</f>
        <v>168</v>
      </c>
      <c r="R45" s="170">
        <f>+'[1]INEI ACTIVIDAD ECONOMICA'!B503</f>
        <v>8</v>
      </c>
      <c r="S45" s="154">
        <v>19</v>
      </c>
      <c r="T45" s="154">
        <v>113</v>
      </c>
      <c r="U45" s="154">
        <v>8</v>
      </c>
      <c r="V45" s="154">
        <v>4</v>
      </c>
      <c r="W45" s="171"/>
      <c r="X45" s="191"/>
    </row>
    <row r="46" spans="1:24" s="162" customFormat="1" x14ac:dyDescent="0.2">
      <c r="A46" s="191"/>
      <c r="B46" s="152" t="s">
        <v>236</v>
      </c>
      <c r="C46" s="169">
        <v>279</v>
      </c>
      <c r="D46" s="174">
        <v>6</v>
      </c>
      <c r="E46" s="172"/>
      <c r="F46" s="153">
        <v>20</v>
      </c>
      <c r="G46" s="154">
        <v>6</v>
      </c>
      <c r="H46" s="154">
        <v>0</v>
      </c>
      <c r="I46" s="170">
        <f>+'[1]INEI ACTIVIDAD ECONOMICA'!$C$357</f>
        <v>0.09</v>
      </c>
      <c r="J46" s="156">
        <v>3</v>
      </c>
      <c r="K46" s="154">
        <v>2</v>
      </c>
      <c r="L46" s="154">
        <v>7</v>
      </c>
      <c r="M46" s="154">
        <v>2</v>
      </c>
      <c r="N46" s="154">
        <v>4</v>
      </c>
      <c r="O46" s="154">
        <v>0</v>
      </c>
      <c r="P46" s="154">
        <v>0</v>
      </c>
      <c r="Q46" s="170">
        <f>+'[1]INEI ACTIVIDAD ECONOMICA'!$B$486</f>
        <v>94</v>
      </c>
      <c r="R46" s="170">
        <f>+'[1]INEI ACTIVIDAD ECONOMICA'!B504</f>
        <v>1</v>
      </c>
      <c r="S46" s="154">
        <v>9</v>
      </c>
      <c r="T46" s="154">
        <v>60</v>
      </c>
      <c r="U46" s="154">
        <v>1</v>
      </c>
      <c r="V46" s="154">
        <v>5</v>
      </c>
      <c r="W46" s="171"/>
      <c r="X46" s="191"/>
    </row>
    <row r="47" spans="1:24" s="162" customFormat="1" ht="19.5" customHeight="1" x14ac:dyDescent="0.2">
      <c r="A47" s="191"/>
      <c r="B47" s="152" t="s">
        <v>237</v>
      </c>
      <c r="C47" s="169">
        <v>308</v>
      </c>
      <c r="D47" s="174">
        <v>5</v>
      </c>
      <c r="E47" s="172"/>
      <c r="F47" s="153">
        <v>14</v>
      </c>
      <c r="G47" s="154">
        <v>2</v>
      </c>
      <c r="H47" s="154">
        <v>0</v>
      </c>
      <c r="I47" s="170">
        <f>+'[1]INEI ACTIVIDAD ECONOMICA'!$C$358</f>
        <v>0.18</v>
      </c>
      <c r="J47" s="156">
        <v>2</v>
      </c>
      <c r="K47" s="154">
        <v>4</v>
      </c>
      <c r="L47" s="154">
        <v>8</v>
      </c>
      <c r="M47" s="154">
        <v>17</v>
      </c>
      <c r="N47" s="154">
        <v>3</v>
      </c>
      <c r="O47" s="154">
        <v>0</v>
      </c>
      <c r="P47" s="154">
        <v>1</v>
      </c>
      <c r="Q47" s="170">
        <f>+'[1]INEI ACTIVIDAD ECONOMICA'!$B$487</f>
        <v>155</v>
      </c>
      <c r="R47" s="170">
        <f>+'[1]INEI ACTIVIDAD ECONOMICA'!B505</f>
        <v>1</v>
      </c>
      <c r="S47" s="154">
        <v>9</v>
      </c>
      <c r="T47" s="154">
        <v>99</v>
      </c>
      <c r="U47" s="154">
        <v>1</v>
      </c>
      <c r="V47" s="154">
        <v>3</v>
      </c>
      <c r="W47" s="171"/>
      <c r="X47" s="191"/>
    </row>
    <row r="48" spans="1:24" s="162" customFormat="1" x14ac:dyDescent="0.2">
      <c r="A48" s="191"/>
      <c r="B48" s="152" t="s">
        <v>238</v>
      </c>
      <c r="C48" s="169">
        <v>1</v>
      </c>
      <c r="D48" s="174">
        <v>0</v>
      </c>
      <c r="E48" s="172"/>
      <c r="F48" s="153">
        <v>0</v>
      </c>
      <c r="G48" s="154">
        <v>0</v>
      </c>
      <c r="H48" s="154">
        <v>0</v>
      </c>
      <c r="I48" s="172"/>
      <c r="J48" s="156">
        <v>6</v>
      </c>
      <c r="K48" s="154"/>
      <c r="L48" s="156"/>
      <c r="M48" s="154">
        <v>0</v>
      </c>
      <c r="N48" s="154"/>
      <c r="O48" s="154">
        <v>0</v>
      </c>
      <c r="P48" s="154">
        <v>0</v>
      </c>
      <c r="Q48" s="172"/>
      <c r="R48" s="172"/>
      <c r="S48" s="154">
        <v>0</v>
      </c>
      <c r="T48" s="154">
        <v>0</v>
      </c>
      <c r="U48" s="154">
        <v>0</v>
      </c>
      <c r="V48" s="154">
        <v>0</v>
      </c>
      <c r="W48" s="173"/>
      <c r="X48" s="191"/>
    </row>
    <row r="49" spans="1:24" s="162" customFormat="1" x14ac:dyDescent="0.2">
      <c r="A49" s="191"/>
      <c r="B49" s="152" t="s">
        <v>239</v>
      </c>
      <c r="C49" s="169">
        <v>499</v>
      </c>
      <c r="D49" s="174">
        <v>24</v>
      </c>
      <c r="E49" s="172"/>
      <c r="F49" s="153">
        <v>8</v>
      </c>
      <c r="G49" s="154">
        <v>0</v>
      </c>
      <c r="H49" s="154">
        <v>5</v>
      </c>
      <c r="I49" s="170">
        <f>+'[1]INEI ACTIVIDAD ECONOMICA'!$C$359</f>
        <v>0.37</v>
      </c>
      <c r="J49" s="156">
        <v>9</v>
      </c>
      <c r="K49" s="154">
        <v>8</v>
      </c>
      <c r="L49" s="154">
        <v>17</v>
      </c>
      <c r="M49" s="154">
        <v>70</v>
      </c>
      <c r="N49" s="154">
        <v>17</v>
      </c>
      <c r="O49" s="154">
        <v>1</v>
      </c>
      <c r="P49" s="154">
        <v>32</v>
      </c>
      <c r="Q49" s="170">
        <f>+'[1]INEI ACTIVIDAD ECONOMICA'!$B$488</f>
        <v>163</v>
      </c>
      <c r="R49" s="170">
        <v>13</v>
      </c>
      <c r="S49" s="154">
        <v>56</v>
      </c>
      <c r="T49" s="154">
        <v>169</v>
      </c>
      <c r="U49" s="154">
        <v>7</v>
      </c>
      <c r="V49" s="154">
        <v>38</v>
      </c>
      <c r="W49" s="171"/>
      <c r="X49" s="191"/>
    </row>
    <row r="50" spans="1:24" s="162" customFormat="1" ht="13.5" customHeight="1" x14ac:dyDescent="0.25">
      <c r="A50" s="191"/>
      <c r="B50" s="159" t="s">
        <v>1</v>
      </c>
      <c r="C50" s="161">
        <f t="shared" ref="C50:H50" si="2">SUM(C30:C49)</f>
        <v>13210</v>
      </c>
      <c r="D50" s="161">
        <f t="shared" si="2"/>
        <v>582</v>
      </c>
      <c r="E50" s="161">
        <f t="shared" si="2"/>
        <v>168</v>
      </c>
      <c r="F50" s="161">
        <f t="shared" si="2"/>
        <v>2916</v>
      </c>
      <c r="G50" s="161">
        <f t="shared" si="2"/>
        <v>1648</v>
      </c>
      <c r="H50" s="161">
        <f t="shared" si="2"/>
        <v>94</v>
      </c>
      <c r="I50" s="161">
        <f t="shared" ref="I50:V50" si="3">SUM(I30:I49)</f>
        <v>1901.0200000000002</v>
      </c>
      <c r="J50" s="161">
        <f t="shared" si="3"/>
        <v>369</v>
      </c>
      <c r="K50" s="161">
        <f t="shared" si="3"/>
        <v>2171</v>
      </c>
      <c r="L50" s="161">
        <f t="shared" si="3"/>
        <v>1857</v>
      </c>
      <c r="M50" s="161">
        <f t="shared" si="3"/>
        <v>2211</v>
      </c>
      <c r="N50" s="161">
        <f t="shared" si="3"/>
        <v>708</v>
      </c>
      <c r="O50" s="161">
        <f t="shared" si="3"/>
        <v>213</v>
      </c>
      <c r="P50" s="161">
        <f t="shared" si="3"/>
        <v>672</v>
      </c>
      <c r="Q50" s="161">
        <f t="shared" si="3"/>
        <v>5515</v>
      </c>
      <c r="R50" s="161">
        <f t="shared" si="3"/>
        <v>255</v>
      </c>
      <c r="S50" s="161">
        <f t="shared" si="3"/>
        <v>2674</v>
      </c>
      <c r="T50" s="161">
        <f t="shared" si="3"/>
        <v>5126</v>
      </c>
      <c r="U50" s="161">
        <f t="shared" si="3"/>
        <v>487</v>
      </c>
      <c r="V50" s="161">
        <f t="shared" si="3"/>
        <v>1416</v>
      </c>
      <c r="W50" s="176"/>
      <c r="X50" s="191"/>
    </row>
    <row r="51" spans="1:24" s="162" customFormat="1" ht="24" customHeight="1" x14ac:dyDescent="0.25">
      <c r="A51" s="191"/>
      <c r="B51" s="163"/>
      <c r="C51" s="164">
        <f>C30/C50</f>
        <v>0.29992429977289931</v>
      </c>
      <c r="D51" s="164">
        <f>D30/D50</f>
        <v>0.6202749140893471</v>
      </c>
      <c r="E51" s="164">
        <f>E30/E50</f>
        <v>0.61904761904761907</v>
      </c>
      <c r="F51" s="164">
        <f t="shared" ref="F51:V51" si="4">F30/F50</f>
        <v>0.74519890260631005</v>
      </c>
      <c r="G51" s="164">
        <f t="shared" si="4"/>
        <v>0.85679611650485432</v>
      </c>
      <c r="H51" s="164">
        <f t="shared" si="4"/>
        <v>0.58510638297872342</v>
      </c>
      <c r="I51" s="164">
        <f t="shared" si="4"/>
        <v>0.99315104522835096</v>
      </c>
      <c r="J51" s="164">
        <f t="shared" si="4"/>
        <v>0.6775067750677507</v>
      </c>
      <c r="K51" s="164">
        <f t="shared" si="4"/>
        <v>0.86964532473514511</v>
      </c>
      <c r="L51" s="164">
        <f t="shared" si="4"/>
        <v>0.8325255788906839</v>
      </c>
      <c r="M51" s="164">
        <f t="shared" si="4"/>
        <v>0.78199909543193125</v>
      </c>
      <c r="N51" s="164">
        <f t="shared" si="4"/>
        <v>0.66666666666666663</v>
      </c>
      <c r="O51" s="164">
        <f t="shared" si="4"/>
        <v>0.7699530516431925</v>
      </c>
      <c r="P51" s="164">
        <f t="shared" si="4"/>
        <v>0.8303571428571429</v>
      </c>
      <c r="Q51" s="164">
        <f t="shared" si="4"/>
        <v>0.52819582955575706</v>
      </c>
      <c r="R51" s="164">
        <f t="shared" si="4"/>
        <v>0.8</v>
      </c>
      <c r="S51" s="164">
        <f t="shared" si="4"/>
        <v>0.84405385190725501</v>
      </c>
      <c r="T51" s="164">
        <f t="shared" si="4"/>
        <v>0.4389387436597737</v>
      </c>
      <c r="U51" s="164">
        <f t="shared" si="4"/>
        <v>0.80698151950718688</v>
      </c>
      <c r="V51" s="164">
        <f t="shared" si="4"/>
        <v>0.88347457627118642</v>
      </c>
      <c r="W51" s="177"/>
      <c r="X51" s="191"/>
    </row>
    <row r="52" spans="1:24" s="191" customFormat="1" x14ac:dyDescent="0.25">
      <c r="B52" s="192"/>
      <c r="C52" s="177"/>
      <c r="D52" s="177"/>
      <c r="E52" s="177"/>
      <c r="F52" s="177"/>
      <c r="G52" s="177"/>
      <c r="H52" s="177"/>
    </row>
    <row r="53" spans="1:24" s="191" customFormat="1" x14ac:dyDescent="0.25">
      <c r="B53" s="192"/>
      <c r="C53" s="177"/>
      <c r="D53" s="177"/>
      <c r="E53" s="177"/>
      <c r="F53" s="177"/>
      <c r="G53" s="177"/>
      <c r="H53" s="177"/>
    </row>
    <row r="54" spans="1:24" s="162" customFormat="1" x14ac:dyDescent="0.2">
      <c r="A54" s="191"/>
      <c r="B54" s="1534" t="s">
        <v>247</v>
      </c>
      <c r="C54" s="1534"/>
      <c r="D54" s="1534"/>
      <c r="E54" s="1534"/>
      <c r="F54" s="1534"/>
      <c r="G54" s="1534"/>
      <c r="H54" s="1534"/>
      <c r="I54" s="1534"/>
      <c r="J54" s="1534"/>
      <c r="K54" s="1534"/>
      <c r="L54" s="1534"/>
      <c r="M54" s="1534"/>
      <c r="N54" s="1534"/>
      <c r="O54" s="1534"/>
      <c r="P54" s="1534"/>
      <c r="Q54" s="191"/>
      <c r="R54" s="191"/>
      <c r="S54" s="191"/>
      <c r="T54" s="191"/>
      <c r="U54" s="191"/>
      <c r="V54" s="191"/>
      <c r="W54" s="191"/>
      <c r="X54" s="191"/>
    </row>
    <row r="55" spans="1:24" s="162" customFormat="1" ht="24" customHeight="1" x14ac:dyDescent="0.25">
      <c r="A55" s="191"/>
      <c r="B55" s="151" t="s">
        <v>217</v>
      </c>
      <c r="C55" s="46" t="s">
        <v>195</v>
      </c>
      <c r="D55" s="46" t="s">
        <v>198</v>
      </c>
      <c r="E55" s="46" t="s">
        <v>199</v>
      </c>
      <c r="F55" s="46" t="s">
        <v>201</v>
      </c>
      <c r="G55" s="46" t="s">
        <v>203</v>
      </c>
      <c r="H55" s="46" t="s">
        <v>204</v>
      </c>
      <c r="I55" s="46" t="s">
        <v>205</v>
      </c>
      <c r="J55" s="46" t="s">
        <v>206</v>
      </c>
      <c r="K55" s="46" t="s">
        <v>197</v>
      </c>
      <c r="L55" s="46" t="s">
        <v>276</v>
      </c>
      <c r="M55" s="46" t="s">
        <v>196</v>
      </c>
      <c r="N55" s="46" t="s">
        <v>194</v>
      </c>
      <c r="O55" s="46" t="s">
        <v>200</v>
      </c>
      <c r="P55" s="46" t="s">
        <v>202</v>
      </c>
      <c r="Q55" s="191"/>
      <c r="R55" s="191"/>
      <c r="S55" s="191"/>
      <c r="T55" s="191"/>
      <c r="U55" s="191"/>
      <c r="V55" s="191"/>
      <c r="W55" s="191"/>
      <c r="X55" s="191"/>
    </row>
    <row r="56" spans="1:24" s="162" customFormat="1" x14ac:dyDescent="0.2">
      <c r="A56" s="191"/>
      <c r="B56" s="152" t="s">
        <v>220</v>
      </c>
      <c r="C56" s="178">
        <f>+'[1]INEI ACTIVIDAD ECONOMICA'!$B$815</f>
        <v>385</v>
      </c>
      <c r="D56" s="153">
        <f>+'[1]INEI ACTIVIDAD ECONOMICA'!$B$881</f>
        <v>685</v>
      </c>
      <c r="E56" s="170">
        <f>+'[1]INEI ACTIVIDAD ECONOMICA'!$B$939</f>
        <v>342</v>
      </c>
      <c r="F56" s="153">
        <f>+'[1]INEI ACTIVIDAD ECONOMICA'!$B$1000</f>
        <v>369</v>
      </c>
      <c r="G56" s="179">
        <f>+'[1]INEI ACTIVIDAD ECONOMICA'!$B$1040</f>
        <v>489</v>
      </c>
      <c r="H56" s="179">
        <f>+'[1]INEI ACTIVIDAD ECONOMICA'!$B$1061</f>
        <v>508</v>
      </c>
      <c r="I56" s="180">
        <f>+'[1]INEI ACTIVIDAD ECONOMICA'!$B$1084</f>
        <v>332</v>
      </c>
      <c r="J56" s="181">
        <f>+'[1]INEI ACTIVIDAD ECONOMICA'!$B$1106</f>
        <v>275</v>
      </c>
      <c r="K56" s="179">
        <f>+'[2]INEI ACTIVIDAD ECONOMICA'!$B$859</f>
        <v>131</v>
      </c>
      <c r="L56" s="179">
        <v>163</v>
      </c>
      <c r="M56" s="179">
        <f>+'[2]INEI ACTIVIDAD ECONOMICA'!$B$838</f>
        <v>304</v>
      </c>
      <c r="N56" s="179">
        <f>+'[2]INEI ACTIVIDAD ECONOMICA'!$B$792</f>
        <v>182</v>
      </c>
      <c r="O56" s="179">
        <f>+'[2]INEI ACTIVIDAD ECONOMICA'!$B$958</f>
        <v>225</v>
      </c>
      <c r="P56" s="179">
        <f>+'[2]INEI ACTIVIDAD ECONOMICA'!$B$1022</f>
        <v>203</v>
      </c>
      <c r="Q56" s="171"/>
      <c r="R56" s="171"/>
      <c r="S56" s="182"/>
      <c r="T56" s="182"/>
      <c r="U56" s="182"/>
      <c r="V56" s="182"/>
      <c r="W56" s="191"/>
      <c r="X56" s="191"/>
    </row>
    <row r="57" spans="1:24" s="162" customFormat="1" x14ac:dyDescent="0.2">
      <c r="A57" s="191"/>
      <c r="B57" s="152" t="s">
        <v>221</v>
      </c>
      <c r="C57" s="169"/>
      <c r="D57" s="155">
        <f>+'[1]INEI ACTIVIDAD ECONOMICA'!$B$882</f>
        <v>5</v>
      </c>
      <c r="E57" s="172"/>
      <c r="F57" s="63"/>
      <c r="G57" s="179"/>
      <c r="H57" s="179"/>
      <c r="I57" s="183"/>
      <c r="J57" s="179"/>
      <c r="K57" s="179"/>
      <c r="L57" s="179"/>
      <c r="M57" s="179"/>
      <c r="N57" s="179"/>
      <c r="O57" s="179"/>
      <c r="P57" s="179"/>
      <c r="Q57" s="173"/>
      <c r="R57" s="173"/>
      <c r="S57" s="182"/>
      <c r="T57" s="182"/>
      <c r="U57" s="182"/>
      <c r="V57" s="182"/>
      <c r="W57" s="191"/>
      <c r="X57" s="191"/>
    </row>
    <row r="58" spans="1:24" s="162" customFormat="1" x14ac:dyDescent="0.2">
      <c r="A58" s="191"/>
      <c r="B58" s="152" t="s">
        <v>222</v>
      </c>
      <c r="C58" s="178">
        <f>+'[1]INEI ACTIVIDAD ECONOMICA'!$B$816</f>
        <v>9</v>
      </c>
      <c r="D58" s="155">
        <f>+'[1]INEI ACTIVIDAD ECONOMICA'!$B$883</f>
        <v>851</v>
      </c>
      <c r="E58" s="170"/>
      <c r="F58" s="153">
        <f>+'[1]INEI ACTIVIDAD ECONOMICA'!$B$1001</f>
        <v>11</v>
      </c>
      <c r="G58" s="179">
        <f>+'[1]INEI ACTIVIDAD ECONOMICA'!$B$1041</f>
        <v>13</v>
      </c>
      <c r="H58" s="179"/>
      <c r="I58" s="180">
        <f>+'[1]INEI ACTIVIDAD ECONOMICA'!$B$1085</f>
        <v>6</v>
      </c>
      <c r="J58" s="179"/>
      <c r="K58" s="179">
        <f>+'[2]INEI ACTIVIDAD ECONOMICA'!$B$860</f>
        <v>3</v>
      </c>
      <c r="L58" s="179"/>
      <c r="M58" s="179">
        <f>+'[2]INEI ACTIVIDAD ECONOMICA'!$B$839</f>
        <v>4</v>
      </c>
      <c r="N58" s="179"/>
      <c r="O58" s="179">
        <f>+'[2]INEI ACTIVIDAD ECONOMICA'!B959</f>
        <v>10</v>
      </c>
      <c r="P58" s="179"/>
      <c r="Q58" s="171"/>
      <c r="R58" s="173"/>
      <c r="S58" s="182"/>
      <c r="T58" s="182"/>
      <c r="U58" s="182"/>
      <c r="V58" s="182"/>
      <c r="W58" s="191"/>
      <c r="X58" s="191"/>
    </row>
    <row r="59" spans="1:24" s="162" customFormat="1" x14ac:dyDescent="0.2">
      <c r="A59" s="191"/>
      <c r="B59" s="152" t="s">
        <v>223</v>
      </c>
      <c r="C59" s="178">
        <f>+'[1]INEI ACTIVIDAD ECONOMICA'!$B$817</f>
        <v>2</v>
      </c>
      <c r="D59" s="153">
        <f>+'[1]INEI ACTIVIDAD ECONOMICA'!$B$884</f>
        <v>4</v>
      </c>
      <c r="E59" s="170">
        <f>+'[1]INEI ACTIVIDAD ECONOMICA'!$B$940</f>
        <v>9</v>
      </c>
      <c r="F59" s="153">
        <f>+'[1]INEI ACTIVIDAD ECONOMICA'!$B$1002</f>
        <v>3</v>
      </c>
      <c r="G59" s="179">
        <f>+'[1]INEI ACTIVIDAD ECONOMICA'!$B$1042</f>
        <v>6</v>
      </c>
      <c r="H59" s="179">
        <f>+'[1]INEI ACTIVIDAD ECONOMICA'!$B$1062</f>
        <v>11</v>
      </c>
      <c r="I59" s="180">
        <f>+'[1]INEI ACTIVIDAD ECONOMICA'!$B$1086</f>
        <v>6</v>
      </c>
      <c r="J59" s="181">
        <f>+'[1]INEI ACTIVIDAD ECONOMICA'!$B$1107</f>
        <v>8</v>
      </c>
      <c r="K59" s="179">
        <f>+'[2]INEI ACTIVIDAD ECONOMICA'!$B$861</f>
        <v>4</v>
      </c>
      <c r="L59" s="55">
        <v>10</v>
      </c>
      <c r="M59" s="179">
        <f>'[2]INEI ACTIVIDAD ECONOMICA'!$B$840</f>
        <v>7</v>
      </c>
      <c r="N59" s="179">
        <f>+'[2]INEI ACTIVIDAD ECONOMICA'!B793</f>
        <v>11</v>
      </c>
      <c r="O59" s="179">
        <f>+'[2]INEI ACTIVIDAD ECONOMICA'!B960</f>
        <v>1</v>
      </c>
      <c r="P59" s="179">
        <f>+'[2]INEI ACTIVIDAD ECONOMICA'!$B$1023</f>
        <v>1</v>
      </c>
      <c r="Q59" s="171"/>
      <c r="R59" s="171"/>
      <c r="S59" s="182"/>
      <c r="T59" s="182"/>
      <c r="U59" s="182"/>
      <c r="V59" s="182"/>
      <c r="W59" s="191"/>
      <c r="X59" s="191"/>
    </row>
    <row r="60" spans="1:24" s="162" customFormat="1" x14ac:dyDescent="0.2">
      <c r="A60" s="191"/>
      <c r="B60" s="152" t="s">
        <v>224</v>
      </c>
      <c r="C60" s="169"/>
      <c r="D60" s="153"/>
      <c r="E60" s="172"/>
      <c r="F60" s="153"/>
      <c r="G60" s="179"/>
      <c r="H60" s="179">
        <f>+'[1]INEI ACTIVIDAD ECONOMICA'!$B$1063</f>
        <v>1</v>
      </c>
      <c r="I60" s="183"/>
      <c r="J60" s="179">
        <f>+'[1]INEI ACTIVIDAD ECONOMICA'!$B$1108</f>
        <v>1</v>
      </c>
      <c r="K60" s="179"/>
      <c r="L60" s="179"/>
      <c r="M60" s="179"/>
      <c r="N60" s="179">
        <f>+'[2]INEI ACTIVIDAD ECONOMICA'!B794</f>
        <v>1</v>
      </c>
      <c r="O60" s="179"/>
      <c r="P60" s="179">
        <f>+'[2]INEI ACTIVIDAD ECONOMICA'!$B$1024</f>
        <v>1</v>
      </c>
      <c r="Q60" s="171"/>
      <c r="R60" s="173"/>
      <c r="S60" s="182"/>
      <c r="T60" s="182"/>
      <c r="U60" s="182"/>
      <c r="V60" s="182"/>
      <c r="W60" s="191"/>
      <c r="X60" s="191"/>
    </row>
    <row r="61" spans="1:24" s="162" customFormat="1" x14ac:dyDescent="0.2">
      <c r="A61" s="191"/>
      <c r="B61" s="152" t="s">
        <v>225</v>
      </c>
      <c r="C61" s="178">
        <f>+'[1]INEI ACTIVIDAD ECONOMICA'!$B$818</f>
        <v>6</v>
      </c>
      <c r="D61" s="153">
        <f>+'[1]INEI ACTIVIDAD ECONOMICA'!$B$885</f>
        <v>19</v>
      </c>
      <c r="E61" s="170">
        <f>+'[1]INEI ACTIVIDAD ECONOMICA'!$B$941</f>
        <v>8</v>
      </c>
      <c r="F61" s="153">
        <f>+'[1]INEI ACTIVIDAD ECONOMICA'!$B$1003</f>
        <v>14</v>
      </c>
      <c r="G61" s="179">
        <f>+'[1]INEI ACTIVIDAD ECONOMICA'!$B$1043</f>
        <v>10</v>
      </c>
      <c r="H61" s="179">
        <f>+'[1]INEI ACTIVIDAD ECONOMICA'!$B$1064</f>
        <v>41</v>
      </c>
      <c r="I61" s="180">
        <f>+'[1]INEI ACTIVIDAD ECONOMICA'!$B$1087</f>
        <v>25</v>
      </c>
      <c r="J61" s="181">
        <f>+'[1]INEI ACTIVIDAD ECONOMICA'!$B$1109</f>
        <v>21</v>
      </c>
      <c r="K61" s="179">
        <f>+'[2]INEI ACTIVIDAD ECONOMICA'!$B$862</f>
        <v>25</v>
      </c>
      <c r="L61" s="179">
        <v>20</v>
      </c>
      <c r="M61" s="179">
        <f>+'[2]INEI ACTIVIDAD ECONOMICA'!$B$841</f>
        <v>10</v>
      </c>
      <c r="N61" s="179">
        <f>+'[2]INEI ACTIVIDAD ECONOMICA'!B795</f>
        <v>9</v>
      </c>
      <c r="O61" s="179">
        <f>+'[2]INEI ACTIVIDAD ECONOMICA'!$B$961</f>
        <v>18</v>
      </c>
      <c r="P61" s="179">
        <f>+'[2]INEI ACTIVIDAD ECONOMICA'!$B$1025</f>
        <v>34</v>
      </c>
      <c r="Q61" s="171"/>
      <c r="R61" s="171"/>
      <c r="S61" s="182"/>
      <c r="T61" s="182"/>
      <c r="U61" s="182"/>
      <c r="V61" s="182"/>
      <c r="W61" s="191"/>
      <c r="X61" s="191"/>
    </row>
    <row r="62" spans="1:24" s="162" customFormat="1" x14ac:dyDescent="0.2">
      <c r="A62" s="191"/>
      <c r="B62" s="152" t="s">
        <v>226</v>
      </c>
      <c r="C62" s="178">
        <f>+'[1]INEI ACTIVIDAD ECONOMICA'!$B$819</f>
        <v>1</v>
      </c>
      <c r="D62" s="174">
        <f>+'[1]INEI ACTIVIDAD ECONOMICA'!$B$886</f>
        <v>2</v>
      </c>
      <c r="E62" s="172"/>
      <c r="F62" s="153">
        <f>+'[1]INEI ACTIVIDAD ECONOMICA'!$B$1004</f>
        <v>2</v>
      </c>
      <c r="G62" s="179"/>
      <c r="H62" s="179"/>
      <c r="I62" s="180"/>
      <c r="J62" s="179"/>
      <c r="K62" s="179"/>
      <c r="L62" s="179"/>
      <c r="M62" s="179"/>
      <c r="N62" s="179">
        <f>+'[2]INEI ACTIVIDAD ECONOMICA'!B796</f>
        <v>1</v>
      </c>
      <c r="O62" s="179"/>
      <c r="P62" s="179"/>
      <c r="Q62" s="171"/>
      <c r="R62" s="173"/>
      <c r="S62" s="182"/>
      <c r="T62" s="182"/>
      <c r="U62" s="182"/>
      <c r="V62" s="182"/>
      <c r="W62" s="191"/>
      <c r="X62" s="191"/>
    </row>
    <row r="63" spans="1:24" s="162" customFormat="1" x14ac:dyDescent="0.2">
      <c r="A63" s="191"/>
      <c r="B63" s="152" t="s">
        <v>227</v>
      </c>
      <c r="C63" s="178">
        <f>+'[1]INEI ACTIVIDAD ECONOMICA'!B820</f>
        <v>1</v>
      </c>
      <c r="D63" s="174">
        <f>+'[1]INEI ACTIVIDAD ECONOMICA'!$B$887</f>
        <v>2</v>
      </c>
      <c r="E63" s="170"/>
      <c r="F63" s="153"/>
      <c r="G63" s="179">
        <f>+'[1]INEI ACTIVIDAD ECONOMICA'!$B$1044</f>
        <v>2</v>
      </c>
      <c r="H63" s="179">
        <f>+'[1]INEI ACTIVIDAD ECONOMICA'!$B$1065</f>
        <v>3</v>
      </c>
      <c r="I63" s="180">
        <f>+'[1]INEI ACTIVIDAD ECONOMICA'!B1088</f>
        <v>1</v>
      </c>
      <c r="J63" s="179"/>
      <c r="K63" s="179">
        <f>+'[2]INEI ACTIVIDAD ECONOMICA'!$B$863</f>
        <v>3</v>
      </c>
      <c r="L63" s="179"/>
      <c r="M63" s="179"/>
      <c r="N63" s="179">
        <f>+'[2]INEI ACTIVIDAD ECONOMICA'!B797</f>
        <v>1</v>
      </c>
      <c r="O63" s="179"/>
      <c r="P63" s="179"/>
      <c r="Q63" s="171"/>
      <c r="R63" s="173"/>
      <c r="S63" s="182"/>
      <c r="T63" s="182"/>
      <c r="U63" s="182"/>
      <c r="V63" s="182"/>
      <c r="W63" s="191"/>
      <c r="X63" s="191"/>
    </row>
    <row r="64" spans="1:24" s="162" customFormat="1" x14ac:dyDescent="0.2">
      <c r="A64" s="191"/>
      <c r="B64" s="152" t="s">
        <v>228</v>
      </c>
      <c r="C64" s="178">
        <f>+'[1]INEI ACTIVIDAD ECONOMICA'!B821</f>
        <v>27</v>
      </c>
      <c r="D64" s="174">
        <f>+'[1]INEI ACTIVIDAD ECONOMICA'!$B$888</f>
        <v>33</v>
      </c>
      <c r="E64" s="170">
        <f>+'[1]INEI ACTIVIDAD ECONOMICA'!$B$942</f>
        <v>10</v>
      </c>
      <c r="F64" s="153">
        <f>+'[1]INEI ACTIVIDAD ECONOMICA'!$B$1005</f>
        <v>17</v>
      </c>
      <c r="G64" s="179">
        <f>+'[1]INEI ACTIVIDAD ECONOMICA'!$B$1045</f>
        <v>30</v>
      </c>
      <c r="H64" s="179">
        <f>+'[1]INEI ACTIVIDAD ECONOMICA'!$B$1066</f>
        <v>55</v>
      </c>
      <c r="I64" s="180">
        <f>+'[1]INEI ACTIVIDAD ECONOMICA'!B1089</f>
        <v>14</v>
      </c>
      <c r="J64" s="179">
        <f>+'[1]INEI ACTIVIDAD ECONOMICA'!B1110</f>
        <v>23</v>
      </c>
      <c r="K64" s="179">
        <f>+'[2]INEI ACTIVIDAD ECONOMICA'!$B$864</f>
        <v>19</v>
      </c>
      <c r="L64" s="179">
        <v>7</v>
      </c>
      <c r="M64" s="179">
        <f>+'[2]INEI ACTIVIDAD ECONOMICA'!$B$842</f>
        <v>25</v>
      </c>
      <c r="N64" s="179">
        <f>+'[2]INEI ACTIVIDAD ECONOMICA'!B798</f>
        <v>18</v>
      </c>
      <c r="O64" s="179">
        <f>+'[2]INEI ACTIVIDAD ECONOMICA'!$B$962</f>
        <v>8</v>
      </c>
      <c r="P64" s="179">
        <f>+'[2]INEI ACTIVIDAD ECONOMICA'!$B$1026</f>
        <v>8</v>
      </c>
      <c r="Q64" s="171"/>
      <c r="R64" s="171"/>
      <c r="S64" s="182"/>
      <c r="T64" s="182"/>
      <c r="U64" s="182"/>
      <c r="V64" s="182"/>
      <c r="W64" s="191"/>
      <c r="X64" s="191"/>
    </row>
    <row r="65" spans="1:24" s="162" customFormat="1" x14ac:dyDescent="0.2">
      <c r="A65" s="191"/>
      <c r="B65" s="152" t="s">
        <v>229</v>
      </c>
      <c r="C65" s="178">
        <f>+'[1]INEI ACTIVIDAD ECONOMICA'!B822</f>
        <v>2</v>
      </c>
      <c r="D65" s="174">
        <f>+'[1]INEI ACTIVIDAD ECONOMICA'!$B$889</f>
        <v>12</v>
      </c>
      <c r="E65" s="170">
        <f>+'[1]INEI ACTIVIDAD ECONOMICA'!$B$943</f>
        <v>2</v>
      </c>
      <c r="F65" s="153">
        <f>+'[1]INEI ACTIVIDAD ECONOMICA'!$B$1006</f>
        <v>4</v>
      </c>
      <c r="G65" s="179">
        <f>+'[1]INEI ACTIVIDAD ECONOMICA'!$B$1046</f>
        <v>6</v>
      </c>
      <c r="H65" s="179">
        <f>+'[1]INEI ACTIVIDAD ECONOMICA'!$B$1067</f>
        <v>17</v>
      </c>
      <c r="I65" s="180">
        <f>+'[1]INEI ACTIVIDAD ECONOMICA'!B1090</f>
        <v>5</v>
      </c>
      <c r="J65" s="179">
        <f>+'[1]INEI ACTIVIDAD ECONOMICA'!B1111</f>
        <v>15</v>
      </c>
      <c r="K65" s="179">
        <f>+'[2]INEI ACTIVIDAD ECONOMICA'!$B$865</f>
        <v>4</v>
      </c>
      <c r="L65" s="179">
        <v>2</v>
      </c>
      <c r="M65" s="179">
        <f>+'[2]INEI ACTIVIDAD ECONOMICA'!$B$843</f>
        <v>8</v>
      </c>
      <c r="N65" s="179">
        <f>+'[2]INEI ACTIVIDAD ECONOMICA'!B799</f>
        <v>3</v>
      </c>
      <c r="O65" s="179">
        <f>+'[2]INEI ACTIVIDAD ECONOMICA'!B963</f>
        <v>1</v>
      </c>
      <c r="P65" s="179">
        <f>+'[2]INEI ACTIVIDAD ECONOMICA'!B1027</f>
        <v>1</v>
      </c>
      <c r="Q65" s="171"/>
      <c r="R65" s="173"/>
      <c r="S65" s="182"/>
      <c r="T65" s="182"/>
      <c r="U65" s="182"/>
      <c r="V65" s="182"/>
      <c r="W65" s="191"/>
      <c r="X65" s="191"/>
    </row>
    <row r="66" spans="1:24" s="162" customFormat="1" x14ac:dyDescent="0.2">
      <c r="A66" s="191"/>
      <c r="B66" s="152" t="s">
        <v>230</v>
      </c>
      <c r="C66" s="178">
        <f>+'[1]INEI ACTIVIDAD ECONOMICA'!B823</f>
        <v>5</v>
      </c>
      <c r="D66" s="174">
        <f>+'[1]INEI ACTIVIDAD ECONOMICA'!$B$890</f>
        <v>17</v>
      </c>
      <c r="E66" s="170">
        <f>+'[1]INEI ACTIVIDAD ECONOMICA'!$B$944</f>
        <v>4</v>
      </c>
      <c r="F66" s="153">
        <f>+'[1]INEI ACTIVIDAD ECONOMICA'!$B$1007</f>
        <v>3</v>
      </c>
      <c r="G66" s="179">
        <f>+'[1]INEI ACTIVIDAD ECONOMICA'!$B$1047</f>
        <v>2</v>
      </c>
      <c r="H66" s="179">
        <f>+'[1]INEI ACTIVIDAD ECONOMICA'!B1068</f>
        <v>17</v>
      </c>
      <c r="I66" s="180">
        <f>+'[1]INEI ACTIVIDAD ECONOMICA'!B1091</f>
        <v>5</v>
      </c>
      <c r="J66" s="179">
        <f>+'[1]INEI ACTIVIDAD ECONOMICA'!B1112</f>
        <v>2</v>
      </c>
      <c r="K66" s="179">
        <f>+'[2]INEI ACTIVIDAD ECONOMICA'!$B$866</f>
        <v>10</v>
      </c>
      <c r="L66" s="179">
        <v>3</v>
      </c>
      <c r="M66" s="179">
        <f>+'[2]INEI ACTIVIDAD ECONOMICA'!$B$844</f>
        <v>5</v>
      </c>
      <c r="N66" s="179">
        <f>+'[2]INEI ACTIVIDAD ECONOMICA'!B800</f>
        <v>8</v>
      </c>
      <c r="O66" s="179">
        <f>+'[2]INEI ACTIVIDAD ECONOMICA'!B964</f>
        <v>1</v>
      </c>
      <c r="P66" s="179">
        <f>+'[2]INEI ACTIVIDAD ECONOMICA'!B1028</f>
        <v>3</v>
      </c>
      <c r="Q66" s="171"/>
      <c r="R66" s="171"/>
      <c r="S66" s="182"/>
      <c r="T66" s="182"/>
      <c r="U66" s="182"/>
      <c r="V66" s="182"/>
      <c r="W66" s="191"/>
      <c r="X66" s="191"/>
    </row>
    <row r="67" spans="1:24" s="162" customFormat="1" x14ac:dyDescent="0.2">
      <c r="A67" s="191"/>
      <c r="B67" s="152" t="s">
        <v>231</v>
      </c>
      <c r="D67" s="174"/>
      <c r="E67" s="172"/>
      <c r="F67" s="153"/>
      <c r="G67" s="179"/>
      <c r="H67" s="179">
        <f>+'[1]INEI ACTIVIDAD ECONOMICA'!B1069</f>
        <v>1</v>
      </c>
      <c r="I67" s="183"/>
      <c r="J67" s="179"/>
      <c r="K67" s="179"/>
      <c r="L67" s="179">
        <v>3</v>
      </c>
      <c r="M67" s="179"/>
      <c r="N67" s="179"/>
      <c r="O67" s="179">
        <f>+'[2]INEI ACTIVIDAD ECONOMICA'!B965</f>
        <v>1</v>
      </c>
      <c r="P67" s="179"/>
      <c r="Q67" s="171"/>
      <c r="R67" s="173"/>
      <c r="S67" s="182"/>
      <c r="T67" s="182"/>
      <c r="U67" s="182"/>
      <c r="V67" s="182"/>
      <c r="W67" s="191"/>
      <c r="X67" s="191"/>
    </row>
    <row r="68" spans="1:24" s="162" customFormat="1" x14ac:dyDescent="0.2">
      <c r="A68" s="191"/>
      <c r="B68" s="158" t="s">
        <v>232</v>
      </c>
      <c r="C68" s="178">
        <f>+'[1]INEI ACTIVIDAD ECONOMICA'!B824</f>
        <v>3</v>
      </c>
      <c r="D68" s="174">
        <f>+'[1]INEI ACTIVIDAD ECONOMICA'!B891</f>
        <v>4</v>
      </c>
      <c r="E68" s="172"/>
      <c r="F68" s="153">
        <f>+'[1]INEI ACTIVIDAD ECONOMICA'!$B$1008</f>
        <v>1</v>
      </c>
      <c r="G68" s="179">
        <f>+'[1]INEI ACTIVIDAD ECONOMICA'!$B$1048</f>
        <v>2</v>
      </c>
      <c r="H68" s="179">
        <f>+'[1]INEI ACTIVIDAD ECONOMICA'!B1070</f>
        <v>1</v>
      </c>
      <c r="I68" s="180">
        <f>+'[1]INEI ACTIVIDAD ECONOMICA'!B1092</f>
        <v>4</v>
      </c>
      <c r="J68" s="179">
        <f>+'[1]INEI ACTIVIDAD ECONOMICA'!B1113</f>
        <v>2</v>
      </c>
      <c r="K68" s="179">
        <f>+'[2]INEI ACTIVIDAD ECONOMICA'!$B$867</f>
        <v>1</v>
      </c>
      <c r="L68" s="179"/>
      <c r="M68" s="179">
        <f>+'[2]INEI ACTIVIDAD ECONOMICA'!B845</f>
        <v>3</v>
      </c>
      <c r="N68" s="179">
        <f>+'[2]INEI ACTIVIDAD ECONOMICA'!$B$801</f>
        <v>1</v>
      </c>
      <c r="O68" s="179">
        <f>+'[2]INEI ACTIVIDAD ECONOMICA'!B966</f>
        <v>2</v>
      </c>
      <c r="P68" s="179"/>
      <c r="Q68" s="171"/>
      <c r="R68" s="173"/>
      <c r="S68" s="182"/>
      <c r="T68" s="182"/>
      <c r="U68" s="182"/>
      <c r="V68" s="182"/>
      <c r="W68" s="191"/>
      <c r="X68" s="191"/>
    </row>
    <row r="69" spans="1:24" s="162" customFormat="1" x14ac:dyDescent="0.2">
      <c r="A69" s="191"/>
      <c r="B69" s="152" t="s">
        <v>233</v>
      </c>
      <c r="C69" s="178">
        <f>+'[1]INEI ACTIVIDAD ECONOMICA'!B825</f>
        <v>13</v>
      </c>
      <c r="D69" s="174">
        <f>+'[1]INEI ACTIVIDAD ECONOMICA'!B892</f>
        <v>29</v>
      </c>
      <c r="E69" s="170">
        <f>+'[1]INEI ACTIVIDAD ECONOMICA'!$B$945</f>
        <v>5</v>
      </c>
      <c r="F69" s="153">
        <f>+'[1]INEI ACTIVIDAD ECONOMICA'!$B$1009</f>
        <v>13</v>
      </c>
      <c r="G69" s="179">
        <f>+'[1]INEI ACTIVIDAD ECONOMICA'!$B$1049</f>
        <v>22</v>
      </c>
      <c r="H69" s="179">
        <f>+'[1]INEI ACTIVIDAD ECONOMICA'!B1071</f>
        <v>15</v>
      </c>
      <c r="I69" s="180">
        <f>+'[1]INEI ACTIVIDAD ECONOMICA'!B1093</f>
        <v>12</v>
      </c>
      <c r="J69" s="179">
        <f>+'[1]INEI ACTIVIDAD ECONOMICA'!B1114</f>
        <v>22</v>
      </c>
      <c r="K69" s="179">
        <f>+'[2]INEI ACTIVIDAD ECONOMICA'!$B$868</f>
        <v>18</v>
      </c>
      <c r="L69" s="179">
        <v>17</v>
      </c>
      <c r="M69" s="179">
        <f>+'[2]INEI ACTIVIDAD ECONOMICA'!B846</f>
        <v>3</v>
      </c>
      <c r="N69" s="179">
        <f>+'[2]INEI ACTIVIDAD ECONOMICA'!B802</f>
        <v>18</v>
      </c>
      <c r="O69" s="179">
        <f>+'[2]INEI ACTIVIDAD ECONOMICA'!B967</f>
        <v>6</v>
      </c>
      <c r="P69" s="179">
        <f>+'[2]INEI ACTIVIDAD ECONOMICA'!$B$1029</f>
        <v>8</v>
      </c>
      <c r="Q69" s="171"/>
      <c r="R69" s="171"/>
      <c r="S69" s="182"/>
      <c r="T69" s="182"/>
      <c r="U69" s="182"/>
      <c r="V69" s="182"/>
      <c r="W69" s="191"/>
      <c r="X69" s="191"/>
    </row>
    <row r="70" spans="1:24" s="162" customFormat="1" x14ac:dyDescent="0.2">
      <c r="A70" s="191"/>
      <c r="B70" s="152" t="s">
        <v>234</v>
      </c>
      <c r="C70" s="178">
        <f>+'[1]INEI ACTIVIDAD ECONOMICA'!B826</f>
        <v>34</v>
      </c>
      <c r="D70" s="174">
        <f>+'[1]INEI ACTIVIDAD ECONOMICA'!B893</f>
        <v>25</v>
      </c>
      <c r="E70" s="170">
        <f>+'[1]INEI ACTIVIDAD ECONOMICA'!$B$946</f>
        <v>13</v>
      </c>
      <c r="F70" s="153">
        <f>+'[1]INEI ACTIVIDAD ECONOMICA'!$B$1010</f>
        <v>12</v>
      </c>
      <c r="G70" s="179">
        <f>+'[1]INEI ACTIVIDAD ECONOMICA'!$B$1050</f>
        <v>17</v>
      </c>
      <c r="H70" s="179">
        <f>+'[1]INEI ACTIVIDAD ECONOMICA'!B1072</f>
        <v>39</v>
      </c>
      <c r="I70" s="180">
        <f>+'[1]INEI ACTIVIDAD ECONOMICA'!B1094</f>
        <v>21</v>
      </c>
      <c r="J70" s="179">
        <f>+'[1]INEI ACTIVIDAD ECONOMICA'!B1115</f>
        <v>28</v>
      </c>
      <c r="K70" s="179">
        <f>+'[2]INEI ACTIVIDAD ECONOMICA'!$B$869</f>
        <v>6</v>
      </c>
      <c r="L70" s="179">
        <v>11</v>
      </c>
      <c r="M70" s="179">
        <f>+'[2]INEI ACTIVIDAD ECONOMICA'!B847</f>
        <v>18</v>
      </c>
      <c r="N70" s="179">
        <f>+'[2]INEI ACTIVIDAD ECONOMICA'!B803</f>
        <v>19</v>
      </c>
      <c r="O70" s="179">
        <f>+'[2]INEI ACTIVIDAD ECONOMICA'!B968</f>
        <v>17</v>
      </c>
      <c r="P70" s="179">
        <f>+'[2]INEI ACTIVIDAD ECONOMICA'!$B$1030</f>
        <v>4</v>
      </c>
      <c r="Q70" s="171"/>
      <c r="R70" s="171"/>
      <c r="S70" s="182"/>
      <c r="T70" s="182"/>
      <c r="U70" s="182"/>
      <c r="V70" s="182"/>
      <c r="W70" s="191"/>
      <c r="X70" s="191"/>
    </row>
    <row r="71" spans="1:24" s="162" customFormat="1" x14ac:dyDescent="0.2">
      <c r="A71" s="191"/>
      <c r="B71" s="152" t="s">
        <v>235</v>
      </c>
      <c r="C71" s="178">
        <f>+'[1]INEI ACTIVIDAD ECONOMICA'!B827</f>
        <v>4</v>
      </c>
      <c r="D71" s="174">
        <f>+'[1]INEI ACTIVIDAD ECONOMICA'!B894</f>
        <v>4</v>
      </c>
      <c r="E71" s="170">
        <f>+'[1]INEI ACTIVIDAD ECONOMICA'!$B$947</f>
        <v>6</v>
      </c>
      <c r="F71" s="153">
        <f>+'[1]INEI ACTIVIDAD ECONOMICA'!$B$1011</f>
        <v>3</v>
      </c>
      <c r="G71" s="179">
        <f>+'[1]INEI ACTIVIDAD ECONOMICA'!$B$1051</f>
        <v>11</v>
      </c>
      <c r="H71" s="179">
        <f>+'[1]INEI ACTIVIDAD ECONOMICA'!B1073</f>
        <v>9</v>
      </c>
      <c r="I71" s="180">
        <f>+'[1]INEI ACTIVIDAD ECONOMICA'!B1095</f>
        <v>11</v>
      </c>
      <c r="J71" s="179">
        <f>+'[1]INEI ACTIVIDAD ECONOMICA'!B1116</f>
        <v>4</v>
      </c>
      <c r="K71" s="179">
        <f>+'[2]INEI ACTIVIDAD ECONOMICA'!$B$870</f>
        <v>2</v>
      </c>
      <c r="L71" s="179"/>
      <c r="M71" s="179">
        <f>+'[2]INEI ACTIVIDAD ECONOMICA'!B848</f>
        <v>10</v>
      </c>
      <c r="N71" s="179">
        <f>+'[2]INEI ACTIVIDAD ECONOMICA'!B804</f>
        <v>3</v>
      </c>
      <c r="O71" s="179">
        <f>+'[2]INEI ACTIVIDAD ECONOMICA'!B969</f>
        <v>6</v>
      </c>
      <c r="P71" s="179">
        <f>+'[2]INEI ACTIVIDAD ECONOMICA'!$B$1031</f>
        <v>2</v>
      </c>
      <c r="Q71" s="171"/>
      <c r="R71" s="171"/>
      <c r="S71" s="182"/>
      <c r="T71" s="182"/>
      <c r="U71" s="182"/>
      <c r="V71" s="182"/>
      <c r="W71" s="191"/>
      <c r="X71" s="191"/>
    </row>
    <row r="72" spans="1:24" s="162" customFormat="1" x14ac:dyDescent="0.2">
      <c r="A72" s="191"/>
      <c r="B72" s="152" t="s">
        <v>236</v>
      </c>
      <c r="C72" s="178">
        <f>+'[1]INEI ACTIVIDAD ECONOMICA'!B828</f>
        <v>2</v>
      </c>
      <c r="D72" s="174">
        <f>+'[1]INEI ACTIVIDAD ECONOMICA'!B895</f>
        <v>7</v>
      </c>
      <c r="E72" s="170">
        <f>+'[1]INEI ACTIVIDAD ECONOMICA'!$B$948</f>
        <v>1</v>
      </c>
      <c r="F72" s="153">
        <f>+'[1]INEI ACTIVIDAD ECONOMICA'!$B$1012</f>
        <v>2</v>
      </c>
      <c r="G72" s="179">
        <f>+'[1]INEI ACTIVIDAD ECONOMICA'!$B$1052</f>
        <v>3</v>
      </c>
      <c r="H72" s="179">
        <f>+'[1]INEI ACTIVIDAD ECONOMICA'!B1074</f>
        <v>4</v>
      </c>
      <c r="I72" s="180">
        <f>+'[1]INEI ACTIVIDAD ECONOMICA'!B1096</f>
        <v>3</v>
      </c>
      <c r="J72" s="179">
        <f>+'[1]INEI ACTIVIDAD ECONOMICA'!B1117</f>
        <v>6</v>
      </c>
      <c r="K72" s="179">
        <f>+'[2]INEI ACTIVIDAD ECONOMICA'!$B$871</f>
        <v>4</v>
      </c>
      <c r="L72" s="179"/>
      <c r="M72" s="179">
        <f>+'[2]INEI ACTIVIDAD ECONOMICA'!B849</f>
        <v>1</v>
      </c>
      <c r="N72" s="179">
        <f>+'[2]INEI ACTIVIDAD ECONOMICA'!B805</f>
        <v>1</v>
      </c>
      <c r="O72" s="179">
        <f>+'[2]INEI ACTIVIDAD ECONOMICA'!B970</f>
        <v>2</v>
      </c>
      <c r="P72" s="179"/>
      <c r="Q72" s="171"/>
      <c r="R72" s="171"/>
      <c r="S72" s="182"/>
      <c r="T72" s="182"/>
      <c r="U72" s="182"/>
      <c r="V72" s="182"/>
      <c r="W72" s="191"/>
      <c r="X72" s="191"/>
    </row>
    <row r="73" spans="1:24" s="162" customFormat="1" x14ac:dyDescent="0.2">
      <c r="A73" s="191"/>
      <c r="B73" s="152" t="s">
        <v>237</v>
      </c>
      <c r="C73" s="178">
        <f>+'[1]INEI ACTIVIDAD ECONOMICA'!B829</f>
        <v>4</v>
      </c>
      <c r="D73" s="174">
        <f>+'[1]INEI ACTIVIDAD ECONOMICA'!B896</f>
        <v>1</v>
      </c>
      <c r="E73" s="170">
        <f>+'[1]INEI ACTIVIDAD ECONOMICA'!$B$949</f>
        <v>1</v>
      </c>
      <c r="F73" s="153">
        <f>+'[1]INEI ACTIVIDAD ECONOMICA'!$B$1013</f>
        <v>3</v>
      </c>
      <c r="G73" s="179"/>
      <c r="H73" s="179">
        <f>+'[1]INEI ACTIVIDAD ECONOMICA'!B1075</f>
        <v>10</v>
      </c>
      <c r="I73" s="180">
        <f>+'[1]INEI ACTIVIDAD ECONOMICA'!B1097</f>
        <v>4</v>
      </c>
      <c r="J73" s="179">
        <f>+'[1]INEI ACTIVIDAD ECONOMICA'!B1118</f>
        <v>6</v>
      </c>
      <c r="K73" s="179">
        <f>+'[2]INEI ACTIVIDAD ECONOMICA'!$B$872</f>
        <v>3</v>
      </c>
      <c r="L73" s="179"/>
      <c r="M73" s="179">
        <f>+'[2]INEI ACTIVIDAD ECONOMICA'!B850</f>
        <v>1</v>
      </c>
      <c r="N73" s="179">
        <f>+'[2]INEI ACTIVIDAD ECONOMICA'!B806</f>
        <v>4</v>
      </c>
      <c r="O73" s="179">
        <f>+'[2]INEI ACTIVIDAD ECONOMICA'!B971</f>
        <v>2</v>
      </c>
      <c r="P73" s="179"/>
      <c r="Q73" s="171"/>
      <c r="R73" s="171"/>
      <c r="S73" s="182"/>
      <c r="T73" s="182"/>
      <c r="U73" s="182"/>
      <c r="V73" s="182"/>
      <c r="W73" s="191"/>
      <c r="X73" s="191"/>
    </row>
    <row r="74" spans="1:24" s="162" customFormat="1" x14ac:dyDescent="0.2">
      <c r="A74" s="191"/>
      <c r="B74" s="152" t="s">
        <v>238</v>
      </c>
      <c r="E74" s="172"/>
      <c r="F74" s="153"/>
      <c r="G74" s="179"/>
      <c r="H74" s="172"/>
      <c r="I74" s="172"/>
      <c r="J74" s="172"/>
      <c r="K74" s="179"/>
      <c r="L74" s="179"/>
      <c r="M74" s="179"/>
      <c r="N74" s="179"/>
      <c r="O74" s="179"/>
      <c r="P74" s="179"/>
      <c r="Q74" s="173"/>
      <c r="R74" s="173"/>
      <c r="S74" s="182"/>
      <c r="T74" s="182"/>
      <c r="U74" s="182"/>
      <c r="V74" s="182"/>
      <c r="W74" s="191"/>
      <c r="X74" s="191"/>
    </row>
    <row r="75" spans="1:24" s="162" customFormat="1" x14ac:dyDescent="0.2">
      <c r="A75" s="191"/>
      <c r="B75" s="152" t="s">
        <v>239</v>
      </c>
      <c r="C75" s="178">
        <f>+'[1]INEI ACTIVIDAD ECONOMICA'!B830</f>
        <v>5</v>
      </c>
      <c r="D75" s="174">
        <f>+'[1]INEI ACTIVIDAD ECONOMICA'!B897</f>
        <v>40</v>
      </c>
      <c r="E75" s="170">
        <f>+'[1]INEI ACTIVIDAD ECONOMICA'!$B$950</f>
        <v>10</v>
      </c>
      <c r="F75" s="153">
        <f>+'[1]INEI ACTIVIDAD ECONOMICA'!$B$1014</f>
        <v>15</v>
      </c>
      <c r="G75" s="179">
        <f>+'[1]INEI ACTIVIDAD ECONOMICA'!$B$1053</f>
        <v>3</v>
      </c>
      <c r="H75" s="179">
        <f>+'[1]INEI ACTIVIDAD ECONOMICA'!B1076</f>
        <v>9</v>
      </c>
      <c r="I75" s="180">
        <f>+'[1]INEI ACTIVIDAD ECONOMICA'!B1098</f>
        <v>2</v>
      </c>
      <c r="J75" s="179">
        <f>+'[1]INEI ACTIVIDAD ECONOMICA'!B1119</f>
        <v>1</v>
      </c>
      <c r="K75" s="179">
        <f>+'[2]INEI ACTIVIDAD ECONOMICA'!$B$873</f>
        <v>2</v>
      </c>
      <c r="L75" s="179">
        <v>3</v>
      </c>
      <c r="M75" s="179">
        <f>+'[2]INEI ACTIVIDAD ECONOMICA'!$B$851</f>
        <v>14</v>
      </c>
      <c r="N75" s="179">
        <f>+'[2]INEI ACTIVIDAD ECONOMICA'!$B$807</f>
        <v>3</v>
      </c>
      <c r="O75" s="179">
        <f>+'[2]INEI ACTIVIDAD ECONOMICA'!$B$972</f>
        <v>4</v>
      </c>
      <c r="P75" s="179">
        <f>+'[2]INEI ACTIVIDAD ECONOMICA'!$B$1032</f>
        <v>4</v>
      </c>
      <c r="Q75" s="171"/>
      <c r="R75" s="171"/>
      <c r="S75" s="182"/>
      <c r="T75" s="182"/>
      <c r="U75" s="182"/>
      <c r="V75" s="182"/>
      <c r="W75" s="191"/>
      <c r="X75" s="191"/>
    </row>
    <row r="76" spans="1:24" s="162" customFormat="1" x14ac:dyDescent="0.25">
      <c r="A76" s="191"/>
      <c r="B76" s="159" t="s">
        <v>1</v>
      </c>
      <c r="C76" s="161">
        <f t="shared" ref="C76:P76" si="5">SUM(C56:C75)</f>
        <v>503</v>
      </c>
      <c r="D76" s="161">
        <f t="shared" si="5"/>
        <v>1740</v>
      </c>
      <c r="E76" s="161">
        <f t="shared" si="5"/>
        <v>411</v>
      </c>
      <c r="F76" s="161">
        <f t="shared" si="5"/>
        <v>472</v>
      </c>
      <c r="G76" s="161">
        <f t="shared" si="5"/>
        <v>616</v>
      </c>
      <c r="H76" s="161">
        <f t="shared" si="5"/>
        <v>741</v>
      </c>
      <c r="I76" s="161">
        <f t="shared" si="5"/>
        <v>451</v>
      </c>
      <c r="J76" s="161">
        <f t="shared" si="5"/>
        <v>414</v>
      </c>
      <c r="K76" s="161">
        <f t="shared" si="5"/>
        <v>235</v>
      </c>
      <c r="L76" s="161">
        <f t="shared" si="5"/>
        <v>239</v>
      </c>
      <c r="M76" s="161">
        <f t="shared" si="5"/>
        <v>413</v>
      </c>
      <c r="N76" s="161">
        <f t="shared" si="5"/>
        <v>283</v>
      </c>
      <c r="O76" s="161">
        <f t="shared" si="5"/>
        <v>304</v>
      </c>
      <c r="P76" s="161">
        <f t="shared" si="5"/>
        <v>269</v>
      </c>
      <c r="Q76" s="176"/>
      <c r="R76" s="176"/>
      <c r="S76" s="176"/>
      <c r="T76" s="176"/>
      <c r="U76" s="176"/>
      <c r="V76" s="176"/>
      <c r="W76" s="191"/>
      <c r="X76" s="191"/>
    </row>
    <row r="77" spans="1:24" s="162" customFormat="1" x14ac:dyDescent="0.25">
      <c r="A77" s="191"/>
      <c r="B77" s="163"/>
      <c r="C77" s="164">
        <f>C56/C76</f>
        <v>0.76540755467196819</v>
      </c>
      <c r="D77" s="164">
        <f t="shared" ref="D77:P77" si="6">D56/D76</f>
        <v>0.39367816091954022</v>
      </c>
      <c r="E77" s="164">
        <f t="shared" si="6"/>
        <v>0.83211678832116787</v>
      </c>
      <c r="F77" s="164">
        <f t="shared" si="6"/>
        <v>0.78177966101694918</v>
      </c>
      <c r="G77" s="164">
        <f t="shared" si="6"/>
        <v>0.79383116883116878</v>
      </c>
      <c r="H77" s="164">
        <f t="shared" si="6"/>
        <v>0.68556005398110664</v>
      </c>
      <c r="I77" s="164">
        <f t="shared" si="6"/>
        <v>0.73614190687361414</v>
      </c>
      <c r="J77" s="164">
        <f t="shared" si="6"/>
        <v>0.66425120772946855</v>
      </c>
      <c r="K77" s="164">
        <f t="shared" si="6"/>
        <v>0.55744680851063833</v>
      </c>
      <c r="L77" s="164">
        <f t="shared" si="6"/>
        <v>0.68200836820083677</v>
      </c>
      <c r="M77" s="164">
        <f t="shared" si="6"/>
        <v>0.73607748184019373</v>
      </c>
      <c r="N77" s="164">
        <f t="shared" si="6"/>
        <v>0.64310954063604242</v>
      </c>
      <c r="O77" s="164">
        <f t="shared" si="6"/>
        <v>0.74013157894736847</v>
      </c>
      <c r="P77" s="164">
        <f t="shared" si="6"/>
        <v>0.75464684014869887</v>
      </c>
      <c r="Q77" s="177"/>
      <c r="R77" s="177"/>
      <c r="S77" s="177"/>
      <c r="T77" s="177"/>
      <c r="U77" s="177"/>
      <c r="V77" s="177"/>
      <c r="W77" s="191"/>
      <c r="X77" s="191"/>
    </row>
    <row r="78" spans="1:24" s="191" customFormat="1" ht="24" customHeight="1" x14ac:dyDescent="0.25">
      <c r="B78" s="184"/>
      <c r="C78" s="45"/>
      <c r="D78" s="45"/>
      <c r="E78" s="45"/>
      <c r="F78" s="45"/>
      <c r="G78" s="45"/>
      <c r="H78" s="45"/>
      <c r="I78" s="45"/>
      <c r="J78" s="45"/>
    </row>
    <row r="79" spans="1:24" s="191" customFormat="1" ht="24" customHeight="1" x14ac:dyDescent="0.25">
      <c r="B79" s="184"/>
      <c r="C79" s="45"/>
      <c r="D79" s="45"/>
      <c r="E79" s="45"/>
      <c r="F79" s="45"/>
      <c r="G79" s="45"/>
      <c r="H79" s="45"/>
      <c r="I79" s="45"/>
      <c r="J79" s="45"/>
    </row>
    <row r="80" spans="1:24" s="191" customFormat="1" ht="24" customHeight="1" x14ac:dyDescent="0.25">
      <c r="B80" s="184"/>
      <c r="I80" s="45"/>
      <c r="J80" s="45"/>
    </row>
    <row r="81" spans="1:24" s="162" customFormat="1" x14ac:dyDescent="0.2">
      <c r="A81" s="191"/>
      <c r="B81" s="1534" t="s">
        <v>248</v>
      </c>
      <c r="C81" s="1534"/>
      <c r="D81" s="1534"/>
      <c r="E81" s="1534"/>
      <c r="F81" s="185"/>
      <c r="G81" s="185"/>
      <c r="H81" s="185"/>
      <c r="I81" s="185"/>
      <c r="J81" s="185"/>
      <c r="K81" s="191"/>
      <c r="L81" s="191"/>
      <c r="M81" s="191"/>
      <c r="N81" s="191"/>
      <c r="O81" s="191"/>
      <c r="P81" s="191"/>
      <c r="Q81" s="191"/>
      <c r="R81" s="191"/>
      <c r="S81" s="191"/>
      <c r="T81" s="191"/>
      <c r="U81" s="191"/>
      <c r="V81" s="191"/>
      <c r="W81" s="191"/>
      <c r="X81" s="191"/>
    </row>
    <row r="82" spans="1:24" s="162" customFormat="1" ht="24" customHeight="1" x14ac:dyDescent="0.25">
      <c r="A82" s="191"/>
      <c r="B82" s="151" t="s">
        <v>217</v>
      </c>
      <c r="C82" s="46" t="s">
        <v>165</v>
      </c>
      <c r="D82" s="46" t="s">
        <v>207</v>
      </c>
      <c r="E82" s="46" t="s">
        <v>208</v>
      </c>
      <c r="F82" s="45"/>
      <c r="G82" s="45"/>
      <c r="H82" s="45"/>
      <c r="I82" s="45"/>
      <c r="J82" s="45"/>
      <c r="K82" s="191"/>
      <c r="L82" s="191"/>
      <c r="M82" s="191"/>
      <c r="N82" s="191"/>
      <c r="O82" s="191"/>
      <c r="P82" s="191"/>
      <c r="Q82" s="191"/>
      <c r="R82" s="191"/>
      <c r="S82" s="191"/>
      <c r="T82" s="191"/>
      <c r="U82" s="191"/>
      <c r="V82" s="191"/>
      <c r="W82" s="191"/>
      <c r="X82" s="191"/>
    </row>
    <row r="83" spans="1:24" s="162" customFormat="1" x14ac:dyDescent="0.2">
      <c r="A83" s="191"/>
      <c r="B83" s="152" t="s">
        <v>220</v>
      </c>
      <c r="C83" s="178">
        <f>+'[1]INEI ACTIVIDAD ECONOMICA'!$B$1127</f>
        <v>1497</v>
      </c>
      <c r="D83" s="153">
        <f>+'[1]INEI ACTIVIDAD ECONOMICA'!$B$1221</f>
        <v>401</v>
      </c>
      <c r="E83" s="170">
        <f>+'[1]INEI ACTIVIDAD ECONOMICA'!$B$1242</f>
        <v>104</v>
      </c>
      <c r="F83" s="186"/>
      <c r="G83" s="182"/>
      <c r="H83" s="182"/>
      <c r="I83" s="171"/>
      <c r="J83" s="186"/>
      <c r="K83" s="182"/>
      <c r="L83" s="182"/>
      <c r="M83" s="182"/>
      <c r="N83" s="182"/>
      <c r="O83" s="182"/>
      <c r="P83" s="182"/>
      <c r="Q83" s="171"/>
      <c r="R83" s="171"/>
      <c r="S83" s="182"/>
      <c r="T83" s="182"/>
      <c r="U83" s="182"/>
      <c r="V83" s="182"/>
      <c r="W83" s="191"/>
      <c r="X83" s="191"/>
    </row>
    <row r="84" spans="1:24" s="162" customFormat="1" x14ac:dyDescent="0.2">
      <c r="A84" s="191"/>
      <c r="B84" s="152" t="s">
        <v>221</v>
      </c>
      <c r="C84" s="169"/>
      <c r="D84" s="63"/>
      <c r="E84" s="172"/>
      <c r="F84" s="89"/>
      <c r="G84" s="182"/>
      <c r="H84" s="182"/>
      <c r="I84" s="173"/>
      <c r="J84" s="182"/>
      <c r="K84" s="182"/>
      <c r="L84" s="182"/>
      <c r="M84" s="182"/>
      <c r="N84" s="182"/>
      <c r="O84" s="182"/>
      <c r="P84" s="182"/>
      <c r="Q84" s="173"/>
      <c r="R84" s="173"/>
      <c r="S84" s="182"/>
      <c r="T84" s="182"/>
      <c r="U84" s="182"/>
      <c r="V84" s="182"/>
      <c r="W84" s="191"/>
      <c r="X84" s="191"/>
    </row>
    <row r="85" spans="1:24" s="162" customFormat="1" x14ac:dyDescent="0.2">
      <c r="A85" s="191"/>
      <c r="B85" s="152" t="s">
        <v>222</v>
      </c>
      <c r="C85" s="178">
        <f>+'[1]INEI ACTIVIDAD ECONOMICA'!$B$1128</f>
        <v>7</v>
      </c>
      <c r="D85" s="155">
        <f>+'[1]INEI ACTIVIDAD ECONOMICA'!$B$1222</f>
        <v>2</v>
      </c>
      <c r="E85" s="170">
        <f>+'[1]INEI ACTIVIDAD ECONOMICA'!$B$1243</f>
        <v>376</v>
      </c>
      <c r="F85" s="186"/>
      <c r="G85" s="182"/>
      <c r="H85" s="182"/>
      <c r="I85" s="171"/>
      <c r="J85" s="182"/>
      <c r="K85" s="182"/>
      <c r="L85" s="182"/>
      <c r="M85" s="182"/>
      <c r="N85" s="182"/>
      <c r="O85" s="182"/>
      <c r="P85" s="182"/>
      <c r="Q85" s="171"/>
      <c r="R85" s="173"/>
      <c r="S85" s="182"/>
      <c r="T85" s="182"/>
      <c r="U85" s="182"/>
      <c r="V85" s="182"/>
      <c r="W85" s="191"/>
      <c r="X85" s="191"/>
    </row>
    <row r="86" spans="1:24" s="162" customFormat="1" x14ac:dyDescent="0.2">
      <c r="A86" s="191"/>
      <c r="B86" s="152" t="s">
        <v>223</v>
      </c>
      <c r="C86" s="178">
        <f>+'[1]INEI ACTIVIDAD ECONOMICA'!$B$1129</f>
        <v>79</v>
      </c>
      <c r="D86" s="153">
        <f>+'[1]INEI ACTIVIDAD ECONOMICA'!$B$1223</f>
        <v>14</v>
      </c>
      <c r="E86" s="170">
        <f>+'[1]INEI ACTIVIDAD ECONOMICA'!$B$1244</f>
        <v>38</v>
      </c>
      <c r="F86" s="186"/>
      <c r="G86" s="182"/>
      <c r="H86" s="182"/>
      <c r="I86" s="171"/>
      <c r="J86" s="186"/>
      <c r="K86" s="182"/>
      <c r="L86" s="89"/>
      <c r="M86" s="182"/>
      <c r="N86" s="182"/>
      <c r="O86" s="182"/>
      <c r="P86" s="182"/>
      <c r="Q86" s="171"/>
      <c r="R86" s="171"/>
      <c r="S86" s="182"/>
      <c r="T86" s="182"/>
      <c r="U86" s="182"/>
      <c r="V86" s="182"/>
      <c r="W86" s="191"/>
      <c r="X86" s="191"/>
    </row>
    <row r="87" spans="1:24" s="162" customFormat="1" x14ac:dyDescent="0.2">
      <c r="A87" s="191"/>
      <c r="B87" s="152" t="s">
        <v>224</v>
      </c>
      <c r="C87" s="178">
        <f>+'[1]INEI ACTIVIDAD ECONOMICA'!$B$1130</f>
        <v>9</v>
      </c>
      <c r="D87" s="153"/>
      <c r="E87" s="170">
        <f>+'[1]INEI ACTIVIDAD ECONOMICA'!$B$1245</f>
        <v>5</v>
      </c>
      <c r="F87" s="186"/>
      <c r="G87" s="182"/>
      <c r="H87" s="182"/>
      <c r="I87" s="173"/>
      <c r="J87" s="182"/>
      <c r="K87" s="182"/>
      <c r="L87" s="182"/>
      <c r="M87" s="182"/>
      <c r="N87" s="182"/>
      <c r="O87" s="182"/>
      <c r="P87" s="182"/>
      <c r="Q87" s="171"/>
      <c r="R87" s="173"/>
      <c r="S87" s="182"/>
      <c r="T87" s="182"/>
      <c r="U87" s="182"/>
      <c r="V87" s="182"/>
      <c r="W87" s="191"/>
      <c r="X87" s="191"/>
    </row>
    <row r="88" spans="1:24" s="162" customFormat="1" x14ac:dyDescent="0.2">
      <c r="A88" s="191"/>
      <c r="B88" s="152" t="s">
        <v>225</v>
      </c>
      <c r="C88" s="178">
        <f>+'[1]INEI ACTIVIDAD ECONOMICA'!$B$1131</f>
        <v>142</v>
      </c>
      <c r="D88" s="153">
        <f>+'[1]INEI ACTIVIDAD ECONOMICA'!B1224</f>
        <v>62</v>
      </c>
      <c r="E88" s="170">
        <f>+'[1]INEI ACTIVIDAD ECONOMICA'!$B$1246</f>
        <v>80</v>
      </c>
      <c r="F88" s="186"/>
      <c r="G88" s="182"/>
      <c r="H88" s="182"/>
      <c r="I88" s="171"/>
      <c r="J88" s="186"/>
      <c r="K88" s="182"/>
      <c r="L88" s="182"/>
      <c r="M88" s="182"/>
      <c r="N88" s="182"/>
      <c r="O88" s="182"/>
      <c r="P88" s="182"/>
      <c r="Q88" s="171"/>
      <c r="R88" s="171"/>
      <c r="S88" s="182"/>
      <c r="T88" s="182"/>
      <c r="U88" s="182"/>
      <c r="V88" s="182"/>
      <c r="W88" s="191"/>
      <c r="X88" s="191"/>
    </row>
    <row r="89" spans="1:24" s="162" customFormat="1" x14ac:dyDescent="0.2">
      <c r="A89" s="191"/>
      <c r="B89" s="152" t="s">
        <v>226</v>
      </c>
      <c r="C89" s="178">
        <f>+'[1]INEI ACTIVIDAD ECONOMICA'!$B$1132</f>
        <v>6</v>
      </c>
      <c r="D89" s="174"/>
      <c r="E89" s="170">
        <f>+'[1]INEI ACTIVIDAD ECONOMICA'!B1247</f>
        <v>9</v>
      </c>
      <c r="F89" s="186"/>
      <c r="G89" s="182"/>
      <c r="H89" s="182"/>
      <c r="I89" s="171"/>
      <c r="J89" s="182"/>
      <c r="K89" s="182"/>
      <c r="L89" s="182"/>
      <c r="M89" s="182"/>
      <c r="N89" s="182"/>
      <c r="O89" s="182"/>
      <c r="P89" s="182"/>
      <c r="Q89" s="171"/>
      <c r="R89" s="173"/>
      <c r="S89" s="182"/>
      <c r="T89" s="182"/>
      <c r="U89" s="182"/>
      <c r="V89" s="182"/>
      <c r="W89" s="191"/>
      <c r="X89" s="191"/>
    </row>
    <row r="90" spans="1:24" s="162" customFormat="1" x14ac:dyDescent="0.2">
      <c r="A90" s="191"/>
      <c r="B90" s="152" t="s">
        <v>227</v>
      </c>
      <c r="C90" s="178">
        <f>+'[1]INEI ACTIVIDAD ECONOMICA'!$B$1133</f>
        <v>4</v>
      </c>
      <c r="D90" s="174"/>
      <c r="E90" s="170">
        <f>+'[1]INEI ACTIVIDAD ECONOMICA'!B1248</f>
        <v>1</v>
      </c>
      <c r="F90" s="186"/>
      <c r="G90" s="182"/>
      <c r="H90" s="182"/>
      <c r="I90" s="171"/>
      <c r="J90" s="182"/>
      <c r="K90" s="182"/>
      <c r="L90" s="182"/>
      <c r="M90" s="182"/>
      <c r="N90" s="182"/>
      <c r="O90" s="182"/>
      <c r="P90" s="182"/>
      <c r="Q90" s="171"/>
      <c r="R90" s="173"/>
      <c r="S90" s="182"/>
      <c r="T90" s="182"/>
      <c r="U90" s="182"/>
      <c r="V90" s="182"/>
      <c r="W90" s="191"/>
      <c r="X90" s="191"/>
    </row>
    <row r="91" spans="1:24" s="162" customFormat="1" x14ac:dyDescent="0.2">
      <c r="A91" s="191"/>
      <c r="B91" s="152" t="s">
        <v>228</v>
      </c>
      <c r="C91" s="178">
        <f>+'[1]INEI ACTIVIDAD ECONOMICA'!B1134</f>
        <v>89</v>
      </c>
      <c r="D91" s="174">
        <f>+'[1]INEI ACTIVIDAD ECONOMICA'!$B$1225</f>
        <v>33</v>
      </c>
      <c r="E91" s="170">
        <f>+'[1]INEI ACTIVIDAD ECONOMICA'!B1249</f>
        <v>69</v>
      </c>
      <c r="F91" s="186"/>
      <c r="G91" s="182"/>
      <c r="H91" s="182"/>
      <c r="I91" s="171"/>
      <c r="J91" s="182"/>
      <c r="K91" s="182"/>
      <c r="L91" s="182"/>
      <c r="M91" s="182"/>
      <c r="N91" s="182"/>
      <c r="O91" s="182"/>
      <c r="P91" s="182"/>
      <c r="Q91" s="171"/>
      <c r="R91" s="171"/>
      <c r="S91" s="182"/>
      <c r="T91" s="182"/>
      <c r="U91" s="182"/>
      <c r="V91" s="182"/>
      <c r="W91" s="191"/>
      <c r="X91" s="191"/>
    </row>
    <row r="92" spans="1:24" s="162" customFormat="1" x14ac:dyDescent="0.2">
      <c r="A92" s="191"/>
      <c r="B92" s="152" t="s">
        <v>229</v>
      </c>
      <c r="C92" s="178">
        <f>+'[1]INEI ACTIVIDAD ECONOMICA'!B1135</f>
        <v>42</v>
      </c>
      <c r="D92" s="174">
        <f>+'[1]INEI ACTIVIDAD ECONOMICA'!$B$1226</f>
        <v>15</v>
      </c>
      <c r="E92" s="170">
        <f>+'[1]INEI ACTIVIDAD ECONOMICA'!B1250</f>
        <v>49</v>
      </c>
      <c r="F92" s="186"/>
      <c r="G92" s="182"/>
      <c r="H92" s="182"/>
      <c r="I92" s="171"/>
      <c r="J92" s="182"/>
      <c r="K92" s="182"/>
      <c r="L92" s="182"/>
      <c r="M92" s="182"/>
      <c r="N92" s="182"/>
      <c r="O92" s="182"/>
      <c r="P92" s="182"/>
      <c r="Q92" s="171"/>
      <c r="R92" s="173"/>
      <c r="S92" s="182"/>
      <c r="T92" s="182"/>
      <c r="U92" s="182"/>
      <c r="V92" s="182"/>
      <c r="W92" s="191"/>
      <c r="X92" s="191"/>
    </row>
    <row r="93" spans="1:24" s="162" customFormat="1" x14ac:dyDescent="0.2">
      <c r="A93" s="191"/>
      <c r="B93" s="152" t="s">
        <v>230</v>
      </c>
      <c r="C93" s="178">
        <f>+'[1]INEI ACTIVIDAD ECONOMICA'!B1136</f>
        <v>22</v>
      </c>
      <c r="D93" s="174">
        <f>+'[1]INEI ACTIVIDAD ECONOMICA'!$B$1227</f>
        <v>8</v>
      </c>
      <c r="E93" s="170">
        <f>+'[1]INEI ACTIVIDAD ECONOMICA'!B1251</f>
        <v>32</v>
      </c>
      <c r="F93" s="186"/>
      <c r="G93" s="182"/>
      <c r="H93" s="182"/>
      <c r="I93" s="171"/>
      <c r="J93" s="182"/>
      <c r="K93" s="182"/>
      <c r="L93" s="182"/>
      <c r="M93" s="182"/>
      <c r="N93" s="182"/>
      <c r="O93" s="182"/>
      <c r="P93" s="182"/>
      <c r="Q93" s="171"/>
      <c r="R93" s="171"/>
      <c r="S93" s="182"/>
      <c r="T93" s="182"/>
      <c r="U93" s="182"/>
      <c r="V93" s="182"/>
      <c r="W93" s="191"/>
      <c r="X93" s="191"/>
    </row>
    <row r="94" spans="1:24" s="162" customFormat="1" x14ac:dyDescent="0.2">
      <c r="A94" s="191"/>
      <c r="B94" s="152" t="s">
        <v>231</v>
      </c>
      <c r="C94" s="178">
        <f>+'[1]INEI ACTIVIDAD ECONOMICA'!B1137</f>
        <v>2</v>
      </c>
      <c r="D94" s="174"/>
      <c r="E94" s="172"/>
      <c r="F94" s="186"/>
      <c r="G94" s="182"/>
      <c r="H94" s="182"/>
      <c r="I94" s="173"/>
      <c r="J94" s="182"/>
      <c r="K94" s="182"/>
      <c r="L94" s="182"/>
      <c r="M94" s="182"/>
      <c r="N94" s="182"/>
      <c r="O94" s="182"/>
      <c r="P94" s="182"/>
      <c r="Q94" s="171"/>
      <c r="R94" s="173"/>
      <c r="S94" s="182"/>
      <c r="T94" s="182"/>
      <c r="U94" s="182"/>
      <c r="V94" s="182"/>
      <c r="W94" s="191"/>
      <c r="X94" s="191"/>
    </row>
    <row r="95" spans="1:24" s="162" customFormat="1" x14ac:dyDescent="0.2">
      <c r="A95" s="191"/>
      <c r="B95" s="158" t="s">
        <v>232</v>
      </c>
      <c r="C95" s="178">
        <f>+'[1]INEI ACTIVIDAD ECONOMICA'!B1138</f>
        <v>14</v>
      </c>
      <c r="D95" s="174">
        <f>+'[1]INEI ACTIVIDAD ECONOMICA'!$B$1228</f>
        <v>2</v>
      </c>
      <c r="E95" s="170">
        <f>+'[1]INEI ACTIVIDAD ECONOMICA'!B1252</f>
        <v>68</v>
      </c>
      <c r="F95" s="186"/>
      <c r="G95" s="182"/>
      <c r="H95" s="182"/>
      <c r="I95" s="171"/>
      <c r="J95" s="182"/>
      <c r="K95" s="182"/>
      <c r="L95" s="182"/>
      <c r="M95" s="182"/>
      <c r="N95" s="182"/>
      <c r="O95" s="182"/>
      <c r="P95" s="182"/>
      <c r="Q95" s="171"/>
      <c r="R95" s="173"/>
      <c r="S95" s="182"/>
      <c r="T95" s="182"/>
      <c r="U95" s="182"/>
      <c r="V95" s="182"/>
      <c r="W95" s="191"/>
      <c r="X95" s="191"/>
    </row>
    <row r="96" spans="1:24" s="162" customFormat="1" x14ac:dyDescent="0.2">
      <c r="A96" s="191"/>
      <c r="B96" s="152" t="s">
        <v>233</v>
      </c>
      <c r="C96" s="178">
        <f>+'[1]INEI ACTIVIDAD ECONOMICA'!B1139</f>
        <v>84</v>
      </c>
      <c r="D96" s="174">
        <f>+'[1]INEI ACTIVIDAD ECONOMICA'!$B$1229</f>
        <v>29</v>
      </c>
      <c r="E96" s="170">
        <f>+'[1]INEI ACTIVIDAD ECONOMICA'!B1253</f>
        <v>38</v>
      </c>
      <c r="F96" s="186"/>
      <c r="G96" s="182"/>
      <c r="H96" s="182"/>
      <c r="I96" s="171"/>
      <c r="J96" s="182"/>
      <c r="K96" s="182"/>
      <c r="L96" s="182"/>
      <c r="M96" s="182"/>
      <c r="N96" s="182"/>
      <c r="O96" s="182"/>
      <c r="P96" s="182"/>
      <c r="Q96" s="171"/>
      <c r="R96" s="171"/>
      <c r="S96" s="182"/>
      <c r="T96" s="182"/>
      <c r="U96" s="182"/>
      <c r="V96" s="182"/>
      <c r="W96" s="191"/>
      <c r="X96" s="191"/>
    </row>
    <row r="97" spans="1:25" s="162" customFormat="1" x14ac:dyDescent="0.2">
      <c r="A97" s="191"/>
      <c r="B97" s="152" t="s">
        <v>234</v>
      </c>
      <c r="C97" s="178">
        <f>+'[1]INEI ACTIVIDAD ECONOMICA'!B1140</f>
        <v>197</v>
      </c>
      <c r="D97" s="174">
        <f>+'[1]INEI ACTIVIDAD ECONOMICA'!$B$1230</f>
        <v>85</v>
      </c>
      <c r="E97" s="170">
        <f>+'[1]INEI ACTIVIDAD ECONOMICA'!B1254</f>
        <v>104</v>
      </c>
      <c r="F97" s="186"/>
      <c r="G97" s="182"/>
      <c r="H97" s="182"/>
      <c r="I97" s="171"/>
      <c r="J97" s="182"/>
      <c r="K97" s="182"/>
      <c r="L97" s="182"/>
      <c r="M97" s="182"/>
      <c r="N97" s="182"/>
      <c r="O97" s="182"/>
      <c r="P97" s="182"/>
      <c r="Q97" s="171"/>
      <c r="R97" s="171"/>
      <c r="S97" s="182"/>
      <c r="T97" s="182"/>
      <c r="U97" s="182"/>
      <c r="V97" s="182"/>
      <c r="W97" s="191"/>
      <c r="X97" s="191"/>
    </row>
    <row r="98" spans="1:25" s="162" customFormat="1" x14ac:dyDescent="0.2">
      <c r="A98" s="191"/>
      <c r="B98" s="152" t="s">
        <v>235</v>
      </c>
      <c r="C98" s="178">
        <f>+'[1]INEI ACTIVIDAD ECONOMICA'!B1141</f>
        <v>38</v>
      </c>
      <c r="D98" s="174">
        <f>+'[1]INEI ACTIVIDAD ECONOMICA'!$B$1231</f>
        <v>17</v>
      </c>
      <c r="E98" s="170">
        <f>+'[1]INEI ACTIVIDAD ECONOMICA'!B1255</f>
        <v>18</v>
      </c>
      <c r="F98" s="186"/>
      <c r="G98" s="182"/>
      <c r="H98" s="182"/>
      <c r="I98" s="171"/>
      <c r="J98" s="182"/>
      <c r="K98" s="182"/>
      <c r="L98" s="182"/>
      <c r="M98" s="182"/>
      <c r="N98" s="182"/>
      <c r="O98" s="182"/>
      <c r="P98" s="182"/>
      <c r="Q98" s="171"/>
      <c r="R98" s="171"/>
      <c r="S98" s="182"/>
      <c r="T98" s="182"/>
      <c r="U98" s="182"/>
      <c r="V98" s="182"/>
      <c r="W98" s="191"/>
      <c r="X98" s="191"/>
    </row>
    <row r="99" spans="1:25" s="162" customFormat="1" x14ac:dyDescent="0.2">
      <c r="A99" s="191"/>
      <c r="B99" s="152" t="s">
        <v>236</v>
      </c>
      <c r="C99" s="178">
        <f>+'[1]INEI ACTIVIDAD ECONOMICA'!B1142</f>
        <v>18</v>
      </c>
      <c r="D99" s="174">
        <f>+'[1]INEI ACTIVIDAD ECONOMICA'!$B$1232</f>
        <v>3</v>
      </c>
      <c r="E99" s="170">
        <f>+'[1]INEI ACTIVIDAD ECONOMICA'!B1256</f>
        <v>13</v>
      </c>
      <c r="F99" s="186"/>
      <c r="G99" s="182"/>
      <c r="H99" s="182"/>
      <c r="I99" s="171"/>
      <c r="J99" s="182"/>
      <c r="K99" s="182"/>
      <c r="L99" s="182"/>
      <c r="M99" s="182"/>
      <c r="N99" s="182"/>
      <c r="O99" s="182"/>
      <c r="P99" s="182"/>
      <c r="Q99" s="171"/>
      <c r="R99" s="171"/>
      <c r="S99" s="182"/>
      <c r="T99" s="182"/>
      <c r="U99" s="182"/>
      <c r="V99" s="182"/>
      <c r="W99" s="191"/>
      <c r="X99" s="191"/>
    </row>
    <row r="100" spans="1:25" s="162" customFormat="1" x14ac:dyDescent="0.2">
      <c r="A100" s="191"/>
      <c r="B100" s="152" t="s">
        <v>237</v>
      </c>
      <c r="C100" s="178">
        <f>+'[1]INEI ACTIVIDAD ECONOMICA'!B1143</f>
        <v>40</v>
      </c>
      <c r="D100" s="174">
        <f>+'[1]INEI ACTIVIDAD ECONOMICA'!$B$1233</f>
        <v>7</v>
      </c>
      <c r="E100" s="170">
        <f>+'[1]INEI ACTIVIDAD ECONOMICA'!B1257</f>
        <v>5</v>
      </c>
      <c r="F100" s="186"/>
      <c r="G100" s="182"/>
      <c r="H100" s="182"/>
      <c r="I100" s="171"/>
      <c r="J100" s="182"/>
      <c r="K100" s="182"/>
      <c r="L100" s="182"/>
      <c r="M100" s="182"/>
      <c r="N100" s="182"/>
      <c r="O100" s="182"/>
      <c r="P100" s="182"/>
      <c r="Q100" s="171"/>
      <c r="R100" s="171"/>
      <c r="S100" s="182"/>
      <c r="T100" s="182"/>
      <c r="U100" s="182"/>
      <c r="V100" s="182"/>
      <c r="W100" s="191"/>
      <c r="X100" s="191"/>
    </row>
    <row r="101" spans="1:25" s="162" customFormat="1" x14ac:dyDescent="0.2">
      <c r="A101" s="191"/>
      <c r="B101" s="152" t="s">
        <v>238</v>
      </c>
      <c r="D101" s="174"/>
      <c r="E101" s="172"/>
      <c r="F101" s="186"/>
      <c r="G101" s="182"/>
      <c r="H101" s="182"/>
      <c r="I101" s="173"/>
      <c r="J101" s="182"/>
      <c r="K101" s="182"/>
      <c r="L101" s="182"/>
      <c r="M101" s="182"/>
      <c r="N101" s="182"/>
      <c r="O101" s="182"/>
      <c r="P101" s="182"/>
      <c r="Q101" s="173"/>
      <c r="R101" s="173"/>
      <c r="S101" s="182"/>
      <c r="T101" s="182"/>
      <c r="U101" s="182"/>
      <c r="V101" s="182"/>
      <c r="W101" s="191"/>
      <c r="X101" s="191"/>
    </row>
    <row r="102" spans="1:25" s="162" customFormat="1" x14ac:dyDescent="0.2">
      <c r="A102" s="191"/>
      <c r="B102" s="152" t="s">
        <v>239</v>
      </c>
      <c r="C102" s="178">
        <f>+'[1]INEI ACTIVIDAD ECONOMICA'!B1144</f>
        <v>99</v>
      </c>
      <c r="D102" s="174">
        <f>+'[1]INEI ACTIVIDAD ECONOMICA'!$B$1234</f>
        <v>57</v>
      </c>
      <c r="E102" s="170">
        <f>+'[1]INEI ACTIVIDAD ECONOMICA'!B1258</f>
        <v>44</v>
      </c>
      <c r="F102" s="186"/>
      <c r="G102" s="182"/>
      <c r="H102" s="182"/>
      <c r="I102" s="171"/>
      <c r="J102" s="182"/>
      <c r="K102" s="182"/>
      <c r="L102" s="182"/>
      <c r="M102" s="182"/>
      <c r="N102" s="182"/>
      <c r="O102" s="182"/>
      <c r="P102" s="182"/>
      <c r="Q102" s="171"/>
      <c r="R102" s="171"/>
      <c r="S102" s="182"/>
      <c r="T102" s="182"/>
      <c r="U102" s="182"/>
      <c r="V102" s="182"/>
      <c r="W102" s="191"/>
      <c r="X102" s="191"/>
    </row>
    <row r="103" spans="1:25" s="162" customFormat="1" x14ac:dyDescent="0.25">
      <c r="A103" s="191"/>
      <c r="B103" s="159" t="s">
        <v>1</v>
      </c>
      <c r="C103" s="161">
        <f>SUM(C83:C102)</f>
        <v>2389</v>
      </c>
      <c r="D103" s="161">
        <f>SUM(D83:D102)</f>
        <v>735</v>
      </c>
      <c r="E103" s="161">
        <f>SUM(E83:E102)</f>
        <v>1053</v>
      </c>
      <c r="F103" s="176"/>
      <c r="G103" s="176"/>
      <c r="H103" s="176"/>
      <c r="I103" s="176"/>
      <c r="J103" s="176"/>
      <c r="K103" s="176"/>
      <c r="L103" s="176"/>
      <c r="M103" s="176"/>
      <c r="N103" s="176"/>
      <c r="O103" s="176"/>
      <c r="P103" s="176"/>
      <c r="Q103" s="176"/>
      <c r="R103" s="176"/>
      <c r="S103" s="176"/>
      <c r="T103" s="176"/>
      <c r="U103" s="176"/>
      <c r="V103" s="176"/>
      <c r="W103" s="191"/>
      <c r="X103" s="191"/>
    </row>
    <row r="104" spans="1:25" s="162" customFormat="1" x14ac:dyDescent="0.25">
      <c r="A104" s="191"/>
      <c r="B104" s="163"/>
      <c r="C104" s="164">
        <f>C83/C103</f>
        <v>0.62662201758057767</v>
      </c>
      <c r="D104" s="164">
        <f>D83/D103</f>
        <v>0.54557823129251704</v>
      </c>
      <c r="E104" s="164">
        <f>E83/E103</f>
        <v>9.8765432098765427E-2</v>
      </c>
      <c r="F104" s="177"/>
      <c r="G104" s="177"/>
      <c r="H104" s="177"/>
      <c r="I104" s="177"/>
      <c r="J104" s="177"/>
      <c r="K104" s="177"/>
      <c r="L104" s="177"/>
      <c r="M104" s="177"/>
      <c r="N104" s="177"/>
      <c r="O104" s="177"/>
      <c r="P104" s="177"/>
      <c r="Q104" s="177"/>
      <c r="R104" s="177"/>
      <c r="S104" s="177"/>
      <c r="T104" s="177"/>
      <c r="U104" s="177"/>
      <c r="V104" s="177"/>
      <c r="W104" s="191"/>
      <c r="X104" s="191"/>
    </row>
    <row r="105" spans="1:25" s="191" customFormat="1" ht="24" customHeight="1" x14ac:dyDescent="0.25">
      <c r="B105" s="184"/>
      <c r="C105" s="45"/>
      <c r="D105" s="45"/>
      <c r="E105" s="45"/>
      <c r="F105" s="45"/>
      <c r="G105" s="45"/>
      <c r="H105" s="45"/>
      <c r="I105" s="45"/>
      <c r="J105" s="45"/>
    </row>
    <row r="106" spans="1:25" s="52" customFormat="1" x14ac:dyDescent="0.2">
      <c r="D106" s="134"/>
      <c r="E106" s="134"/>
      <c r="F106" s="134"/>
    </row>
    <row r="107" spans="1:25" x14ac:dyDescent="0.2">
      <c r="B107" s="1534" t="s">
        <v>240</v>
      </c>
      <c r="C107" s="1534"/>
      <c r="D107" s="1534"/>
      <c r="E107" s="1534"/>
      <c r="F107" s="1534"/>
      <c r="G107" s="1534"/>
      <c r="H107" s="1534"/>
      <c r="I107" s="1534"/>
      <c r="J107" s="1534"/>
      <c r="K107" s="1534"/>
      <c r="L107" s="1534"/>
      <c r="M107" s="52"/>
      <c r="N107" s="52"/>
      <c r="O107" s="52"/>
      <c r="P107" s="52"/>
      <c r="Q107" s="52"/>
      <c r="R107" s="52"/>
      <c r="S107" s="52"/>
      <c r="T107" s="52"/>
      <c r="U107" s="52"/>
      <c r="V107" s="52"/>
      <c r="Y107" s="52"/>
    </row>
    <row r="108" spans="1:25" ht="26.45" customHeight="1" x14ac:dyDescent="0.2">
      <c r="B108" s="151" t="s">
        <v>217</v>
      </c>
      <c r="C108" s="166" t="s">
        <v>10</v>
      </c>
      <c r="D108" s="166" t="s">
        <v>241</v>
      </c>
      <c r="E108" s="166" t="s">
        <v>159</v>
      </c>
      <c r="F108" s="166" t="s">
        <v>12</v>
      </c>
      <c r="G108" s="166" t="s">
        <v>160</v>
      </c>
      <c r="H108" s="166" t="s">
        <v>14</v>
      </c>
      <c r="I108" s="166" t="s">
        <v>43</v>
      </c>
      <c r="J108" s="166" t="s">
        <v>242</v>
      </c>
      <c r="K108" s="166" t="s">
        <v>275</v>
      </c>
      <c r="L108" s="166" t="s">
        <v>274</v>
      </c>
      <c r="M108" s="52"/>
      <c r="N108" s="52"/>
      <c r="O108" s="52"/>
      <c r="P108" s="52"/>
      <c r="Q108" s="52"/>
      <c r="R108" s="52"/>
      <c r="S108" s="52"/>
      <c r="T108" s="52"/>
      <c r="U108" s="52"/>
      <c r="V108" s="52"/>
      <c r="Y108" s="52"/>
    </row>
    <row r="109" spans="1:25" x14ac:dyDescent="0.2">
      <c r="B109" s="187" t="s">
        <v>243</v>
      </c>
      <c r="C109" s="155">
        <f>+'[1]INEI ACTIVIDAD ECONOMICA'!$B$1266</f>
        <v>647</v>
      </c>
      <c r="D109" s="153">
        <v>1363</v>
      </c>
      <c r="E109" s="157">
        <v>320</v>
      </c>
      <c r="F109" s="153">
        <v>1432</v>
      </c>
      <c r="G109" s="153">
        <v>1443</v>
      </c>
      <c r="H109" s="155">
        <f>+'[1]INEI ACTIVIDAD ECONOMICA'!$B$1403</f>
        <v>414</v>
      </c>
      <c r="I109" s="153">
        <v>709</v>
      </c>
      <c r="J109" s="153">
        <v>1101</v>
      </c>
      <c r="K109" s="63"/>
      <c r="L109" s="63"/>
      <c r="M109" s="52"/>
      <c r="N109" s="52"/>
      <c r="O109" s="52"/>
      <c r="P109" s="52"/>
      <c r="Q109" s="52"/>
      <c r="R109" s="52"/>
      <c r="S109" s="52"/>
      <c r="T109" s="52"/>
      <c r="U109" s="52"/>
      <c r="V109" s="52"/>
      <c r="Y109" s="52"/>
    </row>
    <row r="110" spans="1:25" x14ac:dyDescent="0.2">
      <c r="B110" s="187" t="s">
        <v>222</v>
      </c>
      <c r="C110" s="155">
        <f>+'[1]INEI ACTIVIDAD ECONOMICA'!$B$1267</f>
        <v>1</v>
      </c>
      <c r="D110" s="153">
        <v>4</v>
      </c>
      <c r="E110" s="157"/>
      <c r="F110" s="153">
        <v>1</v>
      </c>
      <c r="G110" s="153">
        <v>0</v>
      </c>
      <c r="H110" s="63"/>
      <c r="I110" s="63">
        <v>0</v>
      </c>
      <c r="J110" s="153">
        <v>7</v>
      </c>
      <c r="K110" s="63"/>
      <c r="L110" s="63"/>
      <c r="M110" s="52"/>
      <c r="N110" s="52"/>
      <c r="O110" s="52"/>
      <c r="P110" s="52"/>
      <c r="Q110" s="52"/>
      <c r="R110" s="52"/>
      <c r="S110" s="52"/>
      <c r="T110" s="52"/>
      <c r="U110" s="52"/>
      <c r="V110" s="52"/>
      <c r="Y110" s="52"/>
    </row>
    <row r="111" spans="1:25" x14ac:dyDescent="0.2">
      <c r="B111" s="187" t="s">
        <v>223</v>
      </c>
      <c r="C111" s="155">
        <f>+'[1]INEI ACTIVIDAD ECONOMICA'!$B$1268</f>
        <v>80</v>
      </c>
      <c r="D111" s="153">
        <v>105</v>
      </c>
      <c r="E111" s="157">
        <v>14</v>
      </c>
      <c r="F111" s="153">
        <v>43</v>
      </c>
      <c r="G111" s="153">
        <v>36</v>
      </c>
      <c r="H111" s="155">
        <f>+'[1]INEI ACTIVIDAD ECONOMICA'!$B$1404</f>
        <v>4</v>
      </c>
      <c r="I111" s="153">
        <v>14</v>
      </c>
      <c r="J111" s="153">
        <v>66</v>
      </c>
      <c r="K111" s="63"/>
      <c r="L111" s="63"/>
      <c r="M111" s="52"/>
      <c r="N111" s="52"/>
      <c r="O111" s="52"/>
      <c r="P111" s="52"/>
      <c r="Q111" s="52"/>
      <c r="R111" s="52"/>
      <c r="S111" s="52"/>
      <c r="T111" s="52"/>
      <c r="U111" s="52"/>
      <c r="V111" s="52"/>
      <c r="Y111" s="52"/>
    </row>
    <row r="112" spans="1:25" x14ac:dyDescent="0.2">
      <c r="B112" s="187" t="s">
        <v>224</v>
      </c>
      <c r="C112" s="155">
        <f>+'[1]INEI ACTIVIDAD ECONOMICA'!$B$1269</f>
        <v>3</v>
      </c>
      <c r="D112" s="153">
        <v>4</v>
      </c>
      <c r="E112" s="157"/>
      <c r="F112" s="63">
        <v>0</v>
      </c>
      <c r="G112" s="153">
        <v>0</v>
      </c>
      <c r="H112" s="63"/>
      <c r="I112" s="63"/>
      <c r="J112" s="63"/>
      <c r="K112" s="63"/>
      <c r="L112" s="63"/>
      <c r="M112" s="52"/>
      <c r="N112" s="52"/>
      <c r="O112" s="52"/>
      <c r="P112" s="52"/>
      <c r="Q112" s="52"/>
      <c r="R112" s="52"/>
      <c r="S112" s="52"/>
      <c r="T112" s="52"/>
      <c r="U112" s="52"/>
      <c r="V112" s="52"/>
      <c r="Y112" s="52"/>
    </row>
    <row r="113" spans="1:25" x14ac:dyDescent="0.2">
      <c r="B113" s="187" t="s">
        <v>225</v>
      </c>
      <c r="C113" s="155">
        <f>+'[1]INEI ACTIVIDAD ECONOMICA'!B1270</f>
        <v>74</v>
      </c>
      <c r="D113" s="153">
        <v>111</v>
      </c>
      <c r="E113" s="157">
        <v>31</v>
      </c>
      <c r="F113" s="153">
        <v>35</v>
      </c>
      <c r="G113" s="153">
        <v>27</v>
      </c>
      <c r="H113" s="155">
        <f>+'[1]INEI ACTIVIDAD ECONOMICA'!$B$1405</f>
        <v>21</v>
      </c>
      <c r="I113" s="153">
        <v>28</v>
      </c>
      <c r="J113" s="153">
        <v>129</v>
      </c>
      <c r="K113" s="63"/>
      <c r="L113" s="63"/>
      <c r="M113" s="52"/>
      <c r="N113" s="52"/>
      <c r="O113" s="52"/>
      <c r="P113" s="52"/>
      <c r="Q113" s="52"/>
      <c r="R113" s="52"/>
      <c r="S113" s="52"/>
      <c r="T113" s="52"/>
      <c r="U113" s="52"/>
      <c r="V113" s="52"/>
      <c r="Y113" s="52"/>
    </row>
    <row r="114" spans="1:25" x14ac:dyDescent="0.2">
      <c r="B114" s="187" t="s">
        <v>226</v>
      </c>
      <c r="C114" s="155">
        <f>+'[1]INEI ACTIVIDAD ECONOMICA'!B1271</f>
        <v>13</v>
      </c>
      <c r="D114" s="153">
        <v>24</v>
      </c>
      <c r="E114" s="157">
        <v>1</v>
      </c>
      <c r="F114" s="153">
        <v>4</v>
      </c>
      <c r="G114" s="153">
        <v>0</v>
      </c>
      <c r="H114" s="63"/>
      <c r="I114" s="153">
        <v>1</v>
      </c>
      <c r="J114" s="153">
        <v>3</v>
      </c>
      <c r="K114" s="63"/>
      <c r="L114" s="63"/>
      <c r="M114" s="52"/>
      <c r="N114" s="52"/>
      <c r="O114" s="52"/>
      <c r="P114" s="52"/>
      <c r="Q114" s="52"/>
      <c r="R114" s="52"/>
      <c r="S114" s="52"/>
      <c r="T114" s="52"/>
      <c r="U114" s="52"/>
      <c r="V114" s="52"/>
      <c r="Y114" s="52"/>
    </row>
    <row r="115" spans="1:25" x14ac:dyDescent="0.2">
      <c r="B115" s="187" t="s">
        <v>227</v>
      </c>
      <c r="C115" s="155">
        <f>+'[1]INEI ACTIVIDAD ECONOMICA'!B1272</f>
        <v>6</v>
      </c>
      <c r="D115" s="153">
        <v>14</v>
      </c>
      <c r="E115" s="157"/>
      <c r="F115" s="63">
        <v>0</v>
      </c>
      <c r="G115" s="153">
        <v>0</v>
      </c>
      <c r="H115" s="155">
        <f>+'[1]INEI ACTIVIDAD ECONOMICA'!$B$1406</f>
        <v>2</v>
      </c>
      <c r="I115" s="63">
        <v>0</v>
      </c>
      <c r="J115" s="153">
        <v>4</v>
      </c>
      <c r="K115" s="63"/>
      <c r="L115" s="63"/>
      <c r="M115" s="52"/>
      <c r="N115" s="52"/>
      <c r="O115" s="52"/>
      <c r="P115" s="52"/>
      <c r="Q115" s="52"/>
      <c r="R115" s="52"/>
      <c r="S115" s="52"/>
      <c r="T115" s="52"/>
      <c r="U115" s="52"/>
      <c r="V115" s="52"/>
      <c r="Y115" s="52"/>
    </row>
    <row r="116" spans="1:25" x14ac:dyDescent="0.2">
      <c r="B116" s="187" t="s">
        <v>228</v>
      </c>
      <c r="C116" s="155">
        <f>+'[1]INEI ACTIVIDAD ECONOMICA'!B1273</f>
        <v>134</v>
      </c>
      <c r="D116" s="153">
        <v>321</v>
      </c>
      <c r="E116" s="157">
        <v>13</v>
      </c>
      <c r="F116" s="153">
        <v>100</v>
      </c>
      <c r="G116" s="153">
        <v>80</v>
      </c>
      <c r="H116" s="155">
        <f>+'[1]INEI ACTIVIDAD ECONOMICA'!$B$1407</f>
        <v>15</v>
      </c>
      <c r="I116" s="153">
        <v>41</v>
      </c>
      <c r="J116" s="153">
        <v>112</v>
      </c>
      <c r="K116" s="63"/>
      <c r="L116" s="63"/>
      <c r="M116" s="52"/>
      <c r="N116" s="52"/>
      <c r="O116" s="52"/>
      <c r="P116" s="52"/>
      <c r="Q116" s="52"/>
      <c r="R116" s="52"/>
      <c r="S116" s="52"/>
      <c r="T116" s="52"/>
      <c r="U116" s="52"/>
      <c r="V116" s="52"/>
      <c r="Y116" s="52"/>
    </row>
    <row r="117" spans="1:25" x14ac:dyDescent="0.2">
      <c r="B117" s="187" t="s">
        <v>229</v>
      </c>
      <c r="C117" s="155">
        <f>+'[1]INEI ACTIVIDAD ECONOMICA'!B1274</f>
        <v>41</v>
      </c>
      <c r="D117" s="153">
        <v>123</v>
      </c>
      <c r="E117" s="157">
        <v>4</v>
      </c>
      <c r="F117" s="153">
        <v>34</v>
      </c>
      <c r="G117" s="153">
        <v>12</v>
      </c>
      <c r="H117" s="155">
        <f>+'[1]INEI ACTIVIDAD ECONOMICA'!$B$1408</f>
        <v>6</v>
      </c>
      <c r="I117" s="153">
        <v>7</v>
      </c>
      <c r="J117" s="153">
        <v>16</v>
      </c>
      <c r="K117" s="63"/>
      <c r="L117" s="63"/>
      <c r="M117" s="52"/>
      <c r="N117" s="52"/>
      <c r="O117" s="52"/>
      <c r="P117" s="52"/>
      <c r="Q117" s="52"/>
      <c r="R117" s="52"/>
      <c r="S117" s="52"/>
      <c r="T117" s="52"/>
      <c r="U117" s="52"/>
      <c r="V117" s="52"/>
      <c r="Y117" s="52"/>
    </row>
    <row r="118" spans="1:25" x14ac:dyDescent="0.2">
      <c r="B118" s="187" t="s">
        <v>230</v>
      </c>
      <c r="C118" s="155">
        <f>+'[1]INEI ACTIVIDAD ECONOMICA'!B1275</f>
        <v>48</v>
      </c>
      <c r="D118" s="153">
        <v>101</v>
      </c>
      <c r="E118" s="157">
        <v>2</v>
      </c>
      <c r="F118" s="153">
        <v>21</v>
      </c>
      <c r="G118" s="153">
        <v>27</v>
      </c>
      <c r="H118" s="155">
        <f>+'[1]INEI ACTIVIDAD ECONOMICA'!$B$1409</f>
        <v>3</v>
      </c>
      <c r="I118" s="153">
        <v>13</v>
      </c>
      <c r="J118" s="153">
        <v>12</v>
      </c>
      <c r="K118" s="63"/>
      <c r="L118" s="63"/>
      <c r="M118" s="52"/>
      <c r="N118" s="52"/>
      <c r="O118" s="52"/>
      <c r="P118" s="52"/>
      <c r="Q118" s="52"/>
      <c r="R118" s="52"/>
      <c r="S118" s="52"/>
      <c r="T118" s="52"/>
      <c r="U118" s="52"/>
      <c r="V118" s="52"/>
      <c r="Y118" s="52"/>
    </row>
    <row r="119" spans="1:25" x14ac:dyDescent="0.2">
      <c r="B119" s="187" t="s">
        <v>231</v>
      </c>
      <c r="C119" s="155">
        <f>+'[1]INEI ACTIVIDAD ECONOMICA'!B1276</f>
        <v>4</v>
      </c>
      <c r="D119" s="153">
        <v>13</v>
      </c>
      <c r="E119" s="157"/>
      <c r="F119" s="153">
        <v>2</v>
      </c>
      <c r="G119" s="153">
        <v>0</v>
      </c>
      <c r="H119" s="63"/>
      <c r="I119" s="153">
        <v>1</v>
      </c>
      <c r="J119" s="153">
        <v>1</v>
      </c>
      <c r="K119" s="63"/>
      <c r="L119" s="63"/>
      <c r="M119" s="52"/>
      <c r="N119" s="52"/>
      <c r="O119" s="52"/>
      <c r="P119" s="52"/>
      <c r="Q119" s="52"/>
      <c r="R119" s="52"/>
      <c r="S119" s="52"/>
      <c r="T119" s="52"/>
      <c r="U119" s="52"/>
      <c r="V119" s="52"/>
      <c r="Y119" s="52"/>
    </row>
    <row r="120" spans="1:25" x14ac:dyDescent="0.2">
      <c r="B120" s="187" t="s">
        <v>232</v>
      </c>
      <c r="C120" s="155">
        <f>+'[1]INEI ACTIVIDAD ECONOMICA'!B1277</f>
        <v>33</v>
      </c>
      <c r="D120" s="153">
        <v>30</v>
      </c>
      <c r="E120" s="157">
        <v>4</v>
      </c>
      <c r="F120" s="153">
        <v>6</v>
      </c>
      <c r="G120" s="153">
        <v>8</v>
      </c>
      <c r="H120" s="155">
        <f>+'[1]INEI ACTIVIDAD ECONOMICA'!B1410</f>
        <v>4</v>
      </c>
      <c r="I120" s="153">
        <v>3</v>
      </c>
      <c r="J120" s="153">
        <v>3</v>
      </c>
      <c r="K120" s="63"/>
      <c r="L120" s="63"/>
      <c r="M120" s="52"/>
      <c r="N120" s="52"/>
      <c r="O120" s="52"/>
      <c r="P120" s="52"/>
      <c r="Q120" s="52"/>
      <c r="R120" s="52"/>
      <c r="S120" s="52"/>
      <c r="T120" s="52"/>
      <c r="U120" s="52"/>
      <c r="V120" s="52"/>
      <c r="Y120" s="52"/>
    </row>
    <row r="121" spans="1:25" x14ac:dyDescent="0.2">
      <c r="B121" s="187" t="s">
        <v>233</v>
      </c>
      <c r="C121" s="155">
        <f>+'[1]INEI ACTIVIDAD ECONOMICA'!B1278</f>
        <v>99</v>
      </c>
      <c r="D121" s="153">
        <v>62</v>
      </c>
      <c r="E121" s="157">
        <v>17</v>
      </c>
      <c r="F121" s="153">
        <v>44</v>
      </c>
      <c r="G121" s="153">
        <v>27</v>
      </c>
      <c r="H121" s="155">
        <f>+'[1]INEI ACTIVIDAD ECONOMICA'!B1411</f>
        <v>18</v>
      </c>
      <c r="I121" s="153">
        <v>22</v>
      </c>
      <c r="J121" s="153">
        <v>41</v>
      </c>
      <c r="K121" s="63"/>
      <c r="L121" s="63"/>
      <c r="M121" s="52"/>
      <c r="N121" s="52"/>
      <c r="O121" s="52"/>
      <c r="P121" s="52"/>
      <c r="Q121" s="52"/>
      <c r="R121" s="52"/>
      <c r="S121" s="52"/>
      <c r="T121" s="52"/>
      <c r="U121" s="52"/>
      <c r="V121" s="52"/>
      <c r="Y121" s="52"/>
    </row>
    <row r="122" spans="1:25" x14ac:dyDescent="0.2">
      <c r="B122" s="187" t="s">
        <v>234</v>
      </c>
      <c r="C122" s="155">
        <f>+'[1]INEI ACTIVIDAD ECONOMICA'!B1279</f>
        <v>200</v>
      </c>
      <c r="D122" s="153">
        <v>301</v>
      </c>
      <c r="E122" s="157">
        <v>37</v>
      </c>
      <c r="F122" s="153">
        <v>189</v>
      </c>
      <c r="G122" s="153">
        <v>108</v>
      </c>
      <c r="H122" s="155">
        <f>+'[1]INEI ACTIVIDAD ECONOMICA'!B1412</f>
        <v>38</v>
      </c>
      <c r="I122" s="153">
        <v>42</v>
      </c>
      <c r="J122" s="153">
        <v>98</v>
      </c>
      <c r="K122" s="63"/>
      <c r="L122" s="63"/>
      <c r="M122" s="52"/>
      <c r="N122" s="52"/>
      <c r="O122" s="52"/>
      <c r="P122" s="52"/>
      <c r="Q122" s="52"/>
      <c r="R122" s="52"/>
      <c r="S122" s="52"/>
      <c r="T122" s="52"/>
      <c r="U122" s="52"/>
      <c r="V122" s="52"/>
      <c r="Y122" s="52"/>
    </row>
    <row r="123" spans="1:25" x14ac:dyDescent="0.2">
      <c r="B123" s="187" t="s">
        <v>235</v>
      </c>
      <c r="C123" s="155">
        <f>+'[1]INEI ACTIVIDAD ECONOMICA'!B1280</f>
        <v>49</v>
      </c>
      <c r="D123" s="153">
        <v>37</v>
      </c>
      <c r="E123" s="157">
        <v>4</v>
      </c>
      <c r="F123" s="153">
        <v>32</v>
      </c>
      <c r="G123" s="153">
        <v>29</v>
      </c>
      <c r="H123" s="155">
        <f>+'[1]INEI ACTIVIDAD ECONOMICA'!B1413</f>
        <v>8</v>
      </c>
      <c r="I123" s="153">
        <v>10</v>
      </c>
      <c r="J123" s="153">
        <v>24</v>
      </c>
      <c r="K123" s="63"/>
      <c r="L123" s="63"/>
      <c r="M123" s="52"/>
      <c r="N123" s="52"/>
      <c r="O123" s="52"/>
      <c r="P123" s="52"/>
      <c r="Q123" s="52"/>
      <c r="R123" s="52"/>
      <c r="S123" s="52"/>
      <c r="T123" s="52"/>
      <c r="U123" s="52"/>
      <c r="V123" s="52"/>
      <c r="Y123" s="52"/>
    </row>
    <row r="124" spans="1:25" x14ac:dyDescent="0.2">
      <c r="B124" s="187" t="s">
        <v>236</v>
      </c>
      <c r="C124" s="155">
        <f>+'[1]INEI ACTIVIDAD ECONOMICA'!B1281</f>
        <v>25</v>
      </c>
      <c r="D124" s="153">
        <v>24</v>
      </c>
      <c r="E124" s="157"/>
      <c r="F124" s="153">
        <v>17</v>
      </c>
      <c r="G124" s="153">
        <v>12</v>
      </c>
      <c r="H124" s="155">
        <f>+'[1]INEI ACTIVIDAD ECONOMICA'!B1414</f>
        <v>2</v>
      </c>
      <c r="I124" s="153">
        <v>4</v>
      </c>
      <c r="J124" s="153">
        <v>11</v>
      </c>
      <c r="K124" s="63"/>
      <c r="L124" s="63"/>
      <c r="M124" s="52"/>
      <c r="N124" s="52"/>
      <c r="O124" s="52"/>
      <c r="P124" s="52"/>
      <c r="Q124" s="52"/>
      <c r="R124" s="52"/>
      <c r="S124" s="52"/>
      <c r="T124" s="52"/>
      <c r="U124" s="52"/>
      <c r="V124" s="52"/>
      <c r="Y124" s="52"/>
    </row>
    <row r="125" spans="1:25" x14ac:dyDescent="0.2">
      <c r="B125" s="187" t="s">
        <v>237</v>
      </c>
      <c r="C125" s="155">
        <f>+'[1]INEI ACTIVIDAD ECONOMICA'!B1282</f>
        <v>32</v>
      </c>
      <c r="D125" s="153">
        <v>30</v>
      </c>
      <c r="E125" s="157">
        <v>4</v>
      </c>
      <c r="F125" s="153">
        <v>42</v>
      </c>
      <c r="G125" s="153">
        <v>18</v>
      </c>
      <c r="H125" s="155">
        <f>+'[1]INEI ACTIVIDAD ECONOMICA'!B1415</f>
        <v>2</v>
      </c>
      <c r="I125" s="153">
        <v>3</v>
      </c>
      <c r="J125" s="153">
        <v>13</v>
      </c>
      <c r="K125" s="63"/>
      <c r="L125" s="63"/>
      <c r="M125" s="52"/>
      <c r="N125" s="52"/>
      <c r="O125" s="52"/>
      <c r="P125" s="52"/>
      <c r="Q125" s="52"/>
      <c r="R125" s="52"/>
      <c r="S125" s="52"/>
      <c r="T125" s="52"/>
      <c r="U125" s="52"/>
      <c r="V125" s="52"/>
      <c r="Y125" s="52"/>
    </row>
    <row r="126" spans="1:25" x14ac:dyDescent="0.2">
      <c r="B126" s="187" t="s">
        <v>239</v>
      </c>
      <c r="C126" s="155">
        <f>+'[1]INEI ACTIVIDAD ECONOMICA'!B1283</f>
        <v>26</v>
      </c>
      <c r="D126" s="153">
        <v>115</v>
      </c>
      <c r="E126" s="157">
        <v>13</v>
      </c>
      <c r="F126" s="153">
        <v>41</v>
      </c>
      <c r="G126" s="153">
        <v>61</v>
      </c>
      <c r="H126" s="155">
        <f>+'[1]INEI ACTIVIDAD ECONOMICA'!B1416</f>
        <v>7</v>
      </c>
      <c r="I126" s="153">
        <v>38</v>
      </c>
      <c r="J126" s="153">
        <v>44</v>
      </c>
      <c r="K126" s="63"/>
      <c r="L126" s="63"/>
      <c r="M126" s="52"/>
      <c r="N126" s="52"/>
      <c r="O126" s="52"/>
      <c r="P126" s="52"/>
      <c r="Q126" s="52"/>
      <c r="R126" s="52"/>
      <c r="S126" s="52"/>
      <c r="T126" s="52"/>
      <c r="U126" s="52"/>
      <c r="V126" s="52"/>
      <c r="Y126" s="52"/>
    </row>
    <row r="127" spans="1:25" x14ac:dyDescent="0.2">
      <c r="B127" s="188" t="s">
        <v>1</v>
      </c>
      <c r="C127" s="161">
        <f t="shared" ref="C127:L127" si="7">SUM(C109:C126)</f>
        <v>1515</v>
      </c>
      <c r="D127" s="161">
        <f t="shared" si="7"/>
        <v>2782</v>
      </c>
      <c r="E127" s="161">
        <f t="shared" si="7"/>
        <v>464</v>
      </c>
      <c r="F127" s="161">
        <f t="shared" si="7"/>
        <v>2043</v>
      </c>
      <c r="G127" s="161">
        <f t="shared" si="7"/>
        <v>1888</v>
      </c>
      <c r="H127" s="161">
        <f t="shared" si="7"/>
        <v>544</v>
      </c>
      <c r="I127" s="161">
        <f t="shared" si="7"/>
        <v>936</v>
      </c>
      <c r="J127" s="161">
        <f t="shared" si="7"/>
        <v>1685</v>
      </c>
      <c r="K127" s="161">
        <f t="shared" si="7"/>
        <v>0</v>
      </c>
      <c r="L127" s="161">
        <f t="shared" si="7"/>
        <v>0</v>
      </c>
      <c r="M127" s="52"/>
      <c r="N127" s="52"/>
      <c r="O127" s="52"/>
      <c r="P127" s="52"/>
      <c r="Q127" s="52"/>
      <c r="R127" s="52"/>
      <c r="S127" s="52"/>
      <c r="T127" s="52"/>
      <c r="U127" s="52"/>
      <c r="V127" s="52"/>
      <c r="Y127" s="52"/>
    </row>
    <row r="128" spans="1:25" s="162" customFormat="1" ht="22.15" customHeight="1" x14ac:dyDescent="0.25">
      <c r="A128" s="191"/>
      <c r="B128" s="172"/>
      <c r="C128" s="164">
        <f t="shared" ref="C128:L128" si="8">C109/C127</f>
        <v>0.42706270627062709</v>
      </c>
      <c r="D128" s="164">
        <f t="shared" si="8"/>
        <v>0.48993529834651328</v>
      </c>
      <c r="E128" s="164">
        <f t="shared" si="8"/>
        <v>0.68965517241379315</v>
      </c>
      <c r="F128" s="164">
        <f t="shared" si="8"/>
        <v>0.70093000489476265</v>
      </c>
      <c r="G128" s="164">
        <f t="shared" si="8"/>
        <v>0.76430084745762716</v>
      </c>
      <c r="H128" s="164">
        <f t="shared" si="8"/>
        <v>0.76102941176470584</v>
      </c>
      <c r="I128" s="164">
        <f t="shared" si="8"/>
        <v>0.75747863247863245</v>
      </c>
      <c r="J128" s="164">
        <f t="shared" si="8"/>
        <v>0.65341246290801192</v>
      </c>
      <c r="K128" s="164" t="e">
        <f t="shared" si="8"/>
        <v>#DIV/0!</v>
      </c>
      <c r="L128" s="164" t="e">
        <f t="shared" si="8"/>
        <v>#DIV/0!</v>
      </c>
      <c r="M128" s="191"/>
      <c r="N128" s="191"/>
      <c r="O128" s="191"/>
      <c r="P128" s="191"/>
      <c r="Q128" s="191"/>
      <c r="R128" s="191"/>
      <c r="S128" s="191"/>
      <c r="T128" s="191"/>
      <c r="U128" s="191"/>
      <c r="V128" s="191"/>
      <c r="W128" s="191"/>
      <c r="X128" s="191"/>
      <c r="Y128" s="191"/>
    </row>
    <row r="129" spans="2:25" s="52" customFormat="1" x14ac:dyDescent="0.2">
      <c r="E129" s="134"/>
      <c r="F129" s="134"/>
      <c r="G129" s="134"/>
    </row>
    <row r="130" spans="2:25" s="52" customFormat="1" x14ac:dyDescent="0.2">
      <c r="D130" s="134"/>
      <c r="E130" s="134"/>
      <c r="F130" s="134"/>
    </row>
    <row r="131" spans="2:25" x14ac:dyDescent="0.2">
      <c r="B131" s="1534" t="s">
        <v>249</v>
      </c>
      <c r="C131" s="1534"/>
      <c r="D131" s="1534"/>
      <c r="E131" s="1534"/>
      <c r="F131" s="1534"/>
      <c r="G131" s="1534"/>
      <c r="H131" s="165"/>
      <c r="K131" s="52"/>
      <c r="L131" s="52"/>
      <c r="M131" s="52"/>
      <c r="N131" s="52"/>
      <c r="O131" s="52"/>
      <c r="P131" s="52"/>
      <c r="Q131" s="52"/>
      <c r="R131" s="52"/>
      <c r="S131" s="52"/>
      <c r="T131" s="52"/>
      <c r="U131" s="52"/>
      <c r="V131" s="52"/>
      <c r="Y131" s="52"/>
    </row>
    <row r="132" spans="2:25" ht="26.45" customHeight="1" x14ac:dyDescent="0.2">
      <c r="B132" s="151" t="s">
        <v>217</v>
      </c>
      <c r="C132" s="46" t="s">
        <v>166</v>
      </c>
      <c r="D132" s="46" t="s">
        <v>209</v>
      </c>
      <c r="E132" s="46" t="s">
        <v>210</v>
      </c>
      <c r="F132" s="46" t="s">
        <v>211</v>
      </c>
      <c r="G132" s="46" t="s">
        <v>212</v>
      </c>
      <c r="H132" s="89"/>
      <c r="I132" s="89"/>
      <c r="J132" s="89"/>
      <c r="K132" s="52"/>
      <c r="L132" s="52"/>
      <c r="M132" s="52"/>
      <c r="N132" s="52"/>
      <c r="O132" s="52"/>
      <c r="P132" s="52"/>
      <c r="Q132" s="52"/>
      <c r="R132" s="52"/>
      <c r="S132" s="52"/>
      <c r="T132" s="52"/>
      <c r="U132" s="52"/>
      <c r="V132" s="52"/>
      <c r="Y132" s="52"/>
    </row>
    <row r="133" spans="2:25" x14ac:dyDescent="0.2">
      <c r="B133" s="187" t="s">
        <v>243</v>
      </c>
      <c r="C133" s="155">
        <f>+'[1]INEI ACTIVIDAD ECONOMICA'!$B$1446</f>
        <v>727</v>
      </c>
      <c r="D133" s="153">
        <f>+'[1]INEI ACTIVIDAD ECONOMICA'!$B$1471</f>
        <v>464</v>
      </c>
      <c r="E133" s="190">
        <f>+'[1]INEI ACTIVIDAD ECONOMICA'!$B$1567</f>
        <v>215</v>
      </c>
      <c r="F133" s="153">
        <f>+'[1]INEI ACTIVIDAD ECONOMICA'!$B$1650</f>
        <v>133</v>
      </c>
      <c r="G133" s="153">
        <f>+'[1]INEI ACTIVIDAD ECONOMICA'!$B$1689</f>
        <v>119</v>
      </c>
      <c r="H133" s="89"/>
      <c r="I133" s="186"/>
      <c r="J133" s="186"/>
      <c r="K133" s="52"/>
      <c r="L133" s="52"/>
      <c r="M133" s="52"/>
      <c r="N133" s="52"/>
      <c r="O133" s="52"/>
      <c r="P133" s="52"/>
      <c r="Q133" s="52"/>
      <c r="R133" s="52"/>
      <c r="S133" s="52"/>
      <c r="T133" s="52"/>
      <c r="U133" s="52"/>
      <c r="V133" s="52"/>
    </row>
    <row r="134" spans="2:25" x14ac:dyDescent="0.2">
      <c r="B134" s="187" t="s">
        <v>222</v>
      </c>
      <c r="C134" s="155">
        <f>+'[1]INEI ACTIVIDAD ECONOMICA'!$B$1447</f>
        <v>5</v>
      </c>
      <c r="D134" s="153">
        <f>+'[1]INEI ACTIVIDAD ECONOMICA'!$B$1472</f>
        <v>7</v>
      </c>
      <c r="E134" s="190">
        <f>+'[1]INEI ACTIVIDAD ECONOMICA'!$B$1568</f>
        <v>3</v>
      </c>
      <c r="F134" s="153">
        <f>+'[1]INEI ACTIVIDAD ECONOMICA'!$B$1651</f>
        <v>95</v>
      </c>
      <c r="G134" s="153">
        <f>+'[1]INEI ACTIVIDAD ECONOMICA'!$B$1690</f>
        <v>69</v>
      </c>
      <c r="H134" s="89"/>
      <c r="I134" s="89"/>
      <c r="J134" s="186"/>
      <c r="K134" s="52"/>
      <c r="L134" s="52"/>
      <c r="M134" s="52"/>
      <c r="N134" s="52"/>
      <c r="O134" s="52"/>
      <c r="P134" s="52"/>
      <c r="Q134" s="52"/>
      <c r="R134" s="52"/>
      <c r="S134" s="52"/>
      <c r="T134" s="52"/>
      <c r="U134" s="52"/>
      <c r="V134" s="52"/>
    </row>
    <row r="135" spans="2:25" x14ac:dyDescent="0.2">
      <c r="B135" s="187" t="s">
        <v>223</v>
      </c>
      <c r="C135" s="155">
        <f>+'[1]INEI ACTIVIDAD ECONOMICA'!$B$1448</f>
        <v>59</v>
      </c>
      <c r="D135" s="153">
        <f>+'[1]INEI ACTIVIDAD ECONOMICA'!$B$1473</f>
        <v>50</v>
      </c>
      <c r="E135" s="190">
        <f>+'[1]INEI ACTIVIDAD ECONOMICA'!$B$1569</f>
        <v>4</v>
      </c>
      <c r="F135" s="153">
        <f>+'[1]INEI ACTIVIDAD ECONOMICA'!$B$1652</f>
        <v>2</v>
      </c>
      <c r="G135" s="153">
        <f>+'[1]INEI ACTIVIDAD ECONOMICA'!$B$1691</f>
        <v>10</v>
      </c>
      <c r="H135" s="89"/>
      <c r="I135" s="186"/>
      <c r="J135" s="186"/>
      <c r="K135" s="52"/>
      <c r="L135" s="52"/>
      <c r="M135" s="52"/>
      <c r="N135" s="52"/>
      <c r="O135" s="52"/>
      <c r="P135" s="52"/>
      <c r="Q135" s="52"/>
      <c r="R135" s="52"/>
      <c r="S135" s="52"/>
      <c r="T135" s="52"/>
      <c r="U135" s="52"/>
      <c r="V135" s="52"/>
    </row>
    <row r="136" spans="2:25" x14ac:dyDescent="0.2">
      <c r="B136" s="187" t="s">
        <v>224</v>
      </c>
      <c r="C136" s="155">
        <f>+'[1]INEI ACTIVIDAD ECONOMICA'!$B$1449</f>
        <v>4</v>
      </c>
      <c r="D136" s="153"/>
      <c r="E136" s="157"/>
      <c r="F136" s="63"/>
      <c r="G136" s="153"/>
      <c r="H136" s="89"/>
      <c r="I136" s="89"/>
      <c r="J136" s="89"/>
      <c r="K136" s="52"/>
      <c r="L136" s="52"/>
      <c r="M136" s="52"/>
      <c r="N136" s="52"/>
      <c r="O136" s="52"/>
      <c r="P136" s="52"/>
      <c r="Q136" s="52"/>
      <c r="R136" s="52"/>
      <c r="S136" s="52"/>
      <c r="T136" s="52"/>
      <c r="U136" s="52"/>
      <c r="V136" s="52"/>
    </row>
    <row r="137" spans="2:25" x14ac:dyDescent="0.2">
      <c r="B137" s="187" t="s">
        <v>225</v>
      </c>
      <c r="C137" s="155">
        <f>+'[1]INEI ACTIVIDAD ECONOMICA'!B1450</f>
        <v>50</v>
      </c>
      <c r="D137" s="153">
        <f>+'[1]INEI ACTIVIDAD ECONOMICA'!$B$1474</f>
        <v>31</v>
      </c>
      <c r="E137" s="190">
        <f>+'[1]INEI ACTIVIDAD ECONOMICA'!$B$1570</f>
        <v>11</v>
      </c>
      <c r="F137" s="153">
        <f>+'[1]INEI ACTIVIDAD ECONOMICA'!$B$1653</f>
        <v>8</v>
      </c>
      <c r="G137" s="153">
        <f>+'[1]INEI ACTIVIDAD ECONOMICA'!$B$1692</f>
        <v>28</v>
      </c>
      <c r="H137" s="89"/>
      <c r="I137" s="186"/>
      <c r="J137" s="186"/>
      <c r="K137" s="52"/>
      <c r="L137" s="52"/>
      <c r="M137" s="52"/>
      <c r="N137" s="52"/>
      <c r="O137" s="52"/>
      <c r="P137" s="52"/>
      <c r="Q137" s="52"/>
      <c r="R137" s="52"/>
      <c r="S137" s="52"/>
      <c r="T137" s="52"/>
      <c r="U137" s="52"/>
      <c r="V137" s="52"/>
    </row>
    <row r="138" spans="2:25" x14ac:dyDescent="0.2">
      <c r="B138" s="187" t="s">
        <v>226</v>
      </c>
      <c r="C138" s="155">
        <f>+'[1]INEI ACTIVIDAD ECONOMICA'!B1451</f>
        <v>5</v>
      </c>
      <c r="D138" s="153"/>
      <c r="E138" s="157"/>
      <c r="F138" s="153"/>
      <c r="G138" s="153"/>
      <c r="H138" s="89"/>
      <c r="I138" s="186"/>
      <c r="J138" s="186"/>
      <c r="K138" s="52"/>
      <c r="L138" s="52"/>
      <c r="M138" s="52"/>
      <c r="N138" s="52"/>
      <c r="O138" s="52"/>
      <c r="P138" s="52"/>
      <c r="Q138" s="52"/>
      <c r="R138" s="52"/>
      <c r="S138" s="52"/>
      <c r="T138" s="52"/>
      <c r="U138" s="52"/>
      <c r="V138" s="52"/>
    </row>
    <row r="139" spans="2:25" x14ac:dyDescent="0.2">
      <c r="B139" s="187" t="s">
        <v>227</v>
      </c>
      <c r="C139" s="155">
        <f>+'[1]INEI ACTIVIDAD ECONOMICA'!B1452</f>
        <v>7</v>
      </c>
      <c r="D139" s="153"/>
      <c r="E139" s="157"/>
      <c r="F139" s="155">
        <f>+'[1]INEI ACTIVIDAD ECONOMICA'!$B$1654</f>
        <v>2</v>
      </c>
      <c r="G139" s="153"/>
      <c r="H139" s="89"/>
      <c r="I139" s="89"/>
      <c r="J139" s="186"/>
      <c r="K139" s="52"/>
      <c r="L139" s="52"/>
      <c r="M139" s="52"/>
      <c r="N139" s="52"/>
      <c r="O139" s="52"/>
      <c r="P139" s="52"/>
      <c r="Q139" s="52"/>
      <c r="R139" s="52"/>
      <c r="S139" s="52"/>
      <c r="T139" s="52"/>
      <c r="U139" s="52"/>
      <c r="V139" s="52"/>
    </row>
    <row r="140" spans="2:25" x14ac:dyDescent="0.2">
      <c r="B140" s="187" t="s">
        <v>228</v>
      </c>
      <c r="C140" s="155">
        <f>+'[1]INEI ACTIVIDAD ECONOMICA'!B1453</f>
        <v>160</v>
      </c>
      <c r="D140" s="153">
        <f>+'[1]INEI ACTIVIDAD ECONOMICA'!$B$1475</f>
        <v>20</v>
      </c>
      <c r="E140" s="190">
        <f>+'[1]INEI ACTIVIDAD ECONOMICA'!B1571</f>
        <v>7</v>
      </c>
      <c r="F140" s="153">
        <f>+'[1]INEI ACTIVIDAD ECONOMICA'!$B$1655</f>
        <v>18</v>
      </c>
      <c r="G140" s="153">
        <f>+'[1]INEI ACTIVIDAD ECONOMICA'!$B$1693</f>
        <v>27</v>
      </c>
      <c r="H140" s="89"/>
      <c r="I140" s="186"/>
      <c r="J140" s="186"/>
      <c r="K140" s="52"/>
      <c r="L140" s="52"/>
      <c r="M140" s="52"/>
      <c r="N140" s="52"/>
      <c r="O140" s="52"/>
      <c r="P140" s="52"/>
      <c r="Q140" s="52"/>
      <c r="R140" s="52"/>
      <c r="S140" s="52"/>
      <c r="T140" s="52"/>
      <c r="U140" s="52"/>
      <c r="V140" s="52"/>
    </row>
    <row r="141" spans="2:25" x14ac:dyDescent="0.2">
      <c r="B141" s="187" t="s">
        <v>229</v>
      </c>
      <c r="C141" s="155">
        <f>+'[1]INEI ACTIVIDAD ECONOMICA'!B1454</f>
        <v>59</v>
      </c>
      <c r="D141" s="153">
        <f>+'[1]INEI ACTIVIDAD ECONOMICA'!$B$1476</f>
        <v>4</v>
      </c>
      <c r="E141" s="190">
        <f>+'[1]INEI ACTIVIDAD ECONOMICA'!B1572</f>
        <v>1</v>
      </c>
      <c r="F141" s="153">
        <f>+'[1]INEI ACTIVIDAD ECONOMICA'!$B$1656</f>
        <v>5</v>
      </c>
      <c r="G141" s="153">
        <f>+'[1]INEI ACTIVIDAD ECONOMICA'!$B$1694</f>
        <v>5</v>
      </c>
      <c r="H141" s="89"/>
      <c r="I141" s="186"/>
      <c r="J141" s="186"/>
      <c r="K141" s="52"/>
      <c r="L141" s="52"/>
      <c r="M141" s="52"/>
      <c r="N141" s="52"/>
      <c r="O141" s="52"/>
      <c r="P141" s="52"/>
      <c r="Q141" s="52"/>
      <c r="R141" s="52"/>
      <c r="S141" s="52"/>
      <c r="T141" s="52"/>
      <c r="U141" s="52"/>
      <c r="V141" s="52"/>
    </row>
    <row r="142" spans="2:25" x14ac:dyDescent="0.2">
      <c r="B142" s="187" t="s">
        <v>230</v>
      </c>
      <c r="C142" s="155">
        <f>+'[1]INEI ACTIVIDAD ECONOMICA'!B1455</f>
        <v>31</v>
      </c>
      <c r="D142" s="153">
        <f>+'[1]INEI ACTIVIDAD ECONOMICA'!$B$1477</f>
        <v>11</v>
      </c>
      <c r="E142" s="190">
        <f>+'[1]INEI ACTIVIDAD ECONOMICA'!B1573</f>
        <v>1</v>
      </c>
      <c r="F142" s="153">
        <f>+'[1]INEI ACTIVIDAD ECONOMICA'!$B$1657</f>
        <v>1</v>
      </c>
      <c r="G142" s="153">
        <f>+'[1]INEI ACTIVIDAD ECONOMICA'!$B$1695</f>
        <v>2</v>
      </c>
      <c r="H142" s="89"/>
      <c r="I142" s="186"/>
      <c r="J142" s="186"/>
      <c r="K142" s="52"/>
      <c r="L142" s="52"/>
      <c r="M142" s="52"/>
      <c r="N142" s="52"/>
      <c r="O142" s="52"/>
      <c r="P142" s="52"/>
      <c r="Q142" s="52"/>
      <c r="R142" s="52"/>
      <c r="S142" s="52"/>
      <c r="T142" s="52"/>
      <c r="U142" s="52"/>
      <c r="V142" s="52"/>
    </row>
    <row r="143" spans="2:25" x14ac:dyDescent="0.2">
      <c r="B143" s="187" t="s">
        <v>231</v>
      </c>
      <c r="C143" s="155">
        <f>+'[1]INEI ACTIVIDAD ECONOMICA'!B1456</f>
        <v>3</v>
      </c>
      <c r="D143" s="153"/>
      <c r="E143" s="157"/>
      <c r="F143" s="153"/>
      <c r="G143" s="153"/>
      <c r="H143" s="89"/>
      <c r="I143" s="186"/>
      <c r="J143" s="186"/>
      <c r="K143" s="52"/>
      <c r="L143" s="52"/>
      <c r="M143" s="52"/>
      <c r="N143" s="52"/>
      <c r="O143" s="52"/>
      <c r="P143" s="52"/>
      <c r="Q143" s="52"/>
      <c r="R143" s="52"/>
      <c r="S143" s="52"/>
      <c r="T143" s="52"/>
      <c r="U143" s="52"/>
      <c r="V143" s="52"/>
    </row>
    <row r="144" spans="2:25" x14ac:dyDescent="0.2">
      <c r="B144" s="187" t="s">
        <v>232</v>
      </c>
      <c r="C144" s="155">
        <f>+'[1]INEI ACTIVIDAD ECONOMICA'!B1457</f>
        <v>14</v>
      </c>
      <c r="D144" s="153">
        <f>+'[1]INEI ACTIVIDAD ECONOMICA'!B1478</f>
        <v>3</v>
      </c>
      <c r="E144" s="157"/>
      <c r="F144" s="153"/>
      <c r="G144" s="153"/>
      <c r="H144" s="89"/>
      <c r="I144" s="186"/>
      <c r="J144" s="186"/>
      <c r="K144" s="52"/>
      <c r="L144" s="52"/>
      <c r="M144" s="52"/>
      <c r="N144" s="52"/>
      <c r="O144" s="52"/>
      <c r="P144" s="52"/>
      <c r="Q144" s="52"/>
      <c r="R144" s="52"/>
      <c r="S144" s="52"/>
      <c r="T144" s="52"/>
      <c r="U144" s="52"/>
      <c r="V144" s="52"/>
    </row>
    <row r="145" spans="1:24" x14ac:dyDescent="0.2">
      <c r="B145" s="187" t="s">
        <v>233</v>
      </c>
      <c r="C145" s="155">
        <f>+'[1]INEI ACTIVIDAD ECONOMICA'!B1458</f>
        <v>117</v>
      </c>
      <c r="D145" s="153">
        <f>+'[1]INEI ACTIVIDAD ECONOMICA'!B1479</f>
        <v>15</v>
      </c>
      <c r="E145" s="190">
        <f>+'[1]INEI ACTIVIDAD ECONOMICA'!B1574</f>
        <v>4</v>
      </c>
      <c r="F145" s="153">
        <f>+'[1]INEI ACTIVIDAD ECONOMICA'!$B$1658</f>
        <v>19</v>
      </c>
      <c r="G145" s="153">
        <f>+'[1]INEI ACTIVIDAD ECONOMICA'!$B$1696</f>
        <v>21</v>
      </c>
      <c r="H145" s="89"/>
      <c r="I145" s="186"/>
      <c r="J145" s="186"/>
      <c r="K145" s="52"/>
      <c r="L145" s="52"/>
      <c r="M145" s="52"/>
      <c r="N145" s="52"/>
      <c r="O145" s="52"/>
      <c r="P145" s="52"/>
      <c r="Q145" s="52"/>
      <c r="R145" s="52"/>
      <c r="S145" s="52"/>
      <c r="T145" s="52"/>
      <c r="U145" s="52"/>
      <c r="V145" s="52"/>
    </row>
    <row r="146" spans="1:24" x14ac:dyDescent="0.2">
      <c r="B146" s="187" t="s">
        <v>234</v>
      </c>
      <c r="C146" s="155">
        <f>+'[1]INEI ACTIVIDAD ECONOMICA'!B1459</f>
        <v>262</v>
      </c>
      <c r="D146" s="153">
        <f>+'[1]INEI ACTIVIDAD ECONOMICA'!B1480</f>
        <v>22</v>
      </c>
      <c r="E146" s="190">
        <f>+'[1]INEI ACTIVIDAD ECONOMICA'!B1575</f>
        <v>7</v>
      </c>
      <c r="F146" s="153">
        <f>+'[1]INEI ACTIVIDAD ECONOMICA'!$B$1659</f>
        <v>17</v>
      </c>
      <c r="G146" s="153">
        <f>+'[1]INEI ACTIVIDAD ECONOMICA'!$B$1697</f>
        <v>12</v>
      </c>
      <c r="H146" s="89"/>
      <c r="I146" s="186"/>
      <c r="J146" s="186"/>
      <c r="K146" s="52"/>
      <c r="L146" s="52"/>
      <c r="M146" s="52"/>
      <c r="N146" s="52"/>
      <c r="O146" s="52"/>
      <c r="P146" s="52"/>
      <c r="Q146" s="52"/>
      <c r="R146" s="52"/>
      <c r="S146" s="52"/>
      <c r="T146" s="52"/>
      <c r="U146" s="52"/>
      <c r="V146" s="52"/>
    </row>
    <row r="147" spans="1:24" x14ac:dyDescent="0.2">
      <c r="B147" s="187" t="s">
        <v>235</v>
      </c>
      <c r="C147" s="155">
        <f>+'[1]INEI ACTIVIDAD ECONOMICA'!B1460</f>
        <v>40</v>
      </c>
      <c r="D147" s="153">
        <f>+'[1]INEI ACTIVIDAD ECONOMICA'!B1481</f>
        <v>10</v>
      </c>
      <c r="E147" s="190">
        <f>+'[1]INEI ACTIVIDAD ECONOMICA'!B1576</f>
        <v>4</v>
      </c>
      <c r="F147" s="153">
        <f>+'[1]INEI ACTIVIDAD ECONOMICA'!$B$1660</f>
        <v>3</v>
      </c>
      <c r="G147" s="153">
        <f>+'[1]INEI ACTIVIDAD ECONOMICA'!$B$1698</f>
        <v>1</v>
      </c>
      <c r="H147" s="89"/>
      <c r="I147" s="186"/>
      <c r="J147" s="186"/>
      <c r="K147" s="52"/>
      <c r="L147" s="52"/>
      <c r="M147" s="52"/>
      <c r="N147" s="52"/>
      <c r="O147" s="52"/>
      <c r="P147" s="52"/>
      <c r="Q147" s="52"/>
      <c r="R147" s="52"/>
      <c r="S147" s="52"/>
      <c r="T147" s="52"/>
      <c r="U147" s="52"/>
      <c r="V147" s="52"/>
    </row>
    <row r="148" spans="1:24" x14ac:dyDescent="0.2">
      <c r="B148" s="187" t="s">
        <v>236</v>
      </c>
      <c r="C148" s="155">
        <f>+'[1]INEI ACTIVIDAD ECONOMICA'!B1461</f>
        <v>17</v>
      </c>
      <c r="D148" s="153">
        <f>+'[1]INEI ACTIVIDAD ECONOMICA'!B1482</f>
        <v>2</v>
      </c>
      <c r="E148" s="157"/>
      <c r="F148" s="153"/>
      <c r="G148" s="153">
        <f>+'[1]INEI ACTIVIDAD ECONOMICA'!$B$1699</f>
        <v>3</v>
      </c>
      <c r="H148" s="89"/>
      <c r="I148" s="186"/>
      <c r="J148" s="186"/>
      <c r="K148" s="52"/>
      <c r="L148" s="52"/>
      <c r="M148" s="52"/>
      <c r="N148" s="52"/>
      <c r="O148" s="52"/>
      <c r="P148" s="52"/>
      <c r="Q148" s="52"/>
      <c r="R148" s="52"/>
      <c r="S148" s="52"/>
      <c r="T148" s="52"/>
      <c r="U148" s="52"/>
      <c r="V148" s="52"/>
    </row>
    <row r="149" spans="1:24" x14ac:dyDescent="0.2">
      <c r="B149" s="187" t="s">
        <v>237</v>
      </c>
      <c r="C149" s="155">
        <f>+'[1]INEI ACTIVIDAD ECONOMICA'!B1462</f>
        <v>49</v>
      </c>
      <c r="D149" s="157"/>
      <c r="E149" s="190">
        <f>+'[1]INEI ACTIVIDAD ECONOMICA'!B1577</f>
        <v>1</v>
      </c>
      <c r="F149" s="153"/>
      <c r="G149" s="153">
        <f>+'[1]INEI ACTIVIDAD ECONOMICA'!$B$1700</f>
        <v>1</v>
      </c>
      <c r="H149" s="89"/>
      <c r="I149" s="186"/>
      <c r="J149" s="186"/>
      <c r="K149" s="52"/>
      <c r="L149" s="52"/>
      <c r="M149" s="52"/>
      <c r="N149" s="52"/>
      <c r="O149" s="52"/>
      <c r="P149" s="52"/>
      <c r="Q149" s="52"/>
      <c r="R149" s="52"/>
      <c r="S149" s="52"/>
      <c r="T149" s="52"/>
      <c r="U149" s="52"/>
      <c r="V149" s="52"/>
    </row>
    <row r="150" spans="1:24" x14ac:dyDescent="0.2">
      <c r="B150" s="187" t="s">
        <v>239</v>
      </c>
      <c r="C150" s="155">
        <f>+'[1]INEI ACTIVIDAD ECONOMICA'!B1463</f>
        <v>14</v>
      </c>
      <c r="D150" s="153">
        <f>+'[1]INEI ACTIVIDAD ECONOMICA'!B1483</f>
        <v>10</v>
      </c>
      <c r="E150" s="190">
        <f>+'[1]INEI ACTIVIDAD ECONOMICA'!B1578</f>
        <v>29</v>
      </c>
      <c r="F150" s="153">
        <f>+'[1]INEI ACTIVIDAD ECONOMICA'!$B$1661</f>
        <v>8</v>
      </c>
      <c r="G150" s="153">
        <f>+'[1]INEI ACTIVIDAD ECONOMICA'!$B$1701</f>
        <v>6</v>
      </c>
      <c r="H150" s="89"/>
      <c r="I150" s="186"/>
      <c r="J150" s="186"/>
      <c r="K150" s="52"/>
      <c r="L150" s="52"/>
      <c r="M150" s="52"/>
      <c r="N150" s="52"/>
      <c r="O150" s="52"/>
      <c r="P150" s="52"/>
      <c r="Q150" s="52"/>
      <c r="R150" s="52"/>
      <c r="S150" s="52"/>
      <c r="T150" s="52"/>
      <c r="U150" s="52"/>
      <c r="V150" s="52"/>
    </row>
    <row r="151" spans="1:24" x14ac:dyDescent="0.2">
      <c r="B151" s="188" t="s">
        <v>1</v>
      </c>
      <c r="C151" s="160">
        <f>SUM(C133:C150)</f>
        <v>1623</v>
      </c>
      <c r="D151" s="160">
        <f>SUM(D133:D150)</f>
        <v>649</v>
      </c>
      <c r="E151" s="160">
        <f>SUM(E133:E150)</f>
        <v>287</v>
      </c>
      <c r="F151" s="160">
        <f>SUM(F133:F150)</f>
        <v>311</v>
      </c>
      <c r="G151" s="160">
        <f>SUM(G133:G150)</f>
        <v>304</v>
      </c>
      <c r="H151" s="89"/>
      <c r="I151" s="176"/>
      <c r="J151" s="176"/>
      <c r="K151" s="52"/>
      <c r="L151" s="52"/>
      <c r="M151" s="52"/>
      <c r="N151" s="52"/>
      <c r="O151" s="52"/>
      <c r="P151" s="52"/>
      <c r="Q151" s="52"/>
      <c r="R151" s="52"/>
      <c r="S151" s="52"/>
      <c r="T151" s="52"/>
      <c r="U151" s="52"/>
      <c r="V151" s="52"/>
    </row>
    <row r="152" spans="1:24" s="162" customFormat="1" ht="22.15" customHeight="1" x14ac:dyDescent="0.25">
      <c r="A152" s="191"/>
      <c r="B152" s="172"/>
      <c r="C152" s="164">
        <f>C133/C151</f>
        <v>0.44793592113370301</v>
      </c>
      <c r="D152" s="164">
        <f>D133/D151</f>
        <v>0.71494607087827422</v>
      </c>
      <c r="E152" s="164">
        <f>E133/E151</f>
        <v>0.74912891986062713</v>
      </c>
      <c r="F152" s="164">
        <f>F133/F151</f>
        <v>0.42765273311897106</v>
      </c>
      <c r="G152" s="164">
        <f>G133/G151</f>
        <v>0.39144736842105265</v>
      </c>
      <c r="H152" s="173"/>
      <c r="I152" s="177"/>
      <c r="J152" s="177"/>
      <c r="K152" s="191"/>
      <c r="L152" s="191"/>
      <c r="M152" s="191"/>
      <c r="N152" s="191"/>
      <c r="O152" s="191"/>
      <c r="P152" s="191"/>
      <c r="Q152" s="191"/>
      <c r="R152" s="191"/>
      <c r="S152" s="191"/>
      <c r="T152" s="191"/>
      <c r="U152" s="191"/>
      <c r="V152" s="191"/>
      <c r="W152" s="191"/>
      <c r="X152" s="191"/>
    </row>
    <row r="153" spans="1:24" s="52" customFormat="1" x14ac:dyDescent="0.2">
      <c r="D153" s="134"/>
      <c r="E153" s="134"/>
      <c r="F153" s="134"/>
      <c r="H153" s="89"/>
      <c r="I153" s="89"/>
      <c r="J153" s="89"/>
    </row>
    <row r="154" spans="1:24" s="52" customFormat="1" x14ac:dyDescent="0.2">
      <c r="D154" s="134"/>
      <c r="E154" s="134"/>
      <c r="F154" s="134"/>
    </row>
    <row r="155" spans="1:24" s="52" customFormat="1" x14ac:dyDescent="0.2">
      <c r="D155" s="134"/>
      <c r="E155" s="134"/>
      <c r="F155" s="134"/>
    </row>
    <row r="156" spans="1:24" s="52" customFormat="1" x14ac:dyDescent="0.2">
      <c r="D156" s="134"/>
      <c r="E156" s="134"/>
      <c r="F156" s="134"/>
    </row>
    <row r="157" spans="1:24" s="52" customFormat="1" x14ac:dyDescent="0.2">
      <c r="D157" s="134"/>
      <c r="E157" s="134"/>
      <c r="F157" s="134"/>
    </row>
    <row r="158" spans="1:24" s="52" customFormat="1" x14ac:dyDescent="0.2">
      <c r="D158" s="134"/>
      <c r="E158" s="134"/>
      <c r="F158" s="134"/>
    </row>
    <row r="159" spans="1:24" s="52" customFormat="1" x14ac:dyDescent="0.2">
      <c r="D159" s="134"/>
      <c r="E159" s="134"/>
      <c r="F159" s="134"/>
    </row>
    <row r="160" spans="1:24" s="52" customFormat="1" x14ac:dyDescent="0.2">
      <c r="D160" s="134"/>
      <c r="E160" s="134"/>
      <c r="F160" s="134"/>
    </row>
    <row r="161" spans="4:6" s="52" customFormat="1" x14ac:dyDescent="0.2">
      <c r="D161" s="134"/>
      <c r="E161" s="134"/>
      <c r="F161" s="134"/>
    </row>
    <row r="162" spans="4:6" s="52" customFormat="1" x14ac:dyDescent="0.2">
      <c r="D162" s="134"/>
      <c r="E162" s="134"/>
      <c r="F162" s="134"/>
    </row>
    <row r="163" spans="4:6" s="52" customFormat="1" x14ac:dyDescent="0.2">
      <c r="D163" s="134"/>
      <c r="E163" s="134"/>
      <c r="F163" s="134"/>
    </row>
    <row r="164" spans="4:6" s="52" customFormat="1" x14ac:dyDescent="0.2">
      <c r="D164" s="134"/>
      <c r="E164" s="134"/>
      <c r="F164" s="134"/>
    </row>
    <row r="165" spans="4:6" s="52" customFormat="1" x14ac:dyDescent="0.2">
      <c r="D165" s="134"/>
      <c r="E165" s="134"/>
      <c r="F165" s="134"/>
    </row>
    <row r="166" spans="4:6" s="52" customFormat="1" x14ac:dyDescent="0.2">
      <c r="D166" s="134"/>
      <c r="E166" s="134"/>
      <c r="F166" s="134"/>
    </row>
    <row r="167" spans="4:6" s="52" customFormat="1" x14ac:dyDescent="0.2">
      <c r="D167" s="134"/>
      <c r="E167" s="134"/>
      <c r="F167" s="134"/>
    </row>
    <row r="168" spans="4:6" s="52" customFormat="1" x14ac:dyDescent="0.2">
      <c r="D168" s="134"/>
      <c r="E168" s="134"/>
      <c r="F168" s="134"/>
    </row>
    <row r="169" spans="4:6" s="52" customFormat="1" x14ac:dyDescent="0.2">
      <c r="D169" s="134"/>
      <c r="E169" s="134"/>
      <c r="F169" s="134"/>
    </row>
  </sheetData>
  <mergeCells count="7">
    <mergeCell ref="B81:E81"/>
    <mergeCell ref="B131:G131"/>
    <mergeCell ref="B28:V28"/>
    <mergeCell ref="B54:P54"/>
    <mergeCell ref="B3:J3"/>
    <mergeCell ref="B107:L107"/>
    <mergeCell ref="U24:V27"/>
  </mergeCells>
  <pageMargins left="0.7" right="0.7" top="0.75" bottom="0.75" header="0.3" footer="0.3"/>
  <pageSetup paperSize="9" scale="31" orientation="portrait" r:id="rId1"/>
  <rowBreaks count="1" manualBreakCount="1">
    <brk id="105" max="16383" man="1"/>
  </rowBreaks>
  <colBreaks count="1" manualBreakCount="1">
    <brk id="22" max="152"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3:BJ2452"/>
  <sheetViews>
    <sheetView view="pageBreakPreview" zoomScale="80" zoomScaleNormal="100" zoomScaleSheetLayoutView="80" workbookViewId="0">
      <selection activeCell="T29" sqref="T29"/>
    </sheetView>
  </sheetViews>
  <sheetFormatPr baseColWidth="10" defaultRowHeight="12.75" x14ac:dyDescent="0.25"/>
  <cols>
    <col min="1" max="1" width="11.42578125" style="221"/>
    <col min="2" max="2" width="11.42578125" style="222"/>
    <col min="3" max="3" width="28.42578125" style="222" customWidth="1"/>
    <col min="4" max="4" width="12.140625" style="222" bestFit="1" customWidth="1"/>
    <col min="5" max="5" width="12" style="222" customWidth="1"/>
    <col min="6" max="7" width="11.42578125" style="222"/>
    <col min="8" max="8" width="12.7109375" style="222" customWidth="1"/>
    <col min="9" max="62" width="11.42578125" style="222"/>
    <col min="63" max="16384" width="11.42578125" style="221"/>
  </cols>
  <sheetData>
    <row r="3" spans="2:12" ht="15" x14ac:dyDescent="0.25">
      <c r="B3" s="837" t="s">
        <v>1728</v>
      </c>
      <c r="C3" s="276"/>
      <c r="D3" s="276"/>
      <c r="E3" s="276"/>
      <c r="F3" s="276"/>
      <c r="G3" s="276"/>
      <c r="H3" s="276"/>
      <c r="I3" s="276"/>
      <c r="J3" s="276"/>
      <c r="K3" s="276"/>
      <c r="L3" s="276"/>
    </row>
    <row r="4" spans="2:12" ht="15" x14ac:dyDescent="0.25">
      <c r="B4" s="52"/>
      <c r="C4" s="276"/>
      <c r="D4" s="276"/>
      <c r="E4" s="276"/>
      <c r="F4" s="276"/>
      <c r="G4" s="276"/>
      <c r="H4" s="276"/>
      <c r="I4" s="276"/>
      <c r="J4" s="276"/>
      <c r="K4" s="276"/>
      <c r="L4" s="276"/>
    </row>
    <row r="5" spans="2:12" x14ac:dyDescent="0.25">
      <c r="C5" s="1596" t="s">
        <v>1810</v>
      </c>
      <c r="D5" s="1596"/>
      <c r="E5" s="1596"/>
      <c r="F5" s="1596"/>
      <c r="G5" s="1596"/>
      <c r="H5" s="1596"/>
      <c r="I5" s="1596"/>
      <c r="J5" s="1596"/>
      <c r="K5" s="1596"/>
      <c r="L5" s="1596"/>
    </row>
    <row r="6" spans="2:12" x14ac:dyDescent="0.25">
      <c r="C6" s="1596"/>
      <c r="D6" s="1596"/>
      <c r="E6" s="1596"/>
      <c r="F6" s="1596"/>
      <c r="G6" s="1596"/>
      <c r="H6" s="1596"/>
      <c r="I6" s="1596"/>
      <c r="J6" s="1596"/>
      <c r="K6" s="1596"/>
      <c r="L6" s="1596"/>
    </row>
    <row r="7" spans="2:12" x14ac:dyDescent="0.25">
      <c r="C7" s="1596"/>
      <c r="D7" s="1596"/>
      <c r="E7" s="1596"/>
      <c r="F7" s="1596"/>
      <c r="G7" s="1596"/>
      <c r="H7" s="1596"/>
      <c r="I7" s="1596"/>
      <c r="J7" s="1596"/>
      <c r="K7" s="1596"/>
      <c r="L7" s="1596"/>
    </row>
    <row r="8" spans="2:12" x14ac:dyDescent="0.25">
      <c r="C8" s="1596"/>
      <c r="D8" s="1596"/>
      <c r="E8" s="1596"/>
      <c r="F8" s="1596"/>
      <c r="G8" s="1596"/>
      <c r="H8" s="1596"/>
      <c r="I8" s="1596"/>
      <c r="J8" s="1596"/>
      <c r="K8" s="1596"/>
      <c r="L8" s="1596"/>
    </row>
    <row r="11" spans="2:12" x14ac:dyDescent="0.25">
      <c r="C11" s="1539" t="s">
        <v>168</v>
      </c>
      <c r="D11" s="1539"/>
      <c r="E11" s="1539"/>
      <c r="F11" s="1539"/>
      <c r="G11" s="1539"/>
    </row>
    <row r="12" spans="2:12" x14ac:dyDescent="0.25">
      <c r="C12" s="81" t="s">
        <v>169</v>
      </c>
      <c r="D12" s="81">
        <v>2007</v>
      </c>
      <c r="E12" s="81">
        <v>2017</v>
      </c>
      <c r="F12" s="81" t="s">
        <v>170</v>
      </c>
      <c r="G12" s="81" t="s">
        <v>171</v>
      </c>
    </row>
    <row r="13" spans="2:12" x14ac:dyDescent="0.25">
      <c r="C13" s="82" t="s">
        <v>1721</v>
      </c>
      <c r="D13" s="83">
        <v>404190</v>
      </c>
      <c r="E13" s="83">
        <v>405759</v>
      </c>
      <c r="F13" s="84">
        <f>(E13/D13)^(1/(2017-2007))-1</f>
        <v>3.8750734746773041E-4</v>
      </c>
      <c r="G13" s="1275">
        <f>F13</f>
        <v>3.8750734746773041E-4</v>
      </c>
    </row>
    <row r="14" spans="2:12" ht="25.5" x14ac:dyDescent="0.25">
      <c r="C14" s="82" t="s">
        <v>1722</v>
      </c>
      <c r="D14" s="83">
        <f>'POB TOTAL'!E19</f>
        <v>96064</v>
      </c>
      <c r="E14" s="83">
        <f>'POB TOTAL'!F19</f>
        <v>110520</v>
      </c>
      <c r="F14" s="84">
        <f>(E14/D14)^(1/(2017-2007))-1</f>
        <v>1.4116901910895319E-2</v>
      </c>
      <c r="G14" s="85">
        <f>F14</f>
        <v>1.4116901910895319E-2</v>
      </c>
    </row>
    <row r="16" spans="2:12" x14ac:dyDescent="0.25">
      <c r="C16" s="81" t="s">
        <v>649</v>
      </c>
      <c r="D16" s="81" t="s">
        <v>250</v>
      </c>
    </row>
    <row r="17" spans="2:62" ht="44.25" customHeight="1" x14ac:dyDescent="0.25">
      <c r="C17" s="1286" t="s">
        <v>1730</v>
      </c>
      <c r="D17" s="1289">
        <v>8.2936167941508196E-2</v>
      </c>
      <c r="F17" s="222">
        <f>D14*D17</f>
        <v>7967.1800371330437</v>
      </c>
    </row>
    <row r="20" spans="2:62" x14ac:dyDescent="0.25">
      <c r="C20" s="204" t="s">
        <v>1732</v>
      </c>
    </row>
    <row r="22" spans="2:62" x14ac:dyDescent="0.25">
      <c r="C22" s="1617" t="s">
        <v>1720</v>
      </c>
      <c r="D22" s="1619">
        <v>2017</v>
      </c>
      <c r="E22" s="1619">
        <v>2018</v>
      </c>
      <c r="F22" s="1619">
        <v>2019</v>
      </c>
      <c r="G22" s="1619">
        <v>2020</v>
      </c>
      <c r="H22" s="1282">
        <v>2021</v>
      </c>
      <c r="I22" s="1282">
        <v>2022</v>
      </c>
      <c r="J22" s="1282">
        <v>2023</v>
      </c>
      <c r="K22" s="1278">
        <v>2024</v>
      </c>
      <c r="L22" s="1278">
        <v>2025</v>
      </c>
      <c r="M22" s="1278">
        <v>2026</v>
      </c>
      <c r="N22" s="1278">
        <v>2027</v>
      </c>
      <c r="O22" s="1278">
        <v>2028</v>
      </c>
      <c r="P22" s="1278">
        <v>2029</v>
      </c>
      <c r="Q22" s="1278">
        <v>2030</v>
      </c>
      <c r="R22" s="1278">
        <v>2031</v>
      </c>
      <c r="S22" s="1278">
        <v>2032</v>
      </c>
      <c r="T22" s="1278">
        <v>2033</v>
      </c>
    </row>
    <row r="23" spans="2:62" x14ac:dyDescent="0.25">
      <c r="C23" s="1618"/>
      <c r="D23" s="1619"/>
      <c r="E23" s="1619"/>
      <c r="F23" s="1619"/>
      <c r="G23" s="1619"/>
      <c r="H23" s="1616" t="s">
        <v>257</v>
      </c>
      <c r="I23" s="1616"/>
      <c r="J23" s="1616"/>
      <c r="K23" s="1279" t="s">
        <v>174</v>
      </c>
      <c r="L23" s="1279" t="s">
        <v>175</v>
      </c>
      <c r="M23" s="1279" t="s">
        <v>176</v>
      </c>
      <c r="N23" s="1279" t="s">
        <v>177</v>
      </c>
      <c r="O23" s="1279" t="s">
        <v>178</v>
      </c>
      <c r="P23" s="1279" t="s">
        <v>179</v>
      </c>
      <c r="Q23" s="1279" t="s">
        <v>180</v>
      </c>
      <c r="R23" s="1279" t="s">
        <v>181</v>
      </c>
      <c r="S23" s="1279" t="s">
        <v>182</v>
      </c>
      <c r="T23" s="1279" t="s">
        <v>183</v>
      </c>
    </row>
    <row r="24" spans="2:62" x14ac:dyDescent="0.25">
      <c r="C24" s="1277" t="s">
        <v>1811</v>
      </c>
      <c r="D24" s="1280">
        <f>E13</f>
        <v>405759</v>
      </c>
      <c r="E24" s="337">
        <f t="shared" ref="E24:T24" si="0">+$D$24*(1+$G$13)^(E22-$D$22)</f>
        <v>405916.23459380114</v>
      </c>
      <c r="F24" s="337">
        <f t="shared" si="0"/>
        <v>406073.53011716274</v>
      </c>
      <c r="G24" s="337">
        <f t="shared" si="0"/>
        <v>406230.88659369526</v>
      </c>
      <c r="H24" s="337">
        <f t="shared" si="0"/>
        <v>406388.3040470187</v>
      </c>
      <c r="I24" s="337">
        <f t="shared" si="0"/>
        <v>406545.78250076185</v>
      </c>
      <c r="J24" s="337">
        <f t="shared" si="0"/>
        <v>406703.32197856304</v>
      </c>
      <c r="K24" s="337">
        <f t="shared" si="0"/>
        <v>406860.92250406917</v>
      </c>
      <c r="L24" s="337">
        <f t="shared" si="0"/>
        <v>407018.58410093706</v>
      </c>
      <c r="M24" s="337">
        <f t="shared" si="0"/>
        <v>407176.3067928321</v>
      </c>
      <c r="N24" s="337">
        <f t="shared" si="0"/>
        <v>407334.09060342913</v>
      </c>
      <c r="O24" s="337">
        <f t="shared" si="0"/>
        <v>407491.93555641203</v>
      </c>
      <c r="P24" s="337">
        <f t="shared" si="0"/>
        <v>407649.84167547402</v>
      </c>
      <c r="Q24" s="337">
        <f t="shared" si="0"/>
        <v>407807.80898431729</v>
      </c>
      <c r="R24" s="337">
        <f t="shared" si="0"/>
        <v>407965.83750665351</v>
      </c>
      <c r="S24" s="337">
        <f t="shared" si="0"/>
        <v>408123.92726620316</v>
      </c>
      <c r="T24" s="337">
        <f t="shared" si="0"/>
        <v>408282.07828669623</v>
      </c>
    </row>
    <row r="25" spans="2:62" ht="49.5" customHeight="1" x14ac:dyDescent="0.25">
      <c r="C25" s="1277" t="s">
        <v>1814</v>
      </c>
      <c r="D25" s="1280">
        <f>D24*20%</f>
        <v>81151.8</v>
      </c>
      <c r="E25" s="1280">
        <f t="shared" ref="E25:T25" si="1">E24*20%</f>
        <v>81183.24691876024</v>
      </c>
      <c r="F25" s="1280">
        <f t="shared" si="1"/>
        <v>81214.706023432547</v>
      </c>
      <c r="G25" s="1280">
        <f t="shared" si="1"/>
        <v>81246.177318739065</v>
      </c>
      <c r="H25" s="1280">
        <f t="shared" si="1"/>
        <v>81277.660809403751</v>
      </c>
      <c r="I25" s="1280">
        <f t="shared" si="1"/>
        <v>81309.15650015237</v>
      </c>
      <c r="J25" s="1280">
        <f t="shared" si="1"/>
        <v>81340.664395712607</v>
      </c>
      <c r="K25" s="1280">
        <f t="shared" si="1"/>
        <v>81372.184500813833</v>
      </c>
      <c r="L25" s="1280">
        <f t="shared" si="1"/>
        <v>81403.716820187416</v>
      </c>
      <c r="M25" s="1280">
        <f t="shared" si="1"/>
        <v>81435.261358566422</v>
      </c>
      <c r="N25" s="1280">
        <f t="shared" si="1"/>
        <v>81466.818120685828</v>
      </c>
      <c r="O25" s="1280">
        <f t="shared" si="1"/>
        <v>81498.387111282413</v>
      </c>
      <c r="P25" s="1280">
        <f t="shared" si="1"/>
        <v>81529.968335094803</v>
      </c>
      <c r="Q25" s="1280">
        <f t="shared" si="1"/>
        <v>81561.561796863461</v>
      </c>
      <c r="R25" s="1280">
        <f t="shared" si="1"/>
        <v>81593.16750133071</v>
      </c>
      <c r="S25" s="1280">
        <f t="shared" si="1"/>
        <v>81624.785453240635</v>
      </c>
      <c r="T25" s="1280">
        <f t="shared" si="1"/>
        <v>81656.415657339254</v>
      </c>
    </row>
    <row r="26" spans="2:62" s="1292" customFormat="1" ht="49.5" hidden="1" customHeight="1" x14ac:dyDescent="0.25">
      <c r="B26" s="261"/>
      <c r="C26" s="1285" t="s">
        <v>1812</v>
      </c>
      <c r="D26" s="1283">
        <f>E14</f>
        <v>110520</v>
      </c>
      <c r="E26" s="1410">
        <f>+$D$26*(1+$G$14)^(E22-$D$22)</f>
        <v>112080.19999919215</v>
      </c>
      <c r="F26" s="1410">
        <f t="shared" ref="F26:T26" si="2">+$D$26*(1+$G$14)^(F22-$D$22)</f>
        <v>113662.42518873428</v>
      </c>
      <c r="G26" s="1410">
        <f t="shared" si="2"/>
        <v>115266.98649607813</v>
      </c>
      <c r="H26" s="1410">
        <f t="shared" si="2"/>
        <v>116894.19923800777</v>
      </c>
      <c r="I26" s="1410">
        <f t="shared" si="2"/>
        <v>118544.38318260337</v>
      </c>
      <c r="J26" s="1410">
        <f t="shared" si="2"/>
        <v>120217.8626120798</v>
      </c>
      <c r="K26" s="1410">
        <f t="shared" si="2"/>
        <v>121914.96638651202</v>
      </c>
      <c r="L26" s="1410">
        <f t="shared" si="2"/>
        <v>123636.02800846053</v>
      </c>
      <c r="M26" s="1410">
        <f t="shared" si="2"/>
        <v>125381.38568850867</v>
      </c>
      <c r="N26" s="1410">
        <f t="shared" si="2"/>
        <v>127151.3824117255</v>
      </c>
      <c r="O26" s="1410">
        <f t="shared" si="2"/>
        <v>128946.36600506656</v>
      </c>
      <c r="P26" s="1410">
        <f t="shared" si="2"/>
        <v>130766.68920572652</v>
      </c>
      <c r="Q26" s="1410">
        <f t="shared" si="2"/>
        <v>132612.70973045626</v>
      </c>
      <c r="R26" s="1410">
        <f t="shared" si="2"/>
        <v>134484.79034585919</v>
      </c>
      <c r="S26" s="1410">
        <f t="shared" si="2"/>
        <v>136383.29893967902</v>
      </c>
      <c r="T26" s="1410">
        <f t="shared" si="2"/>
        <v>138308.60859309477</v>
      </c>
      <c r="U26" s="261"/>
      <c r="V26" s="261"/>
      <c r="W26" s="261"/>
      <c r="X26" s="261"/>
      <c r="Y26" s="261"/>
      <c r="Z26" s="261"/>
      <c r="AA26" s="261"/>
      <c r="AB26" s="261"/>
      <c r="AC26" s="261"/>
      <c r="AD26" s="261"/>
      <c r="AE26" s="261"/>
      <c r="AF26" s="261"/>
      <c r="AG26" s="261"/>
      <c r="AH26" s="261"/>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1"/>
      <c r="BF26" s="261"/>
      <c r="BG26" s="261"/>
      <c r="BH26" s="261"/>
      <c r="BI26" s="261"/>
      <c r="BJ26" s="261"/>
    </row>
    <row r="27" spans="2:62" ht="79.5" customHeight="1" x14ac:dyDescent="0.25">
      <c r="C27" s="1277" t="s">
        <v>1816</v>
      </c>
      <c r="D27" s="1280">
        <f>D25*$D$17</f>
        <v>6730.4193135556852</v>
      </c>
      <c r="E27" s="1280">
        <f t="shared" ref="E27:T27" si="3">E25*$D$17</f>
        <v>6733.0274004912271</v>
      </c>
      <c r="F27" s="1280">
        <f t="shared" si="3"/>
        <v>6735.6364980796188</v>
      </c>
      <c r="G27" s="1280">
        <f t="shared" si="3"/>
        <v>6738.2466067124969</v>
      </c>
      <c r="H27" s="1280">
        <f t="shared" si="3"/>
        <v>6740.8577267816481</v>
      </c>
      <c r="I27" s="1280">
        <f t="shared" si="3"/>
        <v>6743.46985867901</v>
      </c>
      <c r="J27" s="1280">
        <f t="shared" si="3"/>
        <v>6746.0830027966767</v>
      </c>
      <c r="K27" s="1280">
        <f t="shared" si="3"/>
        <v>6748.697159526886</v>
      </c>
      <c r="L27" s="1280">
        <f t="shared" si="3"/>
        <v>6751.3123292620394</v>
      </c>
      <c r="M27" s="1280">
        <f t="shared" si="3"/>
        <v>6753.9285123946775</v>
      </c>
      <c r="N27" s="1280">
        <f t="shared" si="3"/>
        <v>6756.5457093175028</v>
      </c>
      <c r="O27" s="1280">
        <f t="shared" si="3"/>
        <v>6759.1639204233652</v>
      </c>
      <c r="P27" s="1280">
        <f t="shared" si="3"/>
        <v>6761.7831461052683</v>
      </c>
      <c r="Q27" s="1280">
        <f t="shared" si="3"/>
        <v>6764.4033867563667</v>
      </c>
      <c r="R27" s="1280">
        <f t="shared" si="3"/>
        <v>6767.0246427699722</v>
      </c>
      <c r="S27" s="1280">
        <f t="shared" si="3"/>
        <v>6769.6469145395404</v>
      </c>
      <c r="T27" s="1280">
        <f t="shared" si="3"/>
        <v>6772.2702024586879</v>
      </c>
    </row>
    <row r="28" spans="2:62" ht="38.25" hidden="1" x14ac:dyDescent="0.25">
      <c r="C28" s="1285" t="s">
        <v>1726</v>
      </c>
      <c r="D28" s="1407">
        <v>3.2793431275559601E-2</v>
      </c>
      <c r="E28" s="1407">
        <v>3.2793431275559649E-2</v>
      </c>
      <c r="F28" s="1407">
        <v>3.2793431275559649E-2</v>
      </c>
      <c r="G28" s="1407">
        <v>3.2793431275559649E-2</v>
      </c>
      <c r="H28" s="1407">
        <v>3.2793431275559649E-2</v>
      </c>
      <c r="I28" s="1407">
        <v>3.2793431275559649E-2</v>
      </c>
      <c r="J28" s="1407">
        <v>3.2793431275559649E-2</v>
      </c>
      <c r="K28" s="1407">
        <v>3.2793431275559649E-2</v>
      </c>
      <c r="L28" s="1407">
        <v>3.2793431275559649E-2</v>
      </c>
      <c r="M28" s="1407">
        <v>3.2793431275559649E-2</v>
      </c>
      <c r="N28" s="1407">
        <v>3.2793431275559649E-2</v>
      </c>
      <c r="O28" s="1407">
        <v>3.2793431275559649E-2</v>
      </c>
      <c r="P28" s="1407">
        <v>3.2793431275559649E-2</v>
      </c>
      <c r="Q28" s="1407">
        <v>3.2793431275559649E-2</v>
      </c>
      <c r="R28" s="1407">
        <v>3.2793431275559649E-2</v>
      </c>
      <c r="S28" s="1407">
        <v>3.2793431275559649E-2</v>
      </c>
      <c r="T28" s="1407">
        <v>3.2793431275559649E-2</v>
      </c>
    </row>
    <row r="29" spans="2:62" s="1292" customFormat="1" ht="82.5" customHeight="1" x14ac:dyDescent="0.25">
      <c r="B29" s="261"/>
      <c r="C29" s="1281" t="s">
        <v>1815</v>
      </c>
      <c r="D29" s="1290">
        <f>D27</f>
        <v>6730.4193135556852</v>
      </c>
      <c r="E29" s="1290">
        <f t="shared" ref="E29:T29" si="4">E27</f>
        <v>6733.0274004912271</v>
      </c>
      <c r="F29" s="1290">
        <f t="shared" si="4"/>
        <v>6735.6364980796188</v>
      </c>
      <c r="G29" s="1290">
        <f t="shared" si="4"/>
        <v>6738.2466067124969</v>
      </c>
      <c r="H29" s="1290">
        <f t="shared" si="4"/>
        <v>6740.8577267816481</v>
      </c>
      <c r="I29" s="1290">
        <f t="shared" si="4"/>
        <v>6743.46985867901</v>
      </c>
      <c r="J29" s="1290">
        <f t="shared" si="4"/>
        <v>6746.0830027966767</v>
      </c>
      <c r="K29" s="1290">
        <f t="shared" si="4"/>
        <v>6748.697159526886</v>
      </c>
      <c r="L29" s="1290">
        <f t="shared" si="4"/>
        <v>6751.3123292620394</v>
      </c>
      <c r="M29" s="1290">
        <f t="shared" si="4"/>
        <v>6753.9285123946775</v>
      </c>
      <c r="N29" s="1290">
        <f t="shared" si="4"/>
        <v>6756.5457093175028</v>
      </c>
      <c r="O29" s="1290">
        <f t="shared" si="4"/>
        <v>6759.1639204233652</v>
      </c>
      <c r="P29" s="1290">
        <f t="shared" si="4"/>
        <v>6761.7831461052683</v>
      </c>
      <c r="Q29" s="1290">
        <f t="shared" si="4"/>
        <v>6764.4033867563667</v>
      </c>
      <c r="R29" s="1290">
        <f t="shared" si="4"/>
        <v>6767.0246427699722</v>
      </c>
      <c r="S29" s="1290">
        <f t="shared" si="4"/>
        <v>6769.6469145395404</v>
      </c>
      <c r="T29" s="1290">
        <f t="shared" si="4"/>
        <v>6772.2702024586879</v>
      </c>
      <c r="U29" s="261"/>
      <c r="V29" s="261"/>
      <c r="W29" s="261"/>
      <c r="X29" s="261"/>
      <c r="Y29" s="261"/>
      <c r="Z29" s="261"/>
      <c r="AA29" s="261"/>
      <c r="AB29" s="261"/>
      <c r="AC29" s="261"/>
      <c r="AD29" s="261"/>
      <c r="AE29" s="261"/>
      <c r="AF29" s="261"/>
      <c r="AG29" s="261"/>
      <c r="AH29" s="261"/>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1"/>
      <c r="BF29" s="261"/>
      <c r="BG29" s="261"/>
      <c r="BH29" s="261"/>
      <c r="BI29" s="261"/>
      <c r="BJ29" s="261"/>
    </row>
    <row r="30" spans="2:62" ht="66.75" customHeight="1" x14ac:dyDescent="0.25">
      <c r="C30" s="1281" t="s">
        <v>1813</v>
      </c>
      <c r="D30" s="1290">
        <v>896.4</v>
      </c>
      <c r="E30" s="1291">
        <f t="shared" ref="E30:T30" si="5">+$D$30*(1+$D$17)^(E22-$D$22)</f>
        <v>970.74398094276785</v>
      </c>
      <c r="F30" s="1291">
        <f t="shared" si="5"/>
        <v>1051.2537667744455</v>
      </c>
      <c r="G30" s="1291">
        <f t="shared" si="5"/>
        <v>1138.440725724794</v>
      </c>
      <c r="H30" s="1291">
        <f t="shared" si="5"/>
        <v>1232.8586369449581</v>
      </c>
      <c r="I30" s="1291">
        <f t="shared" si="5"/>
        <v>1335.107207906764</v>
      </c>
      <c r="J30" s="1291">
        <f t="shared" si="5"/>
        <v>1445.8358835216375</v>
      </c>
      <c r="K30" s="1291">
        <f t="shared" si="5"/>
        <v>1565.7479711732469</v>
      </c>
      <c r="L30" s="1291">
        <f t="shared" si="5"/>
        <v>1695.6051078645471</v>
      </c>
      <c r="M30" s="1291">
        <f t="shared" si="5"/>
        <v>1836.2320978528803</v>
      </c>
      <c r="N30" s="1291">
        <f t="shared" si="5"/>
        <v>1988.5221514999946</v>
      </c>
      <c r="O30" s="1291">
        <f t="shared" si="5"/>
        <v>2153.4425586122074</v>
      </c>
      <c r="P30" s="1291">
        <f t="shared" si="5"/>
        <v>2332.0408323056608</v>
      </c>
      <c r="Q30" s="1291">
        <f t="shared" si="5"/>
        <v>2525.4513624202173</v>
      </c>
      <c r="R30" s="1291">
        <f t="shared" si="5"/>
        <v>2734.9026207420111</v>
      </c>
      <c r="S30" s="1291">
        <f t="shared" si="5"/>
        <v>2961.7249637995419</v>
      </c>
      <c r="T30" s="1291">
        <f t="shared" si="5"/>
        <v>3207.3590827937783</v>
      </c>
      <c r="U30" s="1296">
        <f>SUM(K30:T30)</f>
        <v>23001.028749064084</v>
      </c>
      <c r="V30" s="1271" t="s">
        <v>1735</v>
      </c>
    </row>
    <row r="31" spans="2:62" x14ac:dyDescent="0.25">
      <c r="D31" s="1408">
        <f>D29*$D$17</f>
        <v>558.19518650582461</v>
      </c>
      <c r="E31" s="1408">
        <f t="shared" ref="E31:T31" si="6">E29*$D$17</f>
        <v>558.41149124191679</v>
      </c>
      <c r="F31" s="1408">
        <f t="shared" si="6"/>
        <v>558.62787979768336</v>
      </c>
      <c r="G31" s="1408">
        <f t="shared" si="6"/>
        <v>558.84435220560533</v>
      </c>
      <c r="H31" s="1408">
        <f t="shared" si="6"/>
        <v>559.06090849817599</v>
      </c>
      <c r="I31" s="1408">
        <f t="shared" si="6"/>
        <v>559.27754870790091</v>
      </c>
      <c r="J31" s="1408">
        <f t="shared" si="6"/>
        <v>559.49427286729906</v>
      </c>
      <c r="K31" s="1408">
        <f t="shared" si="6"/>
        <v>559.71108100890115</v>
      </c>
      <c r="L31" s="1408">
        <f t="shared" si="6"/>
        <v>559.92797316525139</v>
      </c>
      <c r="M31" s="1408">
        <f t="shared" si="6"/>
        <v>560.1449493689056</v>
      </c>
      <c r="N31" s="1408">
        <f t="shared" si="6"/>
        <v>560.36200965243302</v>
      </c>
      <c r="O31" s="1408">
        <f t="shared" si="6"/>
        <v>560.57915404841515</v>
      </c>
      <c r="P31" s="1408">
        <f t="shared" si="6"/>
        <v>560.79638258944624</v>
      </c>
      <c r="Q31" s="1408">
        <f t="shared" si="6"/>
        <v>561.01369530813281</v>
      </c>
      <c r="R31" s="1408">
        <f t="shared" si="6"/>
        <v>561.23109223709491</v>
      </c>
      <c r="S31" s="1408">
        <f t="shared" si="6"/>
        <v>561.44857340896408</v>
      </c>
      <c r="T31" s="1408">
        <f t="shared" si="6"/>
        <v>561.66613885638549</v>
      </c>
    </row>
    <row r="32" spans="2:62" x14ac:dyDescent="0.25">
      <c r="D32" s="1409">
        <f>D24*$D$17</f>
        <v>33652.096567778426</v>
      </c>
      <c r="E32" s="1409">
        <f t="shared" ref="E32:T32" si="7">E24*$D$17</f>
        <v>33665.137002456133</v>
      </c>
      <c r="F32" s="1409">
        <f t="shared" si="7"/>
        <v>33678.182490398096</v>
      </c>
      <c r="G32" s="1409">
        <f t="shared" si="7"/>
        <v>33691.233033562479</v>
      </c>
      <c r="H32" s="1409">
        <f t="shared" si="7"/>
        <v>33704.28863390824</v>
      </c>
      <c r="I32" s="1409">
        <f t="shared" si="7"/>
        <v>33717.349293395047</v>
      </c>
      <c r="J32" s="1409">
        <f t="shared" si="7"/>
        <v>33730.415013983387</v>
      </c>
      <c r="K32" s="1409">
        <f t="shared" si="7"/>
        <v>33743.485797634428</v>
      </c>
      <c r="L32" s="1409">
        <f t="shared" si="7"/>
        <v>33756.561646310191</v>
      </c>
      <c r="M32" s="1409">
        <f t="shared" si="7"/>
        <v>33769.642561973385</v>
      </c>
      <c r="N32" s="1409">
        <f t="shared" si="7"/>
        <v>33782.72854658751</v>
      </c>
      <c r="O32" s="1409">
        <f t="shared" si="7"/>
        <v>33795.819602116826</v>
      </c>
      <c r="P32" s="1409">
        <f t="shared" si="7"/>
        <v>33808.915730526343</v>
      </c>
      <c r="Q32" s="1409">
        <f t="shared" si="7"/>
        <v>33822.016933781837</v>
      </c>
      <c r="R32" s="1409">
        <f t="shared" si="7"/>
        <v>33835.12321384986</v>
      </c>
      <c r="S32" s="1409">
        <f t="shared" si="7"/>
        <v>33848.2345726977</v>
      </c>
      <c r="T32" s="1409">
        <f t="shared" si="7"/>
        <v>33861.351012293439</v>
      </c>
    </row>
    <row r="33" spans="3:20" x14ac:dyDescent="0.25">
      <c r="D33" s="751">
        <f>D32*D28</f>
        <v>1103.5677160739369</v>
      </c>
      <c r="E33" s="751">
        <f t="shared" ref="E33:T33" si="8">E32*E28</f>
        <v>1103.9953566723455</v>
      </c>
      <c r="F33" s="751">
        <f t="shared" si="8"/>
        <v>1104.4231629846263</v>
      </c>
      <c r="G33" s="751">
        <f t="shared" si="8"/>
        <v>1104.8511350749961</v>
      </c>
      <c r="H33" s="751">
        <f t="shared" si="8"/>
        <v>1105.279273007696</v>
      </c>
      <c r="I33" s="751">
        <f t="shared" si="8"/>
        <v>1105.7075768469902</v>
      </c>
      <c r="J33" s="751">
        <f t="shared" si="8"/>
        <v>1106.1360466571696</v>
      </c>
      <c r="K33" s="751">
        <f t="shared" si="8"/>
        <v>1106.5646825025476</v>
      </c>
      <c r="L33" s="751">
        <f t="shared" si="8"/>
        <v>1106.993484447466</v>
      </c>
      <c r="M33" s="751">
        <f t="shared" si="8"/>
        <v>1107.4224525562884</v>
      </c>
      <c r="N33" s="751">
        <f t="shared" si="8"/>
        <v>1107.8515868934046</v>
      </c>
      <c r="O33" s="751">
        <f t="shared" si="8"/>
        <v>1108.2808875232297</v>
      </c>
      <c r="P33" s="751">
        <f t="shared" si="8"/>
        <v>1108.7103545102032</v>
      </c>
      <c r="Q33" s="751">
        <f t="shared" si="8"/>
        <v>1109.1399879187893</v>
      </c>
      <c r="R33" s="751">
        <f t="shared" si="8"/>
        <v>1109.5697878134783</v>
      </c>
      <c r="S33" s="751">
        <f t="shared" si="8"/>
        <v>1109.9997542587842</v>
      </c>
      <c r="T33" s="751">
        <f t="shared" si="8"/>
        <v>1110.429887319247</v>
      </c>
    </row>
    <row r="34" spans="3:20" s="222" customFormat="1" x14ac:dyDescent="0.25">
      <c r="C34" s="389" t="s">
        <v>1235</v>
      </c>
      <c r="D34" s="204"/>
    </row>
    <row r="35" spans="3:20" s="222" customFormat="1" x14ac:dyDescent="0.25"/>
    <row r="36" spans="3:20" s="222" customFormat="1" ht="26.25" customHeight="1" x14ac:dyDescent="0.25">
      <c r="C36" s="1606" t="s">
        <v>355</v>
      </c>
      <c r="D36" s="1606"/>
      <c r="E36" s="1606"/>
      <c r="F36" s="1606"/>
      <c r="G36" s="1606"/>
      <c r="H36" s="1606"/>
      <c r="I36" s="1606"/>
    </row>
    <row r="37" spans="3:20" s="222" customFormat="1" x14ac:dyDescent="0.25"/>
    <row r="38" spans="3:20" s="222" customFormat="1" x14ac:dyDescent="0.2">
      <c r="C38" s="223" t="s">
        <v>155</v>
      </c>
      <c r="D38" s="223" t="s">
        <v>356</v>
      </c>
      <c r="E38" s="223" t="s">
        <v>357</v>
      </c>
      <c r="F38" s="223" t="s">
        <v>358</v>
      </c>
      <c r="G38" s="223" t="s">
        <v>359</v>
      </c>
      <c r="H38" s="223" t="s">
        <v>360</v>
      </c>
    </row>
    <row r="39" spans="3:20" s="222" customFormat="1" x14ac:dyDescent="0.2">
      <c r="C39" s="63" t="s">
        <v>361</v>
      </c>
      <c r="D39" s="228">
        <v>234</v>
      </c>
      <c r="E39" s="228">
        <v>1</v>
      </c>
      <c r="F39" s="228">
        <v>619</v>
      </c>
      <c r="G39" s="229">
        <v>854</v>
      </c>
      <c r="H39" s="225">
        <v>0.27400468384074944</v>
      </c>
    </row>
    <row r="40" spans="3:20" s="222" customFormat="1" x14ac:dyDescent="0.2">
      <c r="C40" s="63" t="s">
        <v>362</v>
      </c>
      <c r="D40" s="228">
        <v>1437</v>
      </c>
      <c r="E40" s="228">
        <v>14</v>
      </c>
      <c r="F40" s="228">
        <v>4012</v>
      </c>
      <c r="G40" s="229">
        <v>5463</v>
      </c>
      <c r="H40" s="225">
        <v>0.26304228445908839</v>
      </c>
    </row>
    <row r="41" spans="3:20" s="222" customFormat="1" x14ac:dyDescent="0.2">
      <c r="C41" s="63" t="s">
        <v>363</v>
      </c>
      <c r="D41" s="228">
        <v>1247</v>
      </c>
      <c r="E41" s="228"/>
      <c r="F41" s="228">
        <v>3594</v>
      </c>
      <c r="G41" s="229">
        <v>4841</v>
      </c>
      <c r="H41" s="225">
        <v>0.25759140673414582</v>
      </c>
    </row>
    <row r="42" spans="3:20" s="222" customFormat="1" x14ac:dyDescent="0.2">
      <c r="C42" s="63" t="s">
        <v>364</v>
      </c>
      <c r="D42" s="228">
        <v>695</v>
      </c>
      <c r="E42" s="228">
        <v>22</v>
      </c>
      <c r="F42" s="228">
        <v>2454</v>
      </c>
      <c r="G42" s="229">
        <v>3171</v>
      </c>
      <c r="H42" s="225">
        <v>0.21917376222011983</v>
      </c>
    </row>
    <row r="43" spans="3:20" s="222" customFormat="1" x14ac:dyDescent="0.2">
      <c r="C43" s="63" t="s">
        <v>365</v>
      </c>
      <c r="D43" s="228">
        <v>376</v>
      </c>
      <c r="E43" s="228">
        <v>2</v>
      </c>
      <c r="F43" s="228">
        <v>1377</v>
      </c>
      <c r="G43" s="229">
        <v>1755</v>
      </c>
      <c r="H43" s="226">
        <v>0.21424501424501424</v>
      </c>
    </row>
    <row r="44" spans="3:20" s="222" customFormat="1" x14ac:dyDescent="0.2">
      <c r="C44" s="63" t="s">
        <v>366</v>
      </c>
      <c r="D44" s="228">
        <v>131</v>
      </c>
      <c r="E44" s="228">
        <v>3</v>
      </c>
      <c r="F44" s="228">
        <v>540</v>
      </c>
      <c r="G44" s="229">
        <v>674</v>
      </c>
      <c r="H44" s="225">
        <v>0.1943620178041543</v>
      </c>
    </row>
    <row r="45" spans="3:20" s="222" customFormat="1" x14ac:dyDescent="0.2">
      <c r="C45" s="63" t="s">
        <v>367</v>
      </c>
      <c r="D45" s="228">
        <v>1088</v>
      </c>
      <c r="E45" s="228">
        <v>27</v>
      </c>
      <c r="F45" s="228">
        <v>6767</v>
      </c>
      <c r="G45" s="228">
        <v>7790</v>
      </c>
      <c r="H45" s="225">
        <v>0.12785622593068036</v>
      </c>
    </row>
    <row r="46" spans="3:20" s="222" customFormat="1" x14ac:dyDescent="0.2">
      <c r="C46" s="224" t="s">
        <v>44</v>
      </c>
      <c r="D46" s="230">
        <v>5116</v>
      </c>
      <c r="E46" s="230">
        <v>69</v>
      </c>
      <c r="F46" s="230">
        <v>19373</v>
      </c>
      <c r="G46" s="231">
        <v>24558</v>
      </c>
      <c r="H46" s="227">
        <v>0.2083231533512501</v>
      </c>
    </row>
    <row r="47" spans="3:20" s="222" customFormat="1" x14ac:dyDescent="0.25"/>
    <row r="48" spans="3:20" s="222" customFormat="1" x14ac:dyDescent="0.25"/>
    <row r="49" spans="3:11" s="222" customFormat="1" x14ac:dyDescent="0.25"/>
    <row r="50" spans="3:11" s="222" customFormat="1" x14ac:dyDescent="0.25"/>
    <row r="51" spans="3:11" s="222" customFormat="1" x14ac:dyDescent="0.25"/>
    <row r="52" spans="3:11" s="222" customFormat="1" x14ac:dyDescent="0.25"/>
    <row r="53" spans="3:11" s="222" customFormat="1" x14ac:dyDescent="0.25"/>
    <row r="54" spans="3:11" s="222" customFormat="1" x14ac:dyDescent="0.25"/>
    <row r="55" spans="3:11" s="222" customFormat="1" x14ac:dyDescent="0.25"/>
    <row r="56" spans="3:11" s="222" customFormat="1" x14ac:dyDescent="0.25">
      <c r="C56" s="1593" t="s">
        <v>368</v>
      </c>
      <c r="D56" s="1593"/>
      <c r="E56" s="1593"/>
      <c r="F56" s="1593"/>
      <c r="G56" s="1593"/>
      <c r="H56" s="1593"/>
    </row>
    <row r="57" spans="3:11" s="222" customFormat="1" x14ac:dyDescent="0.25"/>
    <row r="58" spans="3:11" s="222" customFormat="1" ht="25.5" x14ac:dyDescent="0.25">
      <c r="C58" s="237" t="s">
        <v>189</v>
      </c>
      <c r="D58" s="237" t="s">
        <v>369</v>
      </c>
      <c r="E58" s="237" t="s">
        <v>370</v>
      </c>
      <c r="F58" s="237" t="s">
        <v>358</v>
      </c>
      <c r="G58" s="237" t="s">
        <v>371</v>
      </c>
      <c r="H58" s="237" t="s">
        <v>372</v>
      </c>
      <c r="I58" s="237" t="s">
        <v>373</v>
      </c>
      <c r="J58" s="237" t="s">
        <v>374</v>
      </c>
      <c r="K58" s="237" t="s">
        <v>375</v>
      </c>
    </row>
    <row r="59" spans="3:11" s="222" customFormat="1" x14ac:dyDescent="0.2">
      <c r="C59" s="63" t="s">
        <v>376</v>
      </c>
      <c r="D59" s="228">
        <v>71</v>
      </c>
      <c r="E59" s="228">
        <v>227</v>
      </c>
      <c r="F59" s="228">
        <v>640</v>
      </c>
      <c r="G59" s="228">
        <v>642</v>
      </c>
      <c r="H59" s="228">
        <v>1580</v>
      </c>
      <c r="I59" s="228">
        <f t="shared" ref="I59:I68" si="9">D59+F59+G59</f>
        <v>1353</v>
      </c>
      <c r="J59" s="238">
        <f t="shared" ref="J59:J68" si="10">G59/I59</f>
        <v>0.4745011086474501</v>
      </c>
      <c r="K59" s="238">
        <f t="shared" ref="K59:K68" si="11">IFERROR(D59/I59,"")</f>
        <v>5.2475979305247597E-2</v>
      </c>
    </row>
    <row r="60" spans="3:11" s="222" customFormat="1" x14ac:dyDescent="0.2">
      <c r="C60" s="63" t="s">
        <v>377</v>
      </c>
      <c r="D60" s="228">
        <v>147</v>
      </c>
      <c r="E60" s="228">
        <v>267</v>
      </c>
      <c r="F60" s="228">
        <v>1002</v>
      </c>
      <c r="G60" s="228">
        <v>882</v>
      </c>
      <c r="H60" s="228">
        <v>2298</v>
      </c>
      <c r="I60" s="228">
        <f t="shared" si="9"/>
        <v>2031</v>
      </c>
      <c r="J60" s="238">
        <f t="shared" si="10"/>
        <v>0.4342688330871492</v>
      </c>
      <c r="K60" s="238">
        <f t="shared" si="11"/>
        <v>7.2378138847858195E-2</v>
      </c>
    </row>
    <row r="61" spans="3:11" s="222" customFormat="1" x14ac:dyDescent="0.2">
      <c r="C61" s="63" t="s">
        <v>378</v>
      </c>
      <c r="D61" s="228">
        <v>4</v>
      </c>
      <c r="E61" s="228">
        <v>23</v>
      </c>
      <c r="F61" s="228">
        <v>68</v>
      </c>
      <c r="G61" s="228">
        <v>45</v>
      </c>
      <c r="H61" s="228">
        <v>140</v>
      </c>
      <c r="I61" s="228">
        <f t="shared" si="9"/>
        <v>117</v>
      </c>
      <c r="J61" s="238">
        <f t="shared" si="10"/>
        <v>0.38461538461538464</v>
      </c>
      <c r="K61" s="238">
        <f t="shared" si="11"/>
        <v>3.4188034188034191E-2</v>
      </c>
    </row>
    <row r="62" spans="3:11" s="222" customFormat="1" x14ac:dyDescent="0.2">
      <c r="C62" s="63" t="s">
        <v>379</v>
      </c>
      <c r="D62" s="228">
        <v>27</v>
      </c>
      <c r="E62" s="228">
        <v>63</v>
      </c>
      <c r="F62" s="228">
        <v>129</v>
      </c>
      <c r="G62" s="228">
        <v>128</v>
      </c>
      <c r="H62" s="228">
        <v>347</v>
      </c>
      <c r="I62" s="228">
        <f t="shared" si="9"/>
        <v>284</v>
      </c>
      <c r="J62" s="238">
        <f t="shared" si="10"/>
        <v>0.45070422535211269</v>
      </c>
      <c r="K62" s="238">
        <f t="shared" si="11"/>
        <v>9.5070422535211266E-2</v>
      </c>
    </row>
    <row r="63" spans="3:11" s="222" customFormat="1" x14ac:dyDescent="0.2">
      <c r="C63" s="63" t="s">
        <v>380</v>
      </c>
      <c r="D63" s="228">
        <v>71</v>
      </c>
      <c r="E63" s="228">
        <v>114</v>
      </c>
      <c r="F63" s="228">
        <v>335</v>
      </c>
      <c r="G63" s="228">
        <v>274</v>
      </c>
      <c r="H63" s="228">
        <v>794</v>
      </c>
      <c r="I63" s="228">
        <f t="shared" si="9"/>
        <v>680</v>
      </c>
      <c r="J63" s="238">
        <f t="shared" si="10"/>
        <v>0.40294117647058825</v>
      </c>
      <c r="K63" s="238">
        <f t="shared" si="11"/>
        <v>0.10441176470588236</v>
      </c>
    </row>
    <row r="64" spans="3:11" s="222" customFormat="1" x14ac:dyDescent="0.2">
      <c r="C64" s="63" t="s">
        <v>381</v>
      </c>
      <c r="D64" s="228">
        <v>82</v>
      </c>
      <c r="E64" s="228">
        <v>144</v>
      </c>
      <c r="F64" s="228">
        <v>521</v>
      </c>
      <c r="G64" s="228">
        <v>322</v>
      </c>
      <c r="H64" s="228">
        <v>1069</v>
      </c>
      <c r="I64" s="228">
        <f t="shared" si="9"/>
        <v>925</v>
      </c>
      <c r="J64" s="238">
        <f t="shared" si="10"/>
        <v>0.34810810810810811</v>
      </c>
      <c r="K64" s="238">
        <f t="shared" si="11"/>
        <v>8.8648648648648645E-2</v>
      </c>
    </row>
    <row r="65" spans="3:11" s="222" customFormat="1" x14ac:dyDescent="0.2">
      <c r="C65" s="63" t="s">
        <v>382</v>
      </c>
      <c r="D65" s="228">
        <v>11</v>
      </c>
      <c r="E65" s="228">
        <v>23</v>
      </c>
      <c r="F65" s="228">
        <v>102</v>
      </c>
      <c r="G65" s="228">
        <v>55</v>
      </c>
      <c r="H65" s="228">
        <v>191</v>
      </c>
      <c r="I65" s="228">
        <f t="shared" si="9"/>
        <v>168</v>
      </c>
      <c r="J65" s="238">
        <f t="shared" si="10"/>
        <v>0.32738095238095238</v>
      </c>
      <c r="K65" s="238">
        <f t="shared" si="11"/>
        <v>6.5476190476190479E-2</v>
      </c>
    </row>
    <row r="66" spans="3:11" s="222" customFormat="1" x14ac:dyDescent="0.2">
      <c r="C66" s="63" t="s">
        <v>383</v>
      </c>
      <c r="D66" s="228"/>
      <c r="E66" s="228">
        <v>1</v>
      </c>
      <c r="F66" s="228">
        <v>2</v>
      </c>
      <c r="G66" s="228"/>
      <c r="H66" s="228">
        <v>3</v>
      </c>
      <c r="I66" s="228">
        <f t="shared" si="9"/>
        <v>2</v>
      </c>
      <c r="J66" s="238">
        <f t="shared" si="10"/>
        <v>0</v>
      </c>
      <c r="K66" s="238">
        <f t="shared" si="11"/>
        <v>0</v>
      </c>
    </row>
    <row r="67" spans="3:11" s="222" customFormat="1" x14ac:dyDescent="0.2">
      <c r="C67" s="63" t="s">
        <v>384</v>
      </c>
      <c r="D67" s="228"/>
      <c r="E67" s="228">
        <v>1</v>
      </c>
      <c r="F67" s="228">
        <v>2</v>
      </c>
      <c r="G67" s="228"/>
      <c r="H67" s="228">
        <v>3</v>
      </c>
      <c r="I67" s="228">
        <f t="shared" si="9"/>
        <v>2</v>
      </c>
      <c r="J67" s="238">
        <f t="shared" si="10"/>
        <v>0</v>
      </c>
      <c r="K67" s="238">
        <f t="shared" si="11"/>
        <v>0</v>
      </c>
    </row>
    <row r="68" spans="3:11" s="222" customFormat="1" x14ac:dyDescent="0.2">
      <c r="C68" s="63" t="s">
        <v>372</v>
      </c>
      <c r="D68" s="228">
        <v>413</v>
      </c>
      <c r="E68" s="228">
        <v>862</v>
      </c>
      <c r="F68" s="228">
        <v>2799</v>
      </c>
      <c r="G68" s="228">
        <v>2348</v>
      </c>
      <c r="H68" s="228">
        <v>6422</v>
      </c>
      <c r="I68" s="228">
        <f t="shared" si="9"/>
        <v>5560</v>
      </c>
      <c r="J68" s="238">
        <f t="shared" si="10"/>
        <v>0.4223021582733813</v>
      </c>
      <c r="K68" s="238">
        <f t="shared" si="11"/>
        <v>7.428057553956835E-2</v>
      </c>
    </row>
    <row r="69" spans="3:11" s="222" customFormat="1" x14ac:dyDescent="0.25"/>
    <row r="70" spans="3:11" s="222" customFormat="1" x14ac:dyDescent="0.25"/>
    <row r="71" spans="3:11" s="222" customFormat="1" x14ac:dyDescent="0.25">
      <c r="C71" s="222" t="s">
        <v>385</v>
      </c>
    </row>
    <row r="72" spans="3:11" s="222" customFormat="1" x14ac:dyDescent="0.25"/>
    <row r="73" spans="3:11" s="222" customFormat="1" x14ac:dyDescent="0.25"/>
    <row r="74" spans="3:11" s="222" customFormat="1" x14ac:dyDescent="0.25">
      <c r="C74" s="1540" t="s">
        <v>168</v>
      </c>
      <c r="D74" s="1540"/>
      <c r="E74" s="1540"/>
      <c r="F74" s="1540"/>
      <c r="G74" s="1540"/>
    </row>
    <row r="75" spans="3:11" s="222" customFormat="1" x14ac:dyDescent="0.25">
      <c r="C75" s="218" t="s">
        <v>155</v>
      </c>
      <c r="D75" s="218">
        <f>TC!E17</f>
        <v>2007</v>
      </c>
      <c r="E75" s="218">
        <f>TC!F17</f>
        <v>2017</v>
      </c>
      <c r="F75" s="218" t="s">
        <v>170</v>
      </c>
      <c r="G75" s="218" t="s">
        <v>171</v>
      </c>
    </row>
    <row r="76" spans="3:11" s="222" customFormat="1" x14ac:dyDescent="0.25">
      <c r="C76" s="250" t="s">
        <v>572</v>
      </c>
      <c r="D76" s="338">
        <f>TC!E7</f>
        <v>404190</v>
      </c>
      <c r="E76" s="338">
        <f>TC!F7</f>
        <v>424258.97147592169</v>
      </c>
      <c r="F76" s="339">
        <f>(E76/D76)^(1/(2017-2007))-1</f>
        <v>4.8576589682707283E-3</v>
      </c>
      <c r="G76" s="43">
        <f>F76</f>
        <v>4.8576589682707283E-3</v>
      </c>
    </row>
    <row r="77" spans="3:11" s="222" customFormat="1" x14ac:dyDescent="0.25"/>
    <row r="78" spans="3:11" s="222" customFormat="1" x14ac:dyDescent="0.2">
      <c r="C78" s="45"/>
      <c r="D78" s="340"/>
      <c r="E78" s="340"/>
      <c r="F78" s="341"/>
      <c r="G78" s="342"/>
    </row>
    <row r="79" spans="3:11" s="222" customFormat="1" x14ac:dyDescent="0.25">
      <c r="C79" s="1540" t="s">
        <v>168</v>
      </c>
      <c r="D79" s="1540"/>
      <c r="E79" s="1540"/>
      <c r="F79" s="1540"/>
      <c r="G79" s="1540"/>
    </row>
    <row r="80" spans="3:11" s="222" customFormat="1" x14ac:dyDescent="0.25">
      <c r="C80" s="328" t="s">
        <v>155</v>
      </c>
      <c r="D80" s="328">
        <v>1997</v>
      </c>
      <c r="E80" s="328">
        <v>2017</v>
      </c>
      <c r="F80" s="328" t="s">
        <v>170</v>
      </c>
      <c r="G80" s="328" t="s">
        <v>171</v>
      </c>
    </row>
    <row r="81" spans="3:18" s="222" customFormat="1" x14ac:dyDescent="0.2">
      <c r="C81" s="37" t="s">
        <v>162</v>
      </c>
      <c r="D81" s="41">
        <f>TC!E18</f>
        <v>96064</v>
      </c>
      <c r="E81" s="41">
        <f>TC!F18</f>
        <v>110520</v>
      </c>
      <c r="F81" s="242">
        <f>(E81/D81)^(1/(2017-2007))-1</f>
        <v>1.4116901910895319E-2</v>
      </c>
      <c r="G81" s="96">
        <f>F81</f>
        <v>1.4116901910895319E-2</v>
      </c>
    </row>
    <row r="82" spans="3:18" s="222" customFormat="1" x14ac:dyDescent="0.2">
      <c r="C82" s="45"/>
      <c r="D82" s="340"/>
      <c r="E82" s="340"/>
      <c r="F82" s="341"/>
      <c r="G82" s="342"/>
    </row>
    <row r="83" spans="3:18" s="222" customFormat="1" x14ac:dyDescent="0.2">
      <c r="C83" s="45"/>
      <c r="D83" s="340"/>
      <c r="E83" s="340"/>
      <c r="F83" s="341"/>
      <c r="G83" s="342"/>
    </row>
    <row r="84" spans="3:18" s="222" customFormat="1" x14ac:dyDescent="0.25"/>
    <row r="85" spans="3:18" s="222" customFormat="1" x14ac:dyDescent="0.25"/>
    <row r="86" spans="3:18" s="222" customFormat="1" x14ac:dyDescent="0.25">
      <c r="C86" s="222" t="s">
        <v>386</v>
      </c>
    </row>
    <row r="87" spans="3:18" s="222" customFormat="1" x14ac:dyDescent="0.25"/>
    <row r="88" spans="3:18" s="222" customFormat="1" ht="15" customHeight="1" x14ac:dyDescent="0.25">
      <c r="C88" s="1541" t="s">
        <v>189</v>
      </c>
      <c r="D88" s="1607">
        <v>2019</v>
      </c>
      <c r="E88" s="1542">
        <v>2020</v>
      </c>
      <c r="F88" s="218">
        <v>2021</v>
      </c>
      <c r="G88" s="218">
        <v>2022</v>
      </c>
      <c r="H88" s="218">
        <v>2023</v>
      </c>
      <c r="I88" s="218">
        <v>2024</v>
      </c>
      <c r="J88" s="218">
        <v>2025</v>
      </c>
      <c r="K88" s="218">
        <v>2026</v>
      </c>
      <c r="L88" s="218">
        <v>2027</v>
      </c>
      <c r="M88" s="218">
        <v>2028</v>
      </c>
      <c r="N88" s="218">
        <v>2029</v>
      </c>
      <c r="O88" s="218">
        <v>2030</v>
      </c>
      <c r="P88" s="218">
        <v>2031</v>
      </c>
      <c r="Q88" s="218">
        <v>2032</v>
      </c>
      <c r="R88" s="218">
        <v>2033</v>
      </c>
    </row>
    <row r="89" spans="3:18" s="222" customFormat="1" x14ac:dyDescent="0.25">
      <c r="C89" s="1541"/>
      <c r="D89" s="1608"/>
      <c r="E89" s="1543"/>
      <c r="F89" s="239" t="s">
        <v>257</v>
      </c>
      <c r="G89" s="240"/>
      <c r="H89" s="241"/>
      <c r="I89" s="54" t="s">
        <v>174</v>
      </c>
      <c r="J89" s="54" t="s">
        <v>175</v>
      </c>
      <c r="K89" s="54" t="s">
        <v>176</v>
      </c>
      <c r="L89" s="54" t="s">
        <v>177</v>
      </c>
      <c r="M89" s="54" t="s">
        <v>178</v>
      </c>
      <c r="N89" s="54" t="s">
        <v>179</v>
      </c>
      <c r="O89" s="54" t="s">
        <v>180</v>
      </c>
      <c r="P89" s="54" t="s">
        <v>181</v>
      </c>
      <c r="Q89" s="54" t="s">
        <v>182</v>
      </c>
      <c r="R89" s="54" t="s">
        <v>183</v>
      </c>
    </row>
    <row r="90" spans="3:18" s="222" customFormat="1" ht="24" customHeight="1" x14ac:dyDescent="0.25">
      <c r="C90" s="250" t="s">
        <v>389</v>
      </c>
      <c r="D90" s="346">
        <f>D45</f>
        <v>1088</v>
      </c>
      <c r="E90" s="246">
        <f>$D$90*(1+$G$81)^(E88-$D$88)</f>
        <v>1103.3591892790541</v>
      </c>
      <c r="F90" s="246">
        <f>$D$90*(1+$G$81)^(F88-$D$88)</f>
        <v>1118.9352027265916</v>
      </c>
      <c r="G90" s="246">
        <f t="shared" ref="G90:R90" si="12">$D$90*(1+$G$81)^(G88-$D$88)</f>
        <v>1134.7311012281307</v>
      </c>
      <c r="H90" s="246">
        <f t="shared" si="12"/>
        <v>1150.7499888794105</v>
      </c>
      <c r="I90" s="246">
        <f t="shared" si="12"/>
        <v>1166.995013596385</v>
      </c>
      <c r="J90" s="246">
        <f t="shared" si="12"/>
        <v>1183.4693677338294</v>
      </c>
      <c r="K90" s="246">
        <f t="shared" si="12"/>
        <v>1200.1762887126772</v>
      </c>
      <c r="L90" s="246">
        <f t="shared" si="12"/>
        <v>1217.1190596562165</v>
      </c>
      <c r="M90" s="246">
        <f t="shared" si="12"/>
        <v>1234.3010100352644</v>
      </c>
      <c r="N90" s="246">
        <f t="shared" si="12"/>
        <v>1251.7255163224515</v>
      </c>
      <c r="O90" s="246">
        <f t="shared" si="12"/>
        <v>1269.3960026557402</v>
      </c>
      <c r="P90" s="246">
        <f t="shared" si="12"/>
        <v>1287.3159415113143</v>
      </c>
      <c r="Q90" s="246">
        <f t="shared" si="12"/>
        <v>1305.4888543859611</v>
      </c>
      <c r="R90" s="246">
        <f t="shared" si="12"/>
        <v>1323.9183124890951</v>
      </c>
    </row>
    <row r="91" spans="3:18" s="222" customFormat="1" x14ac:dyDescent="0.2">
      <c r="C91" s="247" t="s">
        <v>44</v>
      </c>
      <c r="D91" s="248">
        <f t="shared" ref="D91:R91" si="13">SUM(D90:D90)</f>
        <v>1088</v>
      </c>
      <c r="E91" s="249">
        <f t="shared" si="13"/>
        <v>1103.3591892790541</v>
      </c>
      <c r="F91" s="249">
        <f t="shared" si="13"/>
        <v>1118.9352027265916</v>
      </c>
      <c r="G91" s="249">
        <f t="shared" si="13"/>
        <v>1134.7311012281307</v>
      </c>
      <c r="H91" s="249">
        <f t="shared" si="13"/>
        <v>1150.7499888794105</v>
      </c>
      <c r="I91" s="249">
        <f t="shared" si="13"/>
        <v>1166.995013596385</v>
      </c>
      <c r="J91" s="249">
        <f t="shared" si="13"/>
        <v>1183.4693677338294</v>
      </c>
      <c r="K91" s="249">
        <f t="shared" si="13"/>
        <v>1200.1762887126772</v>
      </c>
      <c r="L91" s="249">
        <f t="shared" si="13"/>
        <v>1217.1190596562165</v>
      </c>
      <c r="M91" s="249">
        <f t="shared" si="13"/>
        <v>1234.3010100352644</v>
      </c>
      <c r="N91" s="249">
        <f t="shared" si="13"/>
        <v>1251.7255163224515</v>
      </c>
      <c r="O91" s="249">
        <f t="shared" si="13"/>
        <v>1269.3960026557402</v>
      </c>
      <c r="P91" s="249">
        <f t="shared" si="13"/>
        <v>1287.3159415113143</v>
      </c>
      <c r="Q91" s="249">
        <f t="shared" si="13"/>
        <v>1305.4888543859611</v>
      </c>
      <c r="R91" s="248">
        <f t="shared" si="13"/>
        <v>1323.9183124890951</v>
      </c>
    </row>
    <row r="92" spans="3:18" s="222" customFormat="1" x14ac:dyDescent="0.25"/>
    <row r="93" spans="3:18" s="222" customFormat="1" x14ac:dyDescent="0.25">
      <c r="E93" s="243">
        <f t="shared" ref="E93:R93" si="14">D90*(1+$G$81)</f>
        <v>1103.3591892790541</v>
      </c>
      <c r="F93" s="243">
        <f t="shared" si="14"/>
        <v>1118.9352027265916</v>
      </c>
      <c r="G93" s="243">
        <f t="shared" si="14"/>
        <v>1134.7311012281307</v>
      </c>
      <c r="H93" s="243">
        <f t="shared" si="14"/>
        <v>1150.7499888794105</v>
      </c>
      <c r="I93" s="243">
        <f t="shared" si="14"/>
        <v>1166.995013596385</v>
      </c>
      <c r="J93" s="243">
        <f t="shared" si="14"/>
        <v>1183.4693677338291</v>
      </c>
      <c r="K93" s="243">
        <f t="shared" si="14"/>
        <v>1200.1762887126772</v>
      </c>
      <c r="L93" s="243">
        <f t="shared" si="14"/>
        <v>1217.1190596562165</v>
      </c>
      <c r="M93" s="243">
        <f t="shared" si="14"/>
        <v>1234.3010100352644</v>
      </c>
      <c r="N93" s="243">
        <f t="shared" si="14"/>
        <v>1251.7255163224513</v>
      </c>
      <c r="O93" s="243">
        <f t="shared" si="14"/>
        <v>1269.3960026557404</v>
      </c>
      <c r="P93" s="243">
        <f t="shared" si="14"/>
        <v>1287.3159415113139</v>
      </c>
      <c r="Q93" s="243">
        <f t="shared" si="14"/>
        <v>1305.4888543859615</v>
      </c>
      <c r="R93" s="243">
        <f t="shared" si="14"/>
        <v>1323.9183124890949</v>
      </c>
    </row>
    <row r="94" spans="3:18" s="222" customFormat="1" x14ac:dyDescent="0.25"/>
    <row r="95" spans="3:18" s="222" customFormat="1" x14ac:dyDescent="0.25"/>
    <row r="96" spans="3:18" s="222" customFormat="1" x14ac:dyDescent="0.25">
      <c r="C96" s="222" t="s">
        <v>387</v>
      </c>
    </row>
    <row r="97" spans="3:19" s="222" customFormat="1" x14ac:dyDescent="0.25"/>
    <row r="98" spans="3:19" s="222" customFormat="1" x14ac:dyDescent="0.25">
      <c r="C98" s="1541" t="s">
        <v>189</v>
      </c>
      <c r="D98" s="1607">
        <v>2019</v>
      </c>
      <c r="E98" s="1542">
        <v>2020</v>
      </c>
      <c r="F98" s="218">
        <v>2021</v>
      </c>
      <c r="G98" s="218">
        <v>2022</v>
      </c>
      <c r="H98" s="218">
        <v>2023</v>
      </c>
      <c r="I98" s="218">
        <v>2024</v>
      </c>
      <c r="J98" s="218">
        <v>2025</v>
      </c>
      <c r="K98" s="218">
        <v>2026</v>
      </c>
      <c r="L98" s="218">
        <v>2027</v>
      </c>
      <c r="M98" s="218">
        <v>2028</v>
      </c>
      <c r="N98" s="218">
        <v>2029</v>
      </c>
      <c r="O98" s="218">
        <v>2030</v>
      </c>
      <c r="P98" s="218">
        <v>2031</v>
      </c>
      <c r="Q98" s="218">
        <v>2032</v>
      </c>
      <c r="R98" s="218">
        <v>2033</v>
      </c>
    </row>
    <row r="99" spans="3:19" s="222" customFormat="1" x14ac:dyDescent="0.25">
      <c r="C99" s="1541"/>
      <c r="D99" s="1608"/>
      <c r="E99" s="1543"/>
      <c r="F99" s="239" t="s">
        <v>257</v>
      </c>
      <c r="G99" s="240"/>
      <c r="H99" s="241"/>
      <c r="I99" s="54" t="s">
        <v>174</v>
      </c>
      <c r="J99" s="54" t="s">
        <v>175</v>
      </c>
      <c r="K99" s="54" t="s">
        <v>176</v>
      </c>
      <c r="L99" s="54" t="s">
        <v>177</v>
      </c>
      <c r="M99" s="54" t="s">
        <v>178</v>
      </c>
      <c r="N99" s="54" t="s">
        <v>179</v>
      </c>
      <c r="O99" s="54" t="s">
        <v>180</v>
      </c>
      <c r="P99" s="54" t="s">
        <v>181</v>
      </c>
      <c r="Q99" s="54" t="s">
        <v>182</v>
      </c>
      <c r="R99" s="54" t="s">
        <v>183</v>
      </c>
    </row>
    <row r="100" spans="3:19" s="222" customFormat="1" x14ac:dyDescent="0.25">
      <c r="C100" s="245" t="s">
        <v>161</v>
      </c>
      <c r="D100" s="246">
        <f>D59</f>
        <v>71</v>
      </c>
      <c r="E100" s="246">
        <f>$D$100*(1+$G$81)^(E98-$D$98)</f>
        <v>72.002300035673571</v>
      </c>
      <c r="F100" s="246">
        <f t="shared" ref="F100:R100" si="15">$D$100*(1+$G$81)^(F98-$D$98)</f>
        <v>73.018749442636036</v>
      </c>
      <c r="G100" s="246">
        <f t="shared" si="15"/>
        <v>74.049547966173975</v>
      </c>
      <c r="H100" s="246">
        <f t="shared" si="15"/>
        <v>75.094898171358594</v>
      </c>
      <c r="I100" s="246">
        <f t="shared" si="15"/>
        <v>76.155005482852332</v>
      </c>
      <c r="J100" s="246">
        <f t="shared" si="15"/>
        <v>77.230078225277467</v>
      </c>
      <c r="K100" s="246">
        <f t="shared" si="15"/>
        <v>78.32032766415449</v>
      </c>
      <c r="L100" s="246">
        <f t="shared" si="15"/>
        <v>79.42596804741855</v>
      </c>
      <c r="M100" s="246">
        <f t="shared" si="15"/>
        <v>80.54721664752185</v>
      </c>
      <c r="N100" s="246">
        <f t="shared" si="15"/>
        <v>81.684293804130576</v>
      </c>
      <c r="O100" s="246">
        <f t="shared" si="15"/>
        <v>82.837422967424232</v>
      </c>
      <c r="P100" s="246">
        <f t="shared" si="15"/>
        <v>84.006830742006727</v>
      </c>
      <c r="Q100" s="246">
        <f t="shared" si="15"/>
        <v>85.192746931436801</v>
      </c>
      <c r="R100" s="246">
        <f t="shared" si="15"/>
        <v>86.395404583387645</v>
      </c>
    </row>
    <row r="101" spans="3:19" s="222" customFormat="1" x14ac:dyDescent="0.2">
      <c r="C101" s="247" t="s">
        <v>44</v>
      </c>
      <c r="D101" s="248">
        <f t="shared" ref="D101:R101" si="16">SUM(D100:D100)</f>
        <v>71</v>
      </c>
      <c r="E101" s="249">
        <f t="shared" si="16"/>
        <v>72.002300035673571</v>
      </c>
      <c r="F101" s="249">
        <f t="shared" si="16"/>
        <v>73.018749442636036</v>
      </c>
      <c r="G101" s="249">
        <f t="shared" si="16"/>
        <v>74.049547966173975</v>
      </c>
      <c r="H101" s="249">
        <f t="shared" si="16"/>
        <v>75.094898171358594</v>
      </c>
      <c r="I101" s="249">
        <f t="shared" si="16"/>
        <v>76.155005482852332</v>
      </c>
      <c r="J101" s="249">
        <f t="shared" si="16"/>
        <v>77.230078225277467</v>
      </c>
      <c r="K101" s="249">
        <f t="shared" si="16"/>
        <v>78.32032766415449</v>
      </c>
      <c r="L101" s="249">
        <f t="shared" si="16"/>
        <v>79.42596804741855</v>
      </c>
      <c r="M101" s="249">
        <f t="shared" si="16"/>
        <v>80.54721664752185</v>
      </c>
      <c r="N101" s="249">
        <f t="shared" si="16"/>
        <v>81.684293804130576</v>
      </c>
      <c r="O101" s="249">
        <f t="shared" si="16"/>
        <v>82.837422967424232</v>
      </c>
      <c r="P101" s="249">
        <f t="shared" si="16"/>
        <v>84.006830742006727</v>
      </c>
      <c r="Q101" s="249">
        <f t="shared" si="16"/>
        <v>85.192746931436801</v>
      </c>
      <c r="R101" s="248">
        <f t="shared" si="16"/>
        <v>86.395404583387645</v>
      </c>
    </row>
    <row r="102" spans="3:19" s="222" customFormat="1" x14ac:dyDescent="0.25"/>
    <row r="103" spans="3:19" s="222" customFormat="1" x14ac:dyDescent="0.25"/>
    <row r="104" spans="3:19" s="222" customFormat="1" x14ac:dyDescent="0.25"/>
    <row r="105" spans="3:19" s="222" customFormat="1" x14ac:dyDescent="0.25">
      <c r="C105" s="222" t="s">
        <v>388</v>
      </c>
    </row>
    <row r="106" spans="3:19" s="222" customFormat="1" x14ac:dyDescent="0.25"/>
    <row r="107" spans="3:19" s="222" customFormat="1" x14ac:dyDescent="0.25">
      <c r="C107" s="1541" t="s">
        <v>189</v>
      </c>
      <c r="D107" s="1607">
        <v>2019</v>
      </c>
      <c r="E107" s="1542">
        <v>2020</v>
      </c>
      <c r="F107" s="218">
        <v>2021</v>
      </c>
      <c r="G107" s="218">
        <v>2022</v>
      </c>
      <c r="H107" s="218">
        <v>2023</v>
      </c>
      <c r="I107" s="218">
        <v>2024</v>
      </c>
      <c r="J107" s="218">
        <v>2025</v>
      </c>
      <c r="K107" s="218">
        <v>2026</v>
      </c>
      <c r="L107" s="218">
        <v>2027</v>
      </c>
      <c r="M107" s="218">
        <v>2028</v>
      </c>
      <c r="N107" s="218">
        <v>2029</v>
      </c>
      <c r="O107" s="218">
        <v>2030</v>
      </c>
      <c r="P107" s="218">
        <v>2031</v>
      </c>
      <c r="Q107" s="218">
        <v>2032</v>
      </c>
      <c r="R107" s="218">
        <v>2033</v>
      </c>
    </row>
    <row r="108" spans="3:19" s="222" customFormat="1" x14ac:dyDescent="0.25">
      <c r="C108" s="1541"/>
      <c r="D108" s="1608"/>
      <c r="E108" s="1543"/>
      <c r="F108" s="1610" t="s">
        <v>257</v>
      </c>
      <c r="G108" s="1611"/>
      <c r="H108" s="1612"/>
      <c r="I108" s="54" t="s">
        <v>174</v>
      </c>
      <c r="J108" s="54" t="s">
        <v>175</v>
      </c>
      <c r="K108" s="54" t="s">
        <v>176</v>
      </c>
      <c r="L108" s="54" t="s">
        <v>177</v>
      </c>
      <c r="M108" s="54" t="s">
        <v>178</v>
      </c>
      <c r="N108" s="54" t="s">
        <v>179</v>
      </c>
      <c r="O108" s="54" t="s">
        <v>180</v>
      </c>
      <c r="P108" s="54" t="s">
        <v>181</v>
      </c>
      <c r="Q108" s="54" t="s">
        <v>182</v>
      </c>
      <c r="R108" s="54" t="s">
        <v>183</v>
      </c>
    </row>
    <row r="109" spans="3:19" s="222" customFormat="1" ht="25.5" x14ac:dyDescent="0.25">
      <c r="C109" s="250" t="s">
        <v>389</v>
      </c>
      <c r="D109" s="246">
        <f>D91</f>
        <v>1088</v>
      </c>
      <c r="E109" s="246">
        <f t="shared" ref="E109:R109" si="17">E91</f>
        <v>1103.3591892790541</v>
      </c>
      <c r="F109" s="246">
        <f t="shared" si="17"/>
        <v>1118.9352027265916</v>
      </c>
      <c r="G109" s="246">
        <f t="shared" si="17"/>
        <v>1134.7311012281307</v>
      </c>
      <c r="H109" s="246">
        <f t="shared" si="17"/>
        <v>1150.7499888794105</v>
      </c>
      <c r="I109" s="246">
        <f t="shared" si="17"/>
        <v>1166.995013596385</v>
      </c>
      <c r="J109" s="246">
        <f t="shared" si="17"/>
        <v>1183.4693677338294</v>
      </c>
      <c r="K109" s="246">
        <f t="shared" si="17"/>
        <v>1200.1762887126772</v>
      </c>
      <c r="L109" s="246">
        <f t="shared" si="17"/>
        <v>1217.1190596562165</v>
      </c>
      <c r="M109" s="246">
        <f t="shared" si="17"/>
        <v>1234.3010100352644</v>
      </c>
      <c r="N109" s="246">
        <f t="shared" si="17"/>
        <v>1251.7255163224515</v>
      </c>
      <c r="O109" s="246">
        <f t="shared" si="17"/>
        <v>1269.3960026557402</v>
      </c>
      <c r="P109" s="246">
        <f t="shared" si="17"/>
        <v>1287.3159415113143</v>
      </c>
      <c r="Q109" s="246">
        <f t="shared" si="17"/>
        <v>1305.4888543859611</v>
      </c>
      <c r="R109" s="246">
        <f t="shared" si="17"/>
        <v>1323.9183124890951</v>
      </c>
    </row>
    <row r="110" spans="3:19" s="222" customFormat="1" ht="25.5" x14ac:dyDescent="0.25">
      <c r="C110" s="250" t="s">
        <v>390</v>
      </c>
      <c r="D110" s="246">
        <f>D101</f>
        <v>71</v>
      </c>
      <c r="E110" s="246">
        <f t="shared" ref="E110:R110" si="18">E101</f>
        <v>72.002300035673571</v>
      </c>
      <c r="F110" s="246">
        <f t="shared" si="18"/>
        <v>73.018749442636036</v>
      </c>
      <c r="G110" s="246">
        <f t="shared" si="18"/>
        <v>74.049547966173975</v>
      </c>
      <c r="H110" s="246">
        <f t="shared" si="18"/>
        <v>75.094898171358594</v>
      </c>
      <c r="I110" s="246">
        <f t="shared" si="18"/>
        <v>76.155005482852332</v>
      </c>
      <c r="J110" s="246">
        <f t="shared" si="18"/>
        <v>77.230078225277467</v>
      </c>
      <c r="K110" s="246">
        <f t="shared" si="18"/>
        <v>78.32032766415449</v>
      </c>
      <c r="L110" s="246">
        <f t="shared" si="18"/>
        <v>79.42596804741855</v>
      </c>
      <c r="M110" s="246">
        <f t="shared" si="18"/>
        <v>80.54721664752185</v>
      </c>
      <c r="N110" s="246">
        <f t="shared" si="18"/>
        <v>81.684293804130576</v>
      </c>
      <c r="O110" s="246">
        <f t="shared" si="18"/>
        <v>82.837422967424232</v>
      </c>
      <c r="P110" s="246">
        <f t="shared" si="18"/>
        <v>84.006830742006727</v>
      </c>
      <c r="Q110" s="246">
        <f t="shared" si="18"/>
        <v>85.192746931436801</v>
      </c>
      <c r="R110" s="246">
        <f t="shared" si="18"/>
        <v>86.395404583387645</v>
      </c>
    </row>
    <row r="111" spans="3:19" s="222" customFormat="1" x14ac:dyDescent="0.2">
      <c r="C111" s="247" t="s">
        <v>44</v>
      </c>
      <c r="D111" s="248">
        <f>SUM(D109:D110)</f>
        <v>1159</v>
      </c>
      <c r="E111" s="249">
        <f>SUM(E109:E110)</f>
        <v>1175.3614893147278</v>
      </c>
      <c r="F111" s="249">
        <f t="shared" ref="F111:Q111" si="19">SUM(F109:F110)</f>
        <v>1191.9539521692277</v>
      </c>
      <c r="G111" s="249">
        <f t="shared" si="19"/>
        <v>1208.7806491943047</v>
      </c>
      <c r="H111" s="249">
        <f t="shared" si="19"/>
        <v>1225.8448870507691</v>
      </c>
      <c r="I111" s="249">
        <f t="shared" si="19"/>
        <v>1243.1500190792374</v>
      </c>
      <c r="J111" s="249">
        <f t="shared" si="19"/>
        <v>1260.6994459591069</v>
      </c>
      <c r="K111" s="249">
        <f t="shared" si="19"/>
        <v>1278.4966163768318</v>
      </c>
      <c r="L111" s="249">
        <f t="shared" si="19"/>
        <v>1296.545027703635</v>
      </c>
      <c r="M111" s="249">
        <f t="shared" si="19"/>
        <v>1314.8482266827864</v>
      </c>
      <c r="N111" s="249">
        <f t="shared" si="19"/>
        <v>1333.4098101265822</v>
      </c>
      <c r="O111" s="249">
        <f t="shared" si="19"/>
        <v>1352.2334256231643</v>
      </c>
      <c r="P111" s="249">
        <f t="shared" si="19"/>
        <v>1371.3227722533211</v>
      </c>
      <c r="Q111" s="249">
        <f t="shared" si="19"/>
        <v>1390.681601317398</v>
      </c>
      <c r="R111" s="248">
        <f>SUM(R109:R110)</f>
        <v>1410.3137170724829</v>
      </c>
      <c r="S111" s="257">
        <f>SUM(I111:R111)</f>
        <v>13251.700662194546</v>
      </c>
    </row>
    <row r="112" spans="3:19" s="222" customFormat="1" x14ac:dyDescent="0.25"/>
    <row r="113" spans="3:20" s="222" customFormat="1" x14ac:dyDescent="0.25"/>
    <row r="114" spans="3:20" s="222" customFormat="1" x14ac:dyDescent="0.25">
      <c r="C114" s="204" t="s">
        <v>392</v>
      </c>
    </row>
    <row r="115" spans="3:20" s="222" customFormat="1" x14ac:dyDescent="0.25"/>
    <row r="116" spans="3:20" s="222" customFormat="1" ht="25.5" x14ac:dyDescent="0.2">
      <c r="C116" s="254" t="s">
        <v>391</v>
      </c>
      <c r="D116" s="254" t="s">
        <v>164</v>
      </c>
      <c r="E116" s="254" t="s">
        <v>163</v>
      </c>
      <c r="F116" s="255" t="s">
        <v>150</v>
      </c>
      <c r="G116" s="253"/>
    </row>
    <row r="117" spans="3:20" s="222" customFormat="1" x14ac:dyDescent="0.25">
      <c r="C117" s="256" t="str">
        <f>DATA!A4</f>
        <v>1 año</v>
      </c>
      <c r="D117" s="257">
        <f>DATA!B4</f>
        <v>475716</v>
      </c>
      <c r="E117" s="257">
        <f>DATA!C4</f>
        <v>6892</v>
      </c>
      <c r="F117" s="257">
        <f>DATA!D4</f>
        <v>1844</v>
      </c>
      <c r="G117" s="252"/>
    </row>
    <row r="118" spans="3:20" s="222" customFormat="1" x14ac:dyDescent="0.25">
      <c r="C118" s="256" t="str">
        <f>DATA!A5</f>
        <v>2 años</v>
      </c>
      <c r="D118" s="257">
        <f>DATA!B5</f>
        <v>503748</v>
      </c>
      <c r="E118" s="257">
        <f>DATA!C5</f>
        <v>7216</v>
      </c>
      <c r="F118" s="257">
        <f>DATA!D5</f>
        <v>1921</v>
      </c>
      <c r="G118" s="252"/>
    </row>
    <row r="119" spans="3:20" s="222" customFormat="1" x14ac:dyDescent="0.25">
      <c r="C119" s="256" t="str">
        <f>DATA!A6</f>
        <v>3 años</v>
      </c>
      <c r="D119" s="257">
        <f>DATA!B6</f>
        <v>524181</v>
      </c>
      <c r="E119" s="257">
        <f>DATA!C6</f>
        <v>7400</v>
      </c>
      <c r="F119" s="257">
        <f>DATA!D6</f>
        <v>1852</v>
      </c>
      <c r="G119" s="252"/>
    </row>
    <row r="120" spans="3:20" s="222" customFormat="1" x14ac:dyDescent="0.25">
      <c r="C120" s="256" t="str">
        <f>DATA!A7</f>
        <v>4 años</v>
      </c>
      <c r="D120" s="257">
        <f>DATA!B7</f>
        <v>534295</v>
      </c>
      <c r="E120" s="257">
        <f>DATA!C7</f>
        <v>7496</v>
      </c>
      <c r="F120" s="257">
        <f>DATA!D7</f>
        <v>1952</v>
      </c>
      <c r="G120" s="252"/>
    </row>
    <row r="121" spans="3:20" s="222" customFormat="1" x14ac:dyDescent="0.25">
      <c r="C121" s="256" t="str">
        <f>DATA!A8</f>
        <v>5 años</v>
      </c>
      <c r="D121" s="257">
        <f>DATA!B8</f>
        <v>511262</v>
      </c>
      <c r="E121" s="257">
        <f>DATA!C8</f>
        <v>6981</v>
      </c>
      <c r="F121" s="257">
        <f>DATA!D8</f>
        <v>1844</v>
      </c>
      <c r="G121" s="252"/>
    </row>
    <row r="122" spans="3:20" s="222" customFormat="1" x14ac:dyDescent="0.25">
      <c r="C122" s="256" t="s">
        <v>44</v>
      </c>
      <c r="D122" s="257">
        <f>SUM(D117:D121)</f>
        <v>2549202</v>
      </c>
      <c r="E122" s="257">
        <f>SUM(E117:E121)</f>
        <v>35985</v>
      </c>
      <c r="F122" s="257">
        <f>SUM(F117:F121)</f>
        <v>9413</v>
      </c>
    </row>
    <row r="123" spans="3:20" s="222" customFormat="1" x14ac:dyDescent="0.25"/>
    <row r="124" spans="3:20" s="222" customFormat="1" x14ac:dyDescent="0.25"/>
    <row r="125" spans="3:20" s="222" customFormat="1" x14ac:dyDescent="0.25">
      <c r="C125" s="222" t="s">
        <v>395</v>
      </c>
    </row>
    <row r="126" spans="3:20" s="222" customFormat="1" x14ac:dyDescent="0.25">
      <c r="C126" s="1541" t="s">
        <v>189</v>
      </c>
      <c r="D126" s="1607">
        <v>2017</v>
      </c>
      <c r="E126" s="1542">
        <v>2018</v>
      </c>
      <c r="F126" s="1607">
        <v>2019</v>
      </c>
      <c r="G126" s="1542">
        <v>2020</v>
      </c>
      <c r="H126" s="218">
        <v>2021</v>
      </c>
      <c r="I126" s="218">
        <v>2022</v>
      </c>
      <c r="J126" s="218">
        <v>2023</v>
      </c>
      <c r="K126" s="218">
        <v>2024</v>
      </c>
      <c r="L126" s="218">
        <v>2025</v>
      </c>
      <c r="M126" s="218">
        <v>2026</v>
      </c>
      <c r="N126" s="218">
        <v>2027</v>
      </c>
      <c r="O126" s="218">
        <v>2028</v>
      </c>
      <c r="P126" s="218">
        <v>2029</v>
      </c>
      <c r="Q126" s="218">
        <v>2030</v>
      </c>
      <c r="R126" s="218">
        <v>2031</v>
      </c>
      <c r="S126" s="218">
        <v>2032</v>
      </c>
      <c r="T126" s="218">
        <v>2033</v>
      </c>
    </row>
    <row r="127" spans="3:20" s="222" customFormat="1" x14ac:dyDescent="0.25">
      <c r="C127" s="1541"/>
      <c r="D127" s="1608"/>
      <c r="E127" s="1543"/>
      <c r="F127" s="1608"/>
      <c r="G127" s="1543"/>
      <c r="H127" s="1610" t="s">
        <v>257</v>
      </c>
      <c r="I127" s="1611"/>
      <c r="J127" s="1612"/>
      <c r="K127" s="54" t="s">
        <v>174</v>
      </c>
      <c r="L127" s="54" t="s">
        <v>175</v>
      </c>
      <c r="M127" s="54" t="s">
        <v>176</v>
      </c>
      <c r="N127" s="54" t="s">
        <v>177</v>
      </c>
      <c r="O127" s="54" t="s">
        <v>178</v>
      </c>
      <c r="P127" s="54" t="s">
        <v>179</v>
      </c>
      <c r="Q127" s="54" t="s">
        <v>180</v>
      </c>
      <c r="R127" s="54" t="s">
        <v>181</v>
      </c>
      <c r="S127" s="54" t="s">
        <v>182</v>
      </c>
      <c r="T127" s="54" t="s">
        <v>183</v>
      </c>
    </row>
    <row r="128" spans="3:20" s="222" customFormat="1" ht="25.5" x14ac:dyDescent="0.25">
      <c r="C128" s="250" t="s">
        <v>393</v>
      </c>
      <c r="D128" s="258">
        <f>F122</f>
        <v>9413</v>
      </c>
      <c r="E128" s="246">
        <f>$D$128*(1+$G$81)^(E126-$D$126)</f>
        <v>9545.8823976872573</v>
      </c>
      <c r="F128" s="246">
        <f t="shared" ref="F128:T128" si="20">$D$128*(1+$G$81)^(F126-$D$126)</f>
        <v>9680.6406831483528</v>
      </c>
      <c r="G128" s="246">
        <f t="shared" si="20"/>
        <v>9817.3013381069795</v>
      </c>
      <c r="H128" s="246">
        <f t="shared" si="20"/>
        <v>9955.8912181267387</v>
      </c>
      <c r="I128" s="246">
        <f t="shared" si="20"/>
        <v>10096.437557888577</v>
      </c>
      <c r="J128" s="246">
        <f t="shared" si="20"/>
        <v>10238.967976542772</v>
      </c>
      <c r="K128" s="246">
        <f t="shared" si="20"/>
        <v>10383.510483136424</v>
      </c>
      <c r="L128" s="246">
        <f t="shared" si="20"/>
        <v>10530.093482117616</v>
      </c>
      <c r="M128" s="246">
        <f t="shared" si="20"/>
        <v>10678.745778917228</v>
      </c>
      <c r="N128" s="246">
        <f t="shared" si="20"/>
        <v>10829.496585609593</v>
      </c>
      <c r="O128" s="246">
        <f t="shared" si="20"/>
        <v>10982.375526653017</v>
      </c>
      <c r="P128" s="246">
        <f t="shared" si="20"/>
        <v>11137.412644711398</v>
      </c>
      <c r="Q128" s="246">
        <f t="shared" si="20"/>
        <v>11294.638406557951</v>
      </c>
      <c r="R128" s="246">
        <f t="shared" si="20"/>
        <v>11454.083709062365</v>
      </c>
      <c r="S128" s="246">
        <f t="shared" si="20"/>
        <v>11615.779885262384</v>
      </c>
      <c r="T128" s="246">
        <f t="shared" si="20"/>
        <v>11779.758710521182</v>
      </c>
    </row>
    <row r="129" spans="2:23" s="222" customFormat="1" x14ac:dyDescent="0.2">
      <c r="C129" s="247" t="s">
        <v>44</v>
      </c>
      <c r="D129" s="248">
        <f>SUM(D128)</f>
        <v>9413</v>
      </c>
      <c r="E129" s="249">
        <f>SUM(E128)</f>
        <v>9545.8823976872573</v>
      </c>
      <c r="F129" s="249">
        <f t="shared" ref="F129:S129" si="21">SUM(F128)</f>
        <v>9680.6406831483528</v>
      </c>
      <c r="G129" s="249">
        <f t="shared" si="21"/>
        <v>9817.3013381069795</v>
      </c>
      <c r="H129" s="249">
        <f t="shared" si="21"/>
        <v>9955.8912181267387</v>
      </c>
      <c r="I129" s="249">
        <f t="shared" si="21"/>
        <v>10096.437557888577</v>
      </c>
      <c r="J129" s="249">
        <f t="shared" si="21"/>
        <v>10238.967976542772</v>
      </c>
      <c r="K129" s="249">
        <f t="shared" si="21"/>
        <v>10383.510483136424</v>
      </c>
      <c r="L129" s="249">
        <f t="shared" si="21"/>
        <v>10530.093482117616</v>
      </c>
      <c r="M129" s="249">
        <f t="shared" si="21"/>
        <v>10678.745778917228</v>
      </c>
      <c r="N129" s="249">
        <f t="shared" si="21"/>
        <v>10829.496585609593</v>
      </c>
      <c r="O129" s="249">
        <f t="shared" si="21"/>
        <v>10982.375526653017</v>
      </c>
      <c r="P129" s="249">
        <f t="shared" si="21"/>
        <v>11137.412644711398</v>
      </c>
      <c r="Q129" s="249">
        <f t="shared" si="21"/>
        <v>11294.638406557951</v>
      </c>
      <c r="R129" s="249">
        <f t="shared" si="21"/>
        <v>11454.083709062365</v>
      </c>
      <c r="S129" s="249">
        <f t="shared" si="21"/>
        <v>11615.779885262384</v>
      </c>
      <c r="T129" s="248">
        <f>SUM(T128)</f>
        <v>11779.758710521182</v>
      </c>
      <c r="U129" s="257">
        <f>SUM(H129:T129)</f>
        <v>140977.19196510722</v>
      </c>
    </row>
    <row r="130" spans="2:23" s="222" customFormat="1" x14ac:dyDescent="0.25"/>
    <row r="131" spans="2:23" s="222" customFormat="1" x14ac:dyDescent="0.25"/>
    <row r="132" spans="2:23" s="222" customFormat="1" x14ac:dyDescent="0.25"/>
    <row r="133" spans="2:23" s="222" customFormat="1" ht="12.75" customHeight="1" x14ac:dyDescent="0.25">
      <c r="C133" s="1596" t="s">
        <v>1809</v>
      </c>
      <c r="D133" s="1596"/>
      <c r="E133" s="1596"/>
      <c r="F133" s="1596"/>
      <c r="G133" s="1596"/>
      <c r="H133" s="1596"/>
      <c r="I133" s="1596"/>
      <c r="J133" s="1596"/>
      <c r="K133" s="1596"/>
      <c r="L133" s="1596"/>
      <c r="N133" s="1040"/>
      <c r="O133" s="1040"/>
      <c r="P133" s="1040"/>
      <c r="Q133" s="1040"/>
      <c r="R133" s="1040"/>
      <c r="S133" s="1040"/>
      <c r="T133" s="1040"/>
      <c r="U133" s="1040"/>
      <c r="V133" s="1040"/>
      <c r="W133" s="1040"/>
    </row>
    <row r="134" spans="2:23" s="222" customFormat="1" x14ac:dyDescent="0.25">
      <c r="C134" s="1596"/>
      <c r="D134" s="1596"/>
      <c r="E134" s="1596"/>
      <c r="F134" s="1596"/>
      <c r="G134" s="1596"/>
      <c r="H134" s="1596"/>
      <c r="I134" s="1596"/>
      <c r="J134" s="1596"/>
      <c r="K134" s="1596"/>
      <c r="L134" s="1596"/>
      <c r="N134" s="1040"/>
      <c r="O134" s="1040"/>
      <c r="P134" s="1040"/>
      <c r="Q134" s="1040"/>
      <c r="R134" s="1040"/>
      <c r="S134" s="1040"/>
      <c r="T134" s="1040"/>
      <c r="U134" s="1040"/>
      <c r="V134" s="1040"/>
      <c r="W134" s="1040"/>
    </row>
    <row r="135" spans="2:23" s="222" customFormat="1" x14ac:dyDescent="0.25">
      <c r="C135" s="1596"/>
      <c r="D135" s="1596"/>
      <c r="E135" s="1596"/>
      <c r="F135" s="1596"/>
      <c r="G135" s="1596"/>
      <c r="H135" s="1596"/>
      <c r="I135" s="1596"/>
      <c r="J135" s="1596"/>
      <c r="K135" s="1596"/>
      <c r="L135" s="1596"/>
      <c r="N135" s="1040"/>
      <c r="O135" s="1040"/>
      <c r="P135" s="1040"/>
      <c r="Q135" s="1040"/>
      <c r="R135" s="1040"/>
      <c r="S135" s="1040"/>
      <c r="T135" s="1040"/>
      <c r="U135" s="1040"/>
      <c r="V135" s="1040"/>
      <c r="W135" s="1040"/>
    </row>
    <row r="136" spans="2:23" s="222" customFormat="1" x14ac:dyDescent="0.25">
      <c r="C136" s="1596"/>
      <c r="D136" s="1596"/>
      <c r="E136" s="1596"/>
      <c r="F136" s="1596"/>
      <c r="G136" s="1596"/>
      <c r="H136" s="1596"/>
      <c r="I136" s="1596"/>
      <c r="J136" s="1596"/>
      <c r="K136" s="1596"/>
      <c r="L136" s="1596"/>
      <c r="N136" s="1040"/>
      <c r="O136" s="1040"/>
      <c r="P136" s="1040"/>
      <c r="Q136" s="1040"/>
      <c r="R136" s="1040"/>
      <c r="S136" s="1040"/>
      <c r="T136" s="1040"/>
      <c r="U136" s="1040"/>
      <c r="V136" s="1040"/>
      <c r="W136" s="1040"/>
    </row>
    <row r="137" spans="2:23" s="222" customFormat="1" x14ac:dyDescent="0.25"/>
    <row r="138" spans="2:23" s="222" customFormat="1" x14ac:dyDescent="0.25">
      <c r="B138" s="222">
        <v>1</v>
      </c>
      <c r="C138" s="1040" t="s">
        <v>394</v>
      </c>
    </row>
    <row r="139" spans="2:23" s="222" customFormat="1" x14ac:dyDescent="0.25">
      <c r="B139" s="261">
        <v>1</v>
      </c>
      <c r="C139" s="222" t="s">
        <v>1649</v>
      </c>
    </row>
    <row r="140" spans="2:23" s="222" customFormat="1" x14ac:dyDescent="0.25">
      <c r="B140" s="261">
        <v>2</v>
      </c>
      <c r="C140" s="222" t="s">
        <v>1650</v>
      </c>
    </row>
    <row r="141" spans="2:23" s="222" customFormat="1" x14ac:dyDescent="0.25">
      <c r="B141" s="261">
        <v>3</v>
      </c>
      <c r="C141" s="261" t="s">
        <v>1651</v>
      </c>
      <c r="D141" s="261"/>
      <c r="E141" s="261"/>
      <c r="F141" s="261"/>
      <c r="G141" s="261"/>
      <c r="H141" s="261"/>
      <c r="I141" s="261"/>
      <c r="J141" s="261"/>
    </row>
    <row r="142" spans="2:23" s="222" customFormat="1" x14ac:dyDescent="0.25">
      <c r="B142" s="261">
        <v>4</v>
      </c>
      <c r="C142" s="222" t="s">
        <v>1652</v>
      </c>
    </row>
    <row r="143" spans="2:23" s="222" customFormat="1" x14ac:dyDescent="0.25"/>
    <row r="144" spans="2:23" s="222" customFormat="1" x14ac:dyDescent="0.25"/>
    <row r="145" spans="2:5" s="222" customFormat="1" ht="24" customHeight="1" x14ac:dyDescent="0.25">
      <c r="B145" s="1593" t="s">
        <v>1653</v>
      </c>
      <c r="C145" s="1593"/>
      <c r="D145" s="1593"/>
      <c r="E145" s="1593"/>
    </row>
    <row r="146" spans="2:5" s="222" customFormat="1" x14ac:dyDescent="0.25"/>
    <row r="147" spans="2:5" s="222" customFormat="1" x14ac:dyDescent="0.25">
      <c r="B147" s="347" t="s">
        <v>398</v>
      </c>
      <c r="C147" s="347" t="s">
        <v>583</v>
      </c>
      <c r="D147" s="347" t="s">
        <v>397</v>
      </c>
      <c r="E147" s="347" t="s">
        <v>426</v>
      </c>
    </row>
    <row r="148" spans="2:5" s="222" customFormat="1" ht="29.25" customHeight="1" x14ac:dyDescent="0.25">
      <c r="B148" s="358" t="s">
        <v>401</v>
      </c>
      <c r="C148" s="1600" t="s">
        <v>1706</v>
      </c>
      <c r="D148" s="1601"/>
      <c r="E148" s="1602"/>
    </row>
    <row r="149" spans="2:5" s="222" customFormat="1" ht="14.25" customHeight="1" x14ac:dyDescent="0.25">
      <c r="B149" s="351" t="s">
        <v>1586</v>
      </c>
      <c r="C149" s="278" t="s">
        <v>585</v>
      </c>
      <c r="D149" s="351" t="s">
        <v>402</v>
      </c>
      <c r="E149" s="351">
        <v>1</v>
      </c>
    </row>
    <row r="150" spans="2:5" s="222" customFormat="1" ht="14.25" customHeight="1" x14ac:dyDescent="0.25">
      <c r="B150" s="351" t="s">
        <v>1588</v>
      </c>
      <c r="C150" s="278" t="s">
        <v>586</v>
      </c>
      <c r="D150" s="351" t="s">
        <v>402</v>
      </c>
      <c r="E150" s="351">
        <v>1</v>
      </c>
    </row>
    <row r="151" spans="2:5" s="222" customFormat="1" ht="14.25" customHeight="1" x14ac:dyDescent="0.25">
      <c r="B151" s="351" t="s">
        <v>587</v>
      </c>
      <c r="C151" s="278" t="s">
        <v>588</v>
      </c>
      <c r="D151" s="351" t="s">
        <v>402</v>
      </c>
      <c r="E151" s="351">
        <v>1</v>
      </c>
    </row>
    <row r="152" spans="2:5" s="222" customFormat="1" ht="14.25" customHeight="1" x14ac:dyDescent="0.25">
      <c r="B152" s="351" t="s">
        <v>1683</v>
      </c>
      <c r="C152" s="278" t="s">
        <v>590</v>
      </c>
      <c r="D152" s="351" t="s">
        <v>591</v>
      </c>
      <c r="E152" s="351">
        <v>250</v>
      </c>
    </row>
    <row r="153" spans="2:5" s="222" customFormat="1" ht="30" customHeight="1" x14ac:dyDescent="0.25">
      <c r="B153" s="358" t="s">
        <v>400</v>
      </c>
      <c r="C153" s="1600" t="s">
        <v>1707</v>
      </c>
      <c r="D153" s="1601"/>
      <c r="E153" s="1602"/>
    </row>
    <row r="154" spans="2:5" s="222" customFormat="1" ht="18" customHeight="1" x14ac:dyDescent="0.25">
      <c r="B154" s="351" t="s">
        <v>592</v>
      </c>
      <c r="C154" s="278" t="s">
        <v>593</v>
      </c>
      <c r="D154" s="351" t="s">
        <v>594</v>
      </c>
      <c r="E154" s="362">
        <v>40</v>
      </c>
    </row>
    <row r="155" spans="2:5" s="222" customFormat="1" ht="40.5" customHeight="1" x14ac:dyDescent="0.25">
      <c r="B155" s="358" t="s">
        <v>595</v>
      </c>
      <c r="C155" s="1600" t="s">
        <v>1669</v>
      </c>
      <c r="D155" s="1601"/>
      <c r="E155" s="1602"/>
    </row>
    <row r="156" spans="2:5" s="222" customFormat="1" ht="37.5" customHeight="1" x14ac:dyDescent="0.25">
      <c r="B156" s="353" t="s">
        <v>1596</v>
      </c>
      <c r="C156" s="352" t="s">
        <v>597</v>
      </c>
      <c r="D156" s="353" t="s">
        <v>666</v>
      </c>
      <c r="E156" s="1253">
        <v>8167.32</v>
      </c>
    </row>
    <row r="157" spans="2:5" s="222" customFormat="1" x14ac:dyDescent="0.25">
      <c r="B157" s="351" t="s">
        <v>598</v>
      </c>
      <c r="C157" s="278" t="s">
        <v>599</v>
      </c>
      <c r="D157" s="351" t="s">
        <v>600</v>
      </c>
      <c r="E157" s="367">
        <v>30</v>
      </c>
    </row>
    <row r="158" spans="2:5" s="222" customFormat="1" x14ac:dyDescent="0.25">
      <c r="B158" s="351" t="s">
        <v>1645</v>
      </c>
      <c r="C158" s="354" t="s">
        <v>602</v>
      </c>
      <c r="D158" s="351" t="s">
        <v>402</v>
      </c>
      <c r="E158" s="367">
        <v>3</v>
      </c>
    </row>
    <row r="159" spans="2:5" s="222" customFormat="1" ht="15" x14ac:dyDescent="0.25">
      <c r="B159" s="351" t="s">
        <v>1646</v>
      </c>
      <c r="C159" s="278" t="s">
        <v>604</v>
      </c>
      <c r="D159" s="351" t="s">
        <v>594</v>
      </c>
      <c r="E159" s="367">
        <v>40</v>
      </c>
    </row>
    <row r="160" spans="2:5" s="222" customFormat="1" ht="27" customHeight="1" x14ac:dyDescent="0.25">
      <c r="B160" s="358" t="s">
        <v>605</v>
      </c>
      <c r="C160" s="1600" t="s">
        <v>1708</v>
      </c>
      <c r="D160" s="1601"/>
      <c r="E160" s="1602"/>
    </row>
    <row r="161" spans="2:5" s="222" customFormat="1" ht="28.5" customHeight="1" x14ac:dyDescent="0.25">
      <c r="B161" s="347" t="s">
        <v>606</v>
      </c>
      <c r="C161" s="1603" t="s">
        <v>607</v>
      </c>
      <c r="D161" s="1604"/>
      <c r="E161" s="1605"/>
    </row>
    <row r="162" spans="2:5" s="222" customFormat="1" ht="15" x14ac:dyDescent="0.25">
      <c r="B162" s="351" t="s">
        <v>1684</v>
      </c>
      <c r="C162" s="278" t="s">
        <v>609</v>
      </c>
      <c r="D162" s="351" t="s">
        <v>594</v>
      </c>
      <c r="E162" s="362">
        <v>35</v>
      </c>
    </row>
    <row r="163" spans="2:5" s="222" customFormat="1" ht="15" x14ac:dyDescent="0.25">
      <c r="B163" s="351" t="s">
        <v>1685</v>
      </c>
      <c r="C163" s="278" t="s">
        <v>611</v>
      </c>
      <c r="D163" s="351" t="s">
        <v>594</v>
      </c>
      <c r="E163" s="362">
        <v>86</v>
      </c>
    </row>
    <row r="164" spans="2:5" s="222" customFormat="1" ht="15" x14ac:dyDescent="0.25">
      <c r="B164" s="351" t="s">
        <v>1686</v>
      </c>
      <c r="C164" s="278" t="s">
        <v>613</v>
      </c>
      <c r="D164" s="351" t="s">
        <v>594</v>
      </c>
      <c r="E164" s="362">
        <v>18.5</v>
      </c>
    </row>
    <row r="165" spans="2:5" s="222" customFormat="1" ht="15" x14ac:dyDescent="0.25">
      <c r="B165" s="351" t="s">
        <v>1687</v>
      </c>
      <c r="C165" s="278" t="s">
        <v>615</v>
      </c>
      <c r="D165" s="351" t="s">
        <v>594</v>
      </c>
      <c r="E165" s="362">
        <v>13.5</v>
      </c>
    </row>
    <row r="166" spans="2:5" s="222" customFormat="1" ht="15" x14ac:dyDescent="0.25">
      <c r="B166" s="351" t="s">
        <v>1688</v>
      </c>
      <c r="C166" s="278" t="s">
        <v>431</v>
      </c>
      <c r="D166" s="351" t="s">
        <v>594</v>
      </c>
      <c r="E166" s="362">
        <v>26</v>
      </c>
    </row>
    <row r="167" spans="2:5" s="222" customFormat="1" ht="15" x14ac:dyDescent="0.25">
      <c r="B167" s="1249" t="s">
        <v>617</v>
      </c>
      <c r="C167" s="1250" t="s">
        <v>618</v>
      </c>
      <c r="D167" s="1249" t="s">
        <v>619</v>
      </c>
      <c r="E167" s="1251">
        <v>16.87</v>
      </c>
    </row>
    <row r="168" spans="2:5" s="222" customFormat="1" x14ac:dyDescent="0.25">
      <c r="B168" s="358" t="s">
        <v>620</v>
      </c>
      <c r="C168" s="1600" t="s">
        <v>621</v>
      </c>
      <c r="D168" s="1601"/>
      <c r="E168" s="1602"/>
    </row>
    <row r="169" spans="2:5" s="222" customFormat="1" x14ac:dyDescent="0.25">
      <c r="B169" s="351" t="s">
        <v>1689</v>
      </c>
      <c r="C169" s="355" t="s">
        <v>623</v>
      </c>
      <c r="D169" s="353" t="s">
        <v>402</v>
      </c>
      <c r="E169" s="353">
        <v>5</v>
      </c>
    </row>
    <row r="170" spans="2:5" s="222" customFormat="1" ht="15" x14ac:dyDescent="0.25">
      <c r="B170" s="351" t="s">
        <v>1690</v>
      </c>
      <c r="C170" s="278" t="s">
        <v>625</v>
      </c>
      <c r="D170" s="351" t="s">
        <v>594</v>
      </c>
      <c r="E170" s="362">
        <v>20</v>
      </c>
    </row>
    <row r="171" spans="2:5" s="222" customFormat="1" ht="13.5" customHeight="1" x14ac:dyDescent="0.25">
      <c r="B171" s="351" t="s">
        <v>1691</v>
      </c>
      <c r="C171" s="278" t="s">
        <v>627</v>
      </c>
      <c r="D171" s="351" t="s">
        <v>594</v>
      </c>
      <c r="E171" s="362">
        <v>20</v>
      </c>
    </row>
    <row r="172" spans="2:5" s="222" customFormat="1" ht="13.5" customHeight="1" x14ac:dyDescent="0.25">
      <c r="B172" s="358" t="s">
        <v>637</v>
      </c>
      <c r="C172" s="1600" t="s">
        <v>638</v>
      </c>
      <c r="D172" s="1601"/>
      <c r="E172" s="1602"/>
    </row>
    <row r="173" spans="2:5" s="222" customFormat="1" ht="15" x14ac:dyDescent="0.25">
      <c r="B173" s="351" t="s">
        <v>1692</v>
      </c>
      <c r="C173" s="278" t="s">
        <v>628</v>
      </c>
      <c r="D173" s="351" t="s">
        <v>594</v>
      </c>
      <c r="E173" s="362">
        <v>23</v>
      </c>
    </row>
    <row r="174" spans="2:5" s="222" customFormat="1" ht="15" x14ac:dyDescent="0.25">
      <c r="B174" s="351" t="s">
        <v>1693</v>
      </c>
      <c r="C174" s="278" t="s">
        <v>629</v>
      </c>
      <c r="D174" s="351" t="s">
        <v>594</v>
      </c>
      <c r="E174" s="362">
        <v>16</v>
      </c>
    </row>
    <row r="175" spans="2:5" s="222" customFormat="1" ht="15" x14ac:dyDescent="0.25">
      <c r="B175" s="351" t="s">
        <v>641</v>
      </c>
      <c r="C175" s="278" t="s">
        <v>630</v>
      </c>
      <c r="D175" s="351" t="s">
        <v>594</v>
      </c>
      <c r="E175" s="362">
        <v>24</v>
      </c>
    </row>
    <row r="176" spans="2:5" s="222" customFormat="1" ht="15" x14ac:dyDescent="0.25">
      <c r="B176" s="351" t="s">
        <v>1694</v>
      </c>
      <c r="C176" s="278" t="s">
        <v>631</v>
      </c>
      <c r="D176" s="351" t="s">
        <v>594</v>
      </c>
      <c r="E176" s="362">
        <v>9</v>
      </c>
    </row>
    <row r="177" spans="2:5" s="222" customFormat="1" x14ac:dyDescent="0.25">
      <c r="B177" s="356" t="s">
        <v>1695</v>
      </c>
      <c r="C177" s="357" t="s">
        <v>632</v>
      </c>
      <c r="D177" s="356" t="s">
        <v>411</v>
      </c>
      <c r="E177" s="363">
        <v>1</v>
      </c>
    </row>
    <row r="178" spans="2:5" s="222" customFormat="1" ht="15" x14ac:dyDescent="0.25">
      <c r="B178" s="356" t="s">
        <v>1696</v>
      </c>
      <c r="C178" s="357" t="s">
        <v>633</v>
      </c>
      <c r="D178" s="356" t="s">
        <v>634</v>
      </c>
      <c r="E178" s="363">
        <v>2</v>
      </c>
    </row>
    <row r="179" spans="2:5" s="222" customFormat="1" x14ac:dyDescent="0.25">
      <c r="B179" s="356" t="s">
        <v>1697</v>
      </c>
      <c r="C179" s="357" t="s">
        <v>635</v>
      </c>
      <c r="D179" s="356" t="s">
        <v>636</v>
      </c>
      <c r="E179" s="363">
        <v>200</v>
      </c>
    </row>
    <row r="180" spans="2:5" s="222" customFormat="1" ht="27.75" customHeight="1" x14ac:dyDescent="0.25">
      <c r="B180" s="358" t="s">
        <v>646</v>
      </c>
      <c r="C180" s="1600" t="s">
        <v>1889</v>
      </c>
      <c r="D180" s="1601"/>
      <c r="E180" s="1602"/>
    </row>
    <row r="181" spans="2:5" s="222" customFormat="1" ht="44.25" customHeight="1" x14ac:dyDescent="0.25">
      <c r="B181" s="1018" t="s">
        <v>1698</v>
      </c>
      <c r="C181" s="1019" t="s">
        <v>1888</v>
      </c>
      <c r="D181" s="1018" t="s">
        <v>402</v>
      </c>
      <c r="E181" s="1020">
        <v>1</v>
      </c>
    </row>
    <row r="182" spans="2:5" s="222" customFormat="1" ht="38.25" x14ac:dyDescent="0.25">
      <c r="B182" s="1018" t="s">
        <v>1699</v>
      </c>
      <c r="C182" s="1019" t="s">
        <v>1408</v>
      </c>
      <c r="D182" s="1018" t="s">
        <v>402</v>
      </c>
      <c r="E182" s="1020">
        <v>11</v>
      </c>
    </row>
    <row r="183" spans="2:5" s="222" customFormat="1" ht="31.5" customHeight="1" x14ac:dyDescent="0.25">
      <c r="B183" s="1018" t="s">
        <v>1409</v>
      </c>
      <c r="C183" s="1019" t="s">
        <v>1403</v>
      </c>
      <c r="D183" s="1018" t="s">
        <v>402</v>
      </c>
      <c r="E183" s="1020">
        <v>11</v>
      </c>
    </row>
    <row r="184" spans="2:5" s="222" customFormat="1" ht="25.5" customHeight="1" x14ac:dyDescent="0.25">
      <c r="B184" s="1018" t="s">
        <v>1700</v>
      </c>
      <c r="C184" s="1019" t="s">
        <v>1404</v>
      </c>
      <c r="D184" s="1018" t="s">
        <v>402</v>
      </c>
      <c r="E184" s="1020">
        <v>11</v>
      </c>
    </row>
    <row r="185" spans="2:5" s="222" customFormat="1" ht="41.25" customHeight="1" x14ac:dyDescent="0.25">
      <c r="B185" s="1018" t="s">
        <v>1701</v>
      </c>
      <c r="C185" s="1019" t="s">
        <v>1405</v>
      </c>
      <c r="D185" s="1018" t="s">
        <v>402</v>
      </c>
      <c r="E185" s="1020">
        <v>11</v>
      </c>
    </row>
    <row r="186" spans="2:5" s="222" customFormat="1" ht="37.5" customHeight="1" x14ac:dyDescent="0.25">
      <c r="B186" s="1018" t="s">
        <v>1410</v>
      </c>
      <c r="C186" s="1021" t="s">
        <v>1406</v>
      </c>
      <c r="D186" s="1018" t="s">
        <v>402</v>
      </c>
      <c r="E186" s="1020">
        <v>11</v>
      </c>
    </row>
    <row r="187" spans="2:5" s="222" customFormat="1" ht="45" customHeight="1" x14ac:dyDescent="0.25">
      <c r="B187" s="1018" t="s">
        <v>1887</v>
      </c>
      <c r="C187" s="1021" t="s">
        <v>1407</v>
      </c>
      <c r="D187" s="1018" t="s">
        <v>402</v>
      </c>
      <c r="E187" s="1020">
        <v>11</v>
      </c>
    </row>
    <row r="188" spans="2:5" s="222" customFormat="1" x14ac:dyDescent="0.25"/>
    <row r="189" spans="2:5" s="222" customFormat="1" x14ac:dyDescent="0.25"/>
    <row r="190" spans="2:5" s="222" customFormat="1" ht="28.5" customHeight="1" x14ac:dyDescent="0.25">
      <c r="B190" s="1593" t="s">
        <v>1654</v>
      </c>
      <c r="C190" s="1593"/>
      <c r="D190" s="1593"/>
      <c r="E190" s="1593"/>
    </row>
    <row r="191" spans="2:5" s="222" customFormat="1" x14ac:dyDescent="0.25"/>
    <row r="192" spans="2:5" s="222" customFormat="1" x14ac:dyDescent="0.25">
      <c r="B192" s="217" t="s">
        <v>398</v>
      </c>
      <c r="C192" s="217" t="s">
        <v>396</v>
      </c>
      <c r="D192" s="217" t="s">
        <v>397</v>
      </c>
      <c r="E192" s="217" t="s">
        <v>426</v>
      </c>
    </row>
    <row r="193" spans="2:7" s="222" customFormat="1" x14ac:dyDescent="0.25">
      <c r="B193" s="273" t="s">
        <v>691</v>
      </c>
      <c r="C193" s="1594" t="s">
        <v>1657</v>
      </c>
      <c r="D193" s="1594"/>
      <c r="E193" s="1594"/>
    </row>
    <row r="194" spans="2:7" s="222" customFormat="1" x14ac:dyDescent="0.2">
      <c r="B194" s="1575"/>
      <c r="C194" s="63" t="s">
        <v>1658</v>
      </c>
      <c r="D194" s="157" t="s">
        <v>1536</v>
      </c>
      <c r="E194" s="282">
        <v>2</v>
      </c>
    </row>
    <row r="195" spans="2:7" s="222" customFormat="1" x14ac:dyDescent="0.2">
      <c r="B195" s="1576"/>
      <c r="C195" s="63" t="s">
        <v>1659</v>
      </c>
      <c r="D195" s="157" t="s">
        <v>1536</v>
      </c>
      <c r="E195" s="282">
        <v>2</v>
      </c>
    </row>
    <row r="196" spans="2:7" s="222" customFormat="1" x14ac:dyDescent="0.2">
      <c r="B196" s="1576"/>
      <c r="C196" s="63" t="s">
        <v>1660</v>
      </c>
      <c r="D196" s="157" t="s">
        <v>1536</v>
      </c>
      <c r="E196" s="282">
        <v>2</v>
      </c>
    </row>
    <row r="197" spans="2:7" s="222" customFormat="1" x14ac:dyDescent="0.2">
      <c r="B197" s="1576"/>
      <c r="C197" s="63" t="s">
        <v>1661</v>
      </c>
      <c r="D197" s="157" t="s">
        <v>1536</v>
      </c>
      <c r="E197" s="282">
        <v>3</v>
      </c>
    </row>
    <row r="198" spans="2:7" s="222" customFormat="1" x14ac:dyDescent="0.2">
      <c r="B198" s="1576"/>
      <c r="C198" s="63" t="s">
        <v>1662</v>
      </c>
      <c r="D198" s="157" t="s">
        <v>1536</v>
      </c>
      <c r="E198" s="282">
        <v>3</v>
      </c>
    </row>
    <row r="199" spans="2:7" s="222" customFormat="1" x14ac:dyDescent="0.2">
      <c r="B199" s="1576"/>
      <c r="C199" s="63" t="s">
        <v>1663</v>
      </c>
      <c r="D199" s="157" t="s">
        <v>1536</v>
      </c>
      <c r="E199" s="282">
        <v>12</v>
      </c>
    </row>
    <row r="200" spans="2:7" s="222" customFormat="1" x14ac:dyDescent="0.2">
      <c r="B200" s="1576"/>
      <c r="C200" s="1234" t="s">
        <v>1664</v>
      </c>
      <c r="D200" s="1235" t="s">
        <v>1536</v>
      </c>
      <c r="E200" s="1236">
        <v>1</v>
      </c>
    </row>
    <row r="201" spans="2:7" s="222" customFormat="1" x14ac:dyDescent="0.2">
      <c r="B201" s="1576"/>
      <c r="C201" s="63" t="s">
        <v>1665</v>
      </c>
      <c r="D201" s="157" t="s">
        <v>1536</v>
      </c>
      <c r="E201" s="282">
        <v>2</v>
      </c>
    </row>
    <row r="202" spans="2:7" s="222" customFormat="1" x14ac:dyDescent="0.2">
      <c r="B202" s="1576"/>
      <c r="C202" s="1231" t="s">
        <v>1666</v>
      </c>
      <c r="D202" s="157" t="s">
        <v>1536</v>
      </c>
      <c r="E202" s="282">
        <v>1</v>
      </c>
    </row>
    <row r="203" spans="2:7" s="222" customFormat="1" x14ac:dyDescent="0.2">
      <c r="B203" s="1576"/>
      <c r="C203" s="1231" t="s">
        <v>521</v>
      </c>
      <c r="D203" s="157" t="s">
        <v>1536</v>
      </c>
      <c r="E203" s="282">
        <v>2</v>
      </c>
    </row>
    <row r="204" spans="2:7" s="222" customFormat="1" x14ac:dyDescent="0.2">
      <c r="B204" s="1576"/>
      <c r="C204" s="1232" t="s">
        <v>803</v>
      </c>
      <c r="D204" s="157" t="s">
        <v>1668</v>
      </c>
      <c r="E204" s="282">
        <v>1</v>
      </c>
    </row>
    <row r="205" spans="2:7" s="222" customFormat="1" ht="16.5" x14ac:dyDescent="0.3">
      <c r="B205" s="1577"/>
      <c r="C205" s="1233" t="s">
        <v>1667</v>
      </c>
      <c r="D205" s="157" t="s">
        <v>1536</v>
      </c>
      <c r="E205" s="282">
        <v>1</v>
      </c>
    </row>
    <row r="206" spans="2:7" s="222" customFormat="1" ht="27" customHeight="1" x14ac:dyDescent="0.25">
      <c r="B206" s="273">
        <v>2.2000000000000002</v>
      </c>
      <c r="C206" s="1594" t="s">
        <v>1891</v>
      </c>
      <c r="D206" s="1594"/>
      <c r="E206" s="1594"/>
      <c r="G206" s="222" t="s">
        <v>1890</v>
      </c>
    </row>
    <row r="207" spans="2:7" s="222" customFormat="1" ht="25.5" x14ac:dyDescent="0.25">
      <c r="B207" s="1575"/>
      <c r="C207" s="1232" t="s">
        <v>1892</v>
      </c>
      <c r="D207" s="269" t="s">
        <v>1536</v>
      </c>
      <c r="E207" s="282">
        <v>2</v>
      </c>
    </row>
    <row r="208" spans="2:7" s="222" customFormat="1" ht="38.25" x14ac:dyDescent="0.25">
      <c r="B208" s="1576"/>
      <c r="C208" s="1232" t="s">
        <v>1893</v>
      </c>
      <c r="D208" s="269" t="s">
        <v>1895</v>
      </c>
      <c r="E208" s="1464">
        <v>1</v>
      </c>
    </row>
    <row r="209" spans="2:5" s="222" customFormat="1" ht="38.25" x14ac:dyDescent="0.25">
      <c r="B209" s="1577"/>
      <c r="C209" s="1232" t="s">
        <v>1894</v>
      </c>
      <c r="D209" s="269" t="s">
        <v>1895</v>
      </c>
      <c r="E209" s="1464">
        <v>1</v>
      </c>
    </row>
    <row r="210" spans="2:5" s="222" customFormat="1" ht="47.25" customHeight="1" x14ac:dyDescent="0.25">
      <c r="B210" s="273">
        <v>2.2999999999999998</v>
      </c>
      <c r="C210" s="1594" t="s">
        <v>1710</v>
      </c>
      <c r="D210" s="1594"/>
      <c r="E210" s="1594"/>
    </row>
    <row r="211" spans="2:5" s="222" customFormat="1" ht="33" customHeight="1" x14ac:dyDescent="0.25">
      <c r="B211" s="284" t="s">
        <v>410</v>
      </c>
      <c r="C211" s="1597" t="s">
        <v>532</v>
      </c>
      <c r="D211" s="1598"/>
      <c r="E211" s="1599"/>
    </row>
    <row r="212" spans="2:5" s="222" customFormat="1" ht="14.25" customHeight="1" x14ac:dyDescent="0.25">
      <c r="B212" s="284"/>
      <c r="C212" s="283" t="s">
        <v>435</v>
      </c>
      <c r="D212" s="135" t="s">
        <v>402</v>
      </c>
      <c r="E212" s="282">
        <v>2</v>
      </c>
    </row>
    <row r="213" spans="2:5" s="222" customFormat="1" ht="14.25" customHeight="1" x14ac:dyDescent="0.25">
      <c r="B213" s="286"/>
      <c r="C213" s="283" t="s">
        <v>432</v>
      </c>
      <c r="D213" s="282" t="s">
        <v>411</v>
      </c>
      <c r="E213" s="282">
        <v>1</v>
      </c>
    </row>
    <row r="214" spans="2:5" s="222" customFormat="1" ht="14.25" customHeight="1" x14ac:dyDescent="0.25">
      <c r="B214" s="286"/>
      <c r="C214" s="283" t="s">
        <v>433</v>
      </c>
      <c r="D214" s="135" t="s">
        <v>402</v>
      </c>
      <c r="E214" s="282">
        <v>1</v>
      </c>
    </row>
    <row r="215" spans="2:5" s="222" customFormat="1" ht="14.25" customHeight="1" x14ac:dyDescent="0.25">
      <c r="B215" s="285"/>
      <c r="C215" s="283" t="s">
        <v>434</v>
      </c>
      <c r="D215" s="135" t="s">
        <v>402</v>
      </c>
      <c r="E215" s="282">
        <v>1</v>
      </c>
    </row>
    <row r="216" spans="2:5" s="222" customFormat="1" ht="26.25" customHeight="1" x14ac:dyDescent="0.25">
      <c r="B216" s="285" t="s">
        <v>1621</v>
      </c>
      <c r="C216" s="1597" t="s">
        <v>1671</v>
      </c>
      <c r="D216" s="1598"/>
      <c r="E216" s="1599"/>
    </row>
    <row r="217" spans="2:5" s="222" customFormat="1" x14ac:dyDescent="0.25">
      <c r="B217" s="1575"/>
      <c r="C217" s="283" t="s">
        <v>436</v>
      </c>
      <c r="D217" s="135" t="s">
        <v>402</v>
      </c>
      <c r="E217" s="282">
        <v>1</v>
      </c>
    </row>
    <row r="218" spans="2:5" s="222" customFormat="1" x14ac:dyDescent="0.25">
      <c r="B218" s="1576"/>
      <c r="C218" s="283" t="s">
        <v>437</v>
      </c>
      <c r="D218" s="135" t="s">
        <v>402</v>
      </c>
      <c r="E218" s="282">
        <v>1</v>
      </c>
    </row>
    <row r="219" spans="2:5" s="222" customFormat="1" x14ac:dyDescent="0.25">
      <c r="B219" s="1576"/>
      <c r="C219" s="283" t="s">
        <v>438</v>
      </c>
      <c r="D219" s="135" t="s">
        <v>402</v>
      </c>
      <c r="E219" s="282">
        <v>1</v>
      </c>
    </row>
    <row r="220" spans="2:5" s="222" customFormat="1" x14ac:dyDescent="0.25">
      <c r="B220" s="1576"/>
      <c r="C220" s="283" t="s">
        <v>439</v>
      </c>
      <c r="D220" s="135" t="s">
        <v>402</v>
      </c>
      <c r="E220" s="282">
        <v>2</v>
      </c>
    </row>
    <row r="221" spans="2:5" s="222" customFormat="1" x14ac:dyDescent="0.25">
      <c r="B221" s="1576"/>
      <c r="C221" s="283" t="s">
        <v>440</v>
      </c>
      <c r="D221" s="135" t="s">
        <v>402</v>
      </c>
      <c r="E221" s="282">
        <v>1</v>
      </c>
    </row>
    <row r="222" spans="2:5" s="222" customFormat="1" x14ac:dyDescent="0.25">
      <c r="B222" s="1576"/>
      <c r="C222" s="283" t="s">
        <v>441</v>
      </c>
      <c r="D222" s="135" t="s">
        <v>402</v>
      </c>
      <c r="E222" s="282">
        <v>1</v>
      </c>
    </row>
    <row r="223" spans="2:5" s="222" customFormat="1" x14ac:dyDescent="0.25">
      <c r="B223" s="1576"/>
      <c r="C223" s="283" t="s">
        <v>442</v>
      </c>
      <c r="D223" s="135" t="s">
        <v>402</v>
      </c>
      <c r="E223" s="282">
        <v>1</v>
      </c>
    </row>
    <row r="224" spans="2:5" s="222" customFormat="1" x14ac:dyDescent="0.25">
      <c r="B224" s="1576"/>
      <c r="C224" s="283" t="s">
        <v>443</v>
      </c>
      <c r="D224" s="135" t="s">
        <v>402</v>
      </c>
      <c r="E224" s="282">
        <v>4</v>
      </c>
    </row>
    <row r="225" spans="2:5" s="222" customFormat="1" x14ac:dyDescent="0.25">
      <c r="B225" s="1576"/>
      <c r="C225" s="283" t="s">
        <v>444</v>
      </c>
      <c r="D225" s="135" t="s">
        <v>402</v>
      </c>
      <c r="E225" s="282">
        <v>1</v>
      </c>
    </row>
    <row r="226" spans="2:5" s="222" customFormat="1" x14ac:dyDescent="0.25">
      <c r="B226" s="1576"/>
      <c r="C226" s="283" t="s">
        <v>445</v>
      </c>
      <c r="D226" s="135" t="s">
        <v>402</v>
      </c>
      <c r="E226" s="282">
        <v>10</v>
      </c>
    </row>
    <row r="227" spans="2:5" s="222" customFormat="1" x14ac:dyDescent="0.25">
      <c r="B227" s="1576"/>
      <c r="C227" s="283" t="s">
        <v>446</v>
      </c>
      <c r="D227" s="135" t="s">
        <v>402</v>
      </c>
      <c r="E227" s="282">
        <v>1</v>
      </c>
    </row>
    <row r="228" spans="2:5" s="222" customFormat="1" x14ac:dyDescent="0.25">
      <c r="B228" s="1576"/>
      <c r="C228" s="283" t="s">
        <v>447</v>
      </c>
      <c r="D228" s="282" t="s">
        <v>411</v>
      </c>
      <c r="E228" s="282">
        <v>1</v>
      </c>
    </row>
    <row r="229" spans="2:5" s="222" customFormat="1" x14ac:dyDescent="0.25">
      <c r="B229" s="1577"/>
      <c r="C229" s="283" t="s">
        <v>448</v>
      </c>
      <c r="D229" s="282" t="s">
        <v>411</v>
      </c>
      <c r="E229" s="282">
        <v>1</v>
      </c>
    </row>
    <row r="230" spans="2:5" s="222" customFormat="1" ht="29.25" customHeight="1" x14ac:dyDescent="0.25">
      <c r="B230" s="274" t="s">
        <v>1622</v>
      </c>
      <c r="C230" s="1597" t="s">
        <v>1670</v>
      </c>
      <c r="D230" s="1598"/>
      <c r="E230" s="1599"/>
    </row>
    <row r="231" spans="2:5" s="222" customFormat="1" x14ac:dyDescent="0.25">
      <c r="B231" s="1575"/>
      <c r="C231" s="289" t="s">
        <v>449</v>
      </c>
      <c r="D231" s="135" t="s">
        <v>402</v>
      </c>
      <c r="E231" s="288">
        <v>15</v>
      </c>
    </row>
    <row r="232" spans="2:5" s="222" customFormat="1" x14ac:dyDescent="0.25">
      <c r="B232" s="1576"/>
      <c r="C232" s="289" t="s">
        <v>450</v>
      </c>
      <c r="D232" s="288" t="s">
        <v>467</v>
      </c>
      <c r="E232" s="288">
        <v>200</v>
      </c>
    </row>
    <row r="233" spans="2:5" s="222" customFormat="1" ht="25.5" x14ac:dyDescent="0.25">
      <c r="B233" s="1576"/>
      <c r="C233" s="289" t="s">
        <v>451</v>
      </c>
      <c r="D233" s="135" t="s">
        <v>402</v>
      </c>
      <c r="E233" s="288">
        <v>30</v>
      </c>
    </row>
    <row r="234" spans="2:5" s="222" customFormat="1" x14ac:dyDescent="0.25">
      <c r="B234" s="1576"/>
      <c r="C234" s="289" t="s">
        <v>452</v>
      </c>
      <c r="D234" s="135" t="s">
        <v>402</v>
      </c>
      <c r="E234" s="288">
        <v>2</v>
      </c>
    </row>
    <row r="235" spans="2:5" s="222" customFormat="1" x14ac:dyDescent="0.25">
      <c r="B235" s="1576"/>
      <c r="C235" s="289" t="s">
        <v>453</v>
      </c>
      <c r="D235" s="135" t="s">
        <v>402</v>
      </c>
      <c r="E235" s="288">
        <v>2</v>
      </c>
    </row>
    <row r="236" spans="2:5" s="222" customFormat="1" x14ac:dyDescent="0.25">
      <c r="B236" s="1576"/>
      <c r="C236" s="289" t="s">
        <v>454</v>
      </c>
      <c r="D236" s="135" t="s">
        <v>402</v>
      </c>
      <c r="E236" s="288">
        <v>8</v>
      </c>
    </row>
    <row r="237" spans="2:5" s="222" customFormat="1" ht="25.5" x14ac:dyDescent="0.25">
      <c r="B237" s="1576"/>
      <c r="C237" s="289" t="s">
        <v>455</v>
      </c>
      <c r="D237" s="282" t="s">
        <v>411</v>
      </c>
      <c r="E237" s="288">
        <v>1</v>
      </c>
    </row>
    <row r="238" spans="2:5" s="222" customFormat="1" x14ac:dyDescent="0.25">
      <c r="B238" s="1576"/>
      <c r="C238" s="289" t="s">
        <v>456</v>
      </c>
      <c r="D238" s="135" t="s">
        <v>402</v>
      </c>
      <c r="E238" s="288">
        <v>4</v>
      </c>
    </row>
    <row r="239" spans="2:5" s="222" customFormat="1" x14ac:dyDescent="0.25">
      <c r="B239" s="1576"/>
      <c r="C239" s="289" t="s">
        <v>457</v>
      </c>
      <c r="D239" s="135" t="s">
        <v>402</v>
      </c>
      <c r="E239" s="288">
        <v>2</v>
      </c>
    </row>
    <row r="240" spans="2:5" s="222" customFormat="1" x14ac:dyDescent="0.25">
      <c r="B240" s="1576"/>
      <c r="C240" s="289" t="s">
        <v>458</v>
      </c>
      <c r="D240" s="282" t="s">
        <v>411</v>
      </c>
      <c r="E240" s="288">
        <v>1</v>
      </c>
    </row>
    <row r="241" spans="2:5" s="222" customFormat="1" x14ac:dyDescent="0.25">
      <c r="B241" s="1576"/>
      <c r="C241" s="289" t="s">
        <v>459</v>
      </c>
      <c r="D241" s="135" t="s">
        <v>402</v>
      </c>
      <c r="E241" s="288">
        <v>8</v>
      </c>
    </row>
    <row r="242" spans="2:5" s="222" customFormat="1" x14ac:dyDescent="0.25">
      <c r="B242" s="1576"/>
      <c r="C242" s="289" t="s">
        <v>460</v>
      </c>
      <c r="D242" s="135" t="s">
        <v>402</v>
      </c>
      <c r="E242" s="288">
        <v>8</v>
      </c>
    </row>
    <row r="243" spans="2:5" s="222" customFormat="1" x14ac:dyDescent="0.25">
      <c r="B243" s="1576"/>
      <c r="C243" s="289" t="s">
        <v>461</v>
      </c>
      <c r="D243" s="135" t="s">
        <v>402</v>
      </c>
      <c r="E243" s="288">
        <v>3</v>
      </c>
    </row>
    <row r="244" spans="2:5" s="222" customFormat="1" x14ac:dyDescent="0.25">
      <c r="B244" s="1576"/>
      <c r="C244" s="289" t="s">
        <v>462</v>
      </c>
      <c r="D244" s="135" t="s">
        <v>402</v>
      </c>
      <c r="E244" s="288">
        <v>3</v>
      </c>
    </row>
    <row r="245" spans="2:5" s="222" customFormat="1" x14ac:dyDescent="0.25">
      <c r="B245" s="1576"/>
      <c r="C245" s="289" t="s">
        <v>463</v>
      </c>
      <c r="D245" s="135" t="s">
        <v>402</v>
      </c>
      <c r="E245" s="288">
        <v>3</v>
      </c>
    </row>
    <row r="246" spans="2:5" s="222" customFormat="1" x14ac:dyDescent="0.25">
      <c r="B246" s="1576"/>
      <c r="C246" s="289" t="s">
        <v>464</v>
      </c>
      <c r="D246" s="135" t="s">
        <v>402</v>
      </c>
      <c r="E246" s="288">
        <v>2</v>
      </c>
    </row>
    <row r="247" spans="2:5" s="222" customFormat="1" x14ac:dyDescent="0.25">
      <c r="B247" s="1576"/>
      <c r="C247" s="289" t="s">
        <v>465</v>
      </c>
      <c r="D247" s="135" t="s">
        <v>402</v>
      </c>
      <c r="E247" s="288">
        <v>5</v>
      </c>
    </row>
    <row r="248" spans="2:5" s="222" customFormat="1" x14ac:dyDescent="0.25">
      <c r="B248" s="1577"/>
      <c r="C248" s="289" t="s">
        <v>466</v>
      </c>
      <c r="D248" s="135" t="s">
        <v>402</v>
      </c>
      <c r="E248" s="288">
        <v>3</v>
      </c>
    </row>
    <row r="249" spans="2:5" s="222" customFormat="1" ht="49.5" customHeight="1" x14ac:dyDescent="0.25">
      <c r="B249" s="273">
        <v>2.4</v>
      </c>
      <c r="C249" s="1594" t="s">
        <v>406</v>
      </c>
      <c r="D249" s="1594"/>
      <c r="E249" s="1594"/>
    </row>
    <row r="250" spans="2:5" s="222" customFormat="1" x14ac:dyDescent="0.25">
      <c r="B250" s="274" t="s">
        <v>1711</v>
      </c>
      <c r="C250" s="1587" t="s">
        <v>468</v>
      </c>
      <c r="D250" s="1588"/>
      <c r="E250" s="1589"/>
    </row>
    <row r="251" spans="2:5" s="222" customFormat="1" x14ac:dyDescent="0.25">
      <c r="B251" s="1595"/>
      <c r="C251" s="287" t="s">
        <v>469</v>
      </c>
      <c r="D251" s="135" t="s">
        <v>402</v>
      </c>
      <c r="E251" s="288">
        <v>2</v>
      </c>
    </row>
    <row r="252" spans="2:5" s="222" customFormat="1" x14ac:dyDescent="0.25">
      <c r="B252" s="1595"/>
      <c r="C252" s="287" t="s">
        <v>470</v>
      </c>
      <c r="D252" s="135" t="s">
        <v>402</v>
      </c>
      <c r="E252" s="288">
        <v>1</v>
      </c>
    </row>
    <row r="253" spans="2:5" s="222" customFormat="1" x14ac:dyDescent="0.25">
      <c r="B253" s="1595"/>
      <c r="C253" s="287" t="s">
        <v>471</v>
      </c>
      <c r="D253" s="135" t="s">
        <v>402</v>
      </c>
      <c r="E253" s="288">
        <v>1</v>
      </c>
    </row>
    <row r="254" spans="2:5" s="222" customFormat="1" x14ac:dyDescent="0.25">
      <c r="B254" s="1595"/>
      <c r="C254" s="287" t="s">
        <v>472</v>
      </c>
      <c r="D254" s="135" t="s">
        <v>402</v>
      </c>
      <c r="E254" s="288">
        <v>1</v>
      </c>
    </row>
    <row r="255" spans="2:5" s="222" customFormat="1" x14ac:dyDescent="0.25">
      <c r="B255" s="1595"/>
      <c r="C255" s="287" t="s">
        <v>473</v>
      </c>
      <c r="D255" s="135" t="s">
        <v>402</v>
      </c>
      <c r="E255" s="288">
        <v>2</v>
      </c>
    </row>
    <row r="256" spans="2:5" s="222" customFormat="1" ht="24" customHeight="1" x14ac:dyDescent="0.25">
      <c r="B256" s="274" t="s">
        <v>1896</v>
      </c>
      <c r="C256" s="1578" t="s">
        <v>675</v>
      </c>
      <c r="D256" s="1579"/>
      <c r="E256" s="1580"/>
    </row>
    <row r="257" spans="2:5" s="222" customFormat="1" ht="11.25" customHeight="1" x14ac:dyDescent="0.25">
      <c r="B257" s="1575"/>
      <c r="C257" s="287" t="s">
        <v>474</v>
      </c>
      <c r="D257" s="135" t="s">
        <v>402</v>
      </c>
      <c r="E257" s="288">
        <v>1</v>
      </c>
    </row>
    <row r="258" spans="2:5" s="222" customFormat="1" ht="11.25" customHeight="1" x14ac:dyDescent="0.25">
      <c r="B258" s="1576"/>
      <c r="C258" s="287" t="s">
        <v>475</v>
      </c>
      <c r="D258" s="135" t="s">
        <v>402</v>
      </c>
      <c r="E258" s="288">
        <v>1</v>
      </c>
    </row>
    <row r="259" spans="2:5" s="222" customFormat="1" ht="11.25" customHeight="1" x14ac:dyDescent="0.25">
      <c r="B259" s="1576"/>
      <c r="C259" s="287" t="s">
        <v>476</v>
      </c>
      <c r="D259" s="135" t="s">
        <v>402</v>
      </c>
      <c r="E259" s="288">
        <v>1</v>
      </c>
    </row>
    <row r="260" spans="2:5" s="222" customFormat="1" ht="11.25" customHeight="1" x14ac:dyDescent="0.25">
      <c r="B260" s="1576"/>
      <c r="C260" s="287" t="s">
        <v>477</v>
      </c>
      <c r="D260" s="135" t="s">
        <v>402</v>
      </c>
      <c r="E260" s="288">
        <v>1</v>
      </c>
    </row>
    <row r="261" spans="2:5" s="222" customFormat="1" ht="11.25" customHeight="1" x14ac:dyDescent="0.25">
      <c r="B261" s="1576"/>
      <c r="C261" s="287" t="s">
        <v>478</v>
      </c>
      <c r="D261" s="135" t="s">
        <v>402</v>
      </c>
      <c r="E261" s="288">
        <v>2</v>
      </c>
    </row>
    <row r="262" spans="2:5" s="222" customFormat="1" ht="11.25" customHeight="1" x14ac:dyDescent="0.25">
      <c r="B262" s="1576"/>
      <c r="C262" s="287" t="s">
        <v>461</v>
      </c>
      <c r="D262" s="135" t="s">
        <v>402</v>
      </c>
      <c r="E262" s="288">
        <v>3</v>
      </c>
    </row>
    <row r="263" spans="2:5" s="222" customFormat="1" ht="11.25" customHeight="1" x14ac:dyDescent="0.25">
      <c r="B263" s="1576"/>
      <c r="C263" s="287" t="s">
        <v>462</v>
      </c>
      <c r="D263" s="135" t="s">
        <v>402</v>
      </c>
      <c r="E263" s="288">
        <v>3</v>
      </c>
    </row>
    <row r="264" spans="2:5" s="222" customFormat="1" ht="11.25" customHeight="1" x14ac:dyDescent="0.25">
      <c r="B264" s="1576"/>
      <c r="C264" s="287" t="s">
        <v>479</v>
      </c>
      <c r="D264" s="135" t="s">
        <v>402</v>
      </c>
      <c r="E264" s="288">
        <v>3</v>
      </c>
    </row>
    <row r="265" spans="2:5" s="222" customFormat="1" ht="11.25" customHeight="1" x14ac:dyDescent="0.25">
      <c r="B265" s="1576"/>
      <c r="C265" s="287" t="s">
        <v>463</v>
      </c>
      <c r="D265" s="135" t="s">
        <v>402</v>
      </c>
      <c r="E265" s="288">
        <v>3</v>
      </c>
    </row>
    <row r="266" spans="2:5" s="222" customFormat="1" ht="11.25" customHeight="1" x14ac:dyDescent="0.25">
      <c r="B266" s="1576"/>
      <c r="C266" s="287" t="s">
        <v>480</v>
      </c>
      <c r="D266" s="135" t="s">
        <v>402</v>
      </c>
      <c r="E266" s="288">
        <v>2</v>
      </c>
    </row>
    <row r="267" spans="2:5" s="222" customFormat="1" ht="11.25" customHeight="1" x14ac:dyDescent="0.25">
      <c r="B267" s="1576"/>
      <c r="C267" s="287" t="s">
        <v>465</v>
      </c>
      <c r="D267" s="135" t="s">
        <v>402</v>
      </c>
      <c r="E267" s="288">
        <v>5</v>
      </c>
    </row>
    <row r="268" spans="2:5" s="222" customFormat="1" ht="11.25" customHeight="1" x14ac:dyDescent="0.25">
      <c r="B268" s="1576"/>
      <c r="C268" s="287" t="s">
        <v>466</v>
      </c>
      <c r="D268" s="135" t="s">
        <v>402</v>
      </c>
      <c r="E268" s="288">
        <v>2</v>
      </c>
    </row>
    <row r="269" spans="2:5" s="222" customFormat="1" ht="11.25" customHeight="1" x14ac:dyDescent="0.25">
      <c r="B269" s="1576"/>
      <c r="C269" s="287" t="s">
        <v>481</v>
      </c>
      <c r="D269" s="135" t="s">
        <v>402</v>
      </c>
      <c r="E269" s="288">
        <v>2</v>
      </c>
    </row>
    <row r="270" spans="2:5" s="222" customFormat="1" ht="11.25" customHeight="1" x14ac:dyDescent="0.25">
      <c r="B270" s="1576"/>
      <c r="C270" s="287" t="s">
        <v>482</v>
      </c>
      <c r="D270" s="135" t="s">
        <v>402</v>
      </c>
      <c r="E270" s="288">
        <v>10</v>
      </c>
    </row>
    <row r="271" spans="2:5" s="222" customFormat="1" ht="11.25" customHeight="1" x14ac:dyDescent="0.25">
      <c r="B271" s="1576"/>
      <c r="C271" s="287" t="s">
        <v>483</v>
      </c>
      <c r="D271" s="135" t="s">
        <v>402</v>
      </c>
      <c r="E271" s="288">
        <v>10</v>
      </c>
    </row>
    <row r="272" spans="2:5" s="222" customFormat="1" ht="11.25" customHeight="1" x14ac:dyDescent="0.25">
      <c r="B272" s="1577"/>
      <c r="C272" s="287" t="s">
        <v>484</v>
      </c>
      <c r="D272" s="135" t="s">
        <v>402</v>
      </c>
      <c r="E272" s="288">
        <v>2</v>
      </c>
    </row>
    <row r="273" spans="2:5" s="222" customFormat="1" x14ac:dyDescent="0.25">
      <c r="B273" s="274" t="s">
        <v>1897</v>
      </c>
      <c r="C273" s="1578" t="s">
        <v>485</v>
      </c>
      <c r="D273" s="1579"/>
      <c r="E273" s="1580"/>
    </row>
    <row r="274" spans="2:5" s="222" customFormat="1" x14ac:dyDescent="0.25">
      <c r="B274" s="1575"/>
      <c r="C274" s="287" t="s">
        <v>486</v>
      </c>
      <c r="D274" s="135" t="s">
        <v>402</v>
      </c>
      <c r="E274" s="288">
        <v>1</v>
      </c>
    </row>
    <row r="275" spans="2:5" s="222" customFormat="1" x14ac:dyDescent="0.25">
      <c r="B275" s="1576"/>
      <c r="C275" s="287" t="s">
        <v>487</v>
      </c>
      <c r="D275" s="135" t="s">
        <v>402</v>
      </c>
      <c r="E275" s="288">
        <v>1</v>
      </c>
    </row>
    <row r="276" spans="2:5" s="222" customFormat="1" x14ac:dyDescent="0.25">
      <c r="B276" s="1576"/>
      <c r="C276" s="287" t="s">
        <v>438</v>
      </c>
      <c r="D276" s="135" t="s">
        <v>402</v>
      </c>
      <c r="E276" s="288">
        <v>1</v>
      </c>
    </row>
    <row r="277" spans="2:5" s="222" customFormat="1" x14ac:dyDescent="0.25">
      <c r="B277" s="1576"/>
      <c r="C277" s="287" t="s">
        <v>488</v>
      </c>
      <c r="D277" s="135" t="s">
        <v>402</v>
      </c>
      <c r="E277" s="288">
        <v>2</v>
      </c>
    </row>
    <row r="278" spans="2:5" s="222" customFormat="1" x14ac:dyDescent="0.25">
      <c r="B278" s="1576"/>
      <c r="C278" s="287" t="s">
        <v>489</v>
      </c>
      <c r="D278" s="135" t="s">
        <v>402</v>
      </c>
      <c r="E278" s="288">
        <v>1</v>
      </c>
    </row>
    <row r="279" spans="2:5" s="222" customFormat="1" x14ac:dyDescent="0.25">
      <c r="B279" s="1576"/>
      <c r="C279" s="287" t="s">
        <v>490</v>
      </c>
      <c r="D279" s="135" t="s">
        <v>402</v>
      </c>
      <c r="E279" s="288">
        <v>1</v>
      </c>
    </row>
    <row r="280" spans="2:5" s="222" customFormat="1" x14ac:dyDescent="0.25">
      <c r="B280" s="1576"/>
      <c r="C280" s="287" t="s">
        <v>491</v>
      </c>
      <c r="D280" s="135" t="s">
        <v>402</v>
      </c>
      <c r="E280" s="288">
        <v>1</v>
      </c>
    </row>
    <row r="281" spans="2:5" s="222" customFormat="1" x14ac:dyDescent="0.25">
      <c r="B281" s="1576"/>
      <c r="C281" s="287" t="s">
        <v>492</v>
      </c>
      <c r="D281" s="135" t="s">
        <v>402</v>
      </c>
      <c r="E281" s="288">
        <v>6</v>
      </c>
    </row>
    <row r="282" spans="2:5" s="222" customFormat="1" x14ac:dyDescent="0.25">
      <c r="B282" s="1576"/>
      <c r="C282" s="287" t="s">
        <v>493</v>
      </c>
      <c r="D282" s="135" t="s">
        <v>402</v>
      </c>
      <c r="E282" s="288">
        <v>1</v>
      </c>
    </row>
    <row r="283" spans="2:5" s="222" customFormat="1" x14ac:dyDescent="0.25">
      <c r="B283" s="1576"/>
      <c r="C283" s="287" t="s">
        <v>494</v>
      </c>
      <c r="D283" s="135" t="s">
        <v>402</v>
      </c>
      <c r="E283" s="288">
        <v>10</v>
      </c>
    </row>
    <row r="284" spans="2:5" s="222" customFormat="1" x14ac:dyDescent="0.25">
      <c r="B284" s="1576"/>
      <c r="C284" s="287" t="s">
        <v>495</v>
      </c>
      <c r="D284" s="135" t="s">
        <v>402</v>
      </c>
      <c r="E284" s="288">
        <v>1</v>
      </c>
    </row>
    <row r="285" spans="2:5" s="222" customFormat="1" x14ac:dyDescent="0.25">
      <c r="B285" s="1576"/>
      <c r="C285" s="287" t="s">
        <v>496</v>
      </c>
      <c r="D285" s="282" t="s">
        <v>411</v>
      </c>
      <c r="E285" s="288">
        <v>1</v>
      </c>
    </row>
    <row r="286" spans="2:5" s="222" customFormat="1" x14ac:dyDescent="0.25">
      <c r="B286" s="1577"/>
      <c r="C286" s="287" t="s">
        <v>497</v>
      </c>
      <c r="D286" s="282" t="s">
        <v>411</v>
      </c>
      <c r="E286" s="288">
        <v>1</v>
      </c>
    </row>
    <row r="287" spans="2:5" s="222" customFormat="1" x14ac:dyDescent="0.25">
      <c r="B287" s="274" t="s">
        <v>1712</v>
      </c>
      <c r="C287" s="1578" t="s">
        <v>498</v>
      </c>
      <c r="D287" s="1579"/>
      <c r="E287" s="1580"/>
    </row>
    <row r="288" spans="2:5" s="222" customFormat="1" x14ac:dyDescent="0.25">
      <c r="B288" s="1575"/>
      <c r="C288" s="287" t="s">
        <v>499</v>
      </c>
      <c r="D288" s="135" t="s">
        <v>402</v>
      </c>
      <c r="E288" s="288">
        <v>1</v>
      </c>
    </row>
    <row r="289" spans="2:6" s="222" customFormat="1" x14ac:dyDescent="0.25">
      <c r="B289" s="1576"/>
      <c r="C289" s="287" t="s">
        <v>500</v>
      </c>
      <c r="D289" s="135" t="s">
        <v>402</v>
      </c>
      <c r="E289" s="288">
        <v>1</v>
      </c>
    </row>
    <row r="290" spans="2:6" s="222" customFormat="1" x14ac:dyDescent="0.25">
      <c r="B290" s="1576"/>
      <c r="C290" s="287" t="s">
        <v>501</v>
      </c>
      <c r="D290" s="135" t="s">
        <v>402</v>
      </c>
      <c r="E290" s="288">
        <v>2</v>
      </c>
    </row>
    <row r="291" spans="2:6" s="222" customFormat="1" x14ac:dyDescent="0.25">
      <c r="B291" s="1576"/>
      <c r="C291" s="287" t="s">
        <v>502</v>
      </c>
      <c r="D291" s="135" t="s">
        <v>402</v>
      </c>
      <c r="E291" s="288">
        <v>1</v>
      </c>
    </row>
    <row r="292" spans="2:6" s="222" customFormat="1" x14ac:dyDescent="0.25">
      <c r="B292" s="1577"/>
      <c r="C292" s="287" t="s">
        <v>503</v>
      </c>
      <c r="D292" s="135" t="s">
        <v>402</v>
      </c>
      <c r="E292" s="288">
        <v>1</v>
      </c>
    </row>
    <row r="293" spans="2:6" s="222" customFormat="1" x14ac:dyDescent="0.25">
      <c r="B293" s="274" t="s">
        <v>1898</v>
      </c>
      <c r="C293" s="1578" t="s">
        <v>504</v>
      </c>
      <c r="D293" s="1579"/>
      <c r="E293" s="1580"/>
    </row>
    <row r="294" spans="2:6" s="222" customFormat="1" x14ac:dyDescent="0.25">
      <c r="B294" s="1575"/>
      <c r="C294" s="287" t="s">
        <v>505</v>
      </c>
      <c r="D294" s="135" t="s">
        <v>402</v>
      </c>
      <c r="E294" s="288">
        <v>6</v>
      </c>
    </row>
    <row r="295" spans="2:6" s="222" customFormat="1" x14ac:dyDescent="0.25">
      <c r="B295" s="1576"/>
      <c r="C295" s="287" t="s">
        <v>506</v>
      </c>
      <c r="D295" s="135" t="s">
        <v>402</v>
      </c>
      <c r="E295" s="288">
        <v>2</v>
      </c>
    </row>
    <row r="296" spans="2:6" s="222" customFormat="1" x14ac:dyDescent="0.25">
      <c r="B296" s="1577"/>
      <c r="C296" s="287" t="s">
        <v>507</v>
      </c>
      <c r="D296" s="135" t="s">
        <v>402</v>
      </c>
      <c r="E296" s="288">
        <v>1</v>
      </c>
    </row>
    <row r="297" spans="2:6" s="222" customFormat="1" x14ac:dyDescent="0.25">
      <c r="B297" s="386" t="s">
        <v>1713</v>
      </c>
      <c r="C297" s="1584" t="s">
        <v>508</v>
      </c>
      <c r="D297" s="1585"/>
      <c r="E297" s="1586"/>
    </row>
    <row r="298" spans="2:6" s="222" customFormat="1" x14ac:dyDescent="0.25">
      <c r="B298" s="1575"/>
      <c r="C298" s="287" t="s">
        <v>505</v>
      </c>
      <c r="D298" s="135" t="s">
        <v>402</v>
      </c>
      <c r="E298" s="288">
        <v>4</v>
      </c>
    </row>
    <row r="299" spans="2:6" s="222" customFormat="1" x14ac:dyDescent="0.25">
      <c r="B299" s="1576"/>
      <c r="C299" s="287" t="s">
        <v>506</v>
      </c>
      <c r="D299" s="135" t="s">
        <v>402</v>
      </c>
      <c r="E299" s="288">
        <v>1</v>
      </c>
    </row>
    <row r="300" spans="2:6" s="222" customFormat="1" x14ac:dyDescent="0.25">
      <c r="B300" s="1577"/>
      <c r="C300" s="287" t="s">
        <v>503</v>
      </c>
      <c r="D300" s="135" t="s">
        <v>402</v>
      </c>
      <c r="E300" s="288">
        <v>1</v>
      </c>
    </row>
    <row r="301" spans="2:6" s="222" customFormat="1" ht="28.5" customHeight="1" x14ac:dyDescent="0.25">
      <c r="B301" s="386" t="s">
        <v>1899</v>
      </c>
      <c r="C301" s="1613" t="s">
        <v>676</v>
      </c>
      <c r="D301" s="1614"/>
      <c r="E301" s="1615"/>
      <c r="F301" s="385"/>
    </row>
    <row r="302" spans="2:6" s="222" customFormat="1" x14ac:dyDescent="0.25">
      <c r="B302" s="387" t="s">
        <v>1900</v>
      </c>
      <c r="C302" s="1584" t="s">
        <v>677</v>
      </c>
      <c r="D302" s="1585"/>
      <c r="E302" s="1586"/>
    </row>
    <row r="303" spans="2:6" s="222" customFormat="1" x14ac:dyDescent="0.25">
      <c r="B303" s="1581"/>
      <c r="C303" s="287" t="s">
        <v>531</v>
      </c>
      <c r="D303" s="135" t="s">
        <v>402</v>
      </c>
      <c r="E303" s="288">
        <v>2</v>
      </c>
    </row>
    <row r="304" spans="2:6" s="222" customFormat="1" x14ac:dyDescent="0.25">
      <c r="B304" s="1582"/>
      <c r="C304" s="287" t="s">
        <v>479</v>
      </c>
      <c r="D304" s="135" t="s">
        <v>402</v>
      </c>
      <c r="E304" s="288">
        <v>2</v>
      </c>
    </row>
    <row r="305" spans="2:5" s="222" customFormat="1" x14ac:dyDescent="0.25">
      <c r="B305" s="1582"/>
      <c r="C305" s="287" t="s">
        <v>463</v>
      </c>
      <c r="D305" s="135" t="s">
        <v>402</v>
      </c>
      <c r="E305" s="288">
        <v>2</v>
      </c>
    </row>
    <row r="306" spans="2:5" s="222" customFormat="1" x14ac:dyDescent="0.25">
      <c r="B306" s="1583"/>
      <c r="C306" s="287" t="s">
        <v>466</v>
      </c>
      <c r="D306" s="135" t="s">
        <v>402</v>
      </c>
      <c r="E306" s="288">
        <v>2</v>
      </c>
    </row>
    <row r="307" spans="2:5" s="222" customFormat="1" x14ac:dyDescent="0.25">
      <c r="B307" s="387" t="s">
        <v>1901</v>
      </c>
      <c r="C307" s="1584" t="s">
        <v>509</v>
      </c>
      <c r="D307" s="1585"/>
      <c r="E307" s="1586"/>
    </row>
    <row r="308" spans="2:5" s="222" customFormat="1" x14ac:dyDescent="0.25">
      <c r="B308" s="1575"/>
      <c r="C308" s="287" t="s">
        <v>510</v>
      </c>
      <c r="D308" s="135" t="s">
        <v>402</v>
      </c>
      <c r="E308" s="288">
        <v>1</v>
      </c>
    </row>
    <row r="309" spans="2:5" s="222" customFormat="1" x14ac:dyDescent="0.25">
      <c r="B309" s="1576"/>
      <c r="C309" s="287" t="s">
        <v>511</v>
      </c>
      <c r="D309" s="135" t="s">
        <v>402</v>
      </c>
      <c r="E309" s="288">
        <v>2</v>
      </c>
    </row>
    <row r="310" spans="2:5" s="222" customFormat="1" x14ac:dyDescent="0.25">
      <c r="B310" s="1576"/>
      <c r="C310" s="287" t="s">
        <v>462</v>
      </c>
      <c r="D310" s="135" t="s">
        <v>402</v>
      </c>
      <c r="E310" s="288">
        <v>2</v>
      </c>
    </row>
    <row r="311" spans="2:5" s="222" customFormat="1" x14ac:dyDescent="0.25">
      <c r="B311" s="1576"/>
      <c r="C311" s="287" t="s">
        <v>479</v>
      </c>
      <c r="D311" s="135" t="s">
        <v>402</v>
      </c>
      <c r="E311" s="288">
        <v>2</v>
      </c>
    </row>
    <row r="312" spans="2:5" s="222" customFormat="1" x14ac:dyDescent="0.25">
      <c r="B312" s="1576"/>
      <c r="C312" s="287" t="s">
        <v>463</v>
      </c>
      <c r="D312" s="135" t="s">
        <v>402</v>
      </c>
      <c r="E312" s="288">
        <v>2</v>
      </c>
    </row>
    <row r="313" spans="2:5" s="222" customFormat="1" x14ac:dyDescent="0.25">
      <c r="B313" s="1577"/>
      <c r="C313" s="287" t="s">
        <v>466</v>
      </c>
      <c r="D313" s="135" t="s">
        <v>402</v>
      </c>
      <c r="E313" s="288">
        <v>4</v>
      </c>
    </row>
    <row r="314" spans="2:5" s="222" customFormat="1" x14ac:dyDescent="0.25">
      <c r="B314" s="368" t="s">
        <v>1902</v>
      </c>
      <c r="C314" s="1587" t="s">
        <v>678</v>
      </c>
      <c r="D314" s="1588"/>
      <c r="E314" s="1589"/>
    </row>
    <row r="315" spans="2:5" s="222" customFormat="1" x14ac:dyDescent="0.25">
      <c r="B315" s="274" t="s">
        <v>1903</v>
      </c>
      <c r="C315" s="1578" t="s">
        <v>512</v>
      </c>
      <c r="D315" s="1579"/>
      <c r="E315" s="1580"/>
    </row>
    <row r="316" spans="2:5" s="222" customFormat="1" x14ac:dyDescent="0.25">
      <c r="B316" s="1575"/>
      <c r="C316" s="287" t="s">
        <v>513</v>
      </c>
      <c r="D316" s="135" t="s">
        <v>402</v>
      </c>
      <c r="E316" s="288">
        <v>2</v>
      </c>
    </row>
    <row r="317" spans="2:5" s="222" customFormat="1" x14ac:dyDescent="0.25">
      <c r="B317" s="1576"/>
      <c r="C317" s="287" t="s">
        <v>514</v>
      </c>
      <c r="D317" s="135" t="s">
        <v>402</v>
      </c>
      <c r="E317" s="288">
        <v>2</v>
      </c>
    </row>
    <row r="318" spans="2:5" s="222" customFormat="1" x14ac:dyDescent="0.25">
      <c r="B318" s="1576"/>
      <c r="C318" s="287" t="s">
        <v>492</v>
      </c>
      <c r="D318" s="135" t="s">
        <v>402</v>
      </c>
      <c r="E318" s="288">
        <v>8</v>
      </c>
    </row>
    <row r="319" spans="2:5" s="222" customFormat="1" x14ac:dyDescent="0.25">
      <c r="B319" s="1576"/>
      <c r="C319" s="287" t="s">
        <v>490</v>
      </c>
      <c r="D319" s="135" t="s">
        <v>402</v>
      </c>
      <c r="E319" s="288">
        <v>3</v>
      </c>
    </row>
    <row r="320" spans="2:5" s="222" customFormat="1" x14ac:dyDescent="0.25">
      <c r="B320" s="1576"/>
      <c r="C320" s="287" t="s">
        <v>515</v>
      </c>
      <c r="D320" s="135" t="s">
        <v>402</v>
      </c>
      <c r="E320" s="288">
        <v>1</v>
      </c>
    </row>
    <row r="321" spans="2:5" s="222" customFormat="1" x14ac:dyDescent="0.25">
      <c r="B321" s="1576"/>
      <c r="C321" s="287" t="s">
        <v>516</v>
      </c>
      <c r="D321" s="135" t="s">
        <v>402</v>
      </c>
      <c r="E321" s="288">
        <v>1</v>
      </c>
    </row>
    <row r="322" spans="2:5" s="222" customFormat="1" x14ac:dyDescent="0.25">
      <c r="B322" s="1577"/>
      <c r="C322" s="287" t="s">
        <v>517</v>
      </c>
      <c r="D322" s="282" t="s">
        <v>411</v>
      </c>
      <c r="E322" s="288">
        <v>1</v>
      </c>
    </row>
    <row r="323" spans="2:5" s="222" customFormat="1" x14ac:dyDescent="0.25">
      <c r="B323" s="274" t="s">
        <v>1904</v>
      </c>
      <c r="C323" s="1578" t="s">
        <v>518</v>
      </c>
      <c r="D323" s="1579"/>
      <c r="E323" s="1580"/>
    </row>
    <row r="324" spans="2:5" s="222" customFormat="1" x14ac:dyDescent="0.25">
      <c r="B324" s="1575"/>
      <c r="C324" s="287" t="s">
        <v>513</v>
      </c>
      <c r="D324" s="135" t="s">
        <v>402</v>
      </c>
      <c r="E324" s="288">
        <v>3</v>
      </c>
    </row>
    <row r="325" spans="2:5" s="222" customFormat="1" x14ac:dyDescent="0.25">
      <c r="B325" s="1576"/>
      <c r="C325" s="287" t="s">
        <v>514</v>
      </c>
      <c r="D325" s="135" t="s">
        <v>402</v>
      </c>
      <c r="E325" s="288">
        <v>3</v>
      </c>
    </row>
    <row r="326" spans="2:5" s="222" customFormat="1" x14ac:dyDescent="0.25">
      <c r="B326" s="1576"/>
      <c r="C326" s="287" t="s">
        <v>492</v>
      </c>
      <c r="D326" s="135" t="s">
        <v>402</v>
      </c>
      <c r="E326" s="288">
        <v>10</v>
      </c>
    </row>
    <row r="327" spans="2:5" s="222" customFormat="1" x14ac:dyDescent="0.25">
      <c r="B327" s="1576"/>
      <c r="C327" s="287" t="s">
        <v>490</v>
      </c>
      <c r="D327" s="135" t="s">
        <v>402</v>
      </c>
      <c r="E327" s="288">
        <v>3</v>
      </c>
    </row>
    <row r="328" spans="2:5" s="222" customFormat="1" x14ac:dyDescent="0.25">
      <c r="B328" s="1576"/>
      <c r="C328" s="287" t="s">
        <v>516</v>
      </c>
      <c r="D328" s="135" t="s">
        <v>402</v>
      </c>
      <c r="E328" s="288">
        <v>1</v>
      </c>
    </row>
    <row r="329" spans="2:5" s="222" customFormat="1" x14ac:dyDescent="0.25">
      <c r="B329" s="1577"/>
      <c r="C329" s="287" t="s">
        <v>517</v>
      </c>
      <c r="D329" s="282" t="s">
        <v>411</v>
      </c>
      <c r="E329" s="288">
        <v>1</v>
      </c>
    </row>
    <row r="330" spans="2:5" s="222" customFormat="1" x14ac:dyDescent="0.25">
      <c r="B330" s="274" t="s">
        <v>1905</v>
      </c>
      <c r="C330" s="1578" t="s">
        <v>519</v>
      </c>
      <c r="D330" s="1579"/>
      <c r="E330" s="1580"/>
    </row>
    <row r="331" spans="2:5" s="222" customFormat="1" x14ac:dyDescent="0.25">
      <c r="B331" s="1575"/>
      <c r="C331" s="287" t="s">
        <v>520</v>
      </c>
      <c r="D331" s="282" t="s">
        <v>411</v>
      </c>
      <c r="E331" s="288">
        <v>1</v>
      </c>
    </row>
    <row r="332" spans="2:5" s="222" customFormat="1" x14ac:dyDescent="0.25">
      <c r="B332" s="1576"/>
      <c r="C332" s="287" t="s">
        <v>521</v>
      </c>
      <c r="D332" s="135" t="s">
        <v>402</v>
      </c>
      <c r="E332" s="288">
        <v>1</v>
      </c>
    </row>
    <row r="333" spans="2:5" s="222" customFormat="1" x14ac:dyDescent="0.25">
      <c r="B333" s="1576"/>
      <c r="C333" s="287" t="s">
        <v>522</v>
      </c>
      <c r="D333" s="135" t="s">
        <v>402</v>
      </c>
      <c r="E333" s="288">
        <v>25</v>
      </c>
    </row>
    <row r="334" spans="2:5" s="222" customFormat="1" x14ac:dyDescent="0.25">
      <c r="B334" s="1576"/>
      <c r="C334" s="287" t="s">
        <v>523</v>
      </c>
      <c r="D334" s="135" t="s">
        <v>402</v>
      </c>
      <c r="E334" s="288">
        <v>1</v>
      </c>
    </row>
    <row r="335" spans="2:5" s="222" customFormat="1" x14ac:dyDescent="0.25">
      <c r="B335" s="1576"/>
      <c r="C335" s="287" t="s">
        <v>524</v>
      </c>
      <c r="D335" s="288" t="s">
        <v>525</v>
      </c>
      <c r="E335" s="288">
        <v>1</v>
      </c>
    </row>
    <row r="336" spans="2:5" s="222" customFormat="1" x14ac:dyDescent="0.25">
      <c r="B336" s="1577"/>
      <c r="C336" s="287" t="s">
        <v>513</v>
      </c>
      <c r="D336" s="135" t="s">
        <v>402</v>
      </c>
      <c r="E336" s="288">
        <v>1</v>
      </c>
    </row>
    <row r="337" spans="2:5" s="222" customFormat="1" x14ac:dyDescent="0.25">
      <c r="B337" s="368" t="s">
        <v>1906</v>
      </c>
      <c r="C337" s="1587" t="s">
        <v>679</v>
      </c>
      <c r="D337" s="1588"/>
      <c r="E337" s="1589"/>
    </row>
    <row r="338" spans="2:5" s="222" customFormat="1" x14ac:dyDescent="0.25">
      <c r="B338" s="1575"/>
      <c r="C338" s="287" t="s">
        <v>680</v>
      </c>
      <c r="D338" s="135" t="s">
        <v>402</v>
      </c>
      <c r="E338" s="288">
        <v>6</v>
      </c>
    </row>
    <row r="339" spans="2:5" s="222" customFormat="1" x14ac:dyDescent="0.25">
      <c r="B339" s="1576"/>
      <c r="C339" s="287" t="s">
        <v>506</v>
      </c>
      <c r="D339" s="135" t="s">
        <v>402</v>
      </c>
      <c r="E339" s="288">
        <v>1</v>
      </c>
    </row>
    <row r="340" spans="2:5" s="222" customFormat="1" x14ac:dyDescent="0.25">
      <c r="B340" s="1577"/>
      <c r="C340" s="287" t="s">
        <v>681</v>
      </c>
      <c r="D340" s="135" t="s">
        <v>402</v>
      </c>
      <c r="E340" s="288">
        <v>2</v>
      </c>
    </row>
    <row r="341" spans="2:5" s="222" customFormat="1" x14ac:dyDescent="0.25">
      <c r="B341" s="274" t="s">
        <v>1907</v>
      </c>
      <c r="C341" s="1578" t="s">
        <v>526</v>
      </c>
      <c r="D341" s="1579"/>
      <c r="E341" s="1580"/>
    </row>
    <row r="342" spans="2:5" s="222" customFormat="1" x14ac:dyDescent="0.25">
      <c r="B342" s="1575"/>
      <c r="C342" s="287" t="s">
        <v>527</v>
      </c>
      <c r="D342" s="135" t="s">
        <v>402</v>
      </c>
      <c r="E342" s="288">
        <v>1</v>
      </c>
    </row>
    <row r="343" spans="2:5" s="222" customFormat="1" x14ac:dyDescent="0.25">
      <c r="B343" s="1576"/>
      <c r="C343" s="287" t="s">
        <v>490</v>
      </c>
      <c r="D343" s="135" t="s">
        <v>402</v>
      </c>
      <c r="E343" s="288">
        <v>1</v>
      </c>
    </row>
    <row r="344" spans="2:5" s="222" customFormat="1" x14ac:dyDescent="0.25">
      <c r="B344" s="1576"/>
      <c r="C344" s="287" t="s">
        <v>528</v>
      </c>
      <c r="D344" s="135" t="s">
        <v>402</v>
      </c>
      <c r="E344" s="288">
        <v>1</v>
      </c>
    </row>
    <row r="345" spans="2:5" s="222" customFormat="1" x14ac:dyDescent="0.25">
      <c r="B345" s="1577"/>
      <c r="C345" s="287" t="s">
        <v>492</v>
      </c>
      <c r="D345" s="135" t="s">
        <v>402</v>
      </c>
      <c r="E345" s="288">
        <v>3</v>
      </c>
    </row>
    <row r="346" spans="2:5" s="222" customFormat="1" x14ac:dyDescent="0.25">
      <c r="B346" s="274" t="s">
        <v>1908</v>
      </c>
      <c r="C346" s="1578" t="s">
        <v>529</v>
      </c>
      <c r="D346" s="1579"/>
      <c r="E346" s="1580"/>
    </row>
    <row r="347" spans="2:5" s="222" customFormat="1" x14ac:dyDescent="0.25">
      <c r="B347" s="1575"/>
      <c r="C347" s="287" t="s">
        <v>530</v>
      </c>
      <c r="D347" s="135" t="s">
        <v>402</v>
      </c>
      <c r="E347" s="288">
        <v>1</v>
      </c>
    </row>
    <row r="348" spans="2:5" s="222" customFormat="1" x14ac:dyDescent="0.25">
      <c r="B348" s="1576"/>
      <c r="C348" s="287" t="s">
        <v>528</v>
      </c>
      <c r="D348" s="135" t="s">
        <v>402</v>
      </c>
      <c r="E348" s="288">
        <v>1</v>
      </c>
    </row>
    <row r="349" spans="2:5" s="222" customFormat="1" x14ac:dyDescent="0.25">
      <c r="B349" s="1577"/>
      <c r="C349" s="287" t="s">
        <v>492</v>
      </c>
      <c r="D349" s="135" t="s">
        <v>402</v>
      </c>
      <c r="E349" s="288">
        <v>2</v>
      </c>
    </row>
    <row r="350" spans="2:5" s="222" customFormat="1" ht="43.5" customHeight="1" x14ac:dyDescent="0.25">
      <c r="B350" s="273">
        <v>2.5</v>
      </c>
      <c r="C350" s="1594" t="s">
        <v>414</v>
      </c>
      <c r="D350" s="1594"/>
      <c r="E350" s="1594"/>
    </row>
    <row r="351" spans="2:5" s="222" customFormat="1" ht="57" customHeight="1" x14ac:dyDescent="0.25">
      <c r="B351" s="1022" t="s">
        <v>1909</v>
      </c>
      <c r="C351" s="1023" t="s">
        <v>1413</v>
      </c>
      <c r="D351" s="1024" t="s">
        <v>1414</v>
      </c>
      <c r="E351" s="1024">
        <v>11</v>
      </c>
    </row>
    <row r="352" spans="2:5" s="222" customFormat="1" ht="43.5" customHeight="1" x14ac:dyDescent="0.25">
      <c r="B352" s="1022" t="s">
        <v>1910</v>
      </c>
      <c r="C352" s="1023" t="s">
        <v>1429</v>
      </c>
      <c r="D352" s="1024" t="s">
        <v>411</v>
      </c>
      <c r="E352" s="1024">
        <v>11</v>
      </c>
    </row>
    <row r="353" spans="2:5" s="222" customFormat="1" ht="57" customHeight="1" x14ac:dyDescent="0.25">
      <c r="B353" s="1022" t="s">
        <v>1911</v>
      </c>
      <c r="C353" s="1023" t="s">
        <v>1417</v>
      </c>
      <c r="D353" s="1024" t="s">
        <v>1414</v>
      </c>
      <c r="E353" s="1024">
        <v>11</v>
      </c>
    </row>
    <row r="354" spans="2:5" s="222" customFormat="1" ht="43.5" customHeight="1" x14ac:dyDescent="0.25">
      <c r="B354" s="1022" t="s">
        <v>1912</v>
      </c>
      <c r="C354" s="1023" t="s">
        <v>1418</v>
      </c>
      <c r="D354" s="1024" t="s">
        <v>1415</v>
      </c>
      <c r="E354" s="1024">
        <v>11</v>
      </c>
    </row>
    <row r="355" spans="2:5" s="222" customFormat="1" ht="51" customHeight="1" x14ac:dyDescent="0.25">
      <c r="B355" s="1022" t="s">
        <v>1913</v>
      </c>
      <c r="C355" s="1023" t="s">
        <v>1419</v>
      </c>
      <c r="D355" s="1024" t="s">
        <v>1415</v>
      </c>
      <c r="E355" s="1024">
        <v>11</v>
      </c>
    </row>
    <row r="356" spans="2:5" s="222" customFormat="1" ht="51" customHeight="1" x14ac:dyDescent="0.25">
      <c r="B356" s="1022" t="s">
        <v>1914</v>
      </c>
      <c r="C356" s="1023" t="s">
        <v>1420</v>
      </c>
      <c r="D356" s="1024" t="s">
        <v>1415</v>
      </c>
      <c r="E356" s="1024">
        <v>11</v>
      </c>
    </row>
    <row r="357" spans="2:5" s="222" customFormat="1" x14ac:dyDescent="0.25"/>
    <row r="358" spans="2:5" s="222" customFormat="1" ht="39.75" customHeight="1" x14ac:dyDescent="0.25">
      <c r="B358" s="1593" t="s">
        <v>1655</v>
      </c>
      <c r="C358" s="1593"/>
      <c r="D358" s="1593"/>
      <c r="E358" s="1593"/>
    </row>
    <row r="359" spans="2:5" s="222" customFormat="1" x14ac:dyDescent="0.25"/>
    <row r="360" spans="2:5" s="222" customFormat="1" x14ac:dyDescent="0.25">
      <c r="B360" s="217" t="s">
        <v>398</v>
      </c>
      <c r="C360" s="217" t="s">
        <v>396</v>
      </c>
      <c r="D360" s="217" t="s">
        <v>397</v>
      </c>
      <c r="E360" s="217" t="s">
        <v>426</v>
      </c>
    </row>
    <row r="361" spans="2:5" s="222" customFormat="1" ht="50.25" customHeight="1" x14ac:dyDescent="0.25">
      <c r="B361" s="273">
        <v>3.1</v>
      </c>
      <c r="C361" s="1594" t="s">
        <v>1672</v>
      </c>
      <c r="D361" s="1594"/>
      <c r="E361" s="1594"/>
    </row>
    <row r="362" spans="2:5" s="222" customFormat="1" ht="84.75" customHeight="1" x14ac:dyDescent="0.25">
      <c r="B362" s="274" t="s">
        <v>412</v>
      </c>
      <c r="C362" s="275" t="s">
        <v>1673</v>
      </c>
      <c r="D362" s="135" t="s">
        <v>402</v>
      </c>
      <c r="E362" s="135">
        <v>1</v>
      </c>
    </row>
    <row r="363" spans="2:5" s="222" customFormat="1" ht="41.25" customHeight="1" x14ac:dyDescent="0.25">
      <c r="B363" s="273" t="s">
        <v>734</v>
      </c>
      <c r="C363" s="1594" t="s">
        <v>1674</v>
      </c>
      <c r="D363" s="1594"/>
      <c r="E363" s="1594"/>
    </row>
    <row r="364" spans="2:5" s="222" customFormat="1" ht="54.75" customHeight="1" x14ac:dyDescent="0.25">
      <c r="B364" s="274" t="s">
        <v>413</v>
      </c>
      <c r="C364" s="272" t="s">
        <v>1644</v>
      </c>
      <c r="D364" s="135" t="s">
        <v>402</v>
      </c>
      <c r="E364" s="135">
        <v>1</v>
      </c>
    </row>
    <row r="365" spans="2:5" s="222" customFormat="1" ht="54.75" customHeight="1" x14ac:dyDescent="0.25">
      <c r="B365" s="273" t="s">
        <v>735</v>
      </c>
      <c r="C365" s="1594" t="s">
        <v>1675</v>
      </c>
      <c r="D365" s="1594"/>
      <c r="E365" s="1594"/>
    </row>
    <row r="366" spans="2:5" s="222" customFormat="1" ht="82.5" x14ac:dyDescent="0.25">
      <c r="B366" s="1230" t="s">
        <v>1676</v>
      </c>
      <c r="C366" s="1238" t="s">
        <v>418</v>
      </c>
      <c r="D366" s="245" t="s">
        <v>402</v>
      </c>
      <c r="E366" s="245">
        <v>1</v>
      </c>
    </row>
    <row r="367" spans="2:5" s="222" customFormat="1" ht="99" x14ac:dyDescent="0.25">
      <c r="B367" s="1230" t="s">
        <v>1677</v>
      </c>
      <c r="C367" s="1238" t="s">
        <v>419</v>
      </c>
      <c r="D367" s="245" t="s">
        <v>402</v>
      </c>
      <c r="E367" s="245">
        <v>1</v>
      </c>
    </row>
    <row r="368" spans="2:5" s="222" customFormat="1" ht="82.5" x14ac:dyDescent="0.25">
      <c r="B368" s="1230" t="s">
        <v>1678</v>
      </c>
      <c r="C368" s="1238" t="s">
        <v>420</v>
      </c>
      <c r="D368" s="245" t="s">
        <v>402</v>
      </c>
      <c r="E368" s="245">
        <v>1</v>
      </c>
    </row>
    <row r="369" spans="2:5" s="222" customFormat="1" x14ac:dyDescent="0.25">
      <c r="B369" s="1237"/>
    </row>
    <row r="370" spans="2:5" s="222" customFormat="1" x14ac:dyDescent="0.25"/>
    <row r="371" spans="2:5" s="222" customFormat="1" ht="30" customHeight="1" x14ac:dyDescent="0.25">
      <c r="B371" s="1593" t="s">
        <v>1656</v>
      </c>
      <c r="C371" s="1593"/>
      <c r="D371" s="1593"/>
      <c r="E371" s="1593"/>
    </row>
    <row r="372" spans="2:5" s="222" customFormat="1" x14ac:dyDescent="0.25"/>
    <row r="373" spans="2:5" s="222" customFormat="1" x14ac:dyDescent="0.25">
      <c r="B373" s="217" t="s">
        <v>398</v>
      </c>
      <c r="C373" s="217" t="s">
        <v>396</v>
      </c>
      <c r="D373" s="217" t="s">
        <v>397</v>
      </c>
      <c r="E373" s="217" t="s">
        <v>426</v>
      </c>
    </row>
    <row r="374" spans="2:5" s="222" customFormat="1" ht="18.75" customHeight="1" x14ac:dyDescent="0.25">
      <c r="B374" s="273">
        <v>4.0999999999999996</v>
      </c>
      <c r="C374" s="1590" t="s">
        <v>417</v>
      </c>
      <c r="D374" s="1591"/>
      <c r="E374" s="1592"/>
    </row>
    <row r="375" spans="2:5" s="222" customFormat="1" ht="25.5" x14ac:dyDescent="0.25">
      <c r="B375" s="1022" t="s">
        <v>415</v>
      </c>
      <c r="C375" s="1027" t="s">
        <v>1424</v>
      </c>
      <c r="D375" s="1022" t="s">
        <v>1065</v>
      </c>
      <c r="E375" s="1022">
        <v>9</v>
      </c>
    </row>
    <row r="376" spans="2:5" s="222" customFormat="1" ht="25.5" x14ac:dyDescent="0.25">
      <c r="B376" s="1022" t="s">
        <v>1679</v>
      </c>
      <c r="C376" s="1027" t="s">
        <v>1428</v>
      </c>
      <c r="D376" s="1022" t="s">
        <v>1065</v>
      </c>
      <c r="E376" s="1022">
        <v>9</v>
      </c>
    </row>
    <row r="377" spans="2:5" s="222" customFormat="1" ht="25.5" x14ac:dyDescent="0.25">
      <c r="B377" s="1022" t="s">
        <v>1680</v>
      </c>
      <c r="C377" s="1027" t="s">
        <v>1425</v>
      </c>
      <c r="D377" s="1022" t="s">
        <v>1065</v>
      </c>
      <c r="E377" s="1022">
        <v>9</v>
      </c>
    </row>
    <row r="378" spans="2:5" s="222" customFormat="1" ht="25.5" x14ac:dyDescent="0.25">
      <c r="B378" s="1022" t="s">
        <v>1681</v>
      </c>
      <c r="C378" s="1027" t="s">
        <v>1427</v>
      </c>
      <c r="D378" s="1022" t="s">
        <v>1065</v>
      </c>
      <c r="E378" s="1022">
        <v>9</v>
      </c>
    </row>
    <row r="379" spans="2:5" s="222" customFormat="1" ht="25.5" x14ac:dyDescent="0.25">
      <c r="B379" s="1022" t="s">
        <v>1682</v>
      </c>
      <c r="C379" s="1027" t="s">
        <v>1426</v>
      </c>
      <c r="D379" s="1022" t="s">
        <v>1065</v>
      </c>
      <c r="E379" s="1022">
        <v>9</v>
      </c>
    </row>
    <row r="380" spans="2:5" s="222" customFormat="1" ht="30.75" customHeight="1" x14ac:dyDescent="0.25">
      <c r="B380" s="1239">
        <v>4.2</v>
      </c>
      <c r="C380" s="1609" t="s">
        <v>421</v>
      </c>
      <c r="D380" s="1609"/>
      <c r="E380" s="1609"/>
    </row>
    <row r="381" spans="2:5" s="222" customFormat="1" ht="38.25" x14ac:dyDescent="0.25">
      <c r="B381" s="386" t="s">
        <v>416</v>
      </c>
      <c r="C381" s="1050" t="s">
        <v>1702</v>
      </c>
      <c r="D381" s="245" t="s">
        <v>402</v>
      </c>
      <c r="E381" s="245">
        <v>2</v>
      </c>
    </row>
    <row r="382" spans="2:5" s="222" customFormat="1" ht="51" x14ac:dyDescent="0.25">
      <c r="B382" s="386" t="s">
        <v>1703</v>
      </c>
      <c r="C382" s="1050" t="s">
        <v>1704</v>
      </c>
      <c r="D382" s="245" t="s">
        <v>402</v>
      </c>
      <c r="E382" s="245">
        <v>4</v>
      </c>
    </row>
    <row r="383" spans="2:5" s="222" customFormat="1" x14ac:dyDescent="0.25"/>
    <row r="384" spans="2:5" s="222" customFormat="1" x14ac:dyDescent="0.25"/>
    <row r="385" spans="2:6" s="222" customFormat="1" x14ac:dyDescent="0.25">
      <c r="B385" s="261"/>
      <c r="C385" s="261"/>
      <c r="D385" s="261"/>
      <c r="E385" s="261"/>
      <c r="F385" s="261"/>
    </row>
    <row r="386" spans="2:6" s="222" customFormat="1" x14ac:dyDescent="0.25">
      <c r="B386" s="261"/>
      <c r="C386" s="261"/>
      <c r="D386" s="261"/>
      <c r="E386" s="261"/>
      <c r="F386" s="261"/>
    </row>
    <row r="387" spans="2:6" s="222" customFormat="1" x14ac:dyDescent="0.25"/>
    <row r="388" spans="2:6" s="222" customFormat="1" x14ac:dyDescent="0.25"/>
    <row r="389" spans="2:6" s="222" customFormat="1" x14ac:dyDescent="0.25"/>
    <row r="390" spans="2:6" s="222" customFormat="1" x14ac:dyDescent="0.25"/>
    <row r="391" spans="2:6" s="222" customFormat="1" x14ac:dyDescent="0.25"/>
    <row r="392" spans="2:6" s="222" customFormat="1" x14ac:dyDescent="0.25"/>
    <row r="393" spans="2:6" s="222" customFormat="1" x14ac:dyDescent="0.25"/>
    <row r="394" spans="2:6" s="222" customFormat="1" x14ac:dyDescent="0.25"/>
    <row r="395" spans="2:6" s="222" customFormat="1" x14ac:dyDescent="0.25"/>
    <row r="396" spans="2:6" s="222" customFormat="1" x14ac:dyDescent="0.25"/>
    <row r="397" spans="2:6" s="222" customFormat="1" x14ac:dyDescent="0.25"/>
    <row r="398" spans="2:6" s="222" customFormat="1" x14ac:dyDescent="0.25"/>
    <row r="399" spans="2:6" s="222" customFormat="1" x14ac:dyDescent="0.25"/>
    <row r="400" spans="2:6" s="222" customFormat="1" x14ac:dyDescent="0.25"/>
    <row r="401" s="222" customFormat="1" x14ac:dyDescent="0.25"/>
    <row r="402" s="222" customFormat="1" x14ac:dyDescent="0.25"/>
    <row r="403" s="222" customFormat="1" x14ac:dyDescent="0.25"/>
    <row r="404" s="222" customFormat="1" x14ac:dyDescent="0.25"/>
    <row r="405" s="222" customFormat="1" x14ac:dyDescent="0.25"/>
    <row r="406" s="222" customFormat="1" x14ac:dyDescent="0.25"/>
    <row r="407" s="222" customFormat="1" x14ac:dyDescent="0.25"/>
    <row r="408" s="222" customFormat="1" x14ac:dyDescent="0.25"/>
    <row r="409" s="222" customFormat="1" x14ac:dyDescent="0.25"/>
    <row r="410" s="222" customFormat="1" x14ac:dyDescent="0.25"/>
    <row r="411" s="222" customFormat="1" x14ac:dyDescent="0.25"/>
    <row r="412" s="222" customFormat="1" x14ac:dyDescent="0.25"/>
    <row r="413" s="222" customFormat="1" x14ac:dyDescent="0.25"/>
    <row r="414" s="222" customFormat="1" x14ac:dyDescent="0.25"/>
    <row r="415" s="222" customFormat="1" x14ac:dyDescent="0.25"/>
    <row r="416" s="222" customFormat="1" x14ac:dyDescent="0.25"/>
    <row r="417" s="222" customFormat="1" x14ac:dyDescent="0.25"/>
    <row r="418" s="222" customFormat="1" x14ac:dyDescent="0.25"/>
    <row r="419" s="222" customFormat="1" x14ac:dyDescent="0.25"/>
    <row r="420" s="222" customFormat="1" x14ac:dyDescent="0.25"/>
    <row r="421" s="222" customFormat="1" x14ac:dyDescent="0.25"/>
    <row r="422" s="222" customFormat="1" x14ac:dyDescent="0.25"/>
    <row r="423" s="222" customFormat="1" x14ac:dyDescent="0.25"/>
    <row r="424" s="222" customFormat="1" x14ac:dyDescent="0.25"/>
    <row r="425" s="222" customFormat="1" x14ac:dyDescent="0.25"/>
    <row r="426" s="222" customFormat="1" x14ac:dyDescent="0.25"/>
    <row r="427" s="222" customFormat="1" x14ac:dyDescent="0.25"/>
    <row r="428" s="222" customFormat="1" x14ac:dyDescent="0.25"/>
    <row r="429" s="222" customFormat="1" x14ac:dyDescent="0.25"/>
    <row r="430" s="222" customFormat="1" x14ac:dyDescent="0.25"/>
    <row r="431" s="222" customFormat="1" x14ac:dyDescent="0.25"/>
    <row r="432" s="222" customFormat="1" x14ac:dyDescent="0.25"/>
    <row r="433" s="222" customFormat="1" x14ac:dyDescent="0.25"/>
    <row r="434" s="222" customFormat="1" x14ac:dyDescent="0.25"/>
    <row r="435" s="222" customFormat="1" x14ac:dyDescent="0.25"/>
    <row r="436" s="222" customFormat="1" x14ac:dyDescent="0.25"/>
    <row r="437" s="222" customFormat="1" x14ac:dyDescent="0.25"/>
    <row r="438" s="222" customFormat="1" x14ac:dyDescent="0.25"/>
    <row r="439" s="222" customFormat="1" x14ac:dyDescent="0.25"/>
    <row r="440" s="222" customFormat="1" x14ac:dyDescent="0.25"/>
    <row r="441" s="222" customFormat="1" x14ac:dyDescent="0.25"/>
    <row r="442" s="222" customFormat="1" x14ac:dyDescent="0.25"/>
    <row r="443" s="222" customFormat="1" x14ac:dyDescent="0.25"/>
    <row r="444" s="222" customFormat="1" x14ac:dyDescent="0.25"/>
    <row r="445" s="222" customFormat="1" x14ac:dyDescent="0.25"/>
    <row r="446" s="222" customFormat="1" x14ac:dyDescent="0.25"/>
    <row r="447" s="222" customFormat="1" x14ac:dyDescent="0.25"/>
    <row r="448" s="222" customFormat="1" x14ac:dyDescent="0.25"/>
    <row r="449" s="222" customFormat="1" x14ac:dyDescent="0.25"/>
    <row r="450" s="222" customFormat="1" x14ac:dyDescent="0.25"/>
    <row r="451" s="222" customFormat="1" x14ac:dyDescent="0.25"/>
    <row r="452" s="222" customFormat="1" x14ac:dyDescent="0.25"/>
    <row r="453" s="222" customFormat="1" x14ac:dyDescent="0.25"/>
    <row r="454" s="222" customFormat="1" x14ac:dyDescent="0.25"/>
    <row r="455" s="222" customFormat="1" x14ac:dyDescent="0.25"/>
    <row r="456" s="222" customFormat="1" x14ac:dyDescent="0.25"/>
    <row r="457" s="222" customFormat="1" x14ac:dyDescent="0.25"/>
    <row r="458" s="222" customFormat="1" x14ac:dyDescent="0.25"/>
    <row r="459" s="222" customFormat="1" x14ac:dyDescent="0.25"/>
    <row r="460" s="222" customFormat="1" x14ac:dyDescent="0.25"/>
    <row r="461" s="222" customFormat="1" x14ac:dyDescent="0.25"/>
    <row r="462" s="222" customFormat="1" x14ac:dyDescent="0.25"/>
    <row r="463" s="222" customFormat="1" x14ac:dyDescent="0.25"/>
    <row r="464" s="222" customFormat="1" x14ac:dyDescent="0.25"/>
    <row r="465" s="222" customFormat="1" x14ac:dyDescent="0.25"/>
    <row r="466" s="222" customFormat="1" x14ac:dyDescent="0.25"/>
    <row r="467" s="222" customFormat="1" x14ac:dyDescent="0.25"/>
    <row r="468" s="222" customFormat="1" x14ac:dyDescent="0.25"/>
    <row r="469" s="222" customFormat="1" x14ac:dyDescent="0.25"/>
    <row r="470" s="222" customFormat="1" x14ac:dyDescent="0.25"/>
    <row r="471" s="222" customFormat="1" x14ac:dyDescent="0.25"/>
    <row r="472" s="222" customFormat="1" x14ac:dyDescent="0.25"/>
    <row r="473" s="222" customFormat="1" x14ac:dyDescent="0.25"/>
    <row r="474" s="222" customFormat="1" x14ac:dyDescent="0.25"/>
    <row r="475" s="222" customFormat="1" x14ac:dyDescent="0.25"/>
    <row r="476" s="222" customFormat="1" x14ac:dyDescent="0.25"/>
    <row r="477" s="222" customFormat="1" x14ac:dyDescent="0.25"/>
    <row r="478" s="222" customFormat="1" x14ac:dyDescent="0.25"/>
    <row r="479" s="222" customFormat="1" x14ac:dyDescent="0.25"/>
    <row r="480" s="222" customFormat="1" x14ac:dyDescent="0.25"/>
    <row r="481" s="222" customFormat="1" x14ac:dyDescent="0.25"/>
    <row r="482" s="222" customFormat="1" x14ac:dyDescent="0.25"/>
    <row r="483" s="222" customFormat="1" x14ac:dyDescent="0.25"/>
    <row r="484" s="222" customFormat="1" x14ac:dyDescent="0.25"/>
    <row r="485" s="222" customFormat="1" x14ac:dyDescent="0.25"/>
    <row r="486" s="222" customFormat="1" x14ac:dyDescent="0.25"/>
    <row r="487" s="222" customFormat="1" x14ac:dyDescent="0.25"/>
    <row r="488" s="222" customFormat="1" x14ac:dyDescent="0.25"/>
    <row r="489" s="222" customFormat="1" x14ac:dyDescent="0.25"/>
    <row r="490" s="222" customFormat="1" x14ac:dyDescent="0.25"/>
    <row r="491" s="222" customFormat="1" x14ac:dyDescent="0.25"/>
    <row r="492" s="222" customFormat="1" x14ac:dyDescent="0.25"/>
    <row r="493" s="222" customFormat="1" x14ac:dyDescent="0.25"/>
    <row r="494" s="222" customFormat="1" x14ac:dyDescent="0.25"/>
    <row r="495" s="222" customFormat="1" x14ac:dyDescent="0.25"/>
    <row r="496" s="222" customFormat="1" x14ac:dyDescent="0.25"/>
    <row r="497" s="222" customFormat="1" x14ac:dyDescent="0.25"/>
    <row r="498" s="222" customFormat="1" x14ac:dyDescent="0.25"/>
    <row r="499" s="222" customFormat="1" x14ac:dyDescent="0.25"/>
    <row r="500" s="222" customFormat="1" x14ac:dyDescent="0.25"/>
    <row r="501" s="222" customFormat="1" x14ac:dyDescent="0.25"/>
    <row r="502" s="222" customFormat="1" x14ac:dyDescent="0.25"/>
    <row r="503" s="222" customFormat="1" x14ac:dyDescent="0.25"/>
    <row r="504" s="222" customFormat="1" x14ac:dyDescent="0.25"/>
    <row r="505" s="222" customFormat="1" x14ac:dyDescent="0.25"/>
    <row r="506" s="222" customFormat="1" x14ac:dyDescent="0.25"/>
    <row r="507" s="222" customFormat="1" x14ac:dyDescent="0.25"/>
    <row r="508" s="222" customFormat="1" x14ac:dyDescent="0.25"/>
    <row r="509" s="222" customFormat="1" x14ac:dyDescent="0.25"/>
    <row r="510" s="222" customFormat="1" x14ac:dyDescent="0.25"/>
    <row r="511" s="222" customFormat="1" x14ac:dyDescent="0.25"/>
    <row r="512" s="222" customFormat="1" x14ac:dyDescent="0.25"/>
    <row r="513" s="222" customFormat="1" x14ac:dyDescent="0.25"/>
    <row r="514" s="222" customFormat="1" x14ac:dyDescent="0.25"/>
    <row r="515" s="222" customFormat="1" x14ac:dyDescent="0.25"/>
    <row r="516" s="222" customFormat="1" x14ac:dyDescent="0.25"/>
    <row r="517" s="222" customFormat="1" x14ac:dyDescent="0.25"/>
    <row r="518" s="222" customFormat="1" x14ac:dyDescent="0.25"/>
    <row r="519" s="222" customFormat="1" x14ac:dyDescent="0.25"/>
    <row r="520" s="222" customFormat="1" x14ac:dyDescent="0.25"/>
    <row r="521" s="222" customFormat="1" x14ac:dyDescent="0.25"/>
    <row r="522" s="222" customFormat="1" x14ac:dyDescent="0.25"/>
    <row r="523" s="222" customFormat="1" x14ac:dyDescent="0.25"/>
    <row r="524" s="222" customFormat="1" x14ac:dyDescent="0.25"/>
    <row r="525" s="222" customFormat="1" x14ac:dyDescent="0.25"/>
    <row r="526" s="222" customFormat="1" x14ac:dyDescent="0.25"/>
    <row r="527" s="222" customFormat="1" x14ac:dyDescent="0.25"/>
    <row r="528" s="222" customFormat="1" x14ac:dyDescent="0.25"/>
    <row r="529" s="222" customFormat="1" x14ac:dyDescent="0.25"/>
    <row r="530" s="222" customFormat="1" x14ac:dyDescent="0.25"/>
    <row r="531" s="222" customFormat="1" x14ac:dyDescent="0.25"/>
    <row r="532" s="222" customFormat="1" x14ac:dyDescent="0.25"/>
    <row r="533" s="222" customFormat="1" x14ac:dyDescent="0.25"/>
    <row r="534" s="222" customFormat="1" x14ac:dyDescent="0.25"/>
    <row r="535" s="222" customFormat="1" x14ac:dyDescent="0.25"/>
    <row r="536" s="222" customFormat="1" x14ac:dyDescent="0.25"/>
    <row r="537" s="222" customFormat="1" x14ac:dyDescent="0.25"/>
    <row r="538" s="222" customFormat="1" x14ac:dyDescent="0.25"/>
    <row r="539" s="222" customFormat="1" x14ac:dyDescent="0.25"/>
    <row r="540" s="222" customFormat="1" x14ac:dyDescent="0.25"/>
    <row r="541" s="222" customFormat="1" x14ac:dyDescent="0.25"/>
    <row r="542" s="222" customFormat="1" x14ac:dyDescent="0.25"/>
    <row r="543" s="222" customFormat="1" x14ac:dyDescent="0.25"/>
    <row r="544" s="222" customFormat="1" x14ac:dyDescent="0.25"/>
    <row r="545" s="222" customFormat="1" x14ac:dyDescent="0.25"/>
    <row r="546" s="222" customFormat="1" x14ac:dyDescent="0.25"/>
    <row r="547" s="222" customFormat="1" x14ac:dyDescent="0.25"/>
    <row r="548" s="222" customFormat="1" x14ac:dyDescent="0.25"/>
    <row r="549" s="222" customFormat="1" x14ac:dyDescent="0.25"/>
    <row r="550" s="222" customFormat="1" x14ac:dyDescent="0.25"/>
    <row r="551" s="222" customFormat="1" x14ac:dyDescent="0.25"/>
    <row r="552" s="222" customFormat="1" x14ac:dyDescent="0.25"/>
    <row r="553" s="222" customFormat="1" x14ac:dyDescent="0.25"/>
    <row r="554" s="222" customFormat="1" x14ac:dyDescent="0.25"/>
    <row r="555" s="222" customFormat="1" x14ac:dyDescent="0.25"/>
    <row r="556" s="222" customFormat="1" x14ac:dyDescent="0.25"/>
    <row r="557" s="222" customFormat="1" x14ac:dyDescent="0.25"/>
    <row r="558" s="222" customFormat="1" x14ac:dyDescent="0.25"/>
    <row r="559" s="222" customFormat="1" x14ac:dyDescent="0.25"/>
    <row r="560" s="222" customFormat="1" x14ac:dyDescent="0.25"/>
    <row r="561" s="222" customFormat="1" x14ac:dyDescent="0.25"/>
    <row r="562" s="222" customFormat="1" x14ac:dyDescent="0.25"/>
    <row r="563" s="222" customFormat="1" x14ac:dyDescent="0.25"/>
    <row r="564" s="222" customFormat="1" x14ac:dyDescent="0.25"/>
    <row r="565" s="222" customFormat="1" x14ac:dyDescent="0.25"/>
    <row r="566" s="222" customFormat="1" x14ac:dyDescent="0.25"/>
    <row r="567" s="222" customFormat="1" x14ac:dyDescent="0.25"/>
    <row r="568" s="222" customFormat="1" x14ac:dyDescent="0.25"/>
    <row r="569" s="222" customFormat="1" x14ac:dyDescent="0.25"/>
    <row r="570" s="222" customFormat="1" x14ac:dyDescent="0.25"/>
    <row r="571" s="222" customFormat="1" x14ac:dyDescent="0.25"/>
    <row r="572" s="222" customFormat="1" x14ac:dyDescent="0.25"/>
    <row r="573" s="222" customFormat="1" x14ac:dyDescent="0.25"/>
    <row r="574" s="222" customFormat="1" x14ac:dyDescent="0.25"/>
    <row r="575" s="222" customFormat="1" x14ac:dyDescent="0.25"/>
    <row r="576" s="222" customFormat="1" x14ac:dyDescent="0.25"/>
    <row r="577" s="222" customFormat="1" x14ac:dyDescent="0.25"/>
    <row r="578" s="222" customFormat="1" x14ac:dyDescent="0.25"/>
    <row r="579" s="222" customFormat="1" x14ac:dyDescent="0.25"/>
    <row r="580" s="222" customFormat="1" x14ac:dyDescent="0.25"/>
    <row r="581" s="222" customFormat="1" x14ac:dyDescent="0.25"/>
    <row r="582" s="222" customFormat="1" x14ac:dyDescent="0.25"/>
    <row r="583" s="222" customFormat="1" x14ac:dyDescent="0.25"/>
    <row r="584" s="222" customFormat="1" x14ac:dyDescent="0.25"/>
    <row r="585" s="222" customFormat="1" x14ac:dyDescent="0.25"/>
    <row r="586" s="222" customFormat="1" x14ac:dyDescent="0.25"/>
    <row r="587" s="222" customFormat="1" x14ac:dyDescent="0.25"/>
    <row r="588" s="222" customFormat="1" x14ac:dyDescent="0.25"/>
    <row r="589" s="222" customFormat="1" x14ac:dyDescent="0.25"/>
    <row r="590" s="222" customFormat="1" x14ac:dyDescent="0.25"/>
    <row r="591" s="222" customFormat="1" x14ac:dyDescent="0.25"/>
    <row r="592" s="222" customFormat="1" x14ac:dyDescent="0.25"/>
    <row r="593" s="222" customFormat="1" x14ac:dyDescent="0.25"/>
    <row r="594" s="222" customFormat="1" x14ac:dyDescent="0.25"/>
    <row r="595" s="222" customFormat="1" x14ac:dyDescent="0.25"/>
    <row r="596" s="222" customFormat="1" x14ac:dyDescent="0.25"/>
    <row r="597" s="222" customFormat="1" x14ac:dyDescent="0.25"/>
    <row r="598" s="222" customFormat="1" x14ac:dyDescent="0.25"/>
    <row r="599" s="222" customFormat="1" x14ac:dyDescent="0.25"/>
    <row r="600" s="222" customFormat="1" x14ac:dyDescent="0.25"/>
    <row r="601" s="222" customFormat="1" x14ac:dyDescent="0.25"/>
    <row r="602" s="222" customFormat="1" x14ac:dyDescent="0.25"/>
    <row r="603" s="222" customFormat="1" x14ac:dyDescent="0.25"/>
    <row r="604" s="222" customFormat="1" x14ac:dyDescent="0.25"/>
    <row r="605" s="222" customFormat="1" x14ac:dyDescent="0.25"/>
    <row r="606" s="222" customFormat="1" x14ac:dyDescent="0.25"/>
    <row r="607" s="222" customFormat="1" x14ac:dyDescent="0.25"/>
    <row r="608" s="222" customFormat="1" x14ac:dyDescent="0.25"/>
    <row r="609" s="222" customFormat="1" x14ac:dyDescent="0.25"/>
    <row r="610" s="222" customFormat="1" x14ac:dyDescent="0.25"/>
    <row r="611" s="222" customFormat="1" x14ac:dyDescent="0.25"/>
    <row r="612" s="222" customFormat="1" x14ac:dyDescent="0.25"/>
    <row r="613" s="222" customFormat="1" x14ac:dyDescent="0.25"/>
    <row r="614" s="222" customFormat="1" x14ac:dyDescent="0.25"/>
    <row r="615" s="222" customFormat="1" x14ac:dyDescent="0.25"/>
    <row r="616" s="222" customFormat="1" x14ac:dyDescent="0.25"/>
    <row r="617" s="222" customFormat="1" x14ac:dyDescent="0.25"/>
    <row r="618" s="222" customFormat="1" x14ac:dyDescent="0.25"/>
    <row r="619" s="222" customFormat="1" x14ac:dyDescent="0.25"/>
    <row r="620" s="222" customFormat="1" x14ac:dyDescent="0.25"/>
    <row r="621" s="222" customFormat="1" x14ac:dyDescent="0.25"/>
    <row r="622" s="222" customFormat="1" x14ac:dyDescent="0.25"/>
    <row r="623" s="222" customFormat="1" x14ac:dyDescent="0.25"/>
    <row r="624" s="222" customFormat="1" x14ac:dyDescent="0.25"/>
    <row r="625" s="222" customFormat="1" x14ac:dyDescent="0.25"/>
    <row r="626" s="222" customFormat="1" x14ac:dyDescent="0.25"/>
    <row r="627" s="222" customFormat="1" x14ac:dyDescent="0.25"/>
    <row r="628" s="222" customFormat="1" x14ac:dyDescent="0.25"/>
    <row r="629" s="222" customFormat="1" x14ac:dyDescent="0.25"/>
    <row r="630" s="222" customFormat="1" x14ac:dyDescent="0.25"/>
    <row r="631" s="222" customFormat="1" x14ac:dyDescent="0.25"/>
    <row r="632" s="222" customFormat="1" x14ac:dyDescent="0.25"/>
    <row r="633" s="222" customFormat="1" x14ac:dyDescent="0.25"/>
    <row r="634" s="222" customFormat="1" x14ac:dyDescent="0.25"/>
    <row r="635" s="222" customFormat="1" x14ac:dyDescent="0.25"/>
    <row r="636" s="222" customFormat="1" x14ac:dyDescent="0.25"/>
    <row r="637" s="222" customFormat="1" x14ac:dyDescent="0.25"/>
    <row r="638" s="222" customFormat="1" x14ac:dyDescent="0.25"/>
    <row r="639" s="222" customFormat="1" x14ac:dyDescent="0.25"/>
    <row r="640" s="222" customFormat="1" x14ac:dyDescent="0.25"/>
    <row r="641" s="222" customFormat="1" x14ac:dyDescent="0.25"/>
    <row r="642" s="222" customFormat="1" x14ac:dyDescent="0.25"/>
    <row r="643" s="222" customFormat="1" x14ac:dyDescent="0.25"/>
    <row r="644" s="222" customFormat="1" x14ac:dyDescent="0.25"/>
    <row r="645" s="222" customFormat="1" x14ac:dyDescent="0.25"/>
    <row r="646" s="222" customFormat="1" x14ac:dyDescent="0.25"/>
    <row r="647" s="222" customFormat="1" x14ac:dyDescent="0.25"/>
    <row r="648" s="222" customFormat="1" x14ac:dyDescent="0.25"/>
    <row r="649" s="222" customFormat="1" x14ac:dyDescent="0.25"/>
    <row r="650" s="222" customFormat="1" x14ac:dyDescent="0.25"/>
    <row r="651" s="222" customFormat="1" x14ac:dyDescent="0.25"/>
    <row r="652" s="222" customFormat="1" x14ac:dyDescent="0.25"/>
    <row r="653" s="222" customFormat="1" x14ac:dyDescent="0.25"/>
    <row r="654" s="222" customFormat="1" x14ac:dyDescent="0.25"/>
    <row r="655" s="222" customFormat="1" x14ac:dyDescent="0.25"/>
    <row r="656" s="222" customFormat="1" x14ac:dyDescent="0.25"/>
    <row r="657" s="222" customFormat="1" x14ac:dyDescent="0.25"/>
    <row r="658" s="222" customFormat="1" x14ac:dyDescent="0.25"/>
    <row r="659" s="222" customFormat="1" x14ac:dyDescent="0.25"/>
    <row r="660" s="222" customFormat="1" x14ac:dyDescent="0.25"/>
    <row r="661" s="222" customFormat="1" x14ac:dyDescent="0.25"/>
    <row r="662" s="222" customFormat="1" x14ac:dyDescent="0.25"/>
    <row r="663" s="222" customFormat="1" x14ac:dyDescent="0.25"/>
    <row r="664" s="222" customFormat="1" x14ac:dyDescent="0.25"/>
    <row r="665" s="222" customFormat="1" x14ac:dyDescent="0.25"/>
    <row r="666" s="222" customFormat="1" x14ac:dyDescent="0.25"/>
    <row r="667" s="222" customFormat="1" x14ac:dyDescent="0.25"/>
    <row r="668" s="222" customFormat="1" x14ac:dyDescent="0.25"/>
    <row r="669" s="222" customFormat="1" x14ac:dyDescent="0.25"/>
    <row r="670" s="222" customFormat="1" x14ac:dyDescent="0.25"/>
    <row r="671" s="222" customFormat="1" x14ac:dyDescent="0.25"/>
    <row r="672" s="222" customFormat="1" x14ac:dyDescent="0.25"/>
    <row r="673" s="222" customFormat="1" x14ac:dyDescent="0.25"/>
    <row r="674" s="222" customFormat="1" x14ac:dyDescent="0.25"/>
    <row r="675" s="222" customFormat="1" x14ac:dyDescent="0.25"/>
    <row r="676" s="222" customFormat="1" x14ac:dyDescent="0.25"/>
    <row r="677" s="222" customFormat="1" x14ac:dyDescent="0.25"/>
    <row r="678" s="222" customFormat="1" x14ac:dyDescent="0.25"/>
    <row r="679" s="222" customFormat="1" x14ac:dyDescent="0.25"/>
    <row r="680" s="222" customFormat="1" x14ac:dyDescent="0.25"/>
    <row r="681" s="222" customFormat="1" x14ac:dyDescent="0.25"/>
    <row r="682" s="222" customFormat="1" x14ac:dyDescent="0.25"/>
    <row r="683" s="222" customFormat="1" x14ac:dyDescent="0.25"/>
    <row r="684" s="222" customFormat="1" x14ac:dyDescent="0.25"/>
    <row r="685" s="222" customFormat="1" x14ac:dyDescent="0.25"/>
    <row r="686" s="222" customFormat="1" x14ac:dyDescent="0.25"/>
    <row r="687" s="222" customFormat="1" x14ac:dyDescent="0.25"/>
    <row r="688" s="222" customFormat="1" x14ac:dyDescent="0.25"/>
    <row r="689" s="222" customFormat="1" x14ac:dyDescent="0.25"/>
    <row r="690" s="222" customFormat="1" x14ac:dyDescent="0.25"/>
    <row r="691" s="222" customFormat="1" x14ac:dyDescent="0.25"/>
    <row r="692" s="222" customFormat="1" x14ac:dyDescent="0.25"/>
    <row r="693" s="222" customFormat="1" x14ac:dyDescent="0.25"/>
    <row r="694" s="222" customFormat="1" x14ac:dyDescent="0.25"/>
    <row r="695" s="222" customFormat="1" x14ac:dyDescent="0.25"/>
    <row r="696" s="222" customFormat="1" x14ac:dyDescent="0.25"/>
    <row r="697" s="222" customFormat="1" x14ac:dyDescent="0.25"/>
    <row r="698" s="222" customFormat="1" x14ac:dyDescent="0.25"/>
    <row r="699" s="222" customFormat="1" x14ac:dyDescent="0.25"/>
    <row r="700" s="222" customFormat="1" x14ac:dyDescent="0.25"/>
    <row r="701" s="222" customFormat="1" x14ac:dyDescent="0.25"/>
    <row r="702" s="222" customFormat="1" x14ac:dyDescent="0.25"/>
    <row r="703" s="222" customFormat="1" x14ac:dyDescent="0.25"/>
    <row r="704" s="222" customFormat="1" x14ac:dyDescent="0.25"/>
    <row r="705" s="222" customFormat="1" x14ac:dyDescent="0.25"/>
    <row r="706" s="222" customFormat="1" x14ac:dyDescent="0.25"/>
    <row r="707" s="222" customFormat="1" x14ac:dyDescent="0.25"/>
    <row r="708" s="222" customFormat="1" x14ac:dyDescent="0.25"/>
    <row r="709" s="222" customFormat="1" x14ac:dyDescent="0.25"/>
    <row r="710" s="222" customFormat="1" x14ac:dyDescent="0.25"/>
    <row r="711" s="222" customFormat="1" x14ac:dyDescent="0.25"/>
    <row r="712" s="222" customFormat="1" x14ac:dyDescent="0.25"/>
    <row r="713" s="222" customFormat="1" x14ac:dyDescent="0.25"/>
    <row r="714" s="222" customFormat="1" x14ac:dyDescent="0.25"/>
    <row r="715" s="222" customFormat="1" x14ac:dyDescent="0.25"/>
    <row r="716" s="222" customFormat="1" x14ac:dyDescent="0.25"/>
    <row r="717" s="222" customFormat="1" x14ac:dyDescent="0.25"/>
    <row r="718" s="222" customFormat="1" x14ac:dyDescent="0.25"/>
    <row r="719" s="222" customFormat="1" x14ac:dyDescent="0.25"/>
    <row r="720" s="222" customFormat="1" x14ac:dyDescent="0.25"/>
    <row r="721" s="222" customFormat="1" x14ac:dyDescent="0.25"/>
    <row r="722" s="222" customFormat="1" x14ac:dyDescent="0.25"/>
    <row r="723" s="222" customFormat="1" x14ac:dyDescent="0.25"/>
    <row r="724" s="222" customFormat="1" x14ac:dyDescent="0.25"/>
    <row r="725" s="222" customFormat="1" x14ac:dyDescent="0.25"/>
    <row r="726" s="222" customFormat="1" x14ac:dyDescent="0.25"/>
    <row r="727" s="222" customFormat="1" x14ac:dyDescent="0.25"/>
    <row r="728" s="222" customFormat="1" x14ac:dyDescent="0.25"/>
    <row r="729" s="222" customFormat="1" x14ac:dyDescent="0.25"/>
    <row r="730" s="222" customFormat="1" x14ac:dyDescent="0.25"/>
    <row r="731" s="222" customFormat="1" x14ac:dyDescent="0.25"/>
    <row r="732" s="222" customFormat="1" x14ac:dyDescent="0.25"/>
    <row r="733" s="222" customFormat="1" x14ac:dyDescent="0.25"/>
    <row r="734" s="222" customFormat="1" x14ac:dyDescent="0.25"/>
    <row r="735" s="222" customFormat="1" x14ac:dyDescent="0.25"/>
    <row r="736" s="222" customFormat="1" x14ac:dyDescent="0.25"/>
    <row r="737" s="222" customFormat="1" x14ac:dyDescent="0.25"/>
    <row r="738" s="222" customFormat="1" x14ac:dyDescent="0.25"/>
    <row r="739" s="222" customFormat="1" x14ac:dyDescent="0.25"/>
    <row r="740" s="222" customFormat="1" x14ac:dyDescent="0.25"/>
    <row r="741" s="222" customFormat="1" x14ac:dyDescent="0.25"/>
    <row r="742" s="222" customFormat="1" x14ac:dyDescent="0.25"/>
    <row r="743" s="222" customFormat="1" x14ac:dyDescent="0.25"/>
    <row r="744" s="222" customFormat="1" x14ac:dyDescent="0.25"/>
    <row r="745" s="222" customFormat="1" x14ac:dyDescent="0.25"/>
    <row r="746" s="222" customFormat="1" x14ac:dyDescent="0.25"/>
    <row r="747" s="222" customFormat="1" x14ac:dyDescent="0.25"/>
    <row r="748" s="222" customFormat="1" x14ac:dyDescent="0.25"/>
    <row r="749" s="222" customFormat="1" x14ac:dyDescent="0.25"/>
    <row r="750" s="222" customFormat="1" x14ac:dyDescent="0.25"/>
    <row r="751" s="222" customFormat="1" x14ac:dyDescent="0.25"/>
    <row r="752" s="222" customFormat="1" x14ac:dyDescent="0.25"/>
    <row r="753" s="222" customFormat="1" x14ac:dyDescent="0.25"/>
    <row r="754" s="222" customFormat="1" x14ac:dyDescent="0.25"/>
    <row r="755" s="222" customFormat="1" x14ac:dyDescent="0.25"/>
    <row r="756" s="222" customFormat="1" x14ac:dyDescent="0.25"/>
    <row r="757" s="222" customFormat="1" x14ac:dyDescent="0.25"/>
    <row r="758" s="222" customFormat="1" x14ac:dyDescent="0.25"/>
    <row r="759" s="222" customFormat="1" x14ac:dyDescent="0.25"/>
    <row r="760" s="222" customFormat="1" x14ac:dyDescent="0.25"/>
    <row r="761" s="222" customFormat="1" x14ac:dyDescent="0.25"/>
    <row r="762" s="222" customFormat="1" x14ac:dyDescent="0.25"/>
    <row r="763" s="222" customFormat="1" x14ac:dyDescent="0.25"/>
    <row r="764" s="222" customFormat="1" x14ac:dyDescent="0.25"/>
    <row r="765" s="222" customFormat="1" x14ac:dyDescent="0.25"/>
    <row r="766" s="222" customFormat="1" x14ac:dyDescent="0.25"/>
    <row r="767" s="222" customFormat="1" x14ac:dyDescent="0.25"/>
    <row r="768" s="222" customFormat="1" x14ac:dyDescent="0.25"/>
    <row r="769" s="222" customFormat="1" x14ac:dyDescent="0.25"/>
    <row r="770" s="222" customFormat="1" x14ac:dyDescent="0.25"/>
    <row r="771" s="222" customFormat="1" x14ac:dyDescent="0.25"/>
    <row r="772" s="222" customFormat="1" x14ac:dyDescent="0.25"/>
    <row r="773" s="222" customFormat="1" x14ac:dyDescent="0.25"/>
    <row r="774" s="222" customFormat="1" x14ac:dyDescent="0.25"/>
    <row r="775" s="222" customFormat="1" x14ac:dyDescent="0.25"/>
    <row r="776" s="222" customFormat="1" x14ac:dyDescent="0.25"/>
    <row r="777" s="222" customFormat="1" x14ac:dyDescent="0.25"/>
    <row r="778" s="222" customFormat="1" x14ac:dyDescent="0.25"/>
    <row r="779" s="222" customFormat="1" x14ac:dyDescent="0.25"/>
    <row r="780" s="222" customFormat="1" x14ac:dyDescent="0.25"/>
    <row r="781" s="222" customFormat="1" x14ac:dyDescent="0.25"/>
    <row r="782" s="222" customFormat="1" x14ac:dyDescent="0.25"/>
    <row r="783" s="222" customFormat="1" x14ac:dyDescent="0.25"/>
    <row r="784" s="222" customFormat="1" x14ac:dyDescent="0.25"/>
    <row r="785" s="222" customFormat="1" x14ac:dyDescent="0.25"/>
    <row r="786" s="222" customFormat="1" x14ac:dyDescent="0.25"/>
    <row r="787" s="222" customFormat="1" x14ac:dyDescent="0.25"/>
    <row r="788" s="222" customFormat="1" x14ac:dyDescent="0.25"/>
    <row r="789" s="222" customFormat="1" x14ac:dyDescent="0.25"/>
    <row r="790" s="222" customFormat="1" x14ac:dyDescent="0.25"/>
    <row r="791" s="222" customFormat="1" x14ac:dyDescent="0.25"/>
    <row r="792" s="222" customFormat="1" x14ac:dyDescent="0.25"/>
    <row r="793" s="222" customFormat="1" x14ac:dyDescent="0.25"/>
    <row r="794" s="222" customFormat="1" x14ac:dyDescent="0.25"/>
    <row r="795" s="222" customFormat="1" x14ac:dyDescent="0.25"/>
    <row r="796" s="222" customFormat="1" x14ac:dyDescent="0.25"/>
    <row r="797" s="222" customFormat="1" x14ac:dyDescent="0.25"/>
    <row r="798" s="222" customFormat="1" x14ac:dyDescent="0.25"/>
    <row r="799" s="222" customFormat="1" x14ac:dyDescent="0.25"/>
    <row r="800" s="222" customFormat="1" x14ac:dyDescent="0.25"/>
    <row r="801" s="222" customFormat="1" x14ac:dyDescent="0.25"/>
    <row r="802" s="222" customFormat="1" x14ac:dyDescent="0.25"/>
    <row r="803" s="222" customFormat="1" x14ac:dyDescent="0.25"/>
    <row r="804" s="222" customFormat="1" x14ac:dyDescent="0.25"/>
    <row r="805" s="222" customFormat="1" x14ac:dyDescent="0.25"/>
    <row r="806" s="222" customFormat="1" x14ac:dyDescent="0.25"/>
    <row r="807" s="222" customFormat="1" x14ac:dyDescent="0.25"/>
    <row r="808" s="222" customFormat="1" x14ac:dyDescent="0.25"/>
    <row r="809" s="222" customFormat="1" x14ac:dyDescent="0.25"/>
    <row r="810" s="222" customFormat="1" x14ac:dyDescent="0.25"/>
    <row r="811" s="222" customFormat="1" x14ac:dyDescent="0.25"/>
    <row r="812" s="222" customFormat="1" x14ac:dyDescent="0.25"/>
    <row r="813" s="222" customFormat="1" x14ac:dyDescent="0.25"/>
    <row r="814" s="222" customFormat="1" x14ac:dyDescent="0.25"/>
    <row r="815" s="222" customFormat="1" x14ac:dyDescent="0.25"/>
    <row r="816" s="222" customFormat="1" x14ac:dyDescent="0.25"/>
    <row r="817" s="222" customFormat="1" x14ac:dyDescent="0.25"/>
    <row r="818" s="222" customFormat="1" x14ac:dyDescent="0.25"/>
    <row r="819" s="222" customFormat="1" x14ac:dyDescent="0.25"/>
    <row r="820" s="222" customFormat="1" x14ac:dyDescent="0.25"/>
    <row r="821" s="222" customFormat="1" x14ac:dyDescent="0.25"/>
    <row r="822" s="222" customFormat="1" x14ac:dyDescent="0.25"/>
    <row r="823" s="222" customFormat="1" x14ac:dyDescent="0.25"/>
    <row r="824" s="222" customFormat="1" x14ac:dyDescent="0.25"/>
    <row r="825" s="222" customFormat="1" x14ac:dyDescent="0.25"/>
    <row r="826" s="222" customFormat="1" x14ac:dyDescent="0.25"/>
    <row r="827" s="222" customFormat="1" x14ac:dyDescent="0.25"/>
    <row r="828" s="222" customFormat="1" x14ac:dyDescent="0.25"/>
    <row r="829" s="222" customFormat="1" x14ac:dyDescent="0.25"/>
    <row r="830" s="222" customFormat="1" x14ac:dyDescent="0.25"/>
    <row r="831" s="222" customFormat="1" x14ac:dyDescent="0.25"/>
    <row r="832" s="222" customFormat="1" x14ac:dyDescent="0.25"/>
    <row r="833" s="222" customFormat="1" x14ac:dyDescent="0.25"/>
    <row r="834" s="222" customFormat="1" x14ac:dyDescent="0.25"/>
    <row r="835" s="222" customFormat="1" x14ac:dyDescent="0.25"/>
    <row r="836" s="222" customFormat="1" x14ac:dyDescent="0.25"/>
    <row r="837" s="222" customFormat="1" x14ac:dyDescent="0.25"/>
    <row r="838" s="222" customFormat="1" x14ac:dyDescent="0.25"/>
    <row r="839" s="222" customFormat="1" x14ac:dyDescent="0.25"/>
    <row r="840" s="222" customFormat="1" x14ac:dyDescent="0.25"/>
    <row r="841" s="222" customFormat="1" x14ac:dyDescent="0.25"/>
    <row r="842" s="222" customFormat="1" x14ac:dyDescent="0.25"/>
    <row r="843" s="222" customFormat="1" x14ac:dyDescent="0.25"/>
    <row r="844" s="222" customFormat="1" x14ac:dyDescent="0.25"/>
    <row r="845" s="222" customFormat="1" x14ac:dyDescent="0.25"/>
    <row r="846" s="222" customFormat="1" x14ac:dyDescent="0.25"/>
    <row r="847" s="222" customFormat="1" x14ac:dyDescent="0.25"/>
    <row r="848" s="222" customFormat="1" x14ac:dyDescent="0.25"/>
    <row r="849" s="222" customFormat="1" x14ac:dyDescent="0.25"/>
    <row r="850" s="222" customFormat="1" x14ac:dyDescent="0.25"/>
    <row r="851" s="222" customFormat="1" x14ac:dyDescent="0.25"/>
    <row r="852" s="222" customFormat="1" x14ac:dyDescent="0.25"/>
    <row r="853" s="222" customFormat="1" x14ac:dyDescent="0.25"/>
    <row r="854" s="222" customFormat="1" x14ac:dyDescent="0.25"/>
    <row r="855" s="222" customFormat="1" x14ac:dyDescent="0.25"/>
    <row r="856" s="222" customFormat="1" x14ac:dyDescent="0.25"/>
    <row r="857" s="222" customFormat="1" x14ac:dyDescent="0.25"/>
    <row r="858" s="222" customFormat="1" x14ac:dyDescent="0.25"/>
    <row r="859" s="222" customFormat="1" x14ac:dyDescent="0.25"/>
    <row r="860" s="222" customFormat="1" x14ac:dyDescent="0.25"/>
    <row r="861" s="222" customFormat="1" x14ac:dyDescent="0.25"/>
    <row r="862" s="222" customFormat="1" x14ac:dyDescent="0.25"/>
    <row r="863" s="222" customFormat="1" x14ac:dyDescent="0.25"/>
    <row r="864" s="222" customFormat="1" x14ac:dyDescent="0.25"/>
    <row r="865" s="222" customFormat="1" x14ac:dyDescent="0.25"/>
    <row r="866" s="222" customFormat="1" x14ac:dyDescent="0.25"/>
    <row r="867" s="222" customFormat="1" x14ac:dyDescent="0.25"/>
    <row r="868" s="222" customFormat="1" x14ac:dyDescent="0.25"/>
    <row r="869" s="222" customFormat="1" x14ac:dyDescent="0.25"/>
    <row r="870" s="222" customFormat="1" x14ac:dyDescent="0.25"/>
    <row r="871" s="222" customFormat="1" x14ac:dyDescent="0.25"/>
    <row r="872" s="222" customFormat="1" x14ac:dyDescent="0.25"/>
    <row r="873" s="222" customFormat="1" x14ac:dyDescent="0.25"/>
    <row r="874" s="222" customFormat="1" x14ac:dyDescent="0.25"/>
    <row r="875" s="222" customFormat="1" x14ac:dyDescent="0.25"/>
    <row r="876" s="222" customFormat="1" x14ac:dyDescent="0.25"/>
    <row r="877" s="222" customFormat="1" x14ac:dyDescent="0.25"/>
    <row r="878" s="222" customFormat="1" x14ac:dyDescent="0.25"/>
    <row r="879" s="222" customFormat="1" x14ac:dyDescent="0.25"/>
    <row r="880" s="222" customFormat="1" x14ac:dyDescent="0.25"/>
    <row r="881" s="222" customFormat="1" x14ac:dyDescent="0.25"/>
    <row r="882" s="222" customFormat="1" x14ac:dyDescent="0.25"/>
    <row r="883" s="222" customFormat="1" x14ac:dyDescent="0.25"/>
    <row r="884" s="222" customFormat="1" x14ac:dyDescent="0.25"/>
    <row r="885" s="222" customFormat="1" x14ac:dyDescent="0.25"/>
    <row r="886" s="222" customFormat="1" x14ac:dyDescent="0.25"/>
    <row r="887" s="222" customFormat="1" x14ac:dyDescent="0.25"/>
    <row r="888" s="222" customFormat="1" x14ac:dyDescent="0.25"/>
    <row r="889" s="222" customFormat="1" x14ac:dyDescent="0.25"/>
    <row r="890" s="222" customFormat="1" x14ac:dyDescent="0.25"/>
    <row r="891" s="222" customFormat="1" x14ac:dyDescent="0.25"/>
    <row r="892" s="222" customFormat="1" x14ac:dyDescent="0.25"/>
    <row r="893" s="222" customFormat="1" x14ac:dyDescent="0.25"/>
    <row r="894" s="222" customFormat="1" x14ac:dyDescent="0.25"/>
    <row r="895" s="222" customFormat="1" x14ac:dyDescent="0.25"/>
    <row r="896" s="222" customFormat="1" x14ac:dyDescent="0.25"/>
    <row r="897" s="222" customFormat="1" x14ac:dyDescent="0.25"/>
    <row r="898" s="222" customFormat="1" x14ac:dyDescent="0.25"/>
    <row r="899" s="222" customFormat="1" x14ac:dyDescent="0.25"/>
    <row r="900" s="222" customFormat="1" x14ac:dyDescent="0.25"/>
    <row r="901" s="222" customFormat="1" x14ac:dyDescent="0.25"/>
    <row r="902" s="222" customFormat="1" x14ac:dyDescent="0.25"/>
    <row r="903" s="222" customFormat="1" x14ac:dyDescent="0.25"/>
    <row r="904" s="222" customFormat="1" x14ac:dyDescent="0.25"/>
    <row r="905" s="222" customFormat="1" x14ac:dyDescent="0.25"/>
    <row r="906" s="222" customFormat="1" x14ac:dyDescent="0.25"/>
    <row r="907" s="222" customFormat="1" x14ac:dyDescent="0.25"/>
    <row r="908" s="222" customFormat="1" x14ac:dyDescent="0.25"/>
    <row r="909" s="222" customFormat="1" x14ac:dyDescent="0.25"/>
    <row r="910" s="222" customFormat="1" x14ac:dyDescent="0.25"/>
    <row r="911" s="222" customFormat="1" x14ac:dyDescent="0.25"/>
    <row r="912" s="222" customFormat="1" x14ac:dyDescent="0.25"/>
    <row r="913" s="222" customFormat="1" x14ac:dyDescent="0.25"/>
    <row r="914" s="222" customFormat="1" x14ac:dyDescent="0.25"/>
    <row r="915" s="222" customFormat="1" x14ac:dyDescent="0.25"/>
    <row r="916" s="222" customFormat="1" x14ac:dyDescent="0.25"/>
    <row r="917" s="222" customFormat="1" x14ac:dyDescent="0.25"/>
    <row r="918" s="222" customFormat="1" x14ac:dyDescent="0.25"/>
    <row r="919" s="222" customFormat="1" x14ac:dyDescent="0.25"/>
    <row r="920" s="222" customFormat="1" x14ac:dyDescent="0.25"/>
    <row r="921" s="222" customFormat="1" x14ac:dyDescent="0.25"/>
    <row r="922" s="222" customFormat="1" x14ac:dyDescent="0.25"/>
    <row r="923" s="222" customFormat="1" x14ac:dyDescent="0.25"/>
    <row r="924" s="222" customFormat="1" x14ac:dyDescent="0.25"/>
    <row r="925" s="222" customFormat="1" x14ac:dyDescent="0.25"/>
    <row r="926" s="222" customFormat="1" x14ac:dyDescent="0.25"/>
    <row r="927" s="222" customFormat="1" x14ac:dyDescent="0.25"/>
    <row r="928" s="222" customFormat="1" x14ac:dyDescent="0.25"/>
    <row r="929" s="222" customFormat="1" x14ac:dyDescent="0.25"/>
    <row r="930" s="222" customFormat="1" x14ac:dyDescent="0.25"/>
    <row r="931" s="222" customFormat="1" x14ac:dyDescent="0.25"/>
    <row r="932" s="222" customFormat="1" x14ac:dyDescent="0.25"/>
    <row r="933" s="222" customFormat="1" x14ac:dyDescent="0.25"/>
    <row r="934" s="222" customFormat="1" x14ac:dyDescent="0.25"/>
    <row r="935" s="222" customFormat="1" x14ac:dyDescent="0.25"/>
    <row r="936" s="222" customFormat="1" x14ac:dyDescent="0.25"/>
    <row r="937" s="222" customFormat="1" x14ac:dyDescent="0.25"/>
    <row r="938" s="222" customFormat="1" x14ac:dyDescent="0.25"/>
    <row r="939" s="222" customFormat="1" x14ac:dyDescent="0.25"/>
    <row r="940" s="222" customFormat="1" x14ac:dyDescent="0.25"/>
    <row r="941" s="222" customFormat="1" x14ac:dyDescent="0.25"/>
    <row r="942" s="222" customFormat="1" x14ac:dyDescent="0.25"/>
    <row r="943" s="222" customFormat="1" x14ac:dyDescent="0.25"/>
    <row r="944" s="222" customFormat="1" x14ac:dyDescent="0.25"/>
    <row r="945" s="222" customFormat="1" x14ac:dyDescent="0.25"/>
    <row r="946" s="222" customFormat="1" x14ac:dyDescent="0.25"/>
    <row r="947" s="222" customFormat="1" x14ac:dyDescent="0.25"/>
    <row r="948" s="222" customFormat="1" x14ac:dyDescent="0.25"/>
    <row r="949" s="222" customFormat="1" x14ac:dyDescent="0.25"/>
    <row r="950" s="222" customFormat="1" x14ac:dyDescent="0.25"/>
    <row r="951" s="222" customFormat="1" x14ac:dyDescent="0.25"/>
    <row r="952" s="222" customFormat="1" x14ac:dyDescent="0.25"/>
    <row r="953" s="222" customFormat="1" x14ac:dyDescent="0.25"/>
    <row r="954" s="222" customFormat="1" x14ac:dyDescent="0.25"/>
    <row r="955" s="222" customFormat="1" x14ac:dyDescent="0.25"/>
    <row r="956" s="222" customFormat="1" x14ac:dyDescent="0.25"/>
    <row r="957" s="222" customFormat="1" x14ac:dyDescent="0.25"/>
    <row r="958" s="222" customFormat="1" x14ac:dyDescent="0.25"/>
    <row r="959" s="222" customFormat="1" x14ac:dyDescent="0.25"/>
    <row r="960" s="222" customFormat="1" x14ac:dyDescent="0.25"/>
    <row r="961" s="222" customFormat="1" x14ac:dyDescent="0.25"/>
    <row r="962" s="222" customFormat="1" x14ac:dyDescent="0.25"/>
    <row r="963" s="222" customFormat="1" x14ac:dyDescent="0.25"/>
    <row r="964" s="222" customFormat="1" x14ac:dyDescent="0.25"/>
    <row r="965" s="222" customFormat="1" x14ac:dyDescent="0.25"/>
    <row r="966" s="222" customFormat="1" x14ac:dyDescent="0.25"/>
    <row r="967" s="222" customFormat="1" x14ac:dyDescent="0.25"/>
    <row r="968" s="222" customFormat="1" x14ac:dyDescent="0.25"/>
    <row r="969" s="222" customFormat="1" x14ac:dyDescent="0.25"/>
    <row r="970" s="222" customFormat="1" x14ac:dyDescent="0.25"/>
    <row r="971" s="222" customFormat="1" x14ac:dyDescent="0.25"/>
    <row r="972" s="222" customFormat="1" x14ac:dyDescent="0.25"/>
    <row r="973" s="222" customFormat="1" x14ac:dyDescent="0.25"/>
    <row r="974" s="222" customFormat="1" x14ac:dyDescent="0.25"/>
    <row r="975" s="222" customFormat="1" x14ac:dyDescent="0.25"/>
    <row r="976" s="222" customFormat="1" x14ac:dyDescent="0.25"/>
    <row r="977" s="222" customFormat="1" x14ac:dyDescent="0.25"/>
    <row r="978" s="222" customFormat="1" x14ac:dyDescent="0.25"/>
    <row r="979" s="222" customFormat="1" x14ac:dyDescent="0.25"/>
    <row r="980" s="222" customFormat="1" x14ac:dyDescent="0.25"/>
    <row r="981" s="222" customFormat="1" x14ac:dyDescent="0.25"/>
    <row r="982" s="222" customFormat="1" x14ac:dyDescent="0.25"/>
    <row r="983" s="222" customFormat="1" x14ac:dyDescent="0.25"/>
    <row r="984" s="222" customFormat="1" x14ac:dyDescent="0.25"/>
    <row r="985" s="222" customFormat="1" x14ac:dyDescent="0.25"/>
    <row r="986" s="222" customFormat="1" x14ac:dyDescent="0.25"/>
    <row r="987" s="222" customFormat="1" x14ac:dyDescent="0.25"/>
    <row r="988" s="222" customFormat="1" x14ac:dyDescent="0.25"/>
    <row r="989" s="222" customFormat="1" x14ac:dyDescent="0.25"/>
    <row r="990" s="222" customFormat="1" x14ac:dyDescent="0.25"/>
    <row r="991" s="222" customFormat="1" x14ac:dyDescent="0.25"/>
    <row r="992" s="222" customFormat="1" x14ac:dyDescent="0.25"/>
    <row r="993" s="222" customFormat="1" x14ac:dyDescent="0.25"/>
    <row r="994" s="222" customFormat="1" x14ac:dyDescent="0.25"/>
    <row r="995" s="222" customFormat="1" x14ac:dyDescent="0.25"/>
    <row r="996" s="222" customFormat="1" x14ac:dyDescent="0.25"/>
    <row r="997" s="222" customFormat="1" x14ac:dyDescent="0.25"/>
    <row r="998" s="222" customFormat="1" x14ac:dyDescent="0.25"/>
    <row r="999" s="222" customFormat="1" x14ac:dyDescent="0.25"/>
    <row r="1000" s="222" customFormat="1" x14ac:dyDescent="0.25"/>
    <row r="1001" s="222" customFormat="1" x14ac:dyDescent="0.25"/>
    <row r="1002" s="222" customFormat="1" x14ac:dyDescent="0.25"/>
    <row r="1003" s="222" customFormat="1" x14ac:dyDescent="0.25"/>
    <row r="1004" s="222" customFormat="1" x14ac:dyDescent="0.25"/>
    <row r="1005" s="222" customFormat="1" x14ac:dyDescent="0.25"/>
    <row r="1006" s="222" customFormat="1" x14ac:dyDescent="0.25"/>
    <row r="1007" s="222" customFormat="1" x14ac:dyDescent="0.25"/>
    <row r="1008" s="222" customFormat="1" x14ac:dyDescent="0.25"/>
    <row r="1009" s="222" customFormat="1" x14ac:dyDescent="0.25"/>
    <row r="1010" s="222" customFormat="1" x14ac:dyDescent="0.25"/>
    <row r="1011" s="222" customFormat="1" x14ac:dyDescent="0.25"/>
    <row r="1012" s="222" customFormat="1" x14ac:dyDescent="0.25"/>
    <row r="1013" s="222" customFormat="1" x14ac:dyDescent="0.25"/>
    <row r="1014" s="222" customFormat="1" x14ac:dyDescent="0.25"/>
    <row r="1015" s="222" customFormat="1" x14ac:dyDescent="0.25"/>
    <row r="1016" s="222" customFormat="1" x14ac:dyDescent="0.25"/>
    <row r="1017" s="222" customFormat="1" x14ac:dyDescent="0.25"/>
    <row r="1018" s="222" customFormat="1" x14ac:dyDescent="0.25"/>
    <row r="1019" s="222" customFormat="1" x14ac:dyDescent="0.25"/>
    <row r="1020" s="222" customFormat="1" x14ac:dyDescent="0.25"/>
    <row r="1021" s="222" customFormat="1" x14ac:dyDescent="0.25"/>
    <row r="1022" s="222" customFormat="1" x14ac:dyDescent="0.25"/>
    <row r="1023" s="222" customFormat="1" x14ac:dyDescent="0.25"/>
    <row r="1024" s="222" customFormat="1" x14ac:dyDescent="0.25"/>
    <row r="1025" s="222" customFormat="1" x14ac:dyDescent="0.25"/>
    <row r="1026" s="222" customFormat="1" x14ac:dyDescent="0.25"/>
    <row r="1027" s="222" customFormat="1" x14ac:dyDescent="0.25"/>
    <row r="1028" s="222" customFormat="1" x14ac:dyDescent="0.25"/>
    <row r="1029" s="222" customFormat="1" x14ac:dyDescent="0.25"/>
    <row r="1030" s="222" customFormat="1" x14ac:dyDescent="0.25"/>
    <row r="1031" s="222" customFormat="1" x14ac:dyDescent="0.25"/>
    <row r="1032" s="222" customFormat="1" x14ac:dyDescent="0.25"/>
    <row r="1033" s="222" customFormat="1" x14ac:dyDescent="0.25"/>
    <row r="1034" s="222" customFormat="1" x14ac:dyDescent="0.25"/>
    <row r="1035" s="222" customFormat="1" x14ac:dyDescent="0.25"/>
    <row r="1036" s="222" customFormat="1" x14ac:dyDescent="0.25"/>
    <row r="1037" s="222" customFormat="1" x14ac:dyDescent="0.25"/>
    <row r="1038" s="222" customFormat="1" x14ac:dyDescent="0.25"/>
    <row r="1039" s="222" customFormat="1" x14ac:dyDescent="0.25"/>
    <row r="1040" s="222" customFormat="1" x14ac:dyDescent="0.25"/>
    <row r="1041" s="222" customFormat="1" x14ac:dyDescent="0.25"/>
    <row r="1042" s="222" customFormat="1" x14ac:dyDescent="0.25"/>
    <row r="1043" s="222" customFormat="1" x14ac:dyDescent="0.25"/>
    <row r="1044" s="222" customFormat="1" x14ac:dyDescent="0.25"/>
    <row r="1045" s="222" customFormat="1" x14ac:dyDescent="0.25"/>
    <row r="1046" s="222" customFormat="1" x14ac:dyDescent="0.25"/>
    <row r="1047" s="222" customFormat="1" x14ac:dyDescent="0.25"/>
    <row r="1048" s="222" customFormat="1" x14ac:dyDescent="0.25"/>
    <row r="1049" s="222" customFormat="1" x14ac:dyDescent="0.25"/>
    <row r="1050" s="222" customFormat="1" x14ac:dyDescent="0.25"/>
    <row r="1051" s="222" customFormat="1" x14ac:dyDescent="0.25"/>
    <row r="1052" s="222" customFormat="1" x14ac:dyDescent="0.25"/>
    <row r="1053" s="222" customFormat="1" x14ac:dyDescent="0.25"/>
    <row r="1054" s="222" customFormat="1" x14ac:dyDescent="0.25"/>
    <row r="1055" s="222" customFormat="1" x14ac:dyDescent="0.25"/>
    <row r="1056" s="222" customFormat="1" x14ac:dyDescent="0.25"/>
    <row r="1057" s="222" customFormat="1" x14ac:dyDescent="0.25"/>
    <row r="1058" s="222" customFormat="1" x14ac:dyDescent="0.25"/>
    <row r="1059" s="222" customFormat="1" x14ac:dyDescent="0.25"/>
    <row r="1060" s="222" customFormat="1" x14ac:dyDescent="0.25"/>
    <row r="1061" s="222" customFormat="1" x14ac:dyDescent="0.25"/>
    <row r="1062" s="222" customFormat="1" x14ac:dyDescent="0.25"/>
    <row r="1063" s="222" customFormat="1" x14ac:dyDescent="0.25"/>
    <row r="1064" s="222" customFormat="1" x14ac:dyDescent="0.25"/>
    <row r="1065" s="222" customFormat="1" x14ac:dyDescent="0.25"/>
    <row r="1066" s="222" customFormat="1" x14ac:dyDescent="0.25"/>
    <row r="1067" s="222" customFormat="1" x14ac:dyDescent="0.25"/>
    <row r="1068" s="222" customFormat="1" x14ac:dyDescent="0.25"/>
    <row r="1069" s="222" customFormat="1" x14ac:dyDescent="0.25"/>
    <row r="1070" s="222" customFormat="1" x14ac:dyDescent="0.25"/>
    <row r="1071" s="222" customFormat="1" x14ac:dyDescent="0.25"/>
    <row r="1072" s="222" customFormat="1" x14ac:dyDescent="0.25"/>
    <row r="1073" s="222" customFormat="1" x14ac:dyDescent="0.25"/>
    <row r="1074" s="222" customFormat="1" x14ac:dyDescent="0.25"/>
    <row r="1075" s="222" customFormat="1" x14ac:dyDescent="0.25"/>
    <row r="1076" s="222" customFormat="1" x14ac:dyDescent="0.25"/>
    <row r="1077" s="222" customFormat="1" x14ac:dyDescent="0.25"/>
    <row r="1078" s="222" customFormat="1" x14ac:dyDescent="0.25"/>
    <row r="1079" s="222" customFormat="1" x14ac:dyDescent="0.25"/>
    <row r="1080" s="222" customFormat="1" x14ac:dyDescent="0.25"/>
    <row r="1081" s="222" customFormat="1" x14ac:dyDescent="0.25"/>
    <row r="1082" s="222" customFormat="1" x14ac:dyDescent="0.25"/>
    <row r="1083" s="222" customFormat="1" x14ac:dyDescent="0.25"/>
    <row r="1084" s="222" customFormat="1" x14ac:dyDescent="0.25"/>
    <row r="1085" s="222" customFormat="1" x14ac:dyDescent="0.25"/>
    <row r="1086" s="222" customFormat="1" x14ac:dyDescent="0.25"/>
    <row r="1087" s="222" customFormat="1" x14ac:dyDescent="0.25"/>
    <row r="1088" s="222" customFormat="1" x14ac:dyDescent="0.25"/>
    <row r="1089" s="222" customFormat="1" x14ac:dyDescent="0.25"/>
    <row r="1090" s="222" customFormat="1" x14ac:dyDescent="0.25"/>
    <row r="1091" s="222" customFormat="1" x14ac:dyDescent="0.25"/>
    <row r="1092" s="222" customFormat="1" x14ac:dyDescent="0.25"/>
    <row r="1093" s="222" customFormat="1" x14ac:dyDescent="0.25"/>
    <row r="1094" s="222" customFormat="1" x14ac:dyDescent="0.25"/>
    <row r="1095" s="222" customFormat="1" x14ac:dyDescent="0.25"/>
    <row r="1096" s="222" customFormat="1" x14ac:dyDescent="0.25"/>
    <row r="1097" s="222" customFormat="1" x14ac:dyDescent="0.25"/>
    <row r="1098" s="222" customFormat="1" x14ac:dyDescent="0.25"/>
    <row r="1099" s="222" customFormat="1" x14ac:dyDescent="0.25"/>
    <row r="1100" s="222" customFormat="1" x14ac:dyDescent="0.25"/>
    <row r="1101" s="222" customFormat="1" x14ac:dyDescent="0.25"/>
    <row r="1102" s="222" customFormat="1" x14ac:dyDescent="0.25"/>
    <row r="1103" s="222" customFormat="1" x14ac:dyDescent="0.25"/>
    <row r="1104" s="222" customFormat="1" x14ac:dyDescent="0.25"/>
    <row r="1105" s="222" customFormat="1" x14ac:dyDescent="0.25"/>
    <row r="1106" s="222" customFormat="1" x14ac:dyDescent="0.25"/>
    <row r="1107" s="222" customFormat="1" x14ac:dyDescent="0.25"/>
    <row r="1108" s="222" customFormat="1" x14ac:dyDescent="0.25"/>
    <row r="1109" s="222" customFormat="1" x14ac:dyDescent="0.25"/>
    <row r="1110" s="222" customFormat="1" x14ac:dyDescent="0.25"/>
    <row r="1111" s="222" customFormat="1" x14ac:dyDescent="0.25"/>
    <row r="1112" s="222" customFormat="1" x14ac:dyDescent="0.25"/>
    <row r="1113" s="222" customFormat="1" x14ac:dyDescent="0.25"/>
    <row r="1114" s="222" customFormat="1" x14ac:dyDescent="0.25"/>
    <row r="1115" s="222" customFormat="1" x14ac:dyDescent="0.25"/>
    <row r="1116" s="222" customFormat="1" x14ac:dyDescent="0.25"/>
    <row r="1117" s="222" customFormat="1" x14ac:dyDescent="0.25"/>
    <row r="1118" s="222" customFormat="1" x14ac:dyDescent="0.25"/>
    <row r="1119" s="222" customFormat="1" x14ac:dyDescent="0.25"/>
    <row r="1120" s="222" customFormat="1" x14ac:dyDescent="0.25"/>
    <row r="1121" s="222" customFormat="1" x14ac:dyDescent="0.25"/>
    <row r="1122" s="222" customFormat="1" x14ac:dyDescent="0.25"/>
    <row r="1123" s="222" customFormat="1" x14ac:dyDescent="0.25"/>
    <row r="1124" s="222" customFormat="1" x14ac:dyDescent="0.25"/>
    <row r="1125" s="222" customFormat="1" x14ac:dyDescent="0.25"/>
    <row r="1126" s="222" customFormat="1" x14ac:dyDescent="0.25"/>
    <row r="1127" s="222" customFormat="1" x14ac:dyDescent="0.25"/>
    <row r="1128" s="222" customFormat="1" x14ac:dyDescent="0.25"/>
    <row r="1129" s="222" customFormat="1" x14ac:dyDescent="0.25"/>
    <row r="1130" s="222" customFormat="1" x14ac:dyDescent="0.25"/>
    <row r="1131" s="222" customFormat="1" x14ac:dyDescent="0.25"/>
    <row r="1132" s="222" customFormat="1" x14ac:dyDescent="0.25"/>
    <row r="1133" s="222" customFormat="1" x14ac:dyDescent="0.25"/>
    <row r="1134" s="222" customFormat="1" x14ac:dyDescent="0.25"/>
    <row r="1135" s="222" customFormat="1" x14ac:dyDescent="0.25"/>
    <row r="1136" s="222" customFormat="1" x14ac:dyDescent="0.25"/>
    <row r="1137" s="222" customFormat="1" x14ac:dyDescent="0.25"/>
    <row r="1138" s="222" customFormat="1" x14ac:dyDescent="0.25"/>
    <row r="1139" s="222" customFormat="1" x14ac:dyDescent="0.25"/>
    <row r="1140" s="222" customFormat="1" x14ac:dyDescent="0.25"/>
    <row r="1141" s="222" customFormat="1" x14ac:dyDescent="0.25"/>
    <row r="1142" s="222" customFormat="1" x14ac:dyDescent="0.25"/>
    <row r="1143" s="222" customFormat="1" x14ac:dyDescent="0.25"/>
    <row r="1144" s="222" customFormat="1" x14ac:dyDescent="0.25"/>
    <row r="1145" s="222" customFormat="1" x14ac:dyDescent="0.25"/>
    <row r="1146" s="222" customFormat="1" x14ac:dyDescent="0.25"/>
    <row r="1147" s="222" customFormat="1" x14ac:dyDescent="0.25"/>
    <row r="1148" s="222" customFormat="1" x14ac:dyDescent="0.25"/>
    <row r="1149" s="222" customFormat="1" x14ac:dyDescent="0.25"/>
    <row r="1150" s="222" customFormat="1" x14ac:dyDescent="0.25"/>
    <row r="1151" s="222" customFormat="1" x14ac:dyDescent="0.25"/>
    <row r="1152" s="222" customFormat="1" x14ac:dyDescent="0.25"/>
    <row r="1153" s="222" customFormat="1" x14ac:dyDescent="0.25"/>
    <row r="1154" s="222" customFormat="1" x14ac:dyDescent="0.25"/>
    <row r="1155" s="222" customFormat="1" x14ac:dyDescent="0.25"/>
    <row r="1156" s="222" customFormat="1" x14ac:dyDescent="0.25"/>
    <row r="1157" s="222" customFormat="1" x14ac:dyDescent="0.25"/>
    <row r="1158" s="222" customFormat="1" x14ac:dyDescent="0.25"/>
    <row r="1159" s="222" customFormat="1" x14ac:dyDescent="0.25"/>
    <row r="1160" s="222" customFormat="1" x14ac:dyDescent="0.25"/>
    <row r="1161" s="222" customFormat="1" x14ac:dyDescent="0.25"/>
    <row r="1162" s="222" customFormat="1" x14ac:dyDescent="0.25"/>
    <row r="1163" s="222" customFormat="1" x14ac:dyDescent="0.25"/>
    <row r="1164" s="222" customFormat="1" x14ac:dyDescent="0.25"/>
    <row r="1165" s="222" customFormat="1" x14ac:dyDescent="0.25"/>
    <row r="1166" s="222" customFormat="1" x14ac:dyDescent="0.25"/>
    <row r="1167" s="222" customFormat="1" x14ac:dyDescent="0.25"/>
    <row r="1168" s="222" customFormat="1" x14ac:dyDescent="0.25"/>
    <row r="1169" s="222" customFormat="1" x14ac:dyDescent="0.25"/>
    <row r="1170" s="222" customFormat="1" x14ac:dyDescent="0.25"/>
    <row r="1171" s="222" customFormat="1" x14ac:dyDescent="0.25"/>
    <row r="1172" s="222" customFormat="1" x14ac:dyDescent="0.25"/>
    <row r="1173" s="222" customFormat="1" x14ac:dyDescent="0.25"/>
    <row r="1174" s="222" customFormat="1" x14ac:dyDescent="0.25"/>
    <row r="1175" s="222" customFormat="1" x14ac:dyDescent="0.25"/>
    <row r="1176" s="222" customFormat="1" x14ac:dyDescent="0.25"/>
    <row r="1177" s="222" customFormat="1" x14ac:dyDescent="0.25"/>
    <row r="1178" s="222" customFormat="1" x14ac:dyDescent="0.25"/>
    <row r="1179" s="222" customFormat="1" x14ac:dyDescent="0.25"/>
    <row r="1180" s="222" customFormat="1" x14ac:dyDescent="0.25"/>
    <row r="1181" s="222" customFormat="1" x14ac:dyDescent="0.25"/>
    <row r="1182" s="222" customFormat="1" x14ac:dyDescent="0.25"/>
    <row r="1183" s="222" customFormat="1" x14ac:dyDescent="0.25"/>
    <row r="1184" s="222" customFormat="1" x14ac:dyDescent="0.25"/>
    <row r="1185" s="222" customFormat="1" x14ac:dyDescent="0.25"/>
    <row r="1186" s="222" customFormat="1" x14ac:dyDescent="0.25"/>
    <row r="1187" s="222" customFormat="1" x14ac:dyDescent="0.25"/>
    <row r="1188" s="222" customFormat="1" x14ac:dyDescent="0.25"/>
    <row r="1189" s="222" customFormat="1" x14ac:dyDescent="0.25"/>
    <row r="1190" s="222" customFormat="1" x14ac:dyDescent="0.25"/>
    <row r="1191" s="222" customFormat="1" x14ac:dyDescent="0.25"/>
    <row r="1192" s="222" customFormat="1" x14ac:dyDescent="0.25"/>
    <row r="1193" s="222" customFormat="1" x14ac:dyDescent="0.25"/>
    <row r="1194" s="222" customFormat="1" x14ac:dyDescent="0.25"/>
    <row r="1195" s="222" customFormat="1" x14ac:dyDescent="0.25"/>
    <row r="1196" s="222" customFormat="1" x14ac:dyDescent="0.25"/>
    <row r="1197" s="222" customFormat="1" x14ac:dyDescent="0.25"/>
    <row r="1198" s="222" customFormat="1" x14ac:dyDescent="0.25"/>
    <row r="1199" s="222" customFormat="1" x14ac:dyDescent="0.25"/>
    <row r="1200" s="222" customFormat="1" x14ac:dyDescent="0.25"/>
    <row r="1201" s="222" customFormat="1" x14ac:dyDescent="0.25"/>
    <row r="1202" s="222" customFormat="1" x14ac:dyDescent="0.25"/>
    <row r="1203" s="222" customFormat="1" x14ac:dyDescent="0.25"/>
    <row r="1204" s="222" customFormat="1" x14ac:dyDescent="0.25"/>
    <row r="1205" s="222" customFormat="1" x14ac:dyDescent="0.25"/>
    <row r="1206" s="222" customFormat="1" x14ac:dyDescent="0.25"/>
    <row r="1207" s="222" customFormat="1" x14ac:dyDescent="0.25"/>
    <row r="1208" s="222" customFormat="1" x14ac:dyDescent="0.25"/>
    <row r="1209" s="222" customFormat="1" x14ac:dyDescent="0.25"/>
    <row r="1210" s="222" customFormat="1" x14ac:dyDescent="0.25"/>
    <row r="1211" s="222" customFormat="1" x14ac:dyDescent="0.25"/>
    <row r="1212" s="222" customFormat="1" x14ac:dyDescent="0.25"/>
    <row r="1213" s="222" customFormat="1" x14ac:dyDescent="0.25"/>
    <row r="1214" s="222" customFormat="1" x14ac:dyDescent="0.25"/>
    <row r="1215" s="222" customFormat="1" x14ac:dyDescent="0.25"/>
    <row r="1216" s="222" customFormat="1" x14ac:dyDescent="0.25"/>
    <row r="1217" s="222" customFormat="1" x14ac:dyDescent="0.25"/>
    <row r="1218" s="222" customFormat="1" x14ac:dyDescent="0.25"/>
    <row r="1219" s="222" customFormat="1" x14ac:dyDescent="0.25"/>
    <row r="1220" s="222" customFormat="1" x14ac:dyDescent="0.25"/>
    <row r="1221" s="222" customFormat="1" x14ac:dyDescent="0.25"/>
    <row r="1222" s="222" customFormat="1" x14ac:dyDescent="0.25"/>
    <row r="1223" s="222" customFormat="1" x14ac:dyDescent="0.25"/>
    <row r="1224" s="222" customFormat="1" x14ac:dyDescent="0.25"/>
    <row r="1225" s="222" customFormat="1" x14ac:dyDescent="0.25"/>
    <row r="1226" s="222" customFormat="1" x14ac:dyDescent="0.25"/>
    <row r="1227" s="222" customFormat="1" x14ac:dyDescent="0.25"/>
    <row r="1228" s="222" customFormat="1" x14ac:dyDescent="0.25"/>
    <row r="1229" s="222" customFormat="1" x14ac:dyDescent="0.25"/>
    <row r="1230" s="222" customFormat="1" x14ac:dyDescent="0.25"/>
    <row r="1231" s="222" customFormat="1" x14ac:dyDescent="0.25"/>
    <row r="1232" s="222" customFormat="1" x14ac:dyDescent="0.25"/>
    <row r="1233" s="222" customFormat="1" x14ac:dyDescent="0.25"/>
    <row r="1234" s="222" customFormat="1" x14ac:dyDescent="0.25"/>
    <row r="1235" s="222" customFormat="1" x14ac:dyDescent="0.25"/>
    <row r="1236" s="222" customFormat="1" x14ac:dyDescent="0.25"/>
    <row r="1237" s="222" customFormat="1" x14ac:dyDescent="0.25"/>
    <row r="1238" s="222" customFormat="1" x14ac:dyDescent="0.25"/>
    <row r="1239" s="222" customFormat="1" x14ac:dyDescent="0.25"/>
    <row r="1240" s="222" customFormat="1" x14ac:dyDescent="0.25"/>
    <row r="1241" s="222" customFormat="1" x14ac:dyDescent="0.25"/>
    <row r="1242" s="222" customFormat="1" x14ac:dyDescent="0.25"/>
    <row r="1243" s="222" customFormat="1" x14ac:dyDescent="0.25"/>
    <row r="1244" s="222" customFormat="1" x14ac:dyDescent="0.25"/>
    <row r="1245" s="222" customFormat="1" x14ac:dyDescent="0.25"/>
    <row r="1246" s="222" customFormat="1" x14ac:dyDescent="0.25"/>
    <row r="1247" s="222" customFormat="1" x14ac:dyDescent="0.25"/>
    <row r="1248" s="222" customFormat="1" x14ac:dyDescent="0.25"/>
    <row r="1249" s="222" customFormat="1" x14ac:dyDescent="0.25"/>
    <row r="1250" s="222" customFormat="1" x14ac:dyDescent="0.25"/>
    <row r="1251" s="222" customFormat="1" x14ac:dyDescent="0.25"/>
    <row r="1252" s="222" customFormat="1" x14ac:dyDescent="0.25"/>
    <row r="1253" s="222" customFormat="1" x14ac:dyDescent="0.25"/>
    <row r="1254" s="222" customFormat="1" x14ac:dyDescent="0.25"/>
    <row r="1255" s="222" customFormat="1" x14ac:dyDescent="0.25"/>
    <row r="1256" s="222" customFormat="1" x14ac:dyDescent="0.25"/>
    <row r="1257" s="222" customFormat="1" x14ac:dyDescent="0.25"/>
    <row r="1258" s="222" customFormat="1" x14ac:dyDescent="0.25"/>
    <row r="1259" s="222" customFormat="1" x14ac:dyDescent="0.25"/>
    <row r="1260" s="222" customFormat="1" x14ac:dyDescent="0.25"/>
    <row r="1261" s="222" customFormat="1" x14ac:dyDescent="0.25"/>
    <row r="1262" s="222" customFormat="1" x14ac:dyDescent="0.25"/>
    <row r="1263" s="222" customFormat="1" x14ac:dyDescent="0.25"/>
    <row r="1264" s="222" customFormat="1" x14ac:dyDescent="0.25"/>
    <row r="1265" s="222" customFormat="1" x14ac:dyDescent="0.25"/>
    <row r="1266" s="222" customFormat="1" x14ac:dyDescent="0.25"/>
    <row r="1267" s="222" customFormat="1" x14ac:dyDescent="0.25"/>
    <row r="1268" s="222" customFormat="1" x14ac:dyDescent="0.25"/>
    <row r="1269" s="222" customFormat="1" x14ac:dyDescent="0.25"/>
    <row r="1270" s="222" customFormat="1" x14ac:dyDescent="0.25"/>
    <row r="1271" s="222" customFormat="1" x14ac:dyDescent="0.25"/>
    <row r="1272" s="222" customFormat="1" x14ac:dyDescent="0.25"/>
    <row r="1273" s="222" customFormat="1" x14ac:dyDescent="0.25"/>
    <row r="1274" s="222" customFormat="1" x14ac:dyDescent="0.25"/>
    <row r="1275" s="222" customFormat="1" x14ac:dyDescent="0.25"/>
    <row r="1276" s="222" customFormat="1" x14ac:dyDescent="0.25"/>
    <row r="1277" s="222" customFormat="1" x14ac:dyDescent="0.25"/>
    <row r="1278" s="222" customFormat="1" x14ac:dyDescent="0.25"/>
    <row r="1279" s="222" customFormat="1" x14ac:dyDescent="0.25"/>
    <row r="1280" s="222" customFormat="1" x14ac:dyDescent="0.25"/>
    <row r="1281" s="222" customFormat="1" x14ac:dyDescent="0.25"/>
    <row r="1282" s="222" customFormat="1" x14ac:dyDescent="0.25"/>
    <row r="1283" s="222" customFormat="1" x14ac:dyDescent="0.25"/>
    <row r="1284" s="222" customFormat="1" x14ac:dyDescent="0.25"/>
    <row r="1285" s="222" customFormat="1" x14ac:dyDescent="0.25"/>
    <row r="1286" s="222" customFormat="1" x14ac:dyDescent="0.25"/>
    <row r="1287" s="222" customFormat="1" x14ac:dyDescent="0.25"/>
    <row r="1288" s="222" customFormat="1" x14ac:dyDescent="0.25"/>
    <row r="1289" s="222" customFormat="1" x14ac:dyDescent="0.25"/>
    <row r="1290" s="222" customFormat="1" x14ac:dyDescent="0.25"/>
    <row r="1291" s="222" customFormat="1" x14ac:dyDescent="0.25"/>
    <row r="1292" s="222" customFormat="1" x14ac:dyDescent="0.25"/>
    <row r="1293" s="222" customFormat="1" x14ac:dyDescent="0.25"/>
    <row r="1294" s="222" customFormat="1" x14ac:dyDescent="0.25"/>
    <row r="1295" s="222" customFormat="1" x14ac:dyDescent="0.25"/>
    <row r="1296" s="222" customFormat="1" x14ac:dyDescent="0.25"/>
    <row r="1297" s="222" customFormat="1" x14ac:dyDescent="0.25"/>
    <row r="1298" s="222" customFormat="1" x14ac:dyDescent="0.25"/>
    <row r="1299" s="222" customFormat="1" x14ac:dyDescent="0.25"/>
    <row r="1300" s="222" customFormat="1" x14ac:dyDescent="0.25"/>
    <row r="1301" s="222" customFormat="1" x14ac:dyDescent="0.25"/>
    <row r="1302" s="222" customFormat="1" x14ac:dyDescent="0.25"/>
    <row r="1303" s="222" customFormat="1" x14ac:dyDescent="0.25"/>
    <row r="1304" s="222" customFormat="1" x14ac:dyDescent="0.25"/>
    <row r="1305" s="222" customFormat="1" x14ac:dyDescent="0.25"/>
    <row r="1306" s="222" customFormat="1" x14ac:dyDescent="0.25"/>
    <row r="1307" s="222" customFormat="1" x14ac:dyDescent="0.25"/>
    <row r="1308" s="222" customFormat="1" x14ac:dyDescent="0.25"/>
    <row r="1309" s="222" customFormat="1" x14ac:dyDescent="0.25"/>
    <row r="1310" s="222" customFormat="1" x14ac:dyDescent="0.25"/>
    <row r="1311" s="222" customFormat="1" x14ac:dyDescent="0.25"/>
    <row r="1312" s="222" customFormat="1" x14ac:dyDescent="0.25"/>
    <row r="1313" s="222" customFormat="1" x14ac:dyDescent="0.25"/>
    <row r="1314" s="222" customFormat="1" x14ac:dyDescent="0.25"/>
    <row r="1315" s="222" customFormat="1" x14ac:dyDescent="0.25"/>
    <row r="1316" s="222" customFormat="1" x14ac:dyDescent="0.25"/>
    <row r="1317" s="222" customFormat="1" x14ac:dyDescent="0.25"/>
    <row r="1318" s="222" customFormat="1" x14ac:dyDescent="0.25"/>
    <row r="1319" s="222" customFormat="1" x14ac:dyDescent="0.25"/>
    <row r="1320" s="222" customFormat="1" x14ac:dyDescent="0.25"/>
    <row r="1321" s="222" customFormat="1" x14ac:dyDescent="0.25"/>
    <row r="1322" s="222" customFormat="1" x14ac:dyDescent="0.25"/>
    <row r="1323" s="222" customFormat="1" x14ac:dyDescent="0.25"/>
    <row r="1324" s="222" customFormat="1" x14ac:dyDescent="0.25"/>
    <row r="1325" s="222" customFormat="1" x14ac:dyDescent="0.25"/>
    <row r="1326" s="222" customFormat="1" x14ac:dyDescent="0.25"/>
    <row r="1327" s="222" customFormat="1" x14ac:dyDescent="0.25"/>
    <row r="1328" s="222" customFormat="1" x14ac:dyDescent="0.25"/>
    <row r="1329" s="222" customFormat="1" x14ac:dyDescent="0.25"/>
    <row r="1330" s="222" customFormat="1" x14ac:dyDescent="0.25"/>
    <row r="1331" s="222" customFormat="1" x14ac:dyDescent="0.25"/>
    <row r="1332" s="222" customFormat="1" x14ac:dyDescent="0.25"/>
    <row r="1333" s="222" customFormat="1" x14ac:dyDescent="0.25"/>
    <row r="1334" s="222" customFormat="1" x14ac:dyDescent="0.25"/>
    <row r="1335" s="222" customFormat="1" x14ac:dyDescent="0.25"/>
    <row r="1336" s="222" customFormat="1" x14ac:dyDescent="0.25"/>
    <row r="1337" s="222" customFormat="1" x14ac:dyDescent="0.25"/>
    <row r="1338" s="222" customFormat="1" x14ac:dyDescent="0.25"/>
    <row r="1339" s="222" customFormat="1" x14ac:dyDescent="0.25"/>
    <row r="1340" s="222" customFormat="1" x14ac:dyDescent="0.25"/>
    <row r="1341" s="222" customFormat="1" x14ac:dyDescent="0.25"/>
    <row r="1342" s="222" customFormat="1" x14ac:dyDescent="0.25"/>
    <row r="1343" s="222" customFormat="1" x14ac:dyDescent="0.25"/>
    <row r="1344" s="222" customFormat="1" x14ac:dyDescent="0.25"/>
    <row r="1345" s="222" customFormat="1" x14ac:dyDescent="0.25"/>
    <row r="1346" s="222" customFormat="1" x14ac:dyDescent="0.25"/>
    <row r="1347" s="222" customFormat="1" x14ac:dyDescent="0.25"/>
    <row r="1348" s="222" customFormat="1" x14ac:dyDescent="0.25"/>
    <row r="1349" s="222" customFormat="1" x14ac:dyDescent="0.25"/>
    <row r="1350" s="222" customFormat="1" x14ac:dyDescent="0.25"/>
    <row r="1351" s="222" customFormat="1" x14ac:dyDescent="0.25"/>
    <row r="1352" s="222" customFormat="1" x14ac:dyDescent="0.25"/>
    <row r="1353" s="222" customFormat="1" x14ac:dyDescent="0.25"/>
    <row r="1354" s="222" customFormat="1" x14ac:dyDescent="0.25"/>
    <row r="1355" s="222" customFormat="1" x14ac:dyDescent="0.25"/>
    <row r="1356" s="222" customFormat="1" x14ac:dyDescent="0.25"/>
    <row r="1357" s="222" customFormat="1" x14ac:dyDescent="0.25"/>
    <row r="1358" s="222" customFormat="1" x14ac:dyDescent="0.25"/>
    <row r="1359" s="222" customFormat="1" x14ac:dyDescent="0.25"/>
    <row r="1360" s="222" customFormat="1" x14ac:dyDescent="0.25"/>
    <row r="1361" s="222" customFormat="1" x14ac:dyDescent="0.25"/>
    <row r="1362" s="222" customFormat="1" x14ac:dyDescent="0.25"/>
    <row r="1363" s="222" customFormat="1" x14ac:dyDescent="0.25"/>
    <row r="1364" s="222" customFormat="1" x14ac:dyDescent="0.25"/>
    <row r="1365" s="222" customFormat="1" x14ac:dyDescent="0.25"/>
    <row r="1366" s="222" customFormat="1" x14ac:dyDescent="0.25"/>
    <row r="1367" s="222" customFormat="1" x14ac:dyDescent="0.25"/>
    <row r="1368" s="222" customFormat="1" x14ac:dyDescent="0.25"/>
    <row r="1369" s="222" customFormat="1" x14ac:dyDescent="0.25"/>
    <row r="1370" s="222" customFormat="1" x14ac:dyDescent="0.25"/>
    <row r="1371" s="222" customFormat="1" x14ac:dyDescent="0.25"/>
    <row r="1372" s="222" customFormat="1" x14ac:dyDescent="0.25"/>
    <row r="1373" s="222" customFormat="1" x14ac:dyDescent="0.25"/>
    <row r="1374" s="222" customFormat="1" x14ac:dyDescent="0.25"/>
    <row r="1375" s="222" customFormat="1" x14ac:dyDescent="0.25"/>
    <row r="1376" s="222" customFormat="1" x14ac:dyDescent="0.25"/>
    <row r="1377" s="222" customFormat="1" x14ac:dyDescent="0.25"/>
    <row r="1378" s="222" customFormat="1" x14ac:dyDescent="0.25"/>
    <row r="1379" s="222" customFormat="1" x14ac:dyDescent="0.25"/>
    <row r="1380" s="222" customFormat="1" x14ac:dyDescent="0.25"/>
    <row r="1381" s="222" customFormat="1" x14ac:dyDescent="0.25"/>
    <row r="1382" s="222" customFormat="1" x14ac:dyDescent="0.25"/>
    <row r="1383" s="222" customFormat="1" x14ac:dyDescent="0.25"/>
    <row r="1384" s="222" customFormat="1" x14ac:dyDescent="0.25"/>
    <row r="1385" s="222" customFormat="1" x14ac:dyDescent="0.25"/>
    <row r="1386" s="222" customFormat="1" x14ac:dyDescent="0.25"/>
    <row r="1387" s="222" customFormat="1" x14ac:dyDescent="0.25"/>
    <row r="1388" s="222" customFormat="1" x14ac:dyDescent="0.25"/>
    <row r="1389" s="222" customFormat="1" x14ac:dyDescent="0.25"/>
    <row r="1390" s="222" customFormat="1" x14ac:dyDescent="0.25"/>
    <row r="1391" s="222" customFormat="1" x14ac:dyDescent="0.25"/>
    <row r="1392" s="222" customFormat="1" x14ac:dyDescent="0.25"/>
    <row r="1393" s="222" customFormat="1" x14ac:dyDescent="0.25"/>
    <row r="1394" s="222" customFormat="1" x14ac:dyDescent="0.25"/>
    <row r="1395" s="222" customFormat="1" x14ac:dyDescent="0.25"/>
    <row r="1396" s="222" customFormat="1" x14ac:dyDescent="0.25"/>
    <row r="1397" s="222" customFormat="1" x14ac:dyDescent="0.25"/>
    <row r="1398" s="222" customFormat="1" x14ac:dyDescent="0.25"/>
    <row r="1399" s="222" customFormat="1" x14ac:dyDescent="0.25"/>
    <row r="1400" s="222" customFormat="1" x14ac:dyDescent="0.25"/>
    <row r="1401" s="222" customFormat="1" x14ac:dyDescent="0.25"/>
    <row r="1402" s="222" customFormat="1" x14ac:dyDescent="0.25"/>
    <row r="1403" s="222" customFormat="1" x14ac:dyDescent="0.25"/>
    <row r="1404" s="222" customFormat="1" x14ac:dyDescent="0.25"/>
    <row r="1405" s="222" customFormat="1" x14ac:dyDescent="0.25"/>
    <row r="1406" s="222" customFormat="1" x14ac:dyDescent="0.25"/>
    <row r="1407" s="222" customFormat="1" x14ac:dyDescent="0.25"/>
    <row r="1408" s="222" customFormat="1" x14ac:dyDescent="0.25"/>
    <row r="1409" s="222" customFormat="1" x14ac:dyDescent="0.25"/>
    <row r="1410" s="222" customFormat="1" x14ac:dyDescent="0.25"/>
    <row r="1411" s="222" customFormat="1" x14ac:dyDescent="0.25"/>
    <row r="1412" s="222" customFormat="1" x14ac:dyDescent="0.25"/>
    <row r="1413" s="222" customFormat="1" x14ac:dyDescent="0.25"/>
    <row r="1414" s="222" customFormat="1" x14ac:dyDescent="0.25"/>
    <row r="1415" s="222" customFormat="1" x14ac:dyDescent="0.25"/>
    <row r="1416" s="222" customFormat="1" x14ac:dyDescent="0.25"/>
    <row r="1417" s="222" customFormat="1" x14ac:dyDescent="0.25"/>
    <row r="1418" s="222" customFormat="1" x14ac:dyDescent="0.25"/>
    <row r="1419" s="222" customFormat="1" x14ac:dyDescent="0.25"/>
    <row r="1420" s="222" customFormat="1" x14ac:dyDescent="0.25"/>
    <row r="1421" s="222" customFormat="1" x14ac:dyDescent="0.25"/>
    <row r="1422" s="222" customFormat="1" x14ac:dyDescent="0.25"/>
    <row r="1423" s="222" customFormat="1" x14ac:dyDescent="0.25"/>
    <row r="1424" s="222" customFormat="1" x14ac:dyDescent="0.25"/>
    <row r="1425" s="222" customFormat="1" x14ac:dyDescent="0.25"/>
    <row r="1426" s="222" customFormat="1" x14ac:dyDescent="0.25"/>
    <row r="1427" s="222" customFormat="1" x14ac:dyDescent="0.25"/>
    <row r="1428" s="222" customFormat="1" x14ac:dyDescent="0.25"/>
    <row r="1429" s="222" customFormat="1" x14ac:dyDescent="0.25"/>
    <row r="1430" s="222" customFormat="1" x14ac:dyDescent="0.25"/>
    <row r="1431" s="222" customFormat="1" x14ac:dyDescent="0.25"/>
    <row r="1432" s="222" customFormat="1" x14ac:dyDescent="0.25"/>
    <row r="1433" s="222" customFormat="1" x14ac:dyDescent="0.25"/>
    <row r="1434" s="222" customFormat="1" x14ac:dyDescent="0.25"/>
    <row r="1435" s="222" customFormat="1" x14ac:dyDescent="0.25"/>
    <row r="1436" s="222" customFormat="1" x14ac:dyDescent="0.25"/>
    <row r="1437" s="222" customFormat="1" x14ac:dyDescent="0.25"/>
    <row r="1438" s="222" customFormat="1" x14ac:dyDescent="0.25"/>
    <row r="1439" s="222" customFormat="1" x14ac:dyDescent="0.25"/>
    <row r="1440" s="222" customFormat="1" x14ac:dyDescent="0.25"/>
    <row r="1441" s="222" customFormat="1" x14ac:dyDescent="0.25"/>
    <row r="1442" s="222" customFormat="1" x14ac:dyDescent="0.25"/>
    <row r="1443" s="222" customFormat="1" x14ac:dyDescent="0.25"/>
    <row r="1444" s="222" customFormat="1" x14ac:dyDescent="0.25"/>
    <row r="1445" s="222" customFormat="1" x14ac:dyDescent="0.25"/>
    <row r="1446" s="222" customFormat="1" x14ac:dyDescent="0.25"/>
    <row r="1447" s="222" customFormat="1" x14ac:dyDescent="0.25"/>
    <row r="1448" s="222" customFormat="1" x14ac:dyDescent="0.25"/>
    <row r="1449" s="222" customFormat="1" x14ac:dyDescent="0.25"/>
    <row r="1450" s="222" customFormat="1" x14ac:dyDescent="0.25"/>
    <row r="1451" s="222" customFormat="1" x14ac:dyDescent="0.25"/>
    <row r="1452" s="222" customFormat="1" x14ac:dyDescent="0.25"/>
    <row r="1453" s="222" customFormat="1" x14ac:dyDescent="0.25"/>
    <row r="1454" s="222" customFormat="1" x14ac:dyDescent="0.25"/>
    <row r="1455" s="222" customFormat="1" x14ac:dyDescent="0.25"/>
    <row r="1456" s="222" customFormat="1" x14ac:dyDescent="0.25"/>
    <row r="1457" s="222" customFormat="1" x14ac:dyDescent="0.25"/>
    <row r="1458" s="222" customFormat="1" x14ac:dyDescent="0.25"/>
    <row r="1459" s="222" customFormat="1" x14ac:dyDescent="0.25"/>
    <row r="1460" s="222" customFormat="1" x14ac:dyDescent="0.25"/>
    <row r="1461" s="222" customFormat="1" x14ac:dyDescent="0.25"/>
    <row r="1462" s="222" customFormat="1" x14ac:dyDescent="0.25"/>
    <row r="1463" s="222" customFormat="1" x14ac:dyDescent="0.25"/>
    <row r="1464" s="222" customFormat="1" x14ac:dyDescent="0.25"/>
    <row r="1465" s="222" customFormat="1" x14ac:dyDescent="0.25"/>
    <row r="1466" s="222" customFormat="1" x14ac:dyDescent="0.25"/>
    <row r="1467" s="222" customFormat="1" x14ac:dyDescent="0.25"/>
    <row r="1468" s="222" customFormat="1" x14ac:dyDescent="0.25"/>
    <row r="1469" s="222" customFormat="1" x14ac:dyDescent="0.25"/>
    <row r="1470" s="222" customFormat="1" x14ac:dyDescent="0.25"/>
    <row r="1471" s="222" customFormat="1" x14ac:dyDescent="0.25"/>
    <row r="1472" s="222" customFormat="1" x14ac:dyDescent="0.25"/>
    <row r="1473" s="222" customFormat="1" x14ac:dyDescent="0.25"/>
    <row r="1474" s="222" customFormat="1" x14ac:dyDescent="0.25"/>
    <row r="1475" s="222" customFormat="1" x14ac:dyDescent="0.25"/>
    <row r="1476" s="222" customFormat="1" x14ac:dyDescent="0.25"/>
    <row r="1477" s="222" customFormat="1" x14ac:dyDescent="0.25"/>
    <row r="1478" s="222" customFormat="1" x14ac:dyDescent="0.25"/>
    <row r="1479" s="222" customFormat="1" x14ac:dyDescent="0.25"/>
    <row r="1480" s="222" customFormat="1" x14ac:dyDescent="0.25"/>
    <row r="1481" s="222" customFormat="1" x14ac:dyDescent="0.25"/>
    <row r="1482" s="222" customFormat="1" x14ac:dyDescent="0.25"/>
    <row r="1483" s="222" customFormat="1" x14ac:dyDescent="0.25"/>
    <row r="1484" s="222" customFormat="1" x14ac:dyDescent="0.25"/>
    <row r="1485" s="222" customFormat="1" x14ac:dyDescent="0.25"/>
    <row r="1486" s="222" customFormat="1" x14ac:dyDescent="0.25"/>
    <row r="1487" s="222" customFormat="1" x14ac:dyDescent="0.25"/>
    <row r="1488" s="222" customFormat="1" x14ac:dyDescent="0.25"/>
    <row r="1489" s="222" customFormat="1" x14ac:dyDescent="0.25"/>
    <row r="1490" s="222" customFormat="1" x14ac:dyDescent="0.25"/>
    <row r="1491" s="222" customFormat="1" x14ac:dyDescent="0.25"/>
    <row r="1492" s="222" customFormat="1" x14ac:dyDescent="0.25"/>
    <row r="1493" s="222" customFormat="1" x14ac:dyDescent="0.25"/>
    <row r="1494" s="222" customFormat="1" x14ac:dyDescent="0.25"/>
    <row r="1495" s="222" customFormat="1" x14ac:dyDescent="0.25"/>
    <row r="1496" s="222" customFormat="1" x14ac:dyDescent="0.25"/>
    <row r="1497" s="222" customFormat="1" x14ac:dyDescent="0.25"/>
    <row r="1498" s="222" customFormat="1" x14ac:dyDescent="0.25"/>
    <row r="1499" s="222" customFormat="1" x14ac:dyDescent="0.25"/>
    <row r="1500" s="222" customFormat="1" x14ac:dyDescent="0.25"/>
    <row r="1501" s="222" customFormat="1" x14ac:dyDescent="0.25"/>
    <row r="1502" s="222" customFormat="1" x14ac:dyDescent="0.25"/>
    <row r="1503" s="222" customFormat="1" x14ac:dyDescent="0.25"/>
    <row r="1504" s="222" customFormat="1" x14ac:dyDescent="0.25"/>
    <row r="1505" s="222" customFormat="1" x14ac:dyDescent="0.25"/>
    <row r="1506" s="222" customFormat="1" x14ac:dyDescent="0.25"/>
    <row r="1507" s="222" customFormat="1" x14ac:dyDescent="0.25"/>
    <row r="1508" s="222" customFormat="1" x14ac:dyDescent="0.25"/>
    <row r="1509" s="222" customFormat="1" x14ac:dyDescent="0.25"/>
    <row r="1510" s="222" customFormat="1" x14ac:dyDescent="0.25"/>
    <row r="1511" s="222" customFormat="1" x14ac:dyDescent="0.25"/>
    <row r="1512" s="222" customFormat="1" x14ac:dyDescent="0.25"/>
    <row r="1513" s="222" customFormat="1" x14ac:dyDescent="0.25"/>
    <row r="1514" s="222" customFormat="1" x14ac:dyDescent="0.25"/>
    <row r="1515" s="222" customFormat="1" x14ac:dyDescent="0.25"/>
    <row r="1516" s="222" customFormat="1" x14ac:dyDescent="0.25"/>
    <row r="1517" s="222" customFormat="1" x14ac:dyDescent="0.25"/>
    <row r="1518" s="222" customFormat="1" x14ac:dyDescent="0.25"/>
    <row r="1519" s="222" customFormat="1" x14ac:dyDescent="0.25"/>
    <row r="1520" s="222" customFormat="1" x14ac:dyDescent="0.25"/>
    <row r="1521" s="222" customFormat="1" x14ac:dyDescent="0.25"/>
    <row r="1522" s="222" customFormat="1" x14ac:dyDescent="0.25"/>
    <row r="1523" s="222" customFormat="1" x14ac:dyDescent="0.25"/>
    <row r="1524" s="222" customFormat="1" x14ac:dyDescent="0.25"/>
    <row r="1525" s="222" customFormat="1" x14ac:dyDescent="0.25"/>
    <row r="1526" s="222" customFormat="1" x14ac:dyDescent="0.25"/>
    <row r="1527" s="222" customFormat="1" x14ac:dyDescent="0.25"/>
    <row r="1528" s="222" customFormat="1" x14ac:dyDescent="0.25"/>
    <row r="1529" s="222" customFormat="1" x14ac:dyDescent="0.25"/>
    <row r="1530" s="222" customFormat="1" x14ac:dyDescent="0.25"/>
    <row r="1531" s="222" customFormat="1" x14ac:dyDescent="0.25"/>
    <row r="1532" s="222" customFormat="1" x14ac:dyDescent="0.25"/>
    <row r="1533" s="222" customFormat="1" x14ac:dyDescent="0.25"/>
    <row r="1534" s="222" customFormat="1" x14ac:dyDescent="0.25"/>
    <row r="1535" s="222" customFormat="1" x14ac:dyDescent="0.25"/>
    <row r="1536" s="222" customFormat="1" x14ac:dyDescent="0.25"/>
    <row r="1537" s="222" customFormat="1" x14ac:dyDescent="0.25"/>
    <row r="1538" s="222" customFormat="1" x14ac:dyDescent="0.25"/>
    <row r="1539" s="222" customFormat="1" x14ac:dyDescent="0.25"/>
    <row r="1540" s="222" customFormat="1" x14ac:dyDescent="0.25"/>
    <row r="1541" s="222" customFormat="1" x14ac:dyDescent="0.25"/>
    <row r="1542" s="222" customFormat="1" x14ac:dyDescent="0.25"/>
    <row r="1543" s="222" customFormat="1" x14ac:dyDescent="0.25"/>
    <row r="1544" s="222" customFormat="1" x14ac:dyDescent="0.25"/>
    <row r="1545" s="222" customFormat="1" x14ac:dyDescent="0.25"/>
    <row r="1546" s="222" customFormat="1" x14ac:dyDescent="0.25"/>
    <row r="1547" s="222" customFormat="1" x14ac:dyDescent="0.25"/>
    <row r="1548" s="222" customFormat="1" x14ac:dyDescent="0.25"/>
    <row r="1549" s="222" customFormat="1" x14ac:dyDescent="0.25"/>
    <row r="1550" s="222" customFormat="1" x14ac:dyDescent="0.25"/>
    <row r="1551" s="222" customFormat="1" x14ac:dyDescent="0.25"/>
    <row r="1552" s="222" customFormat="1" x14ac:dyDescent="0.25"/>
    <row r="1553" s="222" customFormat="1" x14ac:dyDescent="0.25"/>
    <row r="1554" s="222" customFormat="1" x14ac:dyDescent="0.25"/>
    <row r="1555" s="222" customFormat="1" x14ac:dyDescent="0.25"/>
    <row r="1556" s="222" customFormat="1" x14ac:dyDescent="0.25"/>
    <row r="1557" s="222" customFormat="1" x14ac:dyDescent="0.25"/>
    <row r="1558" s="222" customFormat="1" x14ac:dyDescent="0.25"/>
    <row r="1559" s="222" customFormat="1" x14ac:dyDescent="0.25"/>
    <row r="1560" s="222" customFormat="1" x14ac:dyDescent="0.25"/>
    <row r="1561" s="222" customFormat="1" x14ac:dyDescent="0.25"/>
    <row r="1562" s="222" customFormat="1" x14ac:dyDescent="0.25"/>
    <row r="1563" s="222" customFormat="1" x14ac:dyDescent="0.25"/>
    <row r="1564" s="222" customFormat="1" x14ac:dyDescent="0.25"/>
    <row r="1565" s="222" customFormat="1" x14ac:dyDescent="0.25"/>
    <row r="1566" s="222" customFormat="1" x14ac:dyDescent="0.25"/>
    <row r="1567" s="222" customFormat="1" x14ac:dyDescent="0.25"/>
    <row r="1568" s="222" customFormat="1" x14ac:dyDescent="0.25"/>
    <row r="1569" s="222" customFormat="1" x14ac:dyDescent="0.25"/>
    <row r="1570" s="222" customFormat="1" x14ac:dyDescent="0.25"/>
    <row r="1571" s="222" customFormat="1" x14ac:dyDescent="0.25"/>
    <row r="1572" s="222" customFormat="1" x14ac:dyDescent="0.25"/>
    <row r="1573" s="222" customFormat="1" x14ac:dyDescent="0.25"/>
    <row r="1574" s="222" customFormat="1" x14ac:dyDescent="0.25"/>
    <row r="1575" s="222" customFormat="1" x14ac:dyDescent="0.25"/>
    <row r="1576" s="222" customFormat="1" x14ac:dyDescent="0.25"/>
    <row r="1577" s="222" customFormat="1" x14ac:dyDescent="0.25"/>
    <row r="1578" s="222" customFormat="1" x14ac:dyDescent="0.25"/>
    <row r="1579" s="222" customFormat="1" x14ac:dyDescent="0.25"/>
    <row r="1580" s="222" customFormat="1" x14ac:dyDescent="0.25"/>
    <row r="1581" s="222" customFormat="1" x14ac:dyDescent="0.25"/>
    <row r="1582" s="222" customFormat="1" x14ac:dyDescent="0.25"/>
    <row r="1583" s="222" customFormat="1" x14ac:dyDescent="0.25"/>
    <row r="1584" s="222" customFormat="1" x14ac:dyDescent="0.25"/>
    <row r="1585" s="222" customFormat="1" x14ac:dyDescent="0.25"/>
    <row r="1586" s="222" customFormat="1" x14ac:dyDescent="0.25"/>
    <row r="1587" s="222" customFormat="1" x14ac:dyDescent="0.25"/>
    <row r="1588" s="222" customFormat="1" x14ac:dyDescent="0.25"/>
    <row r="1589" s="222" customFormat="1" x14ac:dyDescent="0.25"/>
    <row r="1590" s="222" customFormat="1" x14ac:dyDescent="0.25"/>
    <row r="1591" s="222" customFormat="1" x14ac:dyDescent="0.25"/>
    <row r="1592" s="222" customFormat="1" x14ac:dyDescent="0.25"/>
    <row r="1593" s="222" customFormat="1" x14ac:dyDescent="0.25"/>
    <row r="1594" s="222" customFormat="1" x14ac:dyDescent="0.25"/>
    <row r="1595" s="222" customFormat="1" x14ac:dyDescent="0.25"/>
    <row r="1596" s="222" customFormat="1" x14ac:dyDescent="0.25"/>
    <row r="1597" s="222" customFormat="1" x14ac:dyDescent="0.25"/>
    <row r="1598" s="222" customFormat="1" x14ac:dyDescent="0.25"/>
    <row r="1599" s="222" customFormat="1" x14ac:dyDescent="0.25"/>
    <row r="1600" s="222" customFormat="1" x14ac:dyDescent="0.25"/>
    <row r="1601" s="222" customFormat="1" x14ac:dyDescent="0.25"/>
    <row r="1602" s="222" customFormat="1" x14ac:dyDescent="0.25"/>
    <row r="1603" s="222" customFormat="1" x14ac:dyDescent="0.25"/>
    <row r="1604" s="222" customFormat="1" x14ac:dyDescent="0.25"/>
    <row r="1605" s="222" customFormat="1" x14ac:dyDescent="0.25"/>
    <row r="1606" s="222" customFormat="1" x14ac:dyDescent="0.25"/>
    <row r="1607" s="222" customFormat="1" x14ac:dyDescent="0.25"/>
    <row r="1608" s="222" customFormat="1" x14ac:dyDescent="0.25"/>
    <row r="1609" s="222" customFormat="1" x14ac:dyDescent="0.25"/>
    <row r="1610" s="222" customFormat="1" x14ac:dyDescent="0.25"/>
    <row r="1611" s="222" customFormat="1" x14ac:dyDescent="0.25"/>
    <row r="1612" s="222" customFormat="1" x14ac:dyDescent="0.25"/>
    <row r="1613" s="222" customFormat="1" x14ac:dyDescent="0.25"/>
    <row r="1614" s="222" customFormat="1" x14ac:dyDescent="0.25"/>
    <row r="1615" s="222" customFormat="1" x14ac:dyDescent="0.25"/>
    <row r="1616" s="222" customFormat="1" x14ac:dyDescent="0.25"/>
    <row r="1617" s="222" customFormat="1" x14ac:dyDescent="0.25"/>
    <row r="1618" s="222" customFormat="1" x14ac:dyDescent="0.25"/>
    <row r="1619" s="222" customFormat="1" x14ac:dyDescent="0.25"/>
    <row r="1620" s="222" customFormat="1" x14ac:dyDescent="0.25"/>
    <row r="1621" s="222" customFormat="1" x14ac:dyDescent="0.25"/>
    <row r="1622" s="222" customFormat="1" x14ac:dyDescent="0.25"/>
    <row r="1623" s="222" customFormat="1" x14ac:dyDescent="0.25"/>
    <row r="1624" s="222" customFormat="1" x14ac:dyDescent="0.25"/>
    <row r="1625" s="222" customFormat="1" x14ac:dyDescent="0.25"/>
    <row r="1626" s="222" customFormat="1" x14ac:dyDescent="0.25"/>
    <row r="1627" s="222" customFormat="1" x14ac:dyDescent="0.25"/>
    <row r="1628" s="222" customFormat="1" x14ac:dyDescent="0.25"/>
    <row r="1629" s="222" customFormat="1" x14ac:dyDescent="0.25"/>
    <row r="1630" s="222" customFormat="1" x14ac:dyDescent="0.25"/>
    <row r="1631" s="222" customFormat="1" x14ac:dyDescent="0.25"/>
    <row r="1632" s="222" customFormat="1" x14ac:dyDescent="0.25"/>
    <row r="1633" s="222" customFormat="1" x14ac:dyDescent="0.25"/>
    <row r="1634" s="222" customFormat="1" x14ac:dyDescent="0.25"/>
    <row r="1635" s="222" customFormat="1" x14ac:dyDescent="0.25"/>
    <row r="1636" s="222" customFormat="1" x14ac:dyDescent="0.25"/>
    <row r="1637" s="222" customFormat="1" x14ac:dyDescent="0.25"/>
    <row r="1638" s="222" customFormat="1" x14ac:dyDescent="0.25"/>
    <row r="1639" s="222" customFormat="1" x14ac:dyDescent="0.25"/>
    <row r="1640" s="222" customFormat="1" x14ac:dyDescent="0.25"/>
    <row r="1641" s="222" customFormat="1" x14ac:dyDescent="0.25"/>
    <row r="1642" s="222" customFormat="1" x14ac:dyDescent="0.25"/>
    <row r="1643" s="222" customFormat="1" x14ac:dyDescent="0.25"/>
    <row r="1644" s="222" customFormat="1" x14ac:dyDescent="0.25"/>
    <row r="1645" s="222" customFormat="1" x14ac:dyDescent="0.25"/>
    <row r="1646" s="222" customFormat="1" x14ac:dyDescent="0.25"/>
    <row r="1647" s="222" customFormat="1" x14ac:dyDescent="0.25"/>
    <row r="1648" s="222" customFormat="1" x14ac:dyDescent="0.25"/>
    <row r="1649" s="222" customFormat="1" x14ac:dyDescent="0.25"/>
    <row r="1650" s="222" customFormat="1" x14ac:dyDescent="0.25"/>
    <row r="1651" s="222" customFormat="1" x14ac:dyDescent="0.25"/>
    <row r="1652" s="222" customFormat="1" x14ac:dyDescent="0.25"/>
    <row r="1653" s="222" customFormat="1" x14ac:dyDescent="0.25"/>
    <row r="1654" s="222" customFormat="1" x14ac:dyDescent="0.25"/>
    <row r="1655" s="222" customFormat="1" x14ac:dyDescent="0.25"/>
    <row r="1656" s="222" customFormat="1" x14ac:dyDescent="0.25"/>
    <row r="1657" s="222" customFormat="1" x14ac:dyDescent="0.25"/>
    <row r="1658" s="222" customFormat="1" x14ac:dyDescent="0.25"/>
    <row r="1659" s="222" customFormat="1" x14ac:dyDescent="0.25"/>
    <row r="1660" s="222" customFormat="1" x14ac:dyDescent="0.25"/>
    <row r="1661" s="222" customFormat="1" x14ac:dyDescent="0.25"/>
    <row r="1662" s="222" customFormat="1" x14ac:dyDescent="0.25"/>
    <row r="1663" s="222" customFormat="1" x14ac:dyDescent="0.25"/>
    <row r="1664" s="222" customFormat="1" x14ac:dyDescent="0.25"/>
    <row r="1665" s="222" customFormat="1" x14ac:dyDescent="0.25"/>
    <row r="1666" s="222" customFormat="1" x14ac:dyDescent="0.25"/>
    <row r="1667" s="222" customFormat="1" x14ac:dyDescent="0.25"/>
    <row r="1668" s="222" customFormat="1" x14ac:dyDescent="0.25"/>
    <row r="1669" s="222" customFormat="1" x14ac:dyDescent="0.25"/>
    <row r="1670" s="222" customFormat="1" x14ac:dyDescent="0.25"/>
    <row r="1671" s="222" customFormat="1" x14ac:dyDescent="0.25"/>
    <row r="1672" s="222" customFormat="1" x14ac:dyDescent="0.25"/>
    <row r="1673" s="222" customFormat="1" x14ac:dyDescent="0.25"/>
    <row r="1674" s="222" customFormat="1" x14ac:dyDescent="0.25"/>
    <row r="1675" s="222" customFormat="1" x14ac:dyDescent="0.25"/>
    <row r="1676" s="222" customFormat="1" x14ac:dyDescent="0.25"/>
    <row r="1677" s="222" customFormat="1" x14ac:dyDescent="0.25"/>
    <row r="1678" s="222" customFormat="1" x14ac:dyDescent="0.25"/>
    <row r="1679" s="222" customFormat="1" x14ac:dyDescent="0.25"/>
    <row r="1680" s="222" customFormat="1" x14ac:dyDescent="0.25"/>
    <row r="1681" s="222" customFormat="1" x14ac:dyDescent="0.25"/>
    <row r="1682" s="222" customFormat="1" x14ac:dyDescent="0.25"/>
    <row r="1683" s="222" customFormat="1" x14ac:dyDescent="0.25"/>
    <row r="1684" s="222" customFormat="1" x14ac:dyDescent="0.25"/>
    <row r="1685" s="222" customFormat="1" x14ac:dyDescent="0.25"/>
    <row r="1686" s="222" customFormat="1" x14ac:dyDescent="0.25"/>
    <row r="1687" s="222" customFormat="1" x14ac:dyDescent="0.25"/>
    <row r="1688" s="222" customFormat="1" x14ac:dyDescent="0.25"/>
    <row r="1689" s="222" customFormat="1" x14ac:dyDescent="0.25"/>
    <row r="1690" s="222" customFormat="1" x14ac:dyDescent="0.25"/>
    <row r="1691" s="222" customFormat="1" x14ac:dyDescent="0.25"/>
    <row r="1692" s="222" customFormat="1" x14ac:dyDescent="0.25"/>
    <row r="1693" s="222" customFormat="1" x14ac:dyDescent="0.25"/>
    <row r="1694" s="222" customFormat="1" x14ac:dyDescent="0.25"/>
    <row r="1695" s="222" customFormat="1" x14ac:dyDescent="0.25"/>
    <row r="1696" s="222" customFormat="1" x14ac:dyDescent="0.25"/>
    <row r="1697" s="222" customFormat="1" x14ac:dyDescent="0.25"/>
    <row r="1698" s="222" customFormat="1" x14ac:dyDescent="0.25"/>
    <row r="1699" s="222" customFormat="1" x14ac:dyDescent="0.25"/>
    <row r="1700" s="222" customFormat="1" x14ac:dyDescent="0.25"/>
    <row r="1701" s="222" customFormat="1" x14ac:dyDescent="0.25"/>
    <row r="1702" s="222" customFormat="1" x14ac:dyDescent="0.25"/>
    <row r="1703" s="222" customFormat="1" x14ac:dyDescent="0.25"/>
    <row r="1704" s="222" customFormat="1" x14ac:dyDescent="0.25"/>
    <row r="1705" s="222" customFormat="1" x14ac:dyDescent="0.25"/>
    <row r="1706" s="222" customFormat="1" x14ac:dyDescent="0.25"/>
    <row r="1707" s="222" customFormat="1" x14ac:dyDescent="0.25"/>
    <row r="1708" s="222" customFormat="1" x14ac:dyDescent="0.25"/>
    <row r="1709" s="222" customFormat="1" x14ac:dyDescent="0.25"/>
    <row r="1710" s="222" customFormat="1" x14ac:dyDescent="0.25"/>
    <row r="1711" s="222" customFormat="1" x14ac:dyDescent="0.25"/>
    <row r="1712" s="222" customFormat="1" x14ac:dyDescent="0.25"/>
    <row r="1713" s="222" customFormat="1" x14ac:dyDescent="0.25"/>
    <row r="1714" s="222" customFormat="1" x14ac:dyDescent="0.25"/>
    <row r="1715" s="222" customFormat="1" x14ac:dyDescent="0.25"/>
    <row r="1716" s="222" customFormat="1" x14ac:dyDescent="0.25"/>
    <row r="1717" s="222" customFormat="1" x14ac:dyDescent="0.25"/>
    <row r="1718" s="222" customFormat="1" x14ac:dyDescent="0.25"/>
    <row r="1719" s="222" customFormat="1" x14ac:dyDescent="0.25"/>
    <row r="1720" s="222" customFormat="1" x14ac:dyDescent="0.25"/>
    <row r="1721" s="222" customFormat="1" x14ac:dyDescent="0.25"/>
    <row r="1722" s="222" customFormat="1" x14ac:dyDescent="0.25"/>
    <row r="1723" s="222" customFormat="1" x14ac:dyDescent="0.25"/>
    <row r="1724" s="222" customFormat="1" x14ac:dyDescent="0.25"/>
    <row r="1725" s="222" customFormat="1" x14ac:dyDescent="0.25"/>
    <row r="1726" s="222" customFormat="1" x14ac:dyDescent="0.25"/>
    <row r="1727" s="222" customFormat="1" x14ac:dyDescent="0.25"/>
    <row r="1728" s="222" customFormat="1" x14ac:dyDescent="0.25"/>
    <row r="1729" s="222" customFormat="1" x14ac:dyDescent="0.25"/>
    <row r="1730" s="222" customFormat="1" x14ac:dyDescent="0.25"/>
    <row r="1731" s="222" customFormat="1" x14ac:dyDescent="0.25"/>
    <row r="1732" s="222" customFormat="1" x14ac:dyDescent="0.25"/>
    <row r="1733" s="222" customFormat="1" x14ac:dyDescent="0.25"/>
    <row r="1734" s="222" customFormat="1" x14ac:dyDescent="0.25"/>
    <row r="1735" s="222" customFormat="1" x14ac:dyDescent="0.25"/>
    <row r="1736" s="222" customFormat="1" x14ac:dyDescent="0.25"/>
    <row r="1737" s="222" customFormat="1" x14ac:dyDescent="0.25"/>
    <row r="1738" s="222" customFormat="1" x14ac:dyDescent="0.25"/>
    <row r="1739" s="222" customFormat="1" x14ac:dyDescent="0.25"/>
    <row r="1740" s="222" customFormat="1" x14ac:dyDescent="0.25"/>
    <row r="1741" s="222" customFormat="1" x14ac:dyDescent="0.25"/>
    <row r="1742" s="222" customFormat="1" x14ac:dyDescent="0.25"/>
    <row r="1743" s="222" customFormat="1" x14ac:dyDescent="0.25"/>
    <row r="1744" s="222" customFormat="1" x14ac:dyDescent="0.25"/>
    <row r="1745" s="222" customFormat="1" x14ac:dyDescent="0.25"/>
    <row r="1746" s="222" customFormat="1" x14ac:dyDescent="0.25"/>
    <row r="1747" s="222" customFormat="1" x14ac:dyDescent="0.25"/>
    <row r="1748" s="222" customFormat="1" x14ac:dyDescent="0.25"/>
    <row r="1749" s="222" customFormat="1" x14ac:dyDescent="0.25"/>
    <row r="1750" s="222" customFormat="1" x14ac:dyDescent="0.25"/>
    <row r="1751" s="222" customFormat="1" x14ac:dyDescent="0.25"/>
    <row r="1752" s="222" customFormat="1" x14ac:dyDescent="0.25"/>
    <row r="1753" s="222" customFormat="1" x14ac:dyDescent="0.25"/>
    <row r="1754" s="222" customFormat="1" x14ac:dyDescent="0.25"/>
    <row r="1755" s="222" customFormat="1" x14ac:dyDescent="0.25"/>
    <row r="1756" s="222" customFormat="1" x14ac:dyDescent="0.25"/>
    <row r="1757" s="222" customFormat="1" x14ac:dyDescent="0.25"/>
    <row r="1758" s="222" customFormat="1" x14ac:dyDescent="0.25"/>
    <row r="1759" s="222" customFormat="1" x14ac:dyDescent="0.25"/>
    <row r="1760" s="222" customFormat="1" x14ac:dyDescent="0.25"/>
    <row r="1761" s="222" customFormat="1" x14ac:dyDescent="0.25"/>
    <row r="1762" s="222" customFormat="1" x14ac:dyDescent="0.25"/>
    <row r="1763" s="222" customFormat="1" x14ac:dyDescent="0.25"/>
    <row r="1764" s="222" customFormat="1" x14ac:dyDescent="0.25"/>
    <row r="1765" s="222" customFormat="1" x14ac:dyDescent="0.25"/>
    <row r="1766" s="222" customFormat="1" x14ac:dyDescent="0.25"/>
    <row r="1767" s="222" customFormat="1" x14ac:dyDescent="0.25"/>
    <row r="1768" s="222" customFormat="1" x14ac:dyDescent="0.25"/>
    <row r="1769" s="222" customFormat="1" x14ac:dyDescent="0.25"/>
    <row r="1770" s="222" customFormat="1" x14ac:dyDescent="0.25"/>
    <row r="1771" s="222" customFormat="1" x14ac:dyDescent="0.25"/>
    <row r="1772" s="222" customFormat="1" x14ac:dyDescent="0.25"/>
    <row r="1773" s="222" customFormat="1" x14ac:dyDescent="0.25"/>
    <row r="1774" s="222" customFormat="1" x14ac:dyDescent="0.25"/>
    <row r="1775" s="222" customFormat="1" x14ac:dyDescent="0.25"/>
    <row r="1776" s="222" customFormat="1" x14ac:dyDescent="0.25"/>
    <row r="1777" s="222" customFormat="1" x14ac:dyDescent="0.25"/>
    <row r="1778" s="222" customFormat="1" x14ac:dyDescent="0.25"/>
    <row r="1779" s="222" customFormat="1" x14ac:dyDescent="0.25"/>
    <row r="1780" s="222" customFormat="1" x14ac:dyDescent="0.25"/>
    <row r="1781" s="222" customFormat="1" x14ac:dyDescent="0.25"/>
    <row r="1782" s="222" customFormat="1" x14ac:dyDescent="0.25"/>
    <row r="1783" s="222" customFormat="1" x14ac:dyDescent="0.25"/>
    <row r="1784" s="222" customFormat="1" x14ac:dyDescent="0.25"/>
    <row r="1785" s="222" customFormat="1" x14ac:dyDescent="0.25"/>
    <row r="1786" s="222" customFormat="1" x14ac:dyDescent="0.25"/>
    <row r="1787" s="222" customFormat="1" x14ac:dyDescent="0.25"/>
    <row r="1788" s="222" customFormat="1" x14ac:dyDescent="0.25"/>
    <row r="1789" s="222" customFormat="1" x14ac:dyDescent="0.25"/>
    <row r="1790" s="222" customFormat="1" x14ac:dyDescent="0.25"/>
    <row r="1791" s="222" customFormat="1" x14ac:dyDescent="0.25"/>
    <row r="1792" s="222" customFormat="1" x14ac:dyDescent="0.25"/>
    <row r="1793" s="222" customFormat="1" x14ac:dyDescent="0.25"/>
    <row r="1794" s="222" customFormat="1" x14ac:dyDescent="0.25"/>
    <row r="1795" s="222" customFormat="1" x14ac:dyDescent="0.25"/>
    <row r="1796" s="222" customFormat="1" x14ac:dyDescent="0.25"/>
    <row r="1797" s="222" customFormat="1" x14ac:dyDescent="0.25"/>
    <row r="1798" s="222" customFormat="1" x14ac:dyDescent="0.25"/>
    <row r="1799" s="222" customFormat="1" x14ac:dyDescent="0.25"/>
    <row r="1800" s="222" customFormat="1" x14ac:dyDescent="0.25"/>
    <row r="1801" s="222" customFormat="1" x14ac:dyDescent="0.25"/>
    <row r="1802" s="222" customFormat="1" x14ac:dyDescent="0.25"/>
    <row r="1803" s="222" customFormat="1" x14ac:dyDescent="0.25"/>
    <row r="1804" s="222" customFormat="1" x14ac:dyDescent="0.25"/>
    <row r="1805" s="222" customFormat="1" x14ac:dyDescent="0.25"/>
    <row r="1806" s="222" customFormat="1" x14ac:dyDescent="0.25"/>
    <row r="1807" s="222" customFormat="1" x14ac:dyDescent="0.25"/>
    <row r="1808" s="222" customFormat="1" x14ac:dyDescent="0.25"/>
    <row r="1809" s="222" customFormat="1" x14ac:dyDescent="0.25"/>
    <row r="1810" s="222" customFormat="1" x14ac:dyDescent="0.25"/>
    <row r="1811" s="222" customFormat="1" x14ac:dyDescent="0.25"/>
    <row r="1812" s="222" customFormat="1" x14ac:dyDescent="0.25"/>
    <row r="1813" s="222" customFormat="1" x14ac:dyDescent="0.25"/>
    <row r="1814" s="222" customFormat="1" x14ac:dyDescent="0.25"/>
    <row r="1815" s="222" customFormat="1" x14ac:dyDescent="0.25"/>
    <row r="1816" s="222" customFormat="1" x14ac:dyDescent="0.25"/>
    <row r="1817" s="222" customFormat="1" x14ac:dyDescent="0.25"/>
    <row r="1818" s="222" customFormat="1" x14ac:dyDescent="0.25"/>
    <row r="1819" s="222" customFormat="1" x14ac:dyDescent="0.25"/>
    <row r="1820" s="222" customFormat="1" x14ac:dyDescent="0.25"/>
    <row r="1821" s="222" customFormat="1" x14ac:dyDescent="0.25"/>
    <row r="1822" s="222" customFormat="1" x14ac:dyDescent="0.25"/>
    <row r="1823" s="222" customFormat="1" x14ac:dyDescent="0.25"/>
    <row r="1824" s="222" customFormat="1" x14ac:dyDescent="0.25"/>
    <row r="1825" s="222" customFormat="1" x14ac:dyDescent="0.25"/>
    <row r="1826" s="222" customFormat="1" x14ac:dyDescent="0.25"/>
    <row r="1827" s="222" customFormat="1" x14ac:dyDescent="0.25"/>
    <row r="1828" s="222" customFormat="1" x14ac:dyDescent="0.25"/>
    <row r="1829" s="222" customFormat="1" x14ac:dyDescent="0.25"/>
    <row r="1830" s="222" customFormat="1" x14ac:dyDescent="0.25"/>
    <row r="1831" s="222" customFormat="1" x14ac:dyDescent="0.25"/>
    <row r="1832" s="222" customFormat="1" x14ac:dyDescent="0.25"/>
    <row r="1833" s="222" customFormat="1" x14ac:dyDescent="0.25"/>
    <row r="1834" s="222" customFormat="1" x14ac:dyDescent="0.25"/>
    <row r="1835" s="222" customFormat="1" x14ac:dyDescent="0.25"/>
    <row r="1836" s="222" customFormat="1" x14ac:dyDescent="0.25"/>
    <row r="1837" s="222" customFormat="1" x14ac:dyDescent="0.25"/>
    <row r="1838" s="222" customFormat="1" x14ac:dyDescent="0.25"/>
    <row r="1839" s="222" customFormat="1" x14ac:dyDescent="0.25"/>
    <row r="1840" s="222" customFormat="1" x14ac:dyDescent="0.25"/>
    <row r="1841" s="222" customFormat="1" x14ac:dyDescent="0.25"/>
    <row r="1842" s="222" customFormat="1" x14ac:dyDescent="0.25"/>
    <row r="1843" s="222" customFormat="1" x14ac:dyDescent="0.25"/>
    <row r="1844" s="222" customFormat="1" x14ac:dyDescent="0.25"/>
    <row r="1845" s="222" customFormat="1" x14ac:dyDescent="0.25"/>
    <row r="1846" s="222" customFormat="1" x14ac:dyDescent="0.25"/>
    <row r="1847" s="222" customFormat="1" x14ac:dyDescent="0.25"/>
    <row r="1848" s="222" customFormat="1" x14ac:dyDescent="0.25"/>
    <row r="1849" s="222" customFormat="1" x14ac:dyDescent="0.25"/>
    <row r="1850" s="222" customFormat="1" x14ac:dyDescent="0.25"/>
    <row r="1851" s="222" customFormat="1" x14ac:dyDescent="0.25"/>
    <row r="1852" s="222" customFormat="1" x14ac:dyDescent="0.25"/>
    <row r="1853" s="222" customFormat="1" x14ac:dyDescent="0.25"/>
    <row r="1854" s="222" customFormat="1" x14ac:dyDescent="0.25"/>
    <row r="1855" s="222" customFormat="1" x14ac:dyDescent="0.25"/>
    <row r="1856" s="222" customFormat="1" x14ac:dyDescent="0.25"/>
    <row r="1857" s="222" customFormat="1" x14ac:dyDescent="0.25"/>
    <row r="1858" s="222" customFormat="1" x14ac:dyDescent="0.25"/>
    <row r="1859" s="222" customFormat="1" x14ac:dyDescent="0.25"/>
    <row r="1860" s="222" customFormat="1" x14ac:dyDescent="0.25"/>
    <row r="1861" s="222" customFormat="1" x14ac:dyDescent="0.25"/>
    <row r="1862" s="222" customFormat="1" x14ac:dyDescent="0.25"/>
    <row r="1863" s="222" customFormat="1" x14ac:dyDescent="0.25"/>
    <row r="1864" s="222" customFormat="1" x14ac:dyDescent="0.25"/>
    <row r="1865" s="222" customFormat="1" x14ac:dyDescent="0.25"/>
    <row r="1866" s="222" customFormat="1" x14ac:dyDescent="0.25"/>
    <row r="1867" s="222" customFormat="1" x14ac:dyDescent="0.25"/>
    <row r="1868" s="222" customFormat="1" x14ac:dyDescent="0.25"/>
    <row r="1869" s="222" customFormat="1" x14ac:dyDescent="0.25"/>
    <row r="1870" s="222" customFormat="1" x14ac:dyDescent="0.25"/>
    <row r="1871" s="222" customFormat="1" x14ac:dyDescent="0.25"/>
    <row r="1872" s="222" customFormat="1" x14ac:dyDescent="0.25"/>
    <row r="1873" s="222" customFormat="1" x14ac:dyDescent="0.25"/>
    <row r="1874" s="222" customFormat="1" x14ac:dyDescent="0.25"/>
    <row r="1875" s="222" customFormat="1" x14ac:dyDescent="0.25"/>
    <row r="1876" s="222" customFormat="1" x14ac:dyDescent="0.25"/>
    <row r="1877" s="222" customFormat="1" x14ac:dyDescent="0.25"/>
    <row r="1878" s="222" customFormat="1" x14ac:dyDescent="0.25"/>
    <row r="1879" s="222" customFormat="1" x14ac:dyDescent="0.25"/>
    <row r="1880" s="222" customFormat="1" x14ac:dyDescent="0.25"/>
    <row r="1881" s="222" customFormat="1" x14ac:dyDescent="0.25"/>
    <row r="1882" s="222" customFormat="1" x14ac:dyDescent="0.25"/>
    <row r="1883" s="222" customFormat="1" x14ac:dyDescent="0.25"/>
    <row r="1884" s="222" customFormat="1" x14ac:dyDescent="0.25"/>
    <row r="1885" s="222" customFormat="1" x14ac:dyDescent="0.25"/>
    <row r="1886" s="222" customFormat="1" x14ac:dyDescent="0.25"/>
    <row r="1887" s="222" customFormat="1" x14ac:dyDescent="0.25"/>
    <row r="1888" s="222" customFormat="1" x14ac:dyDescent="0.25"/>
    <row r="1889" s="222" customFormat="1" x14ac:dyDescent="0.25"/>
    <row r="1890" s="222" customFormat="1" x14ac:dyDescent="0.25"/>
    <row r="1891" s="222" customFormat="1" x14ac:dyDescent="0.25"/>
    <row r="1892" s="222" customFormat="1" x14ac:dyDescent="0.25"/>
    <row r="1893" s="222" customFormat="1" x14ac:dyDescent="0.25"/>
    <row r="1894" s="222" customFormat="1" x14ac:dyDescent="0.25"/>
    <row r="1895" s="222" customFormat="1" x14ac:dyDescent="0.25"/>
    <row r="1896" s="222" customFormat="1" x14ac:dyDescent="0.25"/>
    <row r="1897" s="222" customFormat="1" x14ac:dyDescent="0.25"/>
    <row r="1898" s="222" customFormat="1" x14ac:dyDescent="0.25"/>
    <row r="1899" s="222" customFormat="1" x14ac:dyDescent="0.25"/>
    <row r="1900" s="222" customFormat="1" x14ac:dyDescent="0.25"/>
    <row r="1901" s="222" customFormat="1" x14ac:dyDescent="0.25"/>
    <row r="1902" s="222" customFormat="1" x14ac:dyDescent="0.25"/>
    <row r="1903" s="222" customFormat="1" x14ac:dyDescent="0.25"/>
    <row r="1904" s="222" customFormat="1" x14ac:dyDescent="0.25"/>
    <row r="1905" s="222" customFormat="1" x14ac:dyDescent="0.25"/>
    <row r="1906" s="222" customFormat="1" x14ac:dyDescent="0.25"/>
    <row r="1907" s="222" customFormat="1" x14ac:dyDescent="0.25"/>
    <row r="1908" s="222" customFormat="1" x14ac:dyDescent="0.25"/>
    <row r="1909" s="222" customFormat="1" x14ac:dyDescent="0.25"/>
    <row r="1910" s="222" customFormat="1" x14ac:dyDescent="0.25"/>
    <row r="1911" s="222" customFormat="1" x14ac:dyDescent="0.25"/>
    <row r="1912" s="222" customFormat="1" x14ac:dyDescent="0.25"/>
    <row r="1913" s="222" customFormat="1" x14ac:dyDescent="0.25"/>
    <row r="1914" s="222" customFormat="1" x14ac:dyDescent="0.25"/>
    <row r="1915" s="222" customFormat="1" x14ac:dyDescent="0.25"/>
    <row r="1916" s="222" customFormat="1" x14ac:dyDescent="0.25"/>
    <row r="1917" s="222" customFormat="1" x14ac:dyDescent="0.25"/>
    <row r="1918" s="222" customFormat="1" x14ac:dyDescent="0.25"/>
    <row r="1919" s="222" customFormat="1" x14ac:dyDescent="0.25"/>
    <row r="1920" s="222" customFormat="1" x14ac:dyDescent="0.25"/>
    <row r="1921" s="222" customFormat="1" x14ac:dyDescent="0.25"/>
    <row r="1922" s="222" customFormat="1" x14ac:dyDescent="0.25"/>
    <row r="1923" s="222" customFormat="1" x14ac:dyDescent="0.25"/>
    <row r="1924" s="222" customFormat="1" x14ac:dyDescent="0.25"/>
    <row r="1925" s="222" customFormat="1" x14ac:dyDescent="0.25"/>
    <row r="1926" s="222" customFormat="1" x14ac:dyDescent="0.25"/>
    <row r="1927" s="222" customFormat="1" x14ac:dyDescent="0.25"/>
    <row r="1928" s="222" customFormat="1" x14ac:dyDescent="0.25"/>
    <row r="1929" s="222" customFormat="1" x14ac:dyDescent="0.25"/>
    <row r="1930" s="222" customFormat="1" x14ac:dyDescent="0.25"/>
    <row r="1931" s="222" customFormat="1" x14ac:dyDescent="0.25"/>
    <row r="1932" s="222" customFormat="1" x14ac:dyDescent="0.25"/>
    <row r="1933" s="222" customFormat="1" x14ac:dyDescent="0.25"/>
    <row r="1934" s="222" customFormat="1" x14ac:dyDescent="0.25"/>
    <row r="1935" s="222" customFormat="1" x14ac:dyDescent="0.25"/>
    <row r="1936" s="222" customFormat="1" x14ac:dyDescent="0.25"/>
    <row r="1937" s="222" customFormat="1" x14ac:dyDescent="0.25"/>
    <row r="1938" s="222" customFormat="1" x14ac:dyDescent="0.25"/>
    <row r="1939" s="222" customFormat="1" x14ac:dyDescent="0.25"/>
    <row r="1940" s="222" customFormat="1" x14ac:dyDescent="0.25"/>
    <row r="1941" s="222" customFormat="1" x14ac:dyDescent="0.25"/>
    <row r="1942" s="222" customFormat="1" x14ac:dyDescent="0.25"/>
    <row r="1943" s="222" customFormat="1" x14ac:dyDescent="0.25"/>
    <row r="1944" s="222" customFormat="1" x14ac:dyDescent="0.25"/>
    <row r="1945" s="222" customFormat="1" x14ac:dyDescent="0.25"/>
    <row r="1946" s="222" customFormat="1" x14ac:dyDescent="0.25"/>
    <row r="1947" s="222" customFormat="1" x14ac:dyDescent="0.25"/>
    <row r="1948" s="222" customFormat="1" x14ac:dyDescent="0.25"/>
    <row r="1949" s="222" customFormat="1" x14ac:dyDescent="0.25"/>
    <row r="1950" s="222" customFormat="1" x14ac:dyDescent="0.25"/>
    <row r="1951" s="222" customFormat="1" x14ac:dyDescent="0.25"/>
    <row r="1952" s="222" customFormat="1" x14ac:dyDescent="0.25"/>
    <row r="1953" s="222" customFormat="1" x14ac:dyDescent="0.25"/>
    <row r="1954" s="222" customFormat="1" x14ac:dyDescent="0.25"/>
    <row r="1955" s="222" customFormat="1" x14ac:dyDescent="0.25"/>
    <row r="1956" s="222" customFormat="1" x14ac:dyDescent="0.25"/>
    <row r="1957" s="222" customFormat="1" x14ac:dyDescent="0.25"/>
    <row r="1958" s="222" customFormat="1" x14ac:dyDescent="0.25"/>
    <row r="1959" s="222" customFormat="1" x14ac:dyDescent="0.25"/>
    <row r="1960" s="222" customFormat="1" x14ac:dyDescent="0.25"/>
    <row r="1961" s="222" customFormat="1" x14ac:dyDescent="0.25"/>
    <row r="1962" s="222" customFormat="1" x14ac:dyDescent="0.25"/>
    <row r="1963" s="222" customFormat="1" x14ac:dyDescent="0.25"/>
    <row r="1964" s="222" customFormat="1" x14ac:dyDescent="0.25"/>
    <row r="1965" s="222" customFormat="1" x14ac:dyDescent="0.25"/>
    <row r="1966" s="222" customFormat="1" x14ac:dyDescent="0.25"/>
    <row r="1967" s="222" customFormat="1" x14ac:dyDescent="0.25"/>
    <row r="1968" s="222" customFormat="1" x14ac:dyDescent="0.25"/>
    <row r="1969" s="222" customFormat="1" x14ac:dyDescent="0.25"/>
    <row r="1970" s="222" customFormat="1" x14ac:dyDescent="0.25"/>
    <row r="1971" s="222" customFormat="1" x14ac:dyDescent="0.25"/>
    <row r="1972" s="222" customFormat="1" x14ac:dyDescent="0.25"/>
    <row r="1973" s="222" customFormat="1" x14ac:dyDescent="0.25"/>
    <row r="1974" s="222" customFormat="1" x14ac:dyDescent="0.25"/>
    <row r="1975" s="222" customFormat="1" x14ac:dyDescent="0.25"/>
    <row r="1976" s="222" customFormat="1" x14ac:dyDescent="0.25"/>
    <row r="1977" s="222" customFormat="1" x14ac:dyDescent="0.25"/>
    <row r="1978" s="222" customFormat="1" x14ac:dyDescent="0.25"/>
    <row r="1979" s="222" customFormat="1" x14ac:dyDescent="0.25"/>
    <row r="1980" s="222" customFormat="1" x14ac:dyDescent="0.25"/>
    <row r="1981" s="222" customFormat="1" x14ac:dyDescent="0.25"/>
    <row r="1982" s="222" customFormat="1" x14ac:dyDescent="0.25"/>
    <row r="1983" s="222" customFormat="1" x14ac:dyDescent="0.25"/>
    <row r="1984" s="222" customFormat="1" x14ac:dyDescent="0.25"/>
    <row r="1985" s="222" customFormat="1" x14ac:dyDescent="0.25"/>
    <row r="1986" s="222" customFormat="1" x14ac:dyDescent="0.25"/>
    <row r="1987" s="222" customFormat="1" x14ac:dyDescent="0.25"/>
    <row r="1988" s="222" customFormat="1" x14ac:dyDescent="0.25"/>
    <row r="1989" s="222" customFormat="1" x14ac:dyDescent="0.25"/>
    <row r="1990" s="222" customFormat="1" x14ac:dyDescent="0.25"/>
    <row r="1991" s="222" customFormat="1" x14ac:dyDescent="0.25"/>
    <row r="1992" s="222" customFormat="1" x14ac:dyDescent="0.25"/>
    <row r="1993" s="222" customFormat="1" x14ac:dyDescent="0.25"/>
    <row r="1994" s="222" customFormat="1" x14ac:dyDescent="0.25"/>
    <row r="1995" s="222" customFormat="1" x14ac:dyDescent="0.25"/>
    <row r="1996" s="222" customFormat="1" x14ac:dyDescent="0.25"/>
    <row r="1997" s="222" customFormat="1" x14ac:dyDescent="0.25"/>
    <row r="1998" s="222" customFormat="1" x14ac:dyDescent="0.25"/>
    <row r="1999" s="222" customFormat="1" x14ac:dyDescent="0.25"/>
    <row r="2000" s="222" customFormat="1" x14ac:dyDescent="0.25"/>
    <row r="2001" s="222" customFormat="1" x14ac:dyDescent="0.25"/>
    <row r="2002" s="222" customFormat="1" x14ac:dyDescent="0.25"/>
    <row r="2003" s="222" customFormat="1" x14ac:dyDescent="0.25"/>
    <row r="2004" s="222" customFormat="1" x14ac:dyDescent="0.25"/>
    <row r="2005" s="222" customFormat="1" x14ac:dyDescent="0.25"/>
    <row r="2006" s="222" customFormat="1" x14ac:dyDescent="0.25"/>
    <row r="2007" s="222" customFormat="1" x14ac:dyDescent="0.25"/>
    <row r="2008" s="222" customFormat="1" x14ac:dyDescent="0.25"/>
    <row r="2009" s="222" customFormat="1" x14ac:dyDescent="0.25"/>
    <row r="2010" s="222" customFormat="1" x14ac:dyDescent="0.25"/>
    <row r="2011" s="222" customFormat="1" x14ac:dyDescent="0.25"/>
    <row r="2012" s="222" customFormat="1" x14ac:dyDescent="0.25"/>
    <row r="2013" s="222" customFormat="1" x14ac:dyDescent="0.25"/>
    <row r="2014" s="222" customFormat="1" x14ac:dyDescent="0.25"/>
    <row r="2015" s="222" customFormat="1" x14ac:dyDescent="0.25"/>
    <row r="2016" s="222" customFormat="1" x14ac:dyDescent="0.25"/>
    <row r="2017" s="222" customFormat="1" x14ac:dyDescent="0.25"/>
    <row r="2018" s="222" customFormat="1" x14ac:dyDescent="0.25"/>
    <row r="2019" s="222" customFormat="1" x14ac:dyDescent="0.25"/>
    <row r="2020" s="222" customFormat="1" x14ac:dyDescent="0.25"/>
    <row r="2021" s="222" customFormat="1" x14ac:dyDescent="0.25"/>
    <row r="2022" s="222" customFormat="1" x14ac:dyDescent="0.25"/>
    <row r="2023" s="222" customFormat="1" x14ac:dyDescent="0.25"/>
    <row r="2024" s="222" customFormat="1" x14ac:dyDescent="0.25"/>
    <row r="2025" s="222" customFormat="1" x14ac:dyDescent="0.25"/>
    <row r="2026" s="222" customFormat="1" x14ac:dyDescent="0.25"/>
    <row r="2027" s="222" customFormat="1" x14ac:dyDescent="0.25"/>
    <row r="2028" s="222" customFormat="1" x14ac:dyDescent="0.25"/>
    <row r="2029" s="222" customFormat="1" x14ac:dyDescent="0.25"/>
    <row r="2030" s="222" customFormat="1" x14ac:dyDescent="0.25"/>
    <row r="2031" s="222" customFormat="1" x14ac:dyDescent="0.25"/>
    <row r="2032" s="222" customFormat="1" x14ac:dyDescent="0.25"/>
    <row r="2033" s="222" customFormat="1" x14ac:dyDescent="0.25"/>
    <row r="2034" s="222" customFormat="1" x14ac:dyDescent="0.25"/>
    <row r="2035" s="222" customFormat="1" x14ac:dyDescent="0.25"/>
    <row r="2036" s="222" customFormat="1" x14ac:dyDescent="0.25"/>
    <row r="2037" s="222" customFormat="1" x14ac:dyDescent="0.25"/>
    <row r="2038" s="222" customFormat="1" x14ac:dyDescent="0.25"/>
    <row r="2039" s="222" customFormat="1" x14ac:dyDescent="0.25"/>
    <row r="2040" s="222" customFormat="1" x14ac:dyDescent="0.25"/>
    <row r="2041" s="222" customFormat="1" x14ac:dyDescent="0.25"/>
    <row r="2042" s="222" customFormat="1" x14ac:dyDescent="0.25"/>
    <row r="2043" s="222" customFormat="1" x14ac:dyDescent="0.25"/>
    <row r="2044" s="222" customFormat="1" x14ac:dyDescent="0.25"/>
    <row r="2045" s="222" customFormat="1" x14ac:dyDescent="0.25"/>
    <row r="2046" s="222" customFormat="1" x14ac:dyDescent="0.25"/>
    <row r="2047" s="222" customFormat="1" x14ac:dyDescent="0.25"/>
    <row r="2048" s="222" customFormat="1" x14ac:dyDescent="0.25"/>
    <row r="2049" s="222" customFormat="1" x14ac:dyDescent="0.25"/>
    <row r="2050" s="222" customFormat="1" x14ac:dyDescent="0.25"/>
    <row r="2051" s="222" customFormat="1" x14ac:dyDescent="0.25"/>
    <row r="2052" s="222" customFormat="1" x14ac:dyDescent="0.25"/>
    <row r="2053" s="222" customFormat="1" x14ac:dyDescent="0.25"/>
    <row r="2054" s="222" customFormat="1" x14ac:dyDescent="0.25"/>
    <row r="2055" s="222" customFormat="1" x14ac:dyDescent="0.25"/>
    <row r="2056" s="222" customFormat="1" x14ac:dyDescent="0.25"/>
    <row r="2057" s="222" customFormat="1" x14ac:dyDescent="0.25"/>
    <row r="2058" s="222" customFormat="1" x14ac:dyDescent="0.25"/>
    <row r="2059" s="222" customFormat="1" x14ac:dyDescent="0.25"/>
    <row r="2060" s="222" customFormat="1" x14ac:dyDescent="0.25"/>
    <row r="2061" s="222" customFormat="1" x14ac:dyDescent="0.25"/>
    <row r="2062" s="222" customFormat="1" x14ac:dyDescent="0.25"/>
    <row r="2063" s="222" customFormat="1" x14ac:dyDescent="0.25"/>
    <row r="2064" s="222" customFormat="1" x14ac:dyDescent="0.25"/>
    <row r="2065" s="222" customFormat="1" x14ac:dyDescent="0.25"/>
    <row r="2066" s="222" customFormat="1" x14ac:dyDescent="0.25"/>
    <row r="2067" s="222" customFormat="1" x14ac:dyDescent="0.25"/>
    <row r="2068" s="222" customFormat="1" x14ac:dyDescent="0.25"/>
    <row r="2069" s="222" customFormat="1" x14ac:dyDescent="0.25"/>
    <row r="2070" s="222" customFormat="1" x14ac:dyDescent="0.25"/>
    <row r="2071" s="222" customFormat="1" x14ac:dyDescent="0.25"/>
    <row r="2072" s="222" customFormat="1" x14ac:dyDescent="0.25"/>
    <row r="2073" s="222" customFormat="1" x14ac:dyDescent="0.25"/>
    <row r="2074" s="222" customFormat="1" x14ac:dyDescent="0.25"/>
    <row r="2075" s="222" customFormat="1" x14ac:dyDescent="0.25"/>
    <row r="2076" s="222" customFormat="1" x14ac:dyDescent="0.25"/>
    <row r="2077" s="222" customFormat="1" x14ac:dyDescent="0.25"/>
    <row r="2078" s="222" customFormat="1" x14ac:dyDescent="0.25"/>
    <row r="2079" s="222" customFormat="1" x14ac:dyDescent="0.25"/>
    <row r="2080" s="222" customFormat="1" x14ac:dyDescent="0.25"/>
    <row r="2081" s="222" customFormat="1" x14ac:dyDescent="0.25"/>
    <row r="2082" s="222" customFormat="1" x14ac:dyDescent="0.25"/>
    <row r="2083" s="222" customFormat="1" x14ac:dyDescent="0.25"/>
    <row r="2084" s="222" customFormat="1" x14ac:dyDescent="0.25"/>
    <row r="2085" s="222" customFormat="1" x14ac:dyDescent="0.25"/>
    <row r="2086" s="222" customFormat="1" x14ac:dyDescent="0.25"/>
    <row r="2087" s="222" customFormat="1" x14ac:dyDescent="0.25"/>
    <row r="2088" s="222" customFormat="1" x14ac:dyDescent="0.25"/>
    <row r="2089" s="222" customFormat="1" x14ac:dyDescent="0.25"/>
    <row r="2090" s="222" customFormat="1" x14ac:dyDescent="0.25"/>
    <row r="2091" s="222" customFormat="1" x14ac:dyDescent="0.25"/>
    <row r="2092" s="222" customFormat="1" x14ac:dyDescent="0.25"/>
    <row r="2093" s="222" customFormat="1" x14ac:dyDescent="0.25"/>
    <row r="2094" s="222" customFormat="1" x14ac:dyDescent="0.25"/>
    <row r="2095" s="222" customFormat="1" x14ac:dyDescent="0.25"/>
    <row r="2096" s="222" customFormat="1" x14ac:dyDescent="0.25"/>
    <row r="2097" s="222" customFormat="1" x14ac:dyDescent="0.25"/>
    <row r="2098" s="222" customFormat="1" x14ac:dyDescent="0.25"/>
    <row r="2099" s="222" customFormat="1" x14ac:dyDescent="0.25"/>
    <row r="2100" s="222" customFormat="1" x14ac:dyDescent="0.25"/>
    <row r="2101" s="222" customFormat="1" x14ac:dyDescent="0.25"/>
    <row r="2102" s="222" customFormat="1" x14ac:dyDescent="0.25"/>
    <row r="2103" s="222" customFormat="1" x14ac:dyDescent="0.25"/>
    <row r="2104" s="222" customFormat="1" x14ac:dyDescent="0.25"/>
    <row r="2105" s="222" customFormat="1" x14ac:dyDescent="0.25"/>
    <row r="2106" s="222" customFormat="1" x14ac:dyDescent="0.25"/>
    <row r="2107" s="222" customFormat="1" x14ac:dyDescent="0.25"/>
    <row r="2108" s="222" customFormat="1" x14ac:dyDescent="0.25"/>
    <row r="2109" s="222" customFormat="1" x14ac:dyDescent="0.25"/>
    <row r="2110" s="222" customFormat="1" x14ac:dyDescent="0.25"/>
    <row r="2111" s="222" customFormat="1" x14ac:dyDescent="0.25"/>
    <row r="2112" s="222" customFormat="1" x14ac:dyDescent="0.25"/>
    <row r="2113" s="222" customFormat="1" x14ac:dyDescent="0.25"/>
    <row r="2114" s="222" customFormat="1" x14ac:dyDescent="0.25"/>
    <row r="2115" s="222" customFormat="1" x14ac:dyDescent="0.25"/>
    <row r="2116" s="222" customFormat="1" x14ac:dyDescent="0.25"/>
    <row r="2117" s="222" customFormat="1" x14ac:dyDescent="0.25"/>
    <row r="2118" s="222" customFormat="1" x14ac:dyDescent="0.25"/>
    <row r="2119" s="222" customFormat="1" x14ac:dyDescent="0.25"/>
    <row r="2120" s="222" customFormat="1" x14ac:dyDescent="0.25"/>
    <row r="2121" s="222" customFormat="1" x14ac:dyDescent="0.25"/>
    <row r="2122" s="222" customFormat="1" x14ac:dyDescent="0.25"/>
    <row r="2123" s="222" customFormat="1" x14ac:dyDescent="0.25"/>
    <row r="2124" s="222" customFormat="1" x14ac:dyDescent="0.25"/>
    <row r="2125" s="222" customFormat="1" x14ac:dyDescent="0.25"/>
    <row r="2126" s="222" customFormat="1" x14ac:dyDescent="0.25"/>
    <row r="2127" s="222" customFormat="1" x14ac:dyDescent="0.25"/>
    <row r="2128" s="222" customFormat="1" x14ac:dyDescent="0.25"/>
    <row r="2129" s="222" customFormat="1" x14ac:dyDescent="0.25"/>
    <row r="2130" s="222" customFormat="1" x14ac:dyDescent="0.25"/>
    <row r="2131" s="222" customFormat="1" x14ac:dyDescent="0.25"/>
    <row r="2132" s="222" customFormat="1" x14ac:dyDescent="0.25"/>
    <row r="2133" s="222" customFormat="1" x14ac:dyDescent="0.25"/>
    <row r="2134" s="222" customFormat="1" x14ac:dyDescent="0.25"/>
    <row r="2135" s="222" customFormat="1" x14ac:dyDescent="0.25"/>
    <row r="2136" s="222" customFormat="1" x14ac:dyDescent="0.25"/>
    <row r="2137" s="222" customFormat="1" x14ac:dyDescent="0.25"/>
    <row r="2138" s="222" customFormat="1" x14ac:dyDescent="0.25"/>
    <row r="2139" s="222" customFormat="1" x14ac:dyDescent="0.25"/>
    <row r="2140" s="222" customFormat="1" x14ac:dyDescent="0.25"/>
    <row r="2141" s="222" customFormat="1" x14ac:dyDescent="0.25"/>
    <row r="2142" s="222" customFormat="1" x14ac:dyDescent="0.25"/>
    <row r="2143" s="222" customFormat="1" x14ac:dyDescent="0.25"/>
    <row r="2144" s="222" customFormat="1" x14ac:dyDescent="0.25"/>
    <row r="2145" s="222" customFormat="1" x14ac:dyDescent="0.25"/>
    <row r="2146" s="222" customFormat="1" x14ac:dyDescent="0.25"/>
    <row r="2147" s="222" customFormat="1" x14ac:dyDescent="0.25"/>
    <row r="2148" s="222" customFormat="1" x14ac:dyDescent="0.25"/>
    <row r="2149" s="222" customFormat="1" x14ac:dyDescent="0.25"/>
    <row r="2150" s="222" customFormat="1" x14ac:dyDescent="0.25"/>
    <row r="2151" s="222" customFormat="1" x14ac:dyDescent="0.25"/>
    <row r="2152" s="222" customFormat="1" x14ac:dyDescent="0.25"/>
    <row r="2153" s="222" customFormat="1" x14ac:dyDescent="0.25"/>
    <row r="2154" s="222" customFormat="1" x14ac:dyDescent="0.25"/>
    <row r="2155" s="222" customFormat="1" x14ac:dyDescent="0.25"/>
    <row r="2156" s="222" customFormat="1" x14ac:dyDescent="0.25"/>
    <row r="2157" s="222" customFormat="1" x14ac:dyDescent="0.25"/>
    <row r="2158" s="222" customFormat="1" x14ac:dyDescent="0.25"/>
    <row r="2159" s="222" customFormat="1" x14ac:dyDescent="0.25"/>
    <row r="2160" s="222" customFormat="1" x14ac:dyDescent="0.25"/>
    <row r="2161" s="222" customFormat="1" x14ac:dyDescent="0.25"/>
    <row r="2162" s="222" customFormat="1" x14ac:dyDescent="0.25"/>
    <row r="2163" s="222" customFormat="1" x14ac:dyDescent="0.25"/>
    <row r="2164" s="222" customFormat="1" x14ac:dyDescent="0.25"/>
    <row r="2165" s="222" customFormat="1" x14ac:dyDescent="0.25"/>
    <row r="2166" s="222" customFormat="1" x14ac:dyDescent="0.25"/>
    <row r="2167" s="222" customFormat="1" x14ac:dyDescent="0.25"/>
    <row r="2168" s="222" customFormat="1" x14ac:dyDescent="0.25"/>
    <row r="2169" s="222" customFormat="1" x14ac:dyDescent="0.25"/>
    <row r="2170" s="222" customFormat="1" x14ac:dyDescent="0.25"/>
    <row r="2171" s="222" customFormat="1" x14ac:dyDescent="0.25"/>
    <row r="2172" s="222" customFormat="1" x14ac:dyDescent="0.25"/>
    <row r="2173" s="222" customFormat="1" x14ac:dyDescent="0.25"/>
    <row r="2174" s="222" customFormat="1" x14ac:dyDescent="0.25"/>
    <row r="2175" s="222" customFormat="1" x14ac:dyDescent="0.25"/>
    <row r="2176" s="222" customFormat="1" x14ac:dyDescent="0.25"/>
    <row r="2177" s="222" customFormat="1" x14ac:dyDescent="0.25"/>
    <row r="2178" s="222" customFormat="1" x14ac:dyDescent="0.25"/>
    <row r="2179" s="222" customFormat="1" x14ac:dyDescent="0.25"/>
    <row r="2180" s="222" customFormat="1" x14ac:dyDescent="0.25"/>
    <row r="2181" s="222" customFormat="1" x14ac:dyDescent="0.25"/>
    <row r="2182" s="222" customFormat="1" x14ac:dyDescent="0.25"/>
    <row r="2183" s="222" customFormat="1" x14ac:dyDescent="0.25"/>
    <row r="2184" s="222" customFormat="1" x14ac:dyDescent="0.25"/>
    <row r="2185" s="222" customFormat="1" x14ac:dyDescent="0.25"/>
    <row r="2186" s="222" customFormat="1" x14ac:dyDescent="0.25"/>
    <row r="2187" s="222" customFormat="1" x14ac:dyDescent="0.25"/>
    <row r="2188" s="222" customFormat="1" x14ac:dyDescent="0.25"/>
    <row r="2189" s="222" customFormat="1" x14ac:dyDescent="0.25"/>
    <row r="2190" s="222" customFormat="1" x14ac:dyDescent="0.25"/>
    <row r="2191" s="222" customFormat="1" x14ac:dyDescent="0.25"/>
    <row r="2192" s="222" customFormat="1" x14ac:dyDescent="0.25"/>
    <row r="2193" s="222" customFormat="1" x14ac:dyDescent="0.25"/>
    <row r="2194" s="222" customFormat="1" x14ac:dyDescent="0.25"/>
    <row r="2195" s="222" customFormat="1" x14ac:dyDescent="0.25"/>
    <row r="2196" s="222" customFormat="1" x14ac:dyDescent="0.25"/>
    <row r="2197" s="222" customFormat="1" x14ac:dyDescent="0.25"/>
    <row r="2198" s="222" customFormat="1" x14ac:dyDescent="0.25"/>
    <row r="2199" s="222" customFormat="1" x14ac:dyDescent="0.25"/>
    <row r="2200" s="222" customFormat="1" x14ac:dyDescent="0.25"/>
    <row r="2201" s="222" customFormat="1" x14ac:dyDescent="0.25"/>
    <row r="2202" s="222" customFormat="1" x14ac:dyDescent="0.25"/>
    <row r="2203" s="222" customFormat="1" x14ac:dyDescent="0.25"/>
    <row r="2204" s="222" customFormat="1" x14ac:dyDescent="0.25"/>
    <row r="2205" s="222" customFormat="1" x14ac:dyDescent="0.25"/>
    <row r="2206" s="222" customFormat="1" x14ac:dyDescent="0.25"/>
    <row r="2207" s="222" customFormat="1" x14ac:dyDescent="0.25"/>
    <row r="2208" s="222" customFormat="1" x14ac:dyDescent="0.25"/>
    <row r="2209" s="222" customFormat="1" x14ac:dyDescent="0.25"/>
    <row r="2210" s="222" customFormat="1" x14ac:dyDescent="0.25"/>
    <row r="2211" s="222" customFormat="1" x14ac:dyDescent="0.25"/>
    <row r="2212" s="222" customFormat="1" x14ac:dyDescent="0.25"/>
    <row r="2213" s="222" customFormat="1" x14ac:dyDescent="0.25"/>
    <row r="2214" s="222" customFormat="1" x14ac:dyDescent="0.25"/>
    <row r="2215" s="222" customFormat="1" x14ac:dyDescent="0.25"/>
    <row r="2216" s="222" customFormat="1" x14ac:dyDescent="0.25"/>
    <row r="2217" s="222" customFormat="1" x14ac:dyDescent="0.25"/>
    <row r="2218" s="222" customFormat="1" x14ac:dyDescent="0.25"/>
    <row r="2219" s="222" customFormat="1" x14ac:dyDescent="0.25"/>
    <row r="2220" s="222" customFormat="1" x14ac:dyDescent="0.25"/>
    <row r="2221" s="222" customFormat="1" x14ac:dyDescent="0.25"/>
    <row r="2222" s="222" customFormat="1" x14ac:dyDescent="0.25"/>
    <row r="2223" s="222" customFormat="1" x14ac:dyDescent="0.25"/>
    <row r="2224" s="222" customFormat="1" x14ac:dyDescent="0.25"/>
    <row r="2225" s="222" customFormat="1" x14ac:dyDescent="0.25"/>
    <row r="2226" s="222" customFormat="1" x14ac:dyDescent="0.25"/>
    <row r="2227" s="222" customFormat="1" x14ac:dyDescent="0.25"/>
    <row r="2228" s="222" customFormat="1" x14ac:dyDescent="0.25"/>
    <row r="2229" s="222" customFormat="1" x14ac:dyDescent="0.25"/>
    <row r="2230" s="222" customFormat="1" x14ac:dyDescent="0.25"/>
    <row r="2231" s="222" customFormat="1" x14ac:dyDescent="0.25"/>
    <row r="2232" s="222" customFormat="1" x14ac:dyDescent="0.25"/>
    <row r="2233" s="222" customFormat="1" x14ac:dyDescent="0.25"/>
    <row r="2234" s="222" customFormat="1" x14ac:dyDescent="0.25"/>
    <row r="2235" s="222" customFormat="1" x14ac:dyDescent="0.25"/>
    <row r="2236" s="222" customFormat="1" x14ac:dyDescent="0.25"/>
    <row r="2237" s="222" customFormat="1" x14ac:dyDescent="0.25"/>
    <row r="2238" s="222" customFormat="1" x14ac:dyDescent="0.25"/>
    <row r="2239" s="222" customFormat="1" x14ac:dyDescent="0.25"/>
    <row r="2240" s="222" customFormat="1" x14ac:dyDescent="0.25"/>
    <row r="2241" s="222" customFormat="1" x14ac:dyDescent="0.25"/>
    <row r="2242" s="222" customFormat="1" x14ac:dyDescent="0.25"/>
    <row r="2243" s="222" customFormat="1" x14ac:dyDescent="0.25"/>
    <row r="2244" s="222" customFormat="1" x14ac:dyDescent="0.25"/>
    <row r="2245" s="222" customFormat="1" x14ac:dyDescent="0.25"/>
    <row r="2246" s="222" customFormat="1" x14ac:dyDescent="0.25"/>
    <row r="2247" s="222" customFormat="1" x14ac:dyDescent="0.25"/>
    <row r="2248" s="222" customFormat="1" x14ac:dyDescent="0.25"/>
    <row r="2249" s="222" customFormat="1" x14ac:dyDescent="0.25"/>
    <row r="2250" s="222" customFormat="1" x14ac:dyDescent="0.25"/>
    <row r="2251" s="222" customFormat="1" x14ac:dyDescent="0.25"/>
    <row r="2252" s="222" customFormat="1" x14ac:dyDescent="0.25"/>
    <row r="2253" s="222" customFormat="1" x14ac:dyDescent="0.25"/>
    <row r="2254" s="222" customFormat="1" x14ac:dyDescent="0.25"/>
    <row r="2255" s="222" customFormat="1" x14ac:dyDescent="0.25"/>
    <row r="2256" s="222" customFormat="1" x14ac:dyDescent="0.25"/>
    <row r="2257" s="222" customFormat="1" x14ac:dyDescent="0.25"/>
    <row r="2258" s="222" customFormat="1" x14ac:dyDescent="0.25"/>
    <row r="2259" s="222" customFormat="1" x14ac:dyDescent="0.25"/>
    <row r="2260" s="222" customFormat="1" x14ac:dyDescent="0.25"/>
    <row r="2261" s="222" customFormat="1" x14ac:dyDescent="0.25"/>
    <row r="2262" s="222" customFormat="1" x14ac:dyDescent="0.25"/>
    <row r="2263" s="222" customFormat="1" x14ac:dyDescent="0.25"/>
    <row r="2264" s="222" customFormat="1" x14ac:dyDescent="0.25"/>
    <row r="2265" s="222" customFormat="1" x14ac:dyDescent="0.25"/>
    <row r="2266" s="222" customFormat="1" x14ac:dyDescent="0.25"/>
    <row r="2267" s="222" customFormat="1" x14ac:dyDescent="0.25"/>
    <row r="2268" s="222" customFormat="1" x14ac:dyDescent="0.25"/>
    <row r="2269" s="222" customFormat="1" x14ac:dyDescent="0.25"/>
    <row r="2270" s="222" customFormat="1" x14ac:dyDescent="0.25"/>
    <row r="2271" s="222" customFormat="1" x14ac:dyDescent="0.25"/>
    <row r="2272" s="222" customFormat="1" x14ac:dyDescent="0.25"/>
    <row r="2273" s="222" customFormat="1" x14ac:dyDescent="0.25"/>
    <row r="2274" s="222" customFormat="1" x14ac:dyDescent="0.25"/>
    <row r="2275" s="222" customFormat="1" x14ac:dyDescent="0.25"/>
    <row r="2276" s="222" customFormat="1" x14ac:dyDescent="0.25"/>
    <row r="2277" s="222" customFormat="1" x14ac:dyDescent="0.25"/>
    <row r="2278" s="222" customFormat="1" x14ac:dyDescent="0.25"/>
    <row r="2279" s="222" customFormat="1" x14ac:dyDescent="0.25"/>
    <row r="2280" s="222" customFormat="1" x14ac:dyDescent="0.25"/>
    <row r="2281" s="222" customFormat="1" x14ac:dyDescent="0.25"/>
    <row r="2282" s="222" customFormat="1" x14ac:dyDescent="0.25"/>
    <row r="2283" s="222" customFormat="1" x14ac:dyDescent="0.25"/>
    <row r="2284" s="222" customFormat="1" x14ac:dyDescent="0.25"/>
    <row r="2285" s="222" customFormat="1" x14ac:dyDescent="0.25"/>
    <row r="2286" s="222" customFormat="1" x14ac:dyDescent="0.25"/>
    <row r="2287" s="222" customFormat="1" x14ac:dyDescent="0.25"/>
    <row r="2288" s="222" customFormat="1" x14ac:dyDescent="0.25"/>
    <row r="2289" s="222" customFormat="1" x14ac:dyDescent="0.25"/>
    <row r="2290" s="222" customFormat="1" x14ac:dyDescent="0.25"/>
    <row r="2291" s="222" customFormat="1" x14ac:dyDescent="0.25"/>
    <row r="2292" s="222" customFormat="1" x14ac:dyDescent="0.25"/>
    <row r="2293" s="222" customFormat="1" x14ac:dyDescent="0.25"/>
    <row r="2294" s="222" customFormat="1" x14ac:dyDescent="0.25"/>
    <row r="2295" s="222" customFormat="1" x14ac:dyDescent="0.25"/>
    <row r="2296" s="222" customFormat="1" x14ac:dyDescent="0.25"/>
    <row r="2297" s="222" customFormat="1" x14ac:dyDescent="0.25"/>
    <row r="2298" s="222" customFormat="1" x14ac:dyDescent="0.25"/>
    <row r="2299" s="222" customFormat="1" x14ac:dyDescent="0.25"/>
    <row r="2300" s="222" customFormat="1" x14ac:dyDescent="0.25"/>
    <row r="2301" s="222" customFormat="1" x14ac:dyDescent="0.25"/>
    <row r="2302" s="222" customFormat="1" x14ac:dyDescent="0.25"/>
    <row r="2303" s="222" customFormat="1" x14ac:dyDescent="0.25"/>
    <row r="2304" s="222" customFormat="1" x14ac:dyDescent="0.25"/>
    <row r="2305" s="222" customFormat="1" x14ac:dyDescent="0.25"/>
    <row r="2306" s="222" customFormat="1" x14ac:dyDescent="0.25"/>
    <row r="2307" s="222" customFormat="1" x14ac:dyDescent="0.25"/>
    <row r="2308" s="222" customFormat="1" x14ac:dyDescent="0.25"/>
    <row r="2309" s="222" customFormat="1" x14ac:dyDescent="0.25"/>
    <row r="2310" s="222" customFormat="1" x14ac:dyDescent="0.25"/>
    <row r="2311" s="222" customFormat="1" x14ac:dyDescent="0.25"/>
    <row r="2312" s="222" customFormat="1" x14ac:dyDescent="0.25"/>
    <row r="2313" s="222" customFormat="1" x14ac:dyDescent="0.25"/>
    <row r="2314" s="222" customFormat="1" x14ac:dyDescent="0.25"/>
    <row r="2315" s="222" customFormat="1" x14ac:dyDescent="0.25"/>
    <row r="2316" s="222" customFormat="1" x14ac:dyDescent="0.25"/>
    <row r="2317" s="222" customFormat="1" x14ac:dyDescent="0.25"/>
    <row r="2318" s="222" customFormat="1" x14ac:dyDescent="0.25"/>
    <row r="2319" s="222" customFormat="1" x14ac:dyDescent="0.25"/>
    <row r="2320" s="222" customFormat="1" x14ac:dyDescent="0.25"/>
    <row r="2321" s="222" customFormat="1" x14ac:dyDescent="0.25"/>
    <row r="2322" s="222" customFormat="1" x14ac:dyDescent="0.25"/>
    <row r="2323" s="222" customFormat="1" x14ac:dyDescent="0.25"/>
    <row r="2324" s="222" customFormat="1" x14ac:dyDescent="0.25"/>
    <row r="2325" s="222" customFormat="1" x14ac:dyDescent="0.25"/>
    <row r="2326" s="222" customFormat="1" x14ac:dyDescent="0.25"/>
    <row r="2327" s="222" customFormat="1" x14ac:dyDescent="0.25"/>
    <row r="2328" s="222" customFormat="1" x14ac:dyDescent="0.25"/>
    <row r="2329" s="222" customFormat="1" x14ac:dyDescent="0.25"/>
    <row r="2330" s="222" customFormat="1" x14ac:dyDescent="0.25"/>
    <row r="2331" s="222" customFormat="1" x14ac:dyDescent="0.25"/>
    <row r="2332" s="222" customFormat="1" x14ac:dyDescent="0.25"/>
    <row r="2333" s="222" customFormat="1" x14ac:dyDescent="0.25"/>
    <row r="2334" s="222" customFormat="1" x14ac:dyDescent="0.25"/>
    <row r="2335" s="222" customFormat="1" x14ac:dyDescent="0.25"/>
    <row r="2336" s="222" customFormat="1" x14ac:dyDescent="0.25"/>
    <row r="2337" s="222" customFormat="1" x14ac:dyDescent="0.25"/>
    <row r="2338" s="222" customFormat="1" x14ac:dyDescent="0.25"/>
    <row r="2339" s="222" customFormat="1" x14ac:dyDescent="0.25"/>
    <row r="2340" s="222" customFormat="1" x14ac:dyDescent="0.25"/>
    <row r="2341" s="222" customFormat="1" x14ac:dyDescent="0.25"/>
    <row r="2342" s="222" customFormat="1" x14ac:dyDescent="0.25"/>
    <row r="2343" s="222" customFormat="1" x14ac:dyDescent="0.25"/>
    <row r="2344" s="222" customFormat="1" x14ac:dyDescent="0.25"/>
    <row r="2345" s="222" customFormat="1" x14ac:dyDescent="0.25"/>
    <row r="2346" s="222" customFormat="1" x14ac:dyDescent="0.25"/>
    <row r="2347" s="222" customFormat="1" x14ac:dyDescent="0.25"/>
    <row r="2348" s="222" customFormat="1" x14ac:dyDescent="0.25"/>
    <row r="2349" s="222" customFormat="1" x14ac:dyDescent="0.25"/>
    <row r="2350" s="222" customFormat="1" x14ac:dyDescent="0.25"/>
    <row r="2351" s="222" customFormat="1" x14ac:dyDescent="0.25"/>
    <row r="2352" s="222" customFormat="1" x14ac:dyDescent="0.25"/>
    <row r="2353" s="222" customFormat="1" x14ac:dyDescent="0.25"/>
    <row r="2354" s="222" customFormat="1" x14ac:dyDescent="0.25"/>
    <row r="2355" s="222" customFormat="1" x14ac:dyDescent="0.25"/>
    <row r="2356" s="222" customFormat="1" x14ac:dyDescent="0.25"/>
    <row r="2357" s="222" customFormat="1" x14ac:dyDescent="0.25"/>
    <row r="2358" s="222" customFormat="1" x14ac:dyDescent="0.25"/>
    <row r="2359" s="222" customFormat="1" x14ac:dyDescent="0.25"/>
    <row r="2360" s="222" customFormat="1" x14ac:dyDescent="0.25"/>
    <row r="2361" s="222" customFormat="1" x14ac:dyDescent="0.25"/>
    <row r="2362" s="222" customFormat="1" x14ac:dyDescent="0.25"/>
    <row r="2363" s="222" customFormat="1" x14ac:dyDescent="0.25"/>
    <row r="2364" s="222" customFormat="1" x14ac:dyDescent="0.25"/>
    <row r="2365" s="222" customFormat="1" x14ac:dyDescent="0.25"/>
    <row r="2366" s="222" customFormat="1" x14ac:dyDescent="0.25"/>
    <row r="2367" s="222" customFormat="1" x14ac:dyDescent="0.25"/>
    <row r="2368" s="222" customFormat="1" x14ac:dyDescent="0.25"/>
    <row r="2369" s="222" customFormat="1" x14ac:dyDescent="0.25"/>
    <row r="2370" s="222" customFormat="1" x14ac:dyDescent="0.25"/>
    <row r="2371" s="222" customFormat="1" x14ac:dyDescent="0.25"/>
    <row r="2372" s="222" customFormat="1" x14ac:dyDescent="0.25"/>
    <row r="2373" s="222" customFormat="1" x14ac:dyDescent="0.25"/>
    <row r="2374" s="222" customFormat="1" x14ac:dyDescent="0.25"/>
    <row r="2375" s="222" customFormat="1" x14ac:dyDescent="0.25"/>
    <row r="2376" s="222" customFormat="1" x14ac:dyDescent="0.25"/>
    <row r="2377" s="222" customFormat="1" x14ac:dyDescent="0.25"/>
    <row r="2378" s="222" customFormat="1" x14ac:dyDescent="0.25"/>
    <row r="2379" s="222" customFormat="1" x14ac:dyDescent="0.25"/>
    <row r="2380" s="222" customFormat="1" x14ac:dyDescent="0.25"/>
    <row r="2381" s="222" customFormat="1" x14ac:dyDescent="0.25"/>
    <row r="2382" s="222" customFormat="1" x14ac:dyDescent="0.25"/>
    <row r="2383" s="222" customFormat="1" x14ac:dyDescent="0.25"/>
    <row r="2384" s="222" customFormat="1" x14ac:dyDescent="0.25"/>
    <row r="2385" s="222" customFormat="1" x14ac:dyDescent="0.25"/>
    <row r="2386" s="222" customFormat="1" x14ac:dyDescent="0.25"/>
    <row r="2387" s="222" customFormat="1" x14ac:dyDescent="0.25"/>
    <row r="2388" s="222" customFormat="1" x14ac:dyDescent="0.25"/>
    <row r="2389" s="222" customFormat="1" x14ac:dyDescent="0.25"/>
    <row r="2390" s="222" customFormat="1" x14ac:dyDescent="0.25"/>
    <row r="2391" s="222" customFormat="1" x14ac:dyDescent="0.25"/>
    <row r="2392" s="222" customFormat="1" x14ac:dyDescent="0.25"/>
    <row r="2393" s="222" customFormat="1" x14ac:dyDescent="0.25"/>
    <row r="2394" s="222" customFormat="1" x14ac:dyDescent="0.25"/>
    <row r="2395" s="222" customFormat="1" x14ac:dyDescent="0.25"/>
    <row r="2396" s="222" customFormat="1" x14ac:dyDescent="0.25"/>
    <row r="2397" s="222" customFormat="1" x14ac:dyDescent="0.25"/>
    <row r="2398" s="222" customFormat="1" x14ac:dyDescent="0.25"/>
    <row r="2399" s="222" customFormat="1" x14ac:dyDescent="0.25"/>
    <row r="2400" s="222" customFormat="1" x14ac:dyDescent="0.25"/>
    <row r="2401" s="222" customFormat="1" x14ac:dyDescent="0.25"/>
    <row r="2402" s="222" customFormat="1" x14ac:dyDescent="0.25"/>
    <row r="2403" s="222" customFormat="1" x14ac:dyDescent="0.25"/>
    <row r="2404" s="222" customFormat="1" x14ac:dyDescent="0.25"/>
    <row r="2405" s="222" customFormat="1" x14ac:dyDescent="0.25"/>
    <row r="2406" s="222" customFormat="1" x14ac:dyDescent="0.25"/>
    <row r="2407" s="222" customFormat="1" x14ac:dyDescent="0.25"/>
    <row r="2408" s="222" customFormat="1" x14ac:dyDescent="0.25"/>
    <row r="2409" s="222" customFormat="1" x14ac:dyDescent="0.25"/>
    <row r="2410" s="222" customFormat="1" x14ac:dyDescent="0.25"/>
    <row r="2411" s="222" customFormat="1" x14ac:dyDescent="0.25"/>
    <row r="2412" s="222" customFormat="1" x14ac:dyDescent="0.25"/>
    <row r="2413" s="222" customFormat="1" x14ac:dyDescent="0.25"/>
    <row r="2414" s="222" customFormat="1" x14ac:dyDescent="0.25"/>
    <row r="2415" s="222" customFormat="1" x14ac:dyDescent="0.25"/>
    <row r="2416" s="222" customFormat="1" x14ac:dyDescent="0.25"/>
    <row r="2417" s="222" customFormat="1" x14ac:dyDescent="0.25"/>
    <row r="2418" s="222" customFormat="1" x14ac:dyDescent="0.25"/>
    <row r="2419" s="222" customFormat="1" x14ac:dyDescent="0.25"/>
    <row r="2420" s="222" customFormat="1" x14ac:dyDescent="0.25"/>
    <row r="2421" s="222" customFormat="1" x14ac:dyDescent="0.25"/>
    <row r="2422" s="222" customFormat="1" x14ac:dyDescent="0.25"/>
    <row r="2423" s="222" customFormat="1" x14ac:dyDescent="0.25"/>
    <row r="2424" s="222" customFormat="1" x14ac:dyDescent="0.25"/>
    <row r="2425" s="222" customFormat="1" x14ac:dyDescent="0.25"/>
    <row r="2426" s="222" customFormat="1" x14ac:dyDescent="0.25"/>
    <row r="2427" s="222" customFormat="1" x14ac:dyDescent="0.25"/>
    <row r="2428" s="222" customFormat="1" x14ac:dyDescent="0.25"/>
    <row r="2429" s="222" customFormat="1" x14ac:dyDescent="0.25"/>
    <row r="2430" s="222" customFormat="1" x14ac:dyDescent="0.25"/>
    <row r="2431" s="222" customFormat="1" x14ac:dyDescent="0.25"/>
    <row r="2432" s="222" customFormat="1" x14ac:dyDescent="0.25"/>
    <row r="2433" s="222" customFormat="1" x14ac:dyDescent="0.25"/>
    <row r="2434" s="222" customFormat="1" x14ac:dyDescent="0.25"/>
    <row r="2435" s="222" customFormat="1" x14ac:dyDescent="0.25"/>
    <row r="2436" s="222" customFormat="1" x14ac:dyDescent="0.25"/>
    <row r="2437" s="222" customFormat="1" x14ac:dyDescent="0.25"/>
    <row r="2438" s="222" customFormat="1" x14ac:dyDescent="0.25"/>
    <row r="2439" s="222" customFormat="1" x14ac:dyDescent="0.25"/>
    <row r="2440" s="222" customFormat="1" x14ac:dyDescent="0.25"/>
    <row r="2441" s="222" customFormat="1" x14ac:dyDescent="0.25"/>
    <row r="2442" s="222" customFormat="1" x14ac:dyDescent="0.25"/>
    <row r="2443" s="222" customFormat="1" x14ac:dyDescent="0.25"/>
    <row r="2444" s="222" customFormat="1" x14ac:dyDescent="0.25"/>
    <row r="2445" s="222" customFormat="1" x14ac:dyDescent="0.25"/>
    <row r="2446" s="222" customFormat="1" x14ac:dyDescent="0.25"/>
    <row r="2447" s="222" customFormat="1" x14ac:dyDescent="0.25"/>
    <row r="2448" s="222" customFormat="1" x14ac:dyDescent="0.25"/>
    <row r="2449" s="222" customFormat="1" x14ac:dyDescent="0.25"/>
    <row r="2450" s="222" customFormat="1" x14ac:dyDescent="0.25"/>
    <row r="2451" s="222" customFormat="1" x14ac:dyDescent="0.25"/>
    <row r="2452" s="222" customFormat="1" x14ac:dyDescent="0.25"/>
  </sheetData>
  <mergeCells count="88">
    <mergeCell ref="C11:G11"/>
    <mergeCell ref="H23:J23"/>
    <mergeCell ref="C22:C23"/>
    <mergeCell ref="D22:D23"/>
    <mergeCell ref="E22:E23"/>
    <mergeCell ref="F22:F23"/>
    <mergeCell ref="G22:G23"/>
    <mergeCell ref="C380:E380"/>
    <mergeCell ref="C172:E172"/>
    <mergeCell ref="C79:G79"/>
    <mergeCell ref="H127:J127"/>
    <mergeCell ref="F108:H108"/>
    <mergeCell ref="C301:E301"/>
    <mergeCell ref="C133:L136"/>
    <mergeCell ref="C350:E350"/>
    <mergeCell ref="C361:E361"/>
    <mergeCell ref="G126:G127"/>
    <mergeCell ref="F126:F127"/>
    <mergeCell ref="C153:E153"/>
    <mergeCell ref="B145:E145"/>
    <mergeCell ref="C148:E148"/>
    <mergeCell ref="C126:C127"/>
    <mergeCell ref="D126:D127"/>
    <mergeCell ref="B217:B229"/>
    <mergeCell ref="C74:G74"/>
    <mergeCell ref="C98:C99"/>
    <mergeCell ref="D98:D99"/>
    <mergeCell ref="E98:E99"/>
    <mergeCell ref="C107:C108"/>
    <mergeCell ref="D107:D108"/>
    <mergeCell ref="E107:E108"/>
    <mergeCell ref="D88:D89"/>
    <mergeCell ref="E88:E89"/>
    <mergeCell ref="C88:C89"/>
    <mergeCell ref="C155:E155"/>
    <mergeCell ref="C210:E210"/>
    <mergeCell ref="C206:E206"/>
    <mergeCell ref="B207:B209"/>
    <mergeCell ref="C249:E249"/>
    <mergeCell ref="C193:E193"/>
    <mergeCell ref="C36:I36"/>
    <mergeCell ref="C56:H56"/>
    <mergeCell ref="C211:E211"/>
    <mergeCell ref="C216:E216"/>
    <mergeCell ref="C287:E287"/>
    <mergeCell ref="C293:E293"/>
    <mergeCell ref="B298:B300"/>
    <mergeCell ref="B308:B313"/>
    <mergeCell ref="B316:B322"/>
    <mergeCell ref="B288:B292"/>
    <mergeCell ref="B294:B296"/>
    <mergeCell ref="C297:E297"/>
    <mergeCell ref="C315:E315"/>
    <mergeCell ref="C273:E273"/>
    <mergeCell ref="B251:B255"/>
    <mergeCell ref="B257:B272"/>
    <mergeCell ref="B274:B286"/>
    <mergeCell ref="C5:L8"/>
    <mergeCell ref="E126:E127"/>
    <mergeCell ref="B231:B248"/>
    <mergeCell ref="C250:E250"/>
    <mergeCell ref="C256:E256"/>
    <mergeCell ref="B194:B205"/>
    <mergeCell ref="C230:E230"/>
    <mergeCell ref="C160:E160"/>
    <mergeCell ref="C161:E161"/>
    <mergeCell ref="C168:E168"/>
    <mergeCell ref="C180:E180"/>
    <mergeCell ref="B190:E190"/>
    <mergeCell ref="C374:E374"/>
    <mergeCell ref="B358:E358"/>
    <mergeCell ref="B371:E371"/>
    <mergeCell ref="C365:E365"/>
    <mergeCell ref="B347:B349"/>
    <mergeCell ref="C363:E363"/>
    <mergeCell ref="B342:B345"/>
    <mergeCell ref="C341:E341"/>
    <mergeCell ref="C346:E346"/>
    <mergeCell ref="B303:B306"/>
    <mergeCell ref="C302:E302"/>
    <mergeCell ref="C307:E307"/>
    <mergeCell ref="C314:E314"/>
    <mergeCell ref="C337:E337"/>
    <mergeCell ref="B324:B329"/>
    <mergeCell ref="B338:B340"/>
    <mergeCell ref="B331:B336"/>
    <mergeCell ref="C323:E323"/>
    <mergeCell ref="C330:E330"/>
  </mergeCells>
  <phoneticPr fontId="59" type="noConversion"/>
  <conditionalFormatting sqref="H39:H43">
    <cfRule type="cellIs" dxfId="30" priority="21" operator="greaterThanOrEqual">
      <formula>40%</formula>
    </cfRule>
    <cfRule type="cellIs" dxfId="29" priority="22" operator="between">
      <formula>30%</formula>
      <formula>39.9%</formula>
    </cfRule>
    <cfRule type="cellIs" dxfId="28" priority="23" operator="between">
      <formula>20%</formula>
      <formula>29.9%</formula>
    </cfRule>
    <cfRule type="cellIs" dxfId="27" priority="24" operator="lessThanOrEqual">
      <formula>19.9%</formula>
    </cfRule>
  </conditionalFormatting>
  <conditionalFormatting sqref="H44">
    <cfRule type="cellIs" dxfId="26" priority="17" operator="greaterThanOrEqual">
      <formula>40%</formula>
    </cfRule>
    <cfRule type="cellIs" dxfId="25" priority="18" operator="between">
      <formula>30%</formula>
      <formula>39.9%</formula>
    </cfRule>
    <cfRule type="cellIs" dxfId="24" priority="19" operator="between">
      <formula>20%</formula>
      <formula>29.9%</formula>
    </cfRule>
    <cfRule type="cellIs" dxfId="23" priority="20" operator="lessThanOrEqual">
      <formula>19.9%</formula>
    </cfRule>
  </conditionalFormatting>
  <conditionalFormatting sqref="H45">
    <cfRule type="cellIs" dxfId="22" priority="13" operator="greaterThanOrEqual">
      <formula>40%</formula>
    </cfRule>
    <cfRule type="cellIs" dxfId="21" priority="14" operator="between">
      <formula>30%</formula>
      <formula>39.9%</formula>
    </cfRule>
    <cfRule type="cellIs" dxfId="20" priority="15" operator="between">
      <formula>20%</formula>
      <formula>29.9%</formula>
    </cfRule>
    <cfRule type="cellIs" dxfId="19" priority="16" operator="lessThanOrEqual">
      <formula>19.9%</formula>
    </cfRule>
  </conditionalFormatting>
  <conditionalFormatting sqref="H46">
    <cfRule type="cellIs" dxfId="18" priority="9" operator="greaterThanOrEqual">
      <formula>40%</formula>
    </cfRule>
    <cfRule type="cellIs" dxfId="17" priority="10" operator="between">
      <formula>30%</formula>
      <formula>39.9%</formula>
    </cfRule>
    <cfRule type="cellIs" dxfId="16" priority="11" operator="between">
      <formula>20%</formula>
      <formula>29.9%</formula>
    </cfRule>
    <cfRule type="cellIs" dxfId="15" priority="12" operator="lessThanOrEqual">
      <formula>19.9%</formula>
    </cfRule>
  </conditionalFormatting>
  <conditionalFormatting sqref="J59:J68">
    <cfRule type="cellIs" dxfId="14" priority="5" operator="between">
      <formula>0%</formula>
      <formula>9.9%</formula>
    </cfRule>
    <cfRule type="cellIs" dxfId="13" priority="6" operator="between">
      <formula>10%</formula>
      <formula>19.9%</formula>
    </cfRule>
    <cfRule type="cellIs" dxfId="12" priority="7" operator="between">
      <formula>20%</formula>
      <formula>39.9%</formula>
    </cfRule>
    <cfRule type="cellIs" dxfId="11" priority="8" operator="greaterThanOrEqual">
      <formula>40%</formula>
    </cfRule>
  </conditionalFormatting>
  <conditionalFormatting sqref="K59:K68">
    <cfRule type="cellIs" dxfId="10" priority="1" operator="lessThan">
      <formula>5%</formula>
    </cfRule>
    <cfRule type="cellIs" dxfId="9" priority="2" operator="between">
      <formula>5%</formula>
      <formula>9.9%</formula>
    </cfRule>
    <cfRule type="cellIs" dxfId="8" priority="3" operator="between">
      <formula>10%</formula>
      <formula>14.9%</formula>
    </cfRule>
    <cfRule type="cellIs" dxfId="7" priority="4" operator="greaterThanOrEqual">
      <formula>0.15</formula>
    </cfRule>
  </conditionalFormatting>
  <pageMargins left="0.7" right="0.7" top="0.75" bottom="0.75" header="0.3" footer="0.3"/>
  <pageSetup paperSize="9" scale="36" orientation="portrait" r:id="rId1"/>
  <rowBreaks count="2" manualBreakCount="2">
    <brk id="131" min="1" max="19" man="1"/>
    <brk id="177" min="1" max="19"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B3:U275"/>
  <sheetViews>
    <sheetView view="pageBreakPreview" topLeftCell="A77" zoomScale="80" zoomScaleNormal="100" zoomScaleSheetLayoutView="80" workbookViewId="0">
      <selection activeCell="D100" sqref="D100:E102"/>
    </sheetView>
  </sheetViews>
  <sheetFormatPr baseColWidth="10" defaultRowHeight="15" x14ac:dyDescent="0.25"/>
  <cols>
    <col min="1" max="1" width="11.42578125" style="276"/>
    <col min="2" max="2" width="11.42578125" style="52"/>
    <col min="3" max="3" width="11.42578125" style="276"/>
    <col min="4" max="4" width="23.140625" style="276" customWidth="1"/>
    <col min="5" max="5" width="24.5703125" style="276" customWidth="1"/>
    <col min="6" max="16384" width="11.42578125" style="276"/>
  </cols>
  <sheetData>
    <row r="3" spans="2:21" x14ac:dyDescent="0.25">
      <c r="B3" s="837" t="s">
        <v>1236</v>
      </c>
    </row>
    <row r="5" spans="2:21" x14ac:dyDescent="0.25">
      <c r="B5" s="222"/>
      <c r="C5" s="1596" t="s">
        <v>1727</v>
      </c>
      <c r="D5" s="1596"/>
      <c r="E5" s="1596"/>
      <c r="F5" s="1596"/>
      <c r="G5" s="1596"/>
      <c r="H5" s="1596"/>
      <c r="I5" s="1596"/>
      <c r="J5" s="1596"/>
      <c r="K5" s="1596"/>
      <c r="L5" s="1596"/>
      <c r="M5" s="1274"/>
    </row>
    <row r="6" spans="2:21" x14ac:dyDescent="0.25">
      <c r="B6" s="222"/>
      <c r="C6" s="1596"/>
      <c r="D6" s="1596"/>
      <c r="E6" s="1596"/>
      <c r="F6" s="1596"/>
      <c r="G6" s="1596"/>
      <c r="H6" s="1596"/>
      <c r="I6" s="1596"/>
      <c r="J6" s="1596"/>
      <c r="K6" s="1596"/>
      <c r="L6" s="1596"/>
      <c r="M6" s="1274"/>
    </row>
    <row r="7" spans="2:21" x14ac:dyDescent="0.25">
      <c r="B7" s="222"/>
      <c r="C7" s="1596"/>
      <c r="D7" s="1596"/>
      <c r="E7" s="1596"/>
      <c r="F7" s="1596"/>
      <c r="G7" s="1596"/>
      <c r="H7" s="1596"/>
      <c r="I7" s="1596"/>
      <c r="J7" s="1596"/>
      <c r="K7" s="1596"/>
      <c r="L7" s="1596"/>
      <c r="M7" s="1274"/>
    </row>
    <row r="8" spans="2:21" x14ac:dyDescent="0.25">
      <c r="B8" s="222"/>
      <c r="C8" s="1596"/>
      <c r="D8" s="1596"/>
      <c r="E8" s="1596"/>
      <c r="F8" s="1596"/>
      <c r="G8" s="1596"/>
      <c r="H8" s="1596"/>
      <c r="I8" s="1596"/>
      <c r="J8" s="1596"/>
      <c r="K8" s="1596"/>
      <c r="L8" s="1596"/>
      <c r="M8" s="1274"/>
    </row>
    <row r="9" spans="2:21" x14ac:dyDescent="0.25">
      <c r="B9" s="222"/>
      <c r="C9" s="1293"/>
      <c r="D9" s="1294" t="s">
        <v>1733</v>
      </c>
      <c r="E9" s="1293"/>
      <c r="F9" s="1293"/>
      <c r="G9" s="1293"/>
      <c r="H9" s="1293"/>
      <c r="I9" s="1293"/>
      <c r="J9" s="1293"/>
      <c r="K9" s="1293"/>
      <c r="L9" s="1293"/>
      <c r="M9" s="1274"/>
    </row>
    <row r="10" spans="2:21" x14ac:dyDescent="0.25">
      <c r="B10" s="222"/>
      <c r="C10" s="1293"/>
      <c r="D10" s="1040"/>
      <c r="E10" s="1293"/>
      <c r="F10" s="1293"/>
      <c r="G10" s="1293"/>
      <c r="H10" s="1293"/>
      <c r="I10" s="1293"/>
      <c r="J10" s="1293"/>
      <c r="K10" s="1293"/>
      <c r="L10" s="1293"/>
      <c r="M10" s="1274"/>
    </row>
    <row r="11" spans="2:21" x14ac:dyDescent="0.25">
      <c r="B11" s="222"/>
      <c r="C11" s="1293"/>
      <c r="D11" s="1617" t="s">
        <v>1720</v>
      </c>
      <c r="E11" s="1619">
        <v>2017</v>
      </c>
      <c r="F11" s="1619">
        <v>2018</v>
      </c>
      <c r="G11" s="1619">
        <v>2019</v>
      </c>
      <c r="H11" s="1619">
        <v>2020</v>
      </c>
      <c r="I11" s="1282">
        <v>2021</v>
      </c>
      <c r="J11" s="1282">
        <v>2022</v>
      </c>
      <c r="K11" s="1282">
        <v>2023</v>
      </c>
      <c r="L11" s="1278">
        <v>2024</v>
      </c>
      <c r="M11" s="1278">
        <v>2025</v>
      </c>
      <c r="N11" s="1278">
        <v>2026</v>
      </c>
      <c r="O11" s="1278">
        <v>2027</v>
      </c>
      <c r="P11" s="1278">
        <v>2028</v>
      </c>
      <c r="Q11" s="1278">
        <v>2029</v>
      </c>
      <c r="R11" s="1278">
        <v>2030</v>
      </c>
      <c r="S11" s="1278">
        <v>2031</v>
      </c>
      <c r="T11" s="1278">
        <v>2032</v>
      </c>
      <c r="U11" s="1278">
        <v>2033</v>
      </c>
    </row>
    <row r="12" spans="2:21" x14ac:dyDescent="0.25">
      <c r="B12" s="222"/>
      <c r="C12" s="1293"/>
      <c r="D12" s="1618"/>
      <c r="E12" s="1619"/>
      <c r="F12" s="1619"/>
      <c r="G12" s="1619"/>
      <c r="H12" s="1619"/>
      <c r="I12" s="1616" t="s">
        <v>257</v>
      </c>
      <c r="J12" s="1616"/>
      <c r="K12" s="1616"/>
      <c r="L12" s="1279" t="s">
        <v>174</v>
      </c>
      <c r="M12" s="1279" t="s">
        <v>175</v>
      </c>
      <c r="N12" s="1279" t="s">
        <v>176</v>
      </c>
      <c r="O12" s="1279" t="s">
        <v>177</v>
      </c>
      <c r="P12" s="1279" t="s">
        <v>178</v>
      </c>
      <c r="Q12" s="1279" t="s">
        <v>179</v>
      </c>
      <c r="R12" s="1279" t="s">
        <v>180</v>
      </c>
      <c r="S12" s="1279" t="s">
        <v>181</v>
      </c>
      <c r="T12" s="1279" t="s">
        <v>182</v>
      </c>
      <c r="U12" s="1279" t="s">
        <v>183</v>
      </c>
    </row>
    <row r="13" spans="2:21" s="1274" customFormat="1" ht="25.5" hidden="1" x14ac:dyDescent="0.25">
      <c r="B13" s="261"/>
      <c r="C13" s="1273"/>
      <c r="D13" s="1285" t="s">
        <v>1723</v>
      </c>
      <c r="E13" s="1283">
        <v>0</v>
      </c>
      <c r="F13" s="1283">
        <v>0</v>
      </c>
      <c r="G13" s="1283">
        <v>0</v>
      </c>
      <c r="H13" s="1283">
        <v>0</v>
      </c>
      <c r="I13" s="1283">
        <v>0</v>
      </c>
      <c r="J13" s="1283">
        <v>0</v>
      </c>
      <c r="K13" s="1283">
        <v>0</v>
      </c>
      <c r="L13" s="1283">
        <v>0</v>
      </c>
      <c r="M13" s="1283">
        <v>0</v>
      </c>
      <c r="N13" s="1283">
        <v>0</v>
      </c>
      <c r="O13" s="1283">
        <v>0</v>
      </c>
      <c r="P13" s="1283">
        <v>0</v>
      </c>
      <c r="Q13" s="1283">
        <v>0</v>
      </c>
      <c r="R13" s="1283">
        <v>0</v>
      </c>
      <c r="S13" s="1283">
        <v>0</v>
      </c>
      <c r="T13" s="1283">
        <v>0</v>
      </c>
      <c r="U13" s="1283">
        <v>0</v>
      </c>
    </row>
    <row r="14" spans="2:21" s="1274" customFormat="1" ht="25.5" hidden="1" x14ac:dyDescent="0.25">
      <c r="B14" s="261"/>
      <c r="C14" s="1273"/>
      <c r="D14" s="1285" t="s">
        <v>1724</v>
      </c>
      <c r="E14" s="1283">
        <v>0</v>
      </c>
      <c r="F14" s="1283">
        <v>0</v>
      </c>
      <c r="G14" s="1283">
        <v>0</v>
      </c>
      <c r="H14" s="1283">
        <v>0</v>
      </c>
      <c r="I14" s="1283">
        <v>0</v>
      </c>
      <c r="J14" s="1283">
        <v>0</v>
      </c>
      <c r="K14" s="1283">
        <v>0</v>
      </c>
      <c r="L14" s="1283">
        <v>0</v>
      </c>
      <c r="M14" s="1283">
        <v>0</v>
      </c>
      <c r="N14" s="1283">
        <v>0</v>
      </c>
      <c r="O14" s="1283">
        <v>0</v>
      </c>
      <c r="P14" s="1283">
        <v>0</v>
      </c>
      <c r="Q14" s="1283">
        <v>0</v>
      </c>
      <c r="R14" s="1283">
        <v>0</v>
      </c>
      <c r="S14" s="1283">
        <v>0</v>
      </c>
      <c r="T14" s="1283">
        <v>0</v>
      </c>
      <c r="U14" s="1283">
        <v>0</v>
      </c>
    </row>
    <row r="15" spans="2:21" s="1274" customFormat="1" ht="51" hidden="1" x14ac:dyDescent="0.25">
      <c r="B15" s="261"/>
      <c r="C15" s="1273"/>
      <c r="D15" s="1285" t="s">
        <v>1726</v>
      </c>
      <c r="E15" s="1283">
        <v>0</v>
      </c>
      <c r="F15" s="1283">
        <v>0</v>
      </c>
      <c r="G15" s="1283">
        <v>0</v>
      </c>
      <c r="H15" s="1283">
        <v>0</v>
      </c>
      <c r="I15" s="1283">
        <v>0</v>
      </c>
      <c r="J15" s="1283">
        <v>0</v>
      </c>
      <c r="K15" s="1283">
        <v>0</v>
      </c>
      <c r="L15" s="1283">
        <v>0</v>
      </c>
      <c r="M15" s="1283">
        <v>0</v>
      </c>
      <c r="N15" s="1283">
        <v>0</v>
      </c>
      <c r="O15" s="1283">
        <v>0</v>
      </c>
      <c r="P15" s="1283">
        <v>0</v>
      </c>
      <c r="Q15" s="1283">
        <v>0</v>
      </c>
      <c r="R15" s="1283">
        <v>0</v>
      </c>
      <c r="S15" s="1283">
        <v>0</v>
      </c>
      <c r="T15" s="1283">
        <v>0</v>
      </c>
      <c r="U15" s="1283">
        <v>0</v>
      </c>
    </row>
    <row r="16" spans="2:21" ht="25.5" hidden="1" x14ac:dyDescent="0.25">
      <c r="B16" s="222"/>
      <c r="C16" s="1293"/>
      <c r="D16" s="1276" t="s">
        <v>1725</v>
      </c>
      <c r="E16" s="1283">
        <v>0</v>
      </c>
      <c r="F16" s="1283">
        <v>0</v>
      </c>
      <c r="G16" s="1283">
        <v>0</v>
      </c>
      <c r="H16" s="1283">
        <v>0</v>
      </c>
      <c r="I16" s="1283">
        <v>0</v>
      </c>
      <c r="J16" s="1283">
        <v>0</v>
      </c>
      <c r="K16" s="1283">
        <v>0</v>
      </c>
      <c r="L16" s="1283">
        <v>0</v>
      </c>
      <c r="M16" s="1283">
        <v>0</v>
      </c>
      <c r="N16" s="1283">
        <v>0</v>
      </c>
      <c r="O16" s="1283">
        <v>0</v>
      </c>
      <c r="P16" s="1283">
        <v>0</v>
      </c>
      <c r="Q16" s="1283">
        <v>0</v>
      </c>
      <c r="R16" s="1283">
        <v>0</v>
      </c>
      <c r="S16" s="1283">
        <v>0</v>
      </c>
      <c r="T16" s="1283">
        <v>0</v>
      </c>
      <c r="U16" s="1283">
        <v>0</v>
      </c>
    </row>
    <row r="17" spans="2:21" ht="76.5" x14ac:dyDescent="0.25">
      <c r="B17" s="222"/>
      <c r="C17" s="1293"/>
      <c r="D17" s="1281" t="s">
        <v>1729</v>
      </c>
      <c r="E17" s="1290">
        <v>0</v>
      </c>
      <c r="F17" s="1290">
        <v>0</v>
      </c>
      <c r="G17" s="1290">
        <v>0</v>
      </c>
      <c r="H17" s="1290">
        <v>0</v>
      </c>
      <c r="I17" s="1290">
        <v>0</v>
      </c>
      <c r="J17" s="1290">
        <v>0</v>
      </c>
      <c r="K17" s="1290">
        <v>0</v>
      </c>
      <c r="L17" s="1290">
        <v>0</v>
      </c>
      <c r="M17" s="1290">
        <v>0</v>
      </c>
      <c r="N17" s="1290">
        <v>0</v>
      </c>
      <c r="O17" s="1290">
        <v>0</v>
      </c>
      <c r="P17" s="1290">
        <v>0</v>
      </c>
      <c r="Q17" s="1290">
        <v>0</v>
      </c>
      <c r="R17" s="1290">
        <v>0</v>
      </c>
      <c r="S17" s="1290">
        <v>0</v>
      </c>
      <c r="T17" s="1290">
        <v>0</v>
      </c>
      <c r="U17" s="1290">
        <v>0</v>
      </c>
    </row>
    <row r="18" spans="2:21" x14ac:dyDescent="0.25">
      <c r="B18" s="222"/>
      <c r="C18" s="1293"/>
      <c r="D18" s="1293"/>
      <c r="E18" s="1293"/>
      <c r="F18" s="1293"/>
      <c r="G18" s="1293"/>
      <c r="H18" s="1293"/>
      <c r="I18" s="1293"/>
      <c r="J18" s="1293"/>
      <c r="K18" s="1293"/>
      <c r="L18" s="1293"/>
      <c r="M18" s="1274"/>
    </row>
    <row r="19" spans="2:21" x14ac:dyDescent="0.25">
      <c r="B19" s="222"/>
      <c r="C19" s="1293"/>
      <c r="D19" s="1040" t="s">
        <v>1731</v>
      </c>
      <c r="E19" s="1293"/>
      <c r="F19" s="1293"/>
      <c r="G19" s="1293"/>
      <c r="H19" s="1293"/>
      <c r="I19" s="1293"/>
      <c r="J19" s="1293"/>
      <c r="K19" s="1293"/>
      <c r="L19" s="1293"/>
      <c r="M19" s="1274"/>
    </row>
    <row r="20" spans="2:21" x14ac:dyDescent="0.25">
      <c r="B20" s="222"/>
      <c r="C20" s="1293"/>
      <c r="D20" s="1293"/>
      <c r="E20" s="1293"/>
      <c r="F20" s="1293"/>
      <c r="G20" s="1293"/>
      <c r="H20" s="1293"/>
      <c r="I20" s="1293"/>
      <c r="J20" s="1293"/>
      <c r="K20" s="1293"/>
      <c r="L20" s="1293"/>
      <c r="M20" s="1274"/>
    </row>
    <row r="22" spans="2:21" s="235" customFormat="1" x14ac:dyDescent="0.25">
      <c r="B22" s="86"/>
    </row>
    <row r="24" spans="2:21" x14ac:dyDescent="0.25">
      <c r="B24" s="52">
        <v>1</v>
      </c>
      <c r="C24" s="222" t="s">
        <v>423</v>
      </c>
    </row>
    <row r="26" spans="2:21" x14ac:dyDescent="0.25">
      <c r="C26" s="1541" t="s">
        <v>189</v>
      </c>
      <c r="D26" s="1541" t="s">
        <v>188</v>
      </c>
      <c r="E26" s="1541" t="s">
        <v>256</v>
      </c>
      <c r="F26" s="1541">
        <v>2019</v>
      </c>
      <c r="G26" s="219">
        <v>2020</v>
      </c>
      <c r="H26" s="218">
        <v>2021</v>
      </c>
      <c r="I26" s="218">
        <v>2022</v>
      </c>
      <c r="J26" s="218">
        <v>2023</v>
      </c>
      <c r="K26" s="218">
        <v>2024</v>
      </c>
      <c r="L26" s="218">
        <v>2025</v>
      </c>
      <c r="M26" s="218">
        <v>2026</v>
      </c>
      <c r="N26" s="218">
        <v>2027</v>
      </c>
      <c r="O26" s="218">
        <v>2028</v>
      </c>
      <c r="P26" s="218">
        <v>2029</v>
      </c>
      <c r="Q26" s="218">
        <v>2030</v>
      </c>
      <c r="R26" s="218">
        <v>2031</v>
      </c>
      <c r="S26" s="218">
        <v>2032</v>
      </c>
      <c r="T26" s="218">
        <v>2033</v>
      </c>
    </row>
    <row r="27" spans="2:21" x14ac:dyDescent="0.25">
      <c r="C27" s="1541"/>
      <c r="D27" s="1541"/>
      <c r="E27" s="1541"/>
      <c r="F27" s="1541"/>
      <c r="G27" s="220"/>
      <c r="H27" s="1610" t="s">
        <v>257</v>
      </c>
      <c r="I27" s="1611"/>
      <c r="J27" s="1612"/>
      <c r="K27" s="54" t="s">
        <v>174</v>
      </c>
      <c r="L27" s="54" t="s">
        <v>175</v>
      </c>
      <c r="M27" s="54" t="s">
        <v>176</v>
      </c>
      <c r="N27" s="54" t="s">
        <v>177</v>
      </c>
      <c r="O27" s="54" t="s">
        <v>178</v>
      </c>
      <c r="P27" s="54" t="s">
        <v>179</v>
      </c>
      <c r="Q27" s="54" t="s">
        <v>180</v>
      </c>
      <c r="R27" s="54" t="s">
        <v>181</v>
      </c>
      <c r="S27" s="54" t="s">
        <v>182</v>
      </c>
      <c r="T27" s="54" t="s">
        <v>183</v>
      </c>
    </row>
    <row r="28" spans="2:21" ht="231.75" customHeight="1" x14ac:dyDescent="0.25">
      <c r="C28" s="135" t="s">
        <v>161</v>
      </c>
      <c r="D28" s="278" t="str">
        <f>'DEM EFEC'!D110</f>
        <v>ABANCAY, PICHIRHUA, CHACOCHE, LAMBRAMA, CIRCA, CURAHUASI,HUANIPACA, SAN PEDRO DE CACHORA Y TAMBURCO.</v>
      </c>
      <c r="E28" s="198" t="str">
        <f>'DEM EFEC'!E110</f>
        <v>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v>
      </c>
      <c r="F28" s="136">
        <v>0</v>
      </c>
      <c r="G28" s="136">
        <v>0</v>
      </c>
      <c r="H28" s="136">
        <v>0</v>
      </c>
      <c r="I28" s="136">
        <v>0</v>
      </c>
      <c r="J28" s="136">
        <v>0</v>
      </c>
      <c r="K28" s="136">
        <v>0</v>
      </c>
      <c r="L28" s="136">
        <v>0</v>
      </c>
      <c r="M28" s="136">
        <v>0</v>
      </c>
      <c r="N28" s="136">
        <v>0</v>
      </c>
      <c r="O28" s="136">
        <v>0</v>
      </c>
      <c r="P28" s="136">
        <v>0</v>
      </c>
      <c r="Q28" s="136">
        <v>0</v>
      </c>
      <c r="R28" s="136">
        <v>0</v>
      </c>
      <c r="S28" s="136">
        <v>0</v>
      </c>
      <c r="T28" s="136">
        <v>0</v>
      </c>
    </row>
    <row r="29" spans="2:21" x14ac:dyDescent="0.25">
      <c r="C29" s="1565" t="s">
        <v>44</v>
      </c>
      <c r="D29" s="1565"/>
      <c r="E29" s="1565"/>
      <c r="F29" s="268">
        <f t="shared" ref="F29:T29" si="0">SUM(F28:F28)</f>
        <v>0</v>
      </c>
      <c r="G29" s="137">
        <f t="shared" si="0"/>
        <v>0</v>
      </c>
      <c r="H29" s="136">
        <f t="shared" si="0"/>
        <v>0</v>
      </c>
      <c r="I29" s="136">
        <f t="shared" si="0"/>
        <v>0</v>
      </c>
      <c r="J29" s="136">
        <f t="shared" si="0"/>
        <v>0</v>
      </c>
      <c r="K29" s="136">
        <f t="shared" si="0"/>
        <v>0</v>
      </c>
      <c r="L29" s="136">
        <f t="shared" si="0"/>
        <v>0</v>
      </c>
      <c r="M29" s="136">
        <f t="shared" si="0"/>
        <v>0</v>
      </c>
      <c r="N29" s="136">
        <f t="shared" si="0"/>
        <v>0</v>
      </c>
      <c r="O29" s="136">
        <f t="shared" si="0"/>
        <v>0</v>
      </c>
      <c r="P29" s="136">
        <f t="shared" si="0"/>
        <v>0</v>
      </c>
      <c r="Q29" s="136">
        <f t="shared" si="0"/>
        <v>0</v>
      </c>
      <c r="R29" s="136">
        <f t="shared" si="0"/>
        <v>0</v>
      </c>
      <c r="S29" s="136">
        <f t="shared" si="0"/>
        <v>0</v>
      </c>
      <c r="T29" s="268">
        <f t="shared" si="0"/>
        <v>0</v>
      </c>
    </row>
    <row r="30" spans="2:21" x14ac:dyDescent="0.25">
      <c r="F30" s="277"/>
    </row>
    <row r="31" spans="2:21" x14ac:dyDescent="0.25">
      <c r="B31" s="222">
        <v>1.2</v>
      </c>
      <c r="C31" s="222" t="s">
        <v>424</v>
      </c>
      <c r="D31" s="222"/>
      <c r="F31" s="277"/>
    </row>
    <row r="32" spans="2:21" x14ac:dyDescent="0.25">
      <c r="F32" s="277"/>
    </row>
    <row r="33" spans="2:20" x14ac:dyDescent="0.25">
      <c r="E33" s="1541" t="s">
        <v>189</v>
      </c>
      <c r="F33" s="1607">
        <v>2019</v>
      </c>
      <c r="G33" s="1542">
        <v>2020</v>
      </c>
      <c r="H33" s="218">
        <v>2021</v>
      </c>
      <c r="I33" s="218">
        <v>2022</v>
      </c>
      <c r="J33" s="218">
        <v>2023</v>
      </c>
      <c r="K33" s="218">
        <v>2024</v>
      </c>
      <c r="L33" s="218">
        <v>2025</v>
      </c>
      <c r="M33" s="218">
        <v>2026</v>
      </c>
      <c r="N33" s="218">
        <v>2027</v>
      </c>
      <c r="O33" s="218">
        <v>2028</v>
      </c>
      <c r="P33" s="218">
        <v>2029</v>
      </c>
      <c r="Q33" s="218">
        <v>2030</v>
      </c>
      <c r="R33" s="218">
        <v>2031</v>
      </c>
      <c r="S33" s="218">
        <v>2032</v>
      </c>
      <c r="T33" s="218">
        <v>2033</v>
      </c>
    </row>
    <row r="34" spans="2:20" x14ac:dyDescent="0.25">
      <c r="E34" s="1541"/>
      <c r="F34" s="1608"/>
      <c r="G34" s="1543"/>
      <c r="H34" s="239" t="s">
        <v>257</v>
      </c>
      <c r="I34" s="240"/>
      <c r="J34" s="241"/>
      <c r="K34" s="54" t="s">
        <v>174</v>
      </c>
      <c r="L34" s="54" t="s">
        <v>175</v>
      </c>
      <c r="M34" s="54" t="s">
        <v>176</v>
      </c>
      <c r="N34" s="54" t="s">
        <v>177</v>
      </c>
      <c r="O34" s="54" t="s">
        <v>178</v>
      </c>
      <c r="P34" s="54" t="s">
        <v>179</v>
      </c>
      <c r="Q34" s="54" t="s">
        <v>180</v>
      </c>
      <c r="R34" s="54" t="s">
        <v>181</v>
      </c>
      <c r="S34" s="54" t="s">
        <v>182</v>
      </c>
      <c r="T34" s="54" t="s">
        <v>183</v>
      </c>
    </row>
    <row r="35" spans="2:20" ht="25.5" x14ac:dyDescent="0.25">
      <c r="E35" s="250" t="str">
        <f>'DEM - DESN'!C109</f>
        <v>NIÑOS MENORES DE 05 AÑOS CON DESNUTRICIÓN CRÓNICA</v>
      </c>
      <c r="F35" s="246">
        <v>0</v>
      </c>
      <c r="G35" s="246">
        <v>0</v>
      </c>
      <c r="H35" s="246">
        <v>0</v>
      </c>
      <c r="I35" s="246">
        <v>0</v>
      </c>
      <c r="J35" s="246">
        <v>0</v>
      </c>
      <c r="K35" s="246">
        <v>0</v>
      </c>
      <c r="L35" s="246">
        <v>0</v>
      </c>
      <c r="M35" s="246">
        <v>0</v>
      </c>
      <c r="N35" s="246">
        <v>0</v>
      </c>
      <c r="O35" s="246">
        <v>0</v>
      </c>
      <c r="P35" s="246">
        <v>0</v>
      </c>
      <c r="Q35" s="246">
        <v>0</v>
      </c>
      <c r="R35" s="246">
        <v>0</v>
      </c>
      <c r="S35" s="246">
        <v>0</v>
      </c>
      <c r="T35" s="246">
        <v>0</v>
      </c>
    </row>
    <row r="36" spans="2:20" ht="25.5" x14ac:dyDescent="0.25">
      <c r="E36" s="250" t="str">
        <f>'DEM - DESN'!C110</f>
        <v>MADRES CON DESNUTRICIÓN CRÓNICA</v>
      </c>
      <c r="F36" s="246">
        <v>0</v>
      </c>
      <c r="G36" s="246">
        <v>0</v>
      </c>
      <c r="H36" s="246">
        <v>0</v>
      </c>
      <c r="I36" s="246">
        <v>0</v>
      </c>
      <c r="J36" s="246">
        <v>0</v>
      </c>
      <c r="K36" s="246">
        <v>0</v>
      </c>
      <c r="L36" s="246">
        <v>0</v>
      </c>
      <c r="M36" s="246">
        <v>0</v>
      </c>
      <c r="N36" s="246">
        <v>0</v>
      </c>
      <c r="O36" s="246">
        <v>0</v>
      </c>
      <c r="P36" s="246">
        <v>0</v>
      </c>
      <c r="Q36" s="246">
        <v>0</v>
      </c>
      <c r="R36" s="246">
        <v>0</v>
      </c>
      <c r="S36" s="246">
        <v>0</v>
      </c>
      <c r="T36" s="246">
        <v>0</v>
      </c>
    </row>
    <row r="37" spans="2:20" x14ac:dyDescent="0.25">
      <c r="E37" s="247" t="s">
        <v>44</v>
      </c>
      <c r="F37" s="248">
        <f>SUM(F35:F36)</f>
        <v>0</v>
      </c>
      <c r="G37" s="249">
        <f>SUM(G35:G36)</f>
        <v>0</v>
      </c>
      <c r="H37" s="249">
        <f t="shared" ref="H37:S37" si="1">SUM(H35:H36)</f>
        <v>0</v>
      </c>
      <c r="I37" s="249">
        <f t="shared" si="1"/>
        <v>0</v>
      </c>
      <c r="J37" s="249">
        <f t="shared" si="1"/>
        <v>0</v>
      </c>
      <c r="K37" s="249">
        <f t="shared" si="1"/>
        <v>0</v>
      </c>
      <c r="L37" s="249">
        <f t="shared" si="1"/>
        <v>0</v>
      </c>
      <c r="M37" s="249">
        <f t="shared" si="1"/>
        <v>0</v>
      </c>
      <c r="N37" s="249">
        <f t="shared" si="1"/>
        <v>0</v>
      </c>
      <c r="O37" s="249">
        <f t="shared" si="1"/>
        <v>0</v>
      </c>
      <c r="P37" s="249">
        <f t="shared" si="1"/>
        <v>0</v>
      </c>
      <c r="Q37" s="249">
        <f t="shared" si="1"/>
        <v>0</v>
      </c>
      <c r="R37" s="249">
        <f t="shared" si="1"/>
        <v>0</v>
      </c>
      <c r="S37" s="249">
        <f t="shared" si="1"/>
        <v>0</v>
      </c>
      <c r="T37" s="248">
        <f>SUM(T35:T36)</f>
        <v>0</v>
      </c>
    </row>
    <row r="39" spans="2:20" ht="15" customHeight="1" x14ac:dyDescent="0.25">
      <c r="B39" s="261">
        <v>1</v>
      </c>
      <c r="C39" s="222" t="s">
        <v>1705</v>
      </c>
      <c r="D39" s="222"/>
      <c r="E39" s="222"/>
      <c r="F39" s="222"/>
      <c r="G39" s="222"/>
      <c r="H39" s="222"/>
    </row>
    <row r="40" spans="2:20" x14ac:dyDescent="0.25">
      <c r="C40" s="222"/>
      <c r="D40" s="222"/>
      <c r="E40" s="222"/>
      <c r="F40" s="222"/>
    </row>
    <row r="41" spans="2:20" x14ac:dyDescent="0.25">
      <c r="C41" s="347" t="s">
        <v>398</v>
      </c>
      <c r="D41" s="347" t="s">
        <v>583</v>
      </c>
      <c r="E41" s="347" t="s">
        <v>397</v>
      </c>
      <c r="F41" s="347" t="s">
        <v>428</v>
      </c>
    </row>
    <row r="42" spans="2:20" ht="30" customHeight="1" x14ac:dyDescent="0.25">
      <c r="C42" s="358" t="s">
        <v>401</v>
      </c>
      <c r="D42" s="1600" t="s">
        <v>1706</v>
      </c>
      <c r="E42" s="1601"/>
      <c r="F42" s="1602"/>
    </row>
    <row r="43" spans="2:20" ht="28.5" customHeight="1" x14ac:dyDescent="0.25">
      <c r="C43" s="351" t="s">
        <v>584</v>
      </c>
      <c r="D43" s="278" t="s">
        <v>585</v>
      </c>
      <c r="E43" s="351" t="s">
        <v>402</v>
      </c>
      <c r="F43" s="351">
        <v>0</v>
      </c>
    </row>
    <row r="44" spans="2:20" x14ac:dyDescent="0.25">
      <c r="C44" s="351" t="s">
        <v>399</v>
      </c>
      <c r="D44" s="278" t="s">
        <v>586</v>
      </c>
      <c r="E44" s="351" t="s">
        <v>402</v>
      </c>
      <c r="F44" s="351">
        <v>0</v>
      </c>
    </row>
    <row r="45" spans="2:20" x14ac:dyDescent="0.25">
      <c r="C45" s="351" t="s">
        <v>587</v>
      </c>
      <c r="D45" s="278" t="s">
        <v>588</v>
      </c>
      <c r="E45" s="351" t="s">
        <v>402</v>
      </c>
      <c r="F45" s="351">
        <v>0</v>
      </c>
    </row>
    <row r="46" spans="2:20" x14ac:dyDescent="0.25">
      <c r="C46" s="351" t="s">
        <v>589</v>
      </c>
      <c r="D46" s="278" t="s">
        <v>590</v>
      </c>
      <c r="E46" s="351" t="s">
        <v>591</v>
      </c>
      <c r="F46" s="351">
        <v>0</v>
      </c>
    </row>
    <row r="47" spans="2:20" ht="30" customHeight="1" x14ac:dyDescent="0.25">
      <c r="C47" s="358" t="s">
        <v>400</v>
      </c>
      <c r="D47" s="1600" t="s">
        <v>1707</v>
      </c>
      <c r="E47" s="1601"/>
      <c r="F47" s="1602"/>
    </row>
    <row r="48" spans="2:20" ht="28.5" customHeight="1" x14ac:dyDescent="0.25">
      <c r="C48" s="351" t="s">
        <v>592</v>
      </c>
      <c r="D48" s="278" t="s">
        <v>593</v>
      </c>
      <c r="E48" s="351" t="s">
        <v>594</v>
      </c>
      <c r="F48" s="351">
        <v>0</v>
      </c>
    </row>
    <row r="49" spans="3:6" ht="31.5" customHeight="1" x14ac:dyDescent="0.25">
      <c r="C49" s="347" t="s">
        <v>595</v>
      </c>
      <c r="D49" s="1600" t="s">
        <v>1669</v>
      </c>
      <c r="E49" s="1601"/>
      <c r="F49" s="1602"/>
    </row>
    <row r="50" spans="3:6" ht="38.25" x14ac:dyDescent="0.25">
      <c r="C50" s="353" t="s">
        <v>596</v>
      </c>
      <c r="D50" s="352" t="s">
        <v>597</v>
      </c>
      <c r="E50" s="353" t="s">
        <v>411</v>
      </c>
      <c r="F50" s="353">
        <v>0</v>
      </c>
    </row>
    <row r="51" spans="3:6" x14ac:dyDescent="0.25">
      <c r="C51" s="351" t="s">
        <v>598</v>
      </c>
      <c r="D51" s="278" t="s">
        <v>599</v>
      </c>
      <c r="E51" s="351" t="s">
        <v>600</v>
      </c>
      <c r="F51" s="351">
        <v>0</v>
      </c>
    </row>
    <row r="52" spans="3:6" x14ac:dyDescent="0.25">
      <c r="C52" s="351" t="s">
        <v>601</v>
      </c>
      <c r="D52" s="354" t="s">
        <v>602</v>
      </c>
      <c r="E52" s="351" t="s">
        <v>402</v>
      </c>
      <c r="F52" s="351">
        <v>0</v>
      </c>
    </row>
    <row r="53" spans="3:6" x14ac:dyDescent="0.25">
      <c r="C53" s="351" t="s">
        <v>603</v>
      </c>
      <c r="D53" s="278" t="s">
        <v>604</v>
      </c>
      <c r="E53" s="351" t="s">
        <v>594</v>
      </c>
      <c r="F53" s="351">
        <v>0</v>
      </c>
    </row>
    <row r="54" spans="3:6" ht="30.75" customHeight="1" x14ac:dyDescent="0.25">
      <c r="C54" s="358" t="s">
        <v>605</v>
      </c>
      <c r="D54" s="1600" t="s">
        <v>1708</v>
      </c>
      <c r="E54" s="1601"/>
      <c r="F54" s="1602"/>
    </row>
    <row r="55" spans="3:6" ht="30.75" customHeight="1" x14ac:dyDescent="0.25">
      <c r="C55" s="347" t="s">
        <v>606</v>
      </c>
      <c r="D55" s="1603" t="s">
        <v>607</v>
      </c>
      <c r="E55" s="1604"/>
      <c r="F55" s="1605"/>
    </row>
    <row r="56" spans="3:6" x14ac:dyDescent="0.25">
      <c r="C56" s="351" t="s">
        <v>608</v>
      </c>
      <c r="D56" s="278" t="s">
        <v>609</v>
      </c>
      <c r="E56" s="351" t="s">
        <v>594</v>
      </c>
      <c r="F56" s="351">
        <v>0</v>
      </c>
    </row>
    <row r="57" spans="3:6" x14ac:dyDescent="0.25">
      <c r="C57" s="351" t="s">
        <v>610</v>
      </c>
      <c r="D57" s="278" t="s">
        <v>611</v>
      </c>
      <c r="E57" s="351" t="s">
        <v>594</v>
      </c>
      <c r="F57" s="351">
        <v>0</v>
      </c>
    </row>
    <row r="58" spans="3:6" x14ac:dyDescent="0.25">
      <c r="C58" s="351" t="s">
        <v>612</v>
      </c>
      <c r="D58" s="278" t="s">
        <v>613</v>
      </c>
      <c r="E58" s="351" t="s">
        <v>594</v>
      </c>
      <c r="F58" s="351">
        <v>0</v>
      </c>
    </row>
    <row r="59" spans="3:6" ht="29.25" customHeight="1" x14ac:dyDescent="0.25">
      <c r="C59" s="351" t="s">
        <v>614</v>
      </c>
      <c r="D59" s="278" t="s">
        <v>615</v>
      </c>
      <c r="E59" s="351" t="s">
        <v>594</v>
      </c>
      <c r="F59" s="351">
        <v>0</v>
      </c>
    </row>
    <row r="60" spans="3:6" x14ac:dyDescent="0.25">
      <c r="C60" s="351" t="s">
        <v>616</v>
      </c>
      <c r="D60" s="278" t="s">
        <v>431</v>
      </c>
      <c r="E60" s="351" t="s">
        <v>594</v>
      </c>
      <c r="F60" s="351">
        <v>0</v>
      </c>
    </row>
    <row r="61" spans="3:6" ht="25.5" x14ac:dyDescent="0.25">
      <c r="C61" s="353" t="s">
        <v>617</v>
      </c>
      <c r="D61" s="355" t="s">
        <v>618</v>
      </c>
      <c r="E61" s="353" t="s">
        <v>619</v>
      </c>
      <c r="F61" s="353">
        <v>0</v>
      </c>
    </row>
    <row r="62" spans="3:6" x14ac:dyDescent="0.25">
      <c r="C62" s="358" t="s">
        <v>620</v>
      </c>
      <c r="D62" s="1600" t="s">
        <v>621</v>
      </c>
      <c r="E62" s="1601"/>
      <c r="F62" s="1602"/>
    </row>
    <row r="63" spans="3:6" x14ac:dyDescent="0.25">
      <c r="C63" s="351" t="s">
        <v>622</v>
      </c>
      <c r="D63" s="355" t="s">
        <v>623</v>
      </c>
      <c r="E63" s="353" t="s">
        <v>402</v>
      </c>
      <c r="F63" s="353">
        <v>0</v>
      </c>
    </row>
    <row r="64" spans="3:6" x14ac:dyDescent="0.25">
      <c r="C64" s="351" t="s">
        <v>624</v>
      </c>
      <c r="D64" s="278" t="s">
        <v>625</v>
      </c>
      <c r="E64" s="351" t="s">
        <v>594</v>
      </c>
      <c r="F64" s="351">
        <v>0</v>
      </c>
    </row>
    <row r="65" spans="3:6" x14ac:dyDescent="0.25">
      <c r="C65" s="351" t="s">
        <v>626</v>
      </c>
      <c r="D65" s="278" t="s">
        <v>627</v>
      </c>
      <c r="E65" s="351" t="s">
        <v>594</v>
      </c>
      <c r="F65" s="351">
        <v>0</v>
      </c>
    </row>
    <row r="66" spans="3:6" ht="15" customHeight="1" x14ac:dyDescent="0.25">
      <c r="C66" s="358" t="s">
        <v>637</v>
      </c>
      <c r="D66" s="1600" t="s">
        <v>638</v>
      </c>
      <c r="E66" s="1601"/>
      <c r="F66" s="1602"/>
    </row>
    <row r="67" spans="3:6" ht="21.75" customHeight="1" x14ac:dyDescent="0.25">
      <c r="C67" s="351" t="s">
        <v>639</v>
      </c>
      <c r="D67" s="278" t="s">
        <v>628</v>
      </c>
      <c r="E67" s="351" t="s">
        <v>594</v>
      </c>
      <c r="F67" s="351">
        <v>0</v>
      </c>
    </row>
    <row r="68" spans="3:6" x14ac:dyDescent="0.25">
      <c r="C68" s="351" t="s">
        <v>640</v>
      </c>
      <c r="D68" s="278" t="s">
        <v>629</v>
      </c>
      <c r="E68" s="351" t="s">
        <v>594</v>
      </c>
      <c r="F68" s="351">
        <v>0</v>
      </c>
    </row>
    <row r="69" spans="3:6" x14ac:dyDescent="0.25">
      <c r="C69" s="351" t="s">
        <v>641</v>
      </c>
      <c r="D69" s="278" t="s">
        <v>630</v>
      </c>
      <c r="E69" s="351" t="s">
        <v>594</v>
      </c>
      <c r="F69" s="351">
        <v>0</v>
      </c>
    </row>
    <row r="70" spans="3:6" x14ac:dyDescent="0.25">
      <c r="C70" s="351" t="s">
        <v>642</v>
      </c>
      <c r="D70" s="278" t="s">
        <v>631</v>
      </c>
      <c r="E70" s="351" t="s">
        <v>594</v>
      </c>
      <c r="F70" s="351">
        <v>0</v>
      </c>
    </row>
    <row r="71" spans="3:6" ht="18" customHeight="1" x14ac:dyDescent="0.25">
      <c r="C71" s="356" t="s">
        <v>643</v>
      </c>
      <c r="D71" s="357" t="s">
        <v>632</v>
      </c>
      <c r="E71" s="356" t="s">
        <v>411</v>
      </c>
      <c r="F71" s="356">
        <v>0</v>
      </c>
    </row>
    <row r="72" spans="3:6" x14ac:dyDescent="0.25">
      <c r="C72" s="356" t="s">
        <v>644</v>
      </c>
      <c r="D72" s="357" t="s">
        <v>633</v>
      </c>
      <c r="E72" s="356" t="s">
        <v>634</v>
      </c>
      <c r="F72" s="356">
        <v>0</v>
      </c>
    </row>
    <row r="73" spans="3:6" ht="15.75" customHeight="1" x14ac:dyDescent="0.25">
      <c r="C73" s="356" t="s">
        <v>645</v>
      </c>
      <c r="D73" s="357" t="s">
        <v>635</v>
      </c>
      <c r="E73" s="356" t="s">
        <v>636</v>
      </c>
      <c r="F73" s="356">
        <v>0</v>
      </c>
    </row>
    <row r="74" spans="3:6" ht="26.25" customHeight="1" x14ac:dyDescent="0.25">
      <c r="C74" s="358" t="s">
        <v>646</v>
      </c>
      <c r="D74" s="1600" t="s">
        <v>1889</v>
      </c>
      <c r="E74" s="1601"/>
      <c r="F74" s="1602"/>
    </row>
    <row r="75" spans="3:6" ht="54.75" customHeight="1" x14ac:dyDescent="0.25">
      <c r="C75" s="1018" t="s">
        <v>1698</v>
      </c>
      <c r="D75" s="1019" t="s">
        <v>1888</v>
      </c>
      <c r="E75" s="1018" t="s">
        <v>402</v>
      </c>
      <c r="F75" s="1020">
        <v>0</v>
      </c>
    </row>
    <row r="76" spans="3:6" ht="38.25" x14ac:dyDescent="0.25">
      <c r="C76" s="1018" t="s">
        <v>1699</v>
      </c>
      <c r="D76" s="1019" t="s">
        <v>1408</v>
      </c>
      <c r="E76" s="1018" t="s">
        <v>402</v>
      </c>
      <c r="F76" s="1020">
        <v>0</v>
      </c>
    </row>
    <row r="77" spans="3:6" ht="25.5" x14ac:dyDescent="0.25">
      <c r="C77" s="1018" t="s">
        <v>1409</v>
      </c>
      <c r="D77" s="1019" t="s">
        <v>1403</v>
      </c>
      <c r="E77" s="1018" t="s">
        <v>402</v>
      </c>
      <c r="F77" s="1020">
        <v>0</v>
      </c>
    </row>
    <row r="78" spans="3:6" ht="38.25" x14ac:dyDescent="0.25">
      <c r="C78" s="1018" t="s">
        <v>1700</v>
      </c>
      <c r="D78" s="1019" t="s">
        <v>1404</v>
      </c>
      <c r="E78" s="1018" t="s">
        <v>402</v>
      </c>
      <c r="F78" s="1020">
        <v>0</v>
      </c>
    </row>
    <row r="79" spans="3:6" ht="38.25" x14ac:dyDescent="0.25">
      <c r="C79" s="1018" t="s">
        <v>1701</v>
      </c>
      <c r="D79" s="1019" t="s">
        <v>1405</v>
      </c>
      <c r="E79" s="1018" t="s">
        <v>402</v>
      </c>
      <c r="F79" s="1020">
        <v>0</v>
      </c>
    </row>
    <row r="80" spans="3:6" ht="38.25" x14ac:dyDescent="0.25">
      <c r="C80" s="1018" t="s">
        <v>1410</v>
      </c>
      <c r="D80" s="1021" t="s">
        <v>1406</v>
      </c>
      <c r="E80" s="1018" t="s">
        <v>402</v>
      </c>
      <c r="F80" s="1020">
        <v>0</v>
      </c>
    </row>
    <row r="81" spans="2:6" ht="38.25" x14ac:dyDescent="0.25">
      <c r="C81" s="1018" t="s">
        <v>1887</v>
      </c>
      <c r="D81" s="1021" t="s">
        <v>1407</v>
      </c>
      <c r="E81" s="1018" t="s">
        <v>402</v>
      </c>
      <c r="F81" s="1020">
        <v>0</v>
      </c>
    </row>
    <row r="82" spans="2:6" x14ac:dyDescent="0.25">
      <c r="C82" s="222"/>
      <c r="D82" s="222"/>
      <c r="E82" s="222"/>
      <c r="F82" s="222"/>
    </row>
    <row r="83" spans="2:6" ht="18.75" customHeight="1" x14ac:dyDescent="0.25">
      <c r="B83" s="290">
        <v>2</v>
      </c>
      <c r="C83" s="222" t="s">
        <v>1709</v>
      </c>
      <c r="D83" s="222"/>
      <c r="E83" s="222"/>
      <c r="F83" s="222"/>
    </row>
    <row r="84" spans="2:6" x14ac:dyDescent="0.25">
      <c r="C84" s="222"/>
      <c r="D84" s="222"/>
      <c r="E84" s="222"/>
      <c r="F84" s="222"/>
    </row>
    <row r="85" spans="2:6" x14ac:dyDescent="0.25">
      <c r="C85" s="232" t="s">
        <v>398</v>
      </c>
      <c r="D85" s="232" t="s">
        <v>396</v>
      </c>
      <c r="E85" s="232" t="s">
        <v>397</v>
      </c>
      <c r="F85" s="232" t="s">
        <v>428</v>
      </c>
    </row>
    <row r="86" spans="2:6" x14ac:dyDescent="0.25">
      <c r="C86" s="273" t="s">
        <v>691</v>
      </c>
      <c r="D86" s="1594" t="s">
        <v>1657</v>
      </c>
      <c r="E86" s="1594"/>
      <c r="F86" s="1594"/>
    </row>
    <row r="87" spans="2:6" x14ac:dyDescent="0.25">
      <c r="C87" s="1620"/>
      <c r="D87" s="63" t="s">
        <v>1658</v>
      </c>
      <c r="E87" s="157" t="s">
        <v>1536</v>
      </c>
      <c r="F87" s="1248">
        <v>0</v>
      </c>
    </row>
    <row r="88" spans="2:6" x14ac:dyDescent="0.25">
      <c r="C88" s="1621"/>
      <c r="D88" s="63" t="s">
        <v>1659</v>
      </c>
      <c r="E88" s="157" t="s">
        <v>1536</v>
      </c>
      <c r="F88" s="1248">
        <v>0</v>
      </c>
    </row>
    <row r="89" spans="2:6" x14ac:dyDescent="0.25">
      <c r="C89" s="1621"/>
      <c r="D89" s="63" t="s">
        <v>1660</v>
      </c>
      <c r="E89" s="157" t="s">
        <v>1536</v>
      </c>
      <c r="F89" s="1248">
        <v>0</v>
      </c>
    </row>
    <row r="90" spans="2:6" x14ac:dyDescent="0.25">
      <c r="C90" s="1621"/>
      <c r="D90" s="63" t="s">
        <v>1661</v>
      </c>
      <c r="E90" s="157" t="s">
        <v>1536</v>
      </c>
      <c r="F90" s="1248">
        <v>0</v>
      </c>
    </row>
    <row r="91" spans="2:6" x14ac:dyDescent="0.25">
      <c r="C91" s="1621"/>
      <c r="D91" s="63" t="s">
        <v>1662</v>
      </c>
      <c r="E91" s="157" t="s">
        <v>1536</v>
      </c>
      <c r="F91" s="1248">
        <v>0</v>
      </c>
    </row>
    <row r="92" spans="2:6" x14ac:dyDescent="0.25">
      <c r="C92" s="1621"/>
      <c r="D92" s="63" t="s">
        <v>1663</v>
      </c>
      <c r="E92" s="157" t="s">
        <v>1536</v>
      </c>
      <c r="F92" s="1248">
        <v>0</v>
      </c>
    </row>
    <row r="93" spans="2:6" x14ac:dyDescent="0.25">
      <c r="C93" s="1621"/>
      <c r="D93" s="1234" t="s">
        <v>1664</v>
      </c>
      <c r="E93" s="1235" t="s">
        <v>1536</v>
      </c>
      <c r="F93" s="1248">
        <v>0</v>
      </c>
    </row>
    <row r="94" spans="2:6" x14ac:dyDescent="0.25">
      <c r="C94" s="1621"/>
      <c r="D94" s="63" t="s">
        <v>1665</v>
      </c>
      <c r="E94" s="157" t="s">
        <v>1536</v>
      </c>
      <c r="F94" s="1248">
        <v>0</v>
      </c>
    </row>
    <row r="95" spans="2:6" x14ac:dyDescent="0.25">
      <c r="C95" s="1621"/>
      <c r="D95" s="1231" t="s">
        <v>1666</v>
      </c>
      <c r="E95" s="157" t="s">
        <v>1536</v>
      </c>
      <c r="F95" s="1248">
        <v>0</v>
      </c>
    </row>
    <row r="96" spans="2:6" x14ac:dyDescent="0.25">
      <c r="C96" s="1621"/>
      <c r="D96" s="1231" t="s">
        <v>521</v>
      </c>
      <c r="E96" s="157" t="s">
        <v>1536</v>
      </c>
      <c r="F96" s="1248">
        <v>0</v>
      </c>
    </row>
    <row r="97" spans="2:6" x14ac:dyDescent="0.25">
      <c r="C97" s="1621"/>
      <c r="D97" s="1232" t="s">
        <v>803</v>
      </c>
      <c r="E97" s="157" t="s">
        <v>1668</v>
      </c>
      <c r="F97" s="1248">
        <v>0</v>
      </c>
    </row>
    <row r="98" spans="2:6" ht="16.5" x14ac:dyDescent="0.3">
      <c r="C98" s="1622"/>
      <c r="D98" s="1233" t="s">
        <v>1667</v>
      </c>
      <c r="E98" s="157" t="s">
        <v>1536</v>
      </c>
      <c r="F98" s="1248">
        <v>0</v>
      </c>
    </row>
    <row r="99" spans="2:6" ht="29.25" customHeight="1" x14ac:dyDescent="0.25">
      <c r="C99" s="273">
        <v>2.2000000000000002</v>
      </c>
      <c r="D99" s="1594" t="s">
        <v>1891</v>
      </c>
      <c r="E99" s="1594"/>
      <c r="F99" s="1594"/>
    </row>
    <row r="100" spans="2:6" ht="25.5" x14ac:dyDescent="0.25">
      <c r="C100" s="1575"/>
      <c r="D100" s="1232" t="s">
        <v>1892</v>
      </c>
      <c r="E100" s="269" t="s">
        <v>1536</v>
      </c>
      <c r="F100" s="282">
        <v>0</v>
      </c>
    </row>
    <row r="101" spans="2:6" ht="38.25" x14ac:dyDescent="0.25">
      <c r="C101" s="1576"/>
      <c r="D101" s="1232" t="s">
        <v>1893</v>
      </c>
      <c r="E101" s="269" t="s">
        <v>1895</v>
      </c>
      <c r="F101" s="1464">
        <v>0</v>
      </c>
    </row>
    <row r="102" spans="2:6" ht="38.25" x14ac:dyDescent="0.25">
      <c r="C102" s="1577"/>
      <c r="D102" s="1232" t="s">
        <v>1894</v>
      </c>
      <c r="E102" s="269" t="s">
        <v>1895</v>
      </c>
      <c r="F102" s="1464">
        <v>0</v>
      </c>
    </row>
    <row r="103" spans="2:6" ht="33" customHeight="1" x14ac:dyDescent="0.25">
      <c r="B103" s="97"/>
      <c r="C103" s="273">
        <v>2.2999999999999998</v>
      </c>
      <c r="D103" s="1594" t="s">
        <v>1710</v>
      </c>
      <c r="E103" s="1594"/>
      <c r="F103" s="1594"/>
    </row>
    <row r="104" spans="2:6" ht="24.75" customHeight="1" x14ac:dyDescent="0.25">
      <c r="C104" s="284" t="s">
        <v>410</v>
      </c>
      <c r="D104" s="1597" t="s">
        <v>532</v>
      </c>
      <c r="E104" s="1598"/>
      <c r="F104" s="1599"/>
    </row>
    <row r="105" spans="2:6" x14ac:dyDescent="0.25">
      <c r="C105" s="284"/>
      <c r="D105" s="283" t="s">
        <v>435</v>
      </c>
      <c r="E105" s="135" t="s">
        <v>402</v>
      </c>
      <c r="F105" s="282">
        <v>0</v>
      </c>
    </row>
    <row r="106" spans="2:6" ht="15.75" customHeight="1" x14ac:dyDescent="0.25">
      <c r="C106" s="286"/>
      <c r="D106" s="283" t="s">
        <v>432</v>
      </c>
      <c r="E106" s="282" t="s">
        <v>411</v>
      </c>
      <c r="F106" s="282">
        <v>0</v>
      </c>
    </row>
    <row r="107" spans="2:6" x14ac:dyDescent="0.25">
      <c r="C107" s="286"/>
      <c r="D107" s="283" t="s">
        <v>433</v>
      </c>
      <c r="E107" s="135" t="s">
        <v>402</v>
      </c>
      <c r="F107" s="282">
        <v>0</v>
      </c>
    </row>
    <row r="108" spans="2:6" x14ac:dyDescent="0.25">
      <c r="C108" s="285"/>
      <c r="D108" s="283" t="s">
        <v>434</v>
      </c>
      <c r="E108" s="135" t="s">
        <v>402</v>
      </c>
      <c r="F108" s="282">
        <v>0</v>
      </c>
    </row>
    <row r="109" spans="2:6" ht="29.25" customHeight="1" x14ac:dyDescent="0.25">
      <c r="C109" s="285" t="s">
        <v>1621</v>
      </c>
      <c r="D109" s="1597" t="s">
        <v>1671</v>
      </c>
      <c r="E109" s="1598"/>
      <c r="F109" s="1599"/>
    </row>
    <row r="110" spans="2:6" x14ac:dyDescent="0.25">
      <c r="C110" s="1575"/>
      <c r="D110" s="283" t="s">
        <v>436</v>
      </c>
      <c r="E110" s="135" t="s">
        <v>402</v>
      </c>
      <c r="F110" s="282">
        <v>0</v>
      </c>
    </row>
    <row r="111" spans="2:6" x14ac:dyDescent="0.25">
      <c r="C111" s="1576"/>
      <c r="D111" s="283" t="s">
        <v>437</v>
      </c>
      <c r="E111" s="135" t="s">
        <v>402</v>
      </c>
      <c r="F111" s="282">
        <v>0</v>
      </c>
    </row>
    <row r="112" spans="2:6" x14ac:dyDescent="0.25">
      <c r="C112" s="1576"/>
      <c r="D112" s="283" t="s">
        <v>438</v>
      </c>
      <c r="E112" s="135" t="s">
        <v>402</v>
      </c>
      <c r="F112" s="282">
        <v>0</v>
      </c>
    </row>
    <row r="113" spans="2:6" x14ac:dyDescent="0.25">
      <c r="C113" s="1576"/>
      <c r="D113" s="283" t="s">
        <v>439</v>
      </c>
      <c r="E113" s="135" t="s">
        <v>402</v>
      </c>
      <c r="F113" s="282">
        <v>0</v>
      </c>
    </row>
    <row r="114" spans="2:6" x14ac:dyDescent="0.25">
      <c r="C114" s="1576"/>
      <c r="D114" s="283" t="s">
        <v>440</v>
      </c>
      <c r="E114" s="135" t="s">
        <v>402</v>
      </c>
      <c r="F114" s="282">
        <v>0</v>
      </c>
    </row>
    <row r="115" spans="2:6" x14ac:dyDescent="0.25">
      <c r="C115" s="1576"/>
      <c r="D115" s="283" t="s">
        <v>441</v>
      </c>
      <c r="E115" s="135" t="s">
        <v>402</v>
      </c>
      <c r="F115" s="282">
        <v>0</v>
      </c>
    </row>
    <row r="116" spans="2:6" ht="16.5" customHeight="1" x14ac:dyDescent="0.25">
      <c r="C116" s="1576"/>
      <c r="D116" s="283" t="s">
        <v>442</v>
      </c>
      <c r="E116" s="135" t="s">
        <v>402</v>
      </c>
      <c r="F116" s="282">
        <v>0</v>
      </c>
    </row>
    <row r="117" spans="2:6" x14ac:dyDescent="0.25">
      <c r="C117" s="1576"/>
      <c r="D117" s="283" t="s">
        <v>443</v>
      </c>
      <c r="E117" s="135" t="s">
        <v>402</v>
      </c>
      <c r="F117" s="282">
        <v>0</v>
      </c>
    </row>
    <row r="118" spans="2:6" x14ac:dyDescent="0.25">
      <c r="C118" s="1576"/>
      <c r="D118" s="283" t="s">
        <v>444</v>
      </c>
      <c r="E118" s="135" t="s">
        <v>402</v>
      </c>
      <c r="F118" s="282">
        <v>0</v>
      </c>
    </row>
    <row r="119" spans="2:6" x14ac:dyDescent="0.25">
      <c r="B119" s="97"/>
      <c r="C119" s="1576"/>
      <c r="D119" s="283" t="s">
        <v>445</v>
      </c>
      <c r="E119" s="135" t="s">
        <v>402</v>
      </c>
      <c r="F119" s="282">
        <v>0</v>
      </c>
    </row>
    <row r="120" spans="2:6" x14ac:dyDescent="0.25">
      <c r="C120" s="1576"/>
      <c r="D120" s="283" t="s">
        <v>446</v>
      </c>
      <c r="E120" s="135" t="s">
        <v>402</v>
      </c>
      <c r="F120" s="282">
        <v>0</v>
      </c>
    </row>
    <row r="121" spans="2:6" x14ac:dyDescent="0.25">
      <c r="C121" s="1576"/>
      <c r="D121" s="283" t="s">
        <v>447</v>
      </c>
      <c r="E121" s="282" t="s">
        <v>411</v>
      </c>
      <c r="F121" s="282">
        <v>0</v>
      </c>
    </row>
    <row r="122" spans="2:6" ht="18" customHeight="1" x14ac:dyDescent="0.25">
      <c r="C122" s="1577"/>
      <c r="D122" s="283" t="s">
        <v>448</v>
      </c>
      <c r="E122" s="282" t="s">
        <v>411</v>
      </c>
      <c r="F122" s="282">
        <v>0</v>
      </c>
    </row>
    <row r="123" spans="2:6" ht="27" customHeight="1" x14ac:dyDescent="0.25">
      <c r="C123" s="274" t="s">
        <v>1622</v>
      </c>
      <c r="D123" s="1597" t="s">
        <v>1670</v>
      </c>
      <c r="E123" s="1598"/>
      <c r="F123" s="1599"/>
    </row>
    <row r="124" spans="2:6" ht="15.75" customHeight="1" x14ac:dyDescent="0.25">
      <c r="C124" s="1575"/>
      <c r="D124" s="289" t="s">
        <v>449</v>
      </c>
      <c r="E124" s="135" t="s">
        <v>402</v>
      </c>
      <c r="F124" s="288">
        <v>0</v>
      </c>
    </row>
    <row r="125" spans="2:6" x14ac:dyDescent="0.25">
      <c r="C125" s="1576"/>
      <c r="D125" s="289" t="s">
        <v>450</v>
      </c>
      <c r="E125" s="288" t="s">
        <v>467</v>
      </c>
      <c r="F125" s="288">
        <v>0</v>
      </c>
    </row>
    <row r="126" spans="2:6" ht="26.25" customHeight="1" x14ac:dyDescent="0.25">
      <c r="C126" s="1576"/>
      <c r="D126" s="289" t="s">
        <v>451</v>
      </c>
      <c r="E126" s="135" t="s">
        <v>402</v>
      </c>
      <c r="F126" s="288">
        <v>0</v>
      </c>
    </row>
    <row r="127" spans="2:6" x14ac:dyDescent="0.25">
      <c r="C127" s="1576"/>
      <c r="D127" s="289" t="s">
        <v>452</v>
      </c>
      <c r="E127" s="135" t="s">
        <v>402</v>
      </c>
      <c r="F127" s="288">
        <v>0</v>
      </c>
    </row>
    <row r="128" spans="2:6" x14ac:dyDescent="0.25">
      <c r="C128" s="1576"/>
      <c r="D128" s="289" t="s">
        <v>453</v>
      </c>
      <c r="E128" s="135" t="s">
        <v>402</v>
      </c>
      <c r="F128" s="288">
        <v>0</v>
      </c>
    </row>
    <row r="129" spans="2:6" x14ac:dyDescent="0.25">
      <c r="C129" s="1576"/>
      <c r="D129" s="289" t="s">
        <v>454</v>
      </c>
      <c r="E129" s="135" t="s">
        <v>402</v>
      </c>
      <c r="F129" s="288">
        <v>0</v>
      </c>
    </row>
    <row r="130" spans="2:6" ht="25.5" x14ac:dyDescent="0.25">
      <c r="B130" s="97"/>
      <c r="C130" s="1576"/>
      <c r="D130" s="289" t="s">
        <v>455</v>
      </c>
      <c r="E130" s="282" t="s">
        <v>411</v>
      </c>
      <c r="F130" s="288">
        <v>0</v>
      </c>
    </row>
    <row r="131" spans="2:6" x14ac:dyDescent="0.25">
      <c r="C131" s="1576"/>
      <c r="D131" s="289" t="s">
        <v>456</v>
      </c>
      <c r="E131" s="135" t="s">
        <v>402</v>
      </c>
      <c r="F131" s="288">
        <v>0</v>
      </c>
    </row>
    <row r="132" spans="2:6" ht="27.75" customHeight="1" x14ac:dyDescent="0.25">
      <c r="C132" s="1576"/>
      <c r="D132" s="289" t="s">
        <v>457</v>
      </c>
      <c r="E132" s="135" t="s">
        <v>402</v>
      </c>
      <c r="F132" s="288">
        <v>0</v>
      </c>
    </row>
    <row r="133" spans="2:6" ht="22.5" customHeight="1" x14ac:dyDescent="0.25">
      <c r="C133" s="1576"/>
      <c r="D133" s="289" t="s">
        <v>458</v>
      </c>
      <c r="E133" s="282" t="s">
        <v>411</v>
      </c>
      <c r="F133" s="288">
        <v>0</v>
      </c>
    </row>
    <row r="134" spans="2:6" x14ac:dyDescent="0.25">
      <c r="C134" s="1576"/>
      <c r="D134" s="289" t="s">
        <v>459</v>
      </c>
      <c r="E134" s="135" t="s">
        <v>402</v>
      </c>
      <c r="F134" s="288">
        <v>0</v>
      </c>
    </row>
    <row r="135" spans="2:6" x14ac:dyDescent="0.25">
      <c r="C135" s="1576"/>
      <c r="D135" s="289" t="s">
        <v>460</v>
      </c>
      <c r="E135" s="135" t="s">
        <v>402</v>
      </c>
      <c r="F135" s="288">
        <v>0</v>
      </c>
    </row>
    <row r="136" spans="2:6" x14ac:dyDescent="0.25">
      <c r="C136" s="1576"/>
      <c r="D136" s="289" t="s">
        <v>461</v>
      </c>
      <c r="E136" s="135" t="s">
        <v>402</v>
      </c>
      <c r="F136" s="288">
        <v>0</v>
      </c>
    </row>
    <row r="137" spans="2:6" ht="20.25" customHeight="1" x14ac:dyDescent="0.25">
      <c r="C137" s="1576"/>
      <c r="D137" s="289" t="s">
        <v>462</v>
      </c>
      <c r="E137" s="135" t="s">
        <v>402</v>
      </c>
      <c r="F137" s="288">
        <v>0</v>
      </c>
    </row>
    <row r="138" spans="2:6" x14ac:dyDescent="0.25">
      <c r="C138" s="1576"/>
      <c r="D138" s="289" t="s">
        <v>463</v>
      </c>
      <c r="E138" s="135" t="s">
        <v>402</v>
      </c>
      <c r="F138" s="288">
        <v>0</v>
      </c>
    </row>
    <row r="139" spans="2:6" x14ac:dyDescent="0.25">
      <c r="C139" s="1576"/>
      <c r="D139" s="289" t="s">
        <v>464</v>
      </c>
      <c r="E139" s="135" t="s">
        <v>402</v>
      </c>
      <c r="F139" s="288">
        <v>0</v>
      </c>
    </row>
    <row r="140" spans="2:6" x14ac:dyDescent="0.25">
      <c r="C140" s="1576"/>
      <c r="D140" s="289" t="s">
        <v>465</v>
      </c>
      <c r="E140" s="135" t="s">
        <v>402</v>
      </c>
      <c r="F140" s="288">
        <v>0</v>
      </c>
    </row>
    <row r="141" spans="2:6" x14ac:dyDescent="0.25">
      <c r="C141" s="1577"/>
      <c r="D141" s="289" t="s">
        <v>466</v>
      </c>
      <c r="E141" s="135" t="s">
        <v>402</v>
      </c>
      <c r="F141" s="288">
        <v>0</v>
      </c>
    </row>
    <row r="142" spans="2:6" ht="25.5" customHeight="1" x14ac:dyDescent="0.25">
      <c r="C142" s="273">
        <v>2.4</v>
      </c>
      <c r="D142" s="1594" t="s">
        <v>406</v>
      </c>
      <c r="E142" s="1594"/>
      <c r="F142" s="1594"/>
    </row>
    <row r="143" spans="2:6" x14ac:dyDescent="0.25">
      <c r="C143" s="274" t="s">
        <v>1711</v>
      </c>
      <c r="D143" s="1587" t="s">
        <v>468</v>
      </c>
      <c r="E143" s="1588"/>
      <c r="F143" s="1589"/>
    </row>
    <row r="144" spans="2:6" x14ac:dyDescent="0.25">
      <c r="C144" s="1595"/>
      <c r="D144" s="287" t="s">
        <v>469</v>
      </c>
      <c r="E144" s="135" t="s">
        <v>402</v>
      </c>
      <c r="F144" s="288">
        <v>0</v>
      </c>
    </row>
    <row r="145" spans="3:6" x14ac:dyDescent="0.25">
      <c r="C145" s="1595"/>
      <c r="D145" s="287" t="s">
        <v>470</v>
      </c>
      <c r="E145" s="135" t="s">
        <v>402</v>
      </c>
      <c r="F145" s="288">
        <v>0</v>
      </c>
    </row>
    <row r="146" spans="3:6" x14ac:dyDescent="0.25">
      <c r="C146" s="1595"/>
      <c r="D146" s="287" t="s">
        <v>471</v>
      </c>
      <c r="E146" s="135" t="s">
        <v>402</v>
      </c>
      <c r="F146" s="288">
        <v>0</v>
      </c>
    </row>
    <row r="147" spans="3:6" x14ac:dyDescent="0.25">
      <c r="C147" s="1595"/>
      <c r="D147" s="287" t="s">
        <v>472</v>
      </c>
      <c r="E147" s="135" t="s">
        <v>402</v>
      </c>
      <c r="F147" s="288">
        <v>0</v>
      </c>
    </row>
    <row r="148" spans="3:6" x14ac:dyDescent="0.25">
      <c r="C148" s="1595"/>
      <c r="D148" s="287" t="s">
        <v>473</v>
      </c>
      <c r="E148" s="135" t="s">
        <v>402</v>
      </c>
      <c r="F148" s="288">
        <v>0</v>
      </c>
    </row>
    <row r="149" spans="3:6" ht="23.25" customHeight="1" x14ac:dyDescent="0.25">
      <c r="C149" s="274" t="s">
        <v>1896</v>
      </c>
      <c r="D149" s="1578" t="s">
        <v>675</v>
      </c>
      <c r="E149" s="1579"/>
      <c r="F149" s="1580"/>
    </row>
    <row r="150" spans="3:6" x14ac:dyDescent="0.25">
      <c r="C150" s="1575"/>
      <c r="D150" s="287" t="s">
        <v>474</v>
      </c>
      <c r="E150" s="135" t="s">
        <v>402</v>
      </c>
      <c r="F150" s="288">
        <v>0</v>
      </c>
    </row>
    <row r="151" spans="3:6" x14ac:dyDescent="0.25">
      <c r="C151" s="1576"/>
      <c r="D151" s="287" t="s">
        <v>475</v>
      </c>
      <c r="E151" s="135" t="s">
        <v>402</v>
      </c>
      <c r="F151" s="288">
        <v>0</v>
      </c>
    </row>
    <row r="152" spans="3:6" x14ac:dyDescent="0.25">
      <c r="C152" s="1576"/>
      <c r="D152" s="287" t="s">
        <v>476</v>
      </c>
      <c r="E152" s="135" t="s">
        <v>402</v>
      </c>
      <c r="F152" s="288">
        <v>0</v>
      </c>
    </row>
    <row r="153" spans="3:6" x14ac:dyDescent="0.25">
      <c r="C153" s="1576"/>
      <c r="D153" s="287" t="s">
        <v>477</v>
      </c>
      <c r="E153" s="135" t="s">
        <v>402</v>
      </c>
      <c r="F153" s="288">
        <v>0</v>
      </c>
    </row>
    <row r="154" spans="3:6" x14ac:dyDescent="0.25">
      <c r="C154" s="1576"/>
      <c r="D154" s="287" t="s">
        <v>478</v>
      </c>
      <c r="E154" s="135" t="s">
        <v>402</v>
      </c>
      <c r="F154" s="288">
        <v>0</v>
      </c>
    </row>
    <row r="155" spans="3:6" x14ac:dyDescent="0.25">
      <c r="C155" s="1576"/>
      <c r="D155" s="287" t="s">
        <v>461</v>
      </c>
      <c r="E155" s="135" t="s">
        <v>402</v>
      </c>
      <c r="F155" s="288">
        <v>0</v>
      </c>
    </row>
    <row r="156" spans="3:6" x14ac:dyDescent="0.25">
      <c r="C156" s="1576"/>
      <c r="D156" s="287" t="s">
        <v>462</v>
      </c>
      <c r="E156" s="135" t="s">
        <v>402</v>
      </c>
      <c r="F156" s="288">
        <v>0</v>
      </c>
    </row>
    <row r="157" spans="3:6" x14ac:dyDescent="0.25">
      <c r="C157" s="1576"/>
      <c r="D157" s="287" t="s">
        <v>479</v>
      </c>
      <c r="E157" s="135" t="s">
        <v>402</v>
      </c>
      <c r="F157" s="288">
        <v>0</v>
      </c>
    </row>
    <row r="158" spans="3:6" x14ac:dyDescent="0.25">
      <c r="C158" s="1576"/>
      <c r="D158" s="287" t="s">
        <v>463</v>
      </c>
      <c r="E158" s="135" t="s">
        <v>402</v>
      </c>
      <c r="F158" s="288">
        <v>0</v>
      </c>
    </row>
    <row r="159" spans="3:6" x14ac:dyDescent="0.25">
      <c r="C159" s="1576"/>
      <c r="D159" s="287" t="s">
        <v>480</v>
      </c>
      <c r="E159" s="135" t="s">
        <v>402</v>
      </c>
      <c r="F159" s="288">
        <v>0</v>
      </c>
    </row>
    <row r="160" spans="3:6" x14ac:dyDescent="0.25">
      <c r="C160" s="1576"/>
      <c r="D160" s="287" t="s">
        <v>465</v>
      </c>
      <c r="E160" s="135" t="s">
        <v>402</v>
      </c>
      <c r="F160" s="288">
        <v>0</v>
      </c>
    </row>
    <row r="161" spans="3:6" x14ac:dyDescent="0.25">
      <c r="C161" s="1576"/>
      <c r="D161" s="287" t="s">
        <v>466</v>
      </c>
      <c r="E161" s="135" t="s">
        <v>402</v>
      </c>
      <c r="F161" s="288">
        <v>0</v>
      </c>
    </row>
    <row r="162" spans="3:6" x14ac:dyDescent="0.25">
      <c r="C162" s="1576"/>
      <c r="D162" s="287" t="s">
        <v>481</v>
      </c>
      <c r="E162" s="135" t="s">
        <v>402</v>
      </c>
      <c r="F162" s="288">
        <v>0</v>
      </c>
    </row>
    <row r="163" spans="3:6" x14ac:dyDescent="0.25">
      <c r="C163" s="1576"/>
      <c r="D163" s="287" t="s">
        <v>482</v>
      </c>
      <c r="E163" s="135" t="s">
        <v>402</v>
      </c>
      <c r="F163" s="288">
        <v>0</v>
      </c>
    </row>
    <row r="164" spans="3:6" x14ac:dyDescent="0.25">
      <c r="C164" s="1576"/>
      <c r="D164" s="287" t="s">
        <v>483</v>
      </c>
      <c r="E164" s="135" t="s">
        <v>402</v>
      </c>
      <c r="F164" s="288">
        <v>0</v>
      </c>
    </row>
    <row r="165" spans="3:6" x14ac:dyDescent="0.25">
      <c r="C165" s="1577"/>
      <c r="D165" s="287" t="s">
        <v>484</v>
      </c>
      <c r="E165" s="135" t="s">
        <v>402</v>
      </c>
      <c r="F165" s="288">
        <v>0</v>
      </c>
    </row>
    <row r="166" spans="3:6" x14ac:dyDescent="0.25">
      <c r="C166" s="274" t="s">
        <v>1897</v>
      </c>
      <c r="D166" s="1578" t="s">
        <v>485</v>
      </c>
      <c r="E166" s="1579"/>
      <c r="F166" s="1580"/>
    </row>
    <row r="167" spans="3:6" x14ac:dyDescent="0.25">
      <c r="C167" s="1575"/>
      <c r="D167" s="287" t="s">
        <v>486</v>
      </c>
      <c r="E167" s="135" t="s">
        <v>402</v>
      </c>
      <c r="F167" s="288">
        <v>0</v>
      </c>
    </row>
    <row r="168" spans="3:6" x14ac:dyDescent="0.25">
      <c r="C168" s="1576"/>
      <c r="D168" s="287" t="s">
        <v>487</v>
      </c>
      <c r="E168" s="135" t="s">
        <v>402</v>
      </c>
      <c r="F168" s="288">
        <v>0</v>
      </c>
    </row>
    <row r="169" spans="3:6" x14ac:dyDescent="0.25">
      <c r="C169" s="1576"/>
      <c r="D169" s="287" t="s">
        <v>438</v>
      </c>
      <c r="E169" s="135" t="s">
        <v>402</v>
      </c>
      <c r="F169" s="288">
        <v>0</v>
      </c>
    </row>
    <row r="170" spans="3:6" x14ac:dyDescent="0.25">
      <c r="C170" s="1576"/>
      <c r="D170" s="287" t="s">
        <v>488</v>
      </c>
      <c r="E170" s="135" t="s">
        <v>402</v>
      </c>
      <c r="F170" s="288">
        <v>0</v>
      </c>
    </row>
    <row r="171" spans="3:6" x14ac:dyDescent="0.25">
      <c r="C171" s="1576"/>
      <c r="D171" s="287" t="s">
        <v>489</v>
      </c>
      <c r="E171" s="135" t="s">
        <v>402</v>
      </c>
      <c r="F171" s="288">
        <v>0</v>
      </c>
    </row>
    <row r="172" spans="3:6" x14ac:dyDescent="0.25">
      <c r="C172" s="1576"/>
      <c r="D172" s="287" t="s">
        <v>490</v>
      </c>
      <c r="E172" s="135" t="s">
        <v>402</v>
      </c>
      <c r="F172" s="288">
        <v>0</v>
      </c>
    </row>
    <row r="173" spans="3:6" x14ac:dyDescent="0.25">
      <c r="C173" s="1576"/>
      <c r="D173" s="287" t="s">
        <v>491</v>
      </c>
      <c r="E173" s="135" t="s">
        <v>402</v>
      </c>
      <c r="F173" s="288">
        <v>0</v>
      </c>
    </row>
    <row r="174" spans="3:6" x14ac:dyDescent="0.25">
      <c r="C174" s="1576"/>
      <c r="D174" s="287" t="s">
        <v>492</v>
      </c>
      <c r="E174" s="135" t="s">
        <v>402</v>
      </c>
      <c r="F174" s="288">
        <v>0</v>
      </c>
    </row>
    <row r="175" spans="3:6" x14ac:dyDescent="0.25">
      <c r="C175" s="1576"/>
      <c r="D175" s="287" t="s">
        <v>493</v>
      </c>
      <c r="E175" s="135" t="s">
        <v>402</v>
      </c>
      <c r="F175" s="288">
        <v>0</v>
      </c>
    </row>
    <row r="176" spans="3:6" x14ac:dyDescent="0.25">
      <c r="C176" s="1576"/>
      <c r="D176" s="287" t="s">
        <v>494</v>
      </c>
      <c r="E176" s="135" t="s">
        <v>402</v>
      </c>
      <c r="F176" s="288">
        <v>0</v>
      </c>
    </row>
    <row r="177" spans="3:6" x14ac:dyDescent="0.25">
      <c r="C177" s="1576"/>
      <c r="D177" s="287" t="s">
        <v>495</v>
      </c>
      <c r="E177" s="135" t="s">
        <v>402</v>
      </c>
      <c r="F177" s="288">
        <v>0</v>
      </c>
    </row>
    <row r="178" spans="3:6" x14ac:dyDescent="0.25">
      <c r="C178" s="1576"/>
      <c r="D178" s="287" t="s">
        <v>496</v>
      </c>
      <c r="E178" s="282" t="s">
        <v>411</v>
      </c>
      <c r="F178" s="288">
        <v>0</v>
      </c>
    </row>
    <row r="179" spans="3:6" x14ac:dyDescent="0.25">
      <c r="C179" s="1577"/>
      <c r="D179" s="287" t="s">
        <v>497</v>
      </c>
      <c r="E179" s="282" t="s">
        <v>411</v>
      </c>
      <c r="F179" s="288">
        <v>0</v>
      </c>
    </row>
    <row r="180" spans="3:6" x14ac:dyDescent="0.25">
      <c r="C180" s="274" t="s">
        <v>1712</v>
      </c>
      <c r="D180" s="1578" t="s">
        <v>498</v>
      </c>
      <c r="E180" s="1579"/>
      <c r="F180" s="1580"/>
    </row>
    <row r="181" spans="3:6" x14ac:dyDescent="0.25">
      <c r="C181" s="1575"/>
      <c r="D181" s="287" t="s">
        <v>499</v>
      </c>
      <c r="E181" s="135" t="s">
        <v>402</v>
      </c>
      <c r="F181" s="288">
        <v>0</v>
      </c>
    </row>
    <row r="182" spans="3:6" x14ac:dyDescent="0.25">
      <c r="C182" s="1576"/>
      <c r="D182" s="287" t="s">
        <v>500</v>
      </c>
      <c r="E182" s="135" t="s">
        <v>402</v>
      </c>
      <c r="F182" s="288">
        <v>0</v>
      </c>
    </row>
    <row r="183" spans="3:6" x14ac:dyDescent="0.25">
      <c r="C183" s="1576"/>
      <c r="D183" s="287" t="s">
        <v>501</v>
      </c>
      <c r="E183" s="135" t="s">
        <v>402</v>
      </c>
      <c r="F183" s="288">
        <v>0</v>
      </c>
    </row>
    <row r="184" spans="3:6" x14ac:dyDescent="0.25">
      <c r="C184" s="1576"/>
      <c r="D184" s="287" t="s">
        <v>502</v>
      </c>
      <c r="E184" s="135" t="s">
        <v>402</v>
      </c>
      <c r="F184" s="288">
        <v>0</v>
      </c>
    </row>
    <row r="185" spans="3:6" x14ac:dyDescent="0.25">
      <c r="C185" s="1577"/>
      <c r="D185" s="287" t="s">
        <v>503</v>
      </c>
      <c r="E185" s="135" t="s">
        <v>402</v>
      </c>
      <c r="F185" s="288">
        <v>0</v>
      </c>
    </row>
    <row r="186" spans="3:6" x14ac:dyDescent="0.25">
      <c r="C186" s="274" t="s">
        <v>1898</v>
      </c>
      <c r="D186" s="1578" t="s">
        <v>504</v>
      </c>
      <c r="E186" s="1579"/>
      <c r="F186" s="1580"/>
    </row>
    <row r="187" spans="3:6" x14ac:dyDescent="0.25">
      <c r="C187" s="1575"/>
      <c r="D187" s="287" t="s">
        <v>505</v>
      </c>
      <c r="E187" s="135" t="s">
        <v>402</v>
      </c>
      <c r="F187" s="288">
        <v>0</v>
      </c>
    </row>
    <row r="188" spans="3:6" x14ac:dyDescent="0.25">
      <c r="C188" s="1576"/>
      <c r="D188" s="287" t="s">
        <v>506</v>
      </c>
      <c r="E188" s="135" t="s">
        <v>402</v>
      </c>
      <c r="F188" s="288">
        <v>0</v>
      </c>
    </row>
    <row r="189" spans="3:6" x14ac:dyDescent="0.25">
      <c r="C189" s="1577"/>
      <c r="D189" s="287" t="s">
        <v>507</v>
      </c>
      <c r="E189" s="135" t="s">
        <v>402</v>
      </c>
      <c r="F189" s="288">
        <v>0</v>
      </c>
    </row>
    <row r="190" spans="3:6" x14ac:dyDescent="0.25">
      <c r="C190" s="274" t="s">
        <v>1713</v>
      </c>
      <c r="D190" s="1578" t="s">
        <v>508</v>
      </c>
      <c r="E190" s="1579"/>
      <c r="F190" s="1580"/>
    </row>
    <row r="191" spans="3:6" x14ac:dyDescent="0.25">
      <c r="C191" s="1575"/>
      <c r="D191" s="287" t="s">
        <v>505</v>
      </c>
      <c r="E191" s="135" t="s">
        <v>402</v>
      </c>
      <c r="F191" s="288">
        <v>0</v>
      </c>
    </row>
    <row r="192" spans="3:6" x14ac:dyDescent="0.25">
      <c r="C192" s="1576"/>
      <c r="D192" s="287" t="s">
        <v>506</v>
      </c>
      <c r="E192" s="135" t="s">
        <v>402</v>
      </c>
      <c r="F192" s="288">
        <v>0</v>
      </c>
    </row>
    <row r="193" spans="3:7" x14ac:dyDescent="0.25">
      <c r="C193" s="1577"/>
      <c r="D193" s="287" t="s">
        <v>503</v>
      </c>
      <c r="E193" s="135" t="s">
        <v>402</v>
      </c>
      <c r="F193" s="288">
        <v>0</v>
      </c>
    </row>
    <row r="194" spans="3:7" ht="23.25" customHeight="1" x14ac:dyDescent="0.25">
      <c r="C194" s="386" t="s">
        <v>1899</v>
      </c>
      <c r="D194" s="1613" t="s">
        <v>676</v>
      </c>
      <c r="E194" s="1614"/>
      <c r="F194" s="1615"/>
      <c r="G194" s="384"/>
    </row>
    <row r="195" spans="3:7" x14ac:dyDescent="0.25">
      <c r="C195" s="387" t="s">
        <v>1900</v>
      </c>
      <c r="D195" s="1584" t="s">
        <v>677</v>
      </c>
      <c r="E195" s="1585"/>
      <c r="F195" s="1586"/>
    </row>
    <row r="196" spans="3:7" x14ac:dyDescent="0.25">
      <c r="C196" s="1581"/>
      <c r="D196" s="287" t="s">
        <v>531</v>
      </c>
      <c r="E196" s="135" t="s">
        <v>402</v>
      </c>
      <c r="F196" s="288">
        <v>0</v>
      </c>
    </row>
    <row r="197" spans="3:7" x14ac:dyDescent="0.25">
      <c r="C197" s="1582"/>
      <c r="D197" s="287" t="s">
        <v>479</v>
      </c>
      <c r="E197" s="135" t="s">
        <v>402</v>
      </c>
      <c r="F197" s="288">
        <v>0</v>
      </c>
    </row>
    <row r="198" spans="3:7" x14ac:dyDescent="0.25">
      <c r="C198" s="1582"/>
      <c r="D198" s="287" t="s">
        <v>463</v>
      </c>
      <c r="E198" s="135" t="s">
        <v>402</v>
      </c>
      <c r="F198" s="288">
        <v>0</v>
      </c>
    </row>
    <row r="199" spans="3:7" x14ac:dyDescent="0.25">
      <c r="C199" s="1583"/>
      <c r="D199" s="287" t="s">
        <v>466</v>
      </c>
      <c r="E199" s="135" t="s">
        <v>402</v>
      </c>
      <c r="F199" s="288">
        <v>0</v>
      </c>
    </row>
    <row r="200" spans="3:7" x14ac:dyDescent="0.25">
      <c r="C200" s="387" t="s">
        <v>1901</v>
      </c>
      <c r="D200" s="1584" t="s">
        <v>509</v>
      </c>
      <c r="E200" s="1585"/>
      <c r="F200" s="1586"/>
    </row>
    <row r="201" spans="3:7" x14ac:dyDescent="0.25">
      <c r="C201" s="1575"/>
      <c r="D201" s="287" t="s">
        <v>510</v>
      </c>
      <c r="E201" s="135" t="s">
        <v>402</v>
      </c>
      <c r="F201" s="288">
        <v>0</v>
      </c>
    </row>
    <row r="202" spans="3:7" x14ac:dyDescent="0.25">
      <c r="C202" s="1576"/>
      <c r="D202" s="287" t="s">
        <v>511</v>
      </c>
      <c r="E202" s="135" t="s">
        <v>402</v>
      </c>
      <c r="F202" s="288">
        <v>0</v>
      </c>
    </row>
    <row r="203" spans="3:7" x14ac:dyDescent="0.25">
      <c r="C203" s="1576"/>
      <c r="D203" s="287" t="s">
        <v>462</v>
      </c>
      <c r="E203" s="135" t="s">
        <v>402</v>
      </c>
      <c r="F203" s="288">
        <v>0</v>
      </c>
    </row>
    <row r="204" spans="3:7" x14ac:dyDescent="0.25">
      <c r="C204" s="1576"/>
      <c r="D204" s="287" t="s">
        <v>479</v>
      </c>
      <c r="E204" s="135" t="s">
        <v>402</v>
      </c>
      <c r="F204" s="288">
        <v>0</v>
      </c>
    </row>
    <row r="205" spans="3:7" x14ac:dyDescent="0.25">
      <c r="C205" s="1576"/>
      <c r="D205" s="287" t="s">
        <v>463</v>
      </c>
      <c r="E205" s="135" t="s">
        <v>402</v>
      </c>
      <c r="F205" s="288">
        <v>0</v>
      </c>
    </row>
    <row r="206" spans="3:7" x14ac:dyDescent="0.25">
      <c r="C206" s="1577"/>
      <c r="D206" s="287" t="s">
        <v>466</v>
      </c>
      <c r="E206" s="135" t="s">
        <v>402</v>
      </c>
      <c r="F206" s="288">
        <v>0</v>
      </c>
    </row>
    <row r="207" spans="3:7" x14ac:dyDescent="0.25">
      <c r="C207" s="368" t="s">
        <v>1902</v>
      </c>
      <c r="D207" s="1587" t="s">
        <v>678</v>
      </c>
      <c r="E207" s="1588"/>
      <c r="F207" s="1589"/>
    </row>
    <row r="208" spans="3:7" x14ac:dyDescent="0.25">
      <c r="C208" s="369" t="s">
        <v>1903</v>
      </c>
      <c r="D208" s="1578" t="s">
        <v>512</v>
      </c>
      <c r="E208" s="1579"/>
      <c r="F208" s="1580"/>
    </row>
    <row r="209" spans="3:6" ht="15" customHeight="1" x14ac:dyDescent="0.25">
      <c r="C209" s="1575"/>
      <c r="D209" s="287" t="s">
        <v>513</v>
      </c>
      <c r="E209" s="135" t="s">
        <v>402</v>
      </c>
      <c r="F209" s="288">
        <v>0</v>
      </c>
    </row>
    <row r="210" spans="3:6" x14ac:dyDescent="0.25">
      <c r="C210" s="1576"/>
      <c r="D210" s="287" t="s">
        <v>514</v>
      </c>
      <c r="E210" s="135" t="s">
        <v>402</v>
      </c>
      <c r="F210" s="288">
        <v>0</v>
      </c>
    </row>
    <row r="211" spans="3:6" x14ac:dyDescent="0.25">
      <c r="C211" s="1576"/>
      <c r="D211" s="287" t="s">
        <v>492</v>
      </c>
      <c r="E211" s="135" t="s">
        <v>402</v>
      </c>
      <c r="F211" s="288">
        <v>0</v>
      </c>
    </row>
    <row r="212" spans="3:6" x14ac:dyDescent="0.25">
      <c r="C212" s="1576"/>
      <c r="D212" s="287" t="s">
        <v>490</v>
      </c>
      <c r="E212" s="135" t="s">
        <v>402</v>
      </c>
      <c r="F212" s="288">
        <v>0</v>
      </c>
    </row>
    <row r="213" spans="3:6" x14ac:dyDescent="0.25">
      <c r="C213" s="1576"/>
      <c r="D213" s="287" t="s">
        <v>515</v>
      </c>
      <c r="E213" s="135" t="s">
        <v>402</v>
      </c>
      <c r="F213" s="288">
        <v>0</v>
      </c>
    </row>
    <row r="214" spans="3:6" x14ac:dyDescent="0.25">
      <c r="C214" s="1576"/>
      <c r="D214" s="287" t="s">
        <v>516</v>
      </c>
      <c r="E214" s="135" t="s">
        <v>402</v>
      </c>
      <c r="F214" s="288">
        <v>0</v>
      </c>
    </row>
    <row r="215" spans="3:6" x14ac:dyDescent="0.25">
      <c r="C215" s="1577"/>
      <c r="D215" s="287" t="s">
        <v>517</v>
      </c>
      <c r="E215" s="282" t="s">
        <v>411</v>
      </c>
      <c r="F215" s="288">
        <v>0</v>
      </c>
    </row>
    <row r="216" spans="3:6" x14ac:dyDescent="0.25">
      <c r="C216" s="369" t="s">
        <v>1904</v>
      </c>
      <c r="D216" s="1578" t="s">
        <v>518</v>
      </c>
      <c r="E216" s="1579"/>
      <c r="F216" s="1580"/>
    </row>
    <row r="217" spans="3:6" x14ac:dyDescent="0.25">
      <c r="C217" s="1575"/>
      <c r="D217" s="287" t="s">
        <v>513</v>
      </c>
      <c r="E217" s="135" t="s">
        <v>402</v>
      </c>
      <c r="F217" s="288">
        <v>0</v>
      </c>
    </row>
    <row r="218" spans="3:6" x14ac:dyDescent="0.25">
      <c r="C218" s="1576"/>
      <c r="D218" s="287" t="s">
        <v>514</v>
      </c>
      <c r="E218" s="135" t="s">
        <v>402</v>
      </c>
      <c r="F218" s="288">
        <v>0</v>
      </c>
    </row>
    <row r="219" spans="3:6" x14ac:dyDescent="0.25">
      <c r="C219" s="1576"/>
      <c r="D219" s="287" t="s">
        <v>492</v>
      </c>
      <c r="E219" s="135" t="s">
        <v>402</v>
      </c>
      <c r="F219" s="288">
        <v>0</v>
      </c>
    </row>
    <row r="220" spans="3:6" x14ac:dyDescent="0.25">
      <c r="C220" s="1576"/>
      <c r="D220" s="287" t="s">
        <v>490</v>
      </c>
      <c r="E220" s="135" t="s">
        <v>402</v>
      </c>
      <c r="F220" s="288">
        <v>0</v>
      </c>
    </row>
    <row r="221" spans="3:6" x14ac:dyDescent="0.25">
      <c r="C221" s="1576"/>
      <c r="D221" s="287" t="s">
        <v>516</v>
      </c>
      <c r="E221" s="135" t="s">
        <v>402</v>
      </c>
      <c r="F221" s="288">
        <v>0</v>
      </c>
    </row>
    <row r="222" spans="3:6" x14ac:dyDescent="0.25">
      <c r="C222" s="1577"/>
      <c r="D222" s="287" t="s">
        <v>517</v>
      </c>
      <c r="E222" s="282" t="s">
        <v>411</v>
      </c>
      <c r="F222" s="288">
        <v>0</v>
      </c>
    </row>
    <row r="223" spans="3:6" x14ac:dyDescent="0.25">
      <c r="C223" s="369" t="s">
        <v>1905</v>
      </c>
      <c r="D223" s="1578" t="s">
        <v>519</v>
      </c>
      <c r="E223" s="1579"/>
      <c r="F223" s="1580"/>
    </row>
    <row r="224" spans="3:6" x14ac:dyDescent="0.25">
      <c r="C224" s="1575"/>
      <c r="D224" s="287" t="s">
        <v>520</v>
      </c>
      <c r="E224" s="282" t="s">
        <v>411</v>
      </c>
      <c r="F224" s="288">
        <v>0</v>
      </c>
    </row>
    <row r="225" spans="3:6" x14ac:dyDescent="0.25">
      <c r="C225" s="1576"/>
      <c r="D225" s="287" t="s">
        <v>521</v>
      </c>
      <c r="E225" s="135" t="s">
        <v>402</v>
      </c>
      <c r="F225" s="288">
        <v>0</v>
      </c>
    </row>
    <row r="226" spans="3:6" x14ac:dyDescent="0.25">
      <c r="C226" s="1576"/>
      <c r="D226" s="287" t="s">
        <v>522</v>
      </c>
      <c r="E226" s="135" t="s">
        <v>402</v>
      </c>
      <c r="F226" s="288">
        <v>0</v>
      </c>
    </row>
    <row r="227" spans="3:6" x14ac:dyDescent="0.25">
      <c r="C227" s="1576"/>
      <c r="D227" s="287" t="s">
        <v>523</v>
      </c>
      <c r="E227" s="135" t="s">
        <v>402</v>
      </c>
      <c r="F227" s="288">
        <v>0</v>
      </c>
    </row>
    <row r="228" spans="3:6" x14ac:dyDescent="0.25">
      <c r="C228" s="1576"/>
      <c r="D228" s="287" t="s">
        <v>524</v>
      </c>
      <c r="E228" s="288" t="s">
        <v>525</v>
      </c>
      <c r="F228" s="288">
        <v>0</v>
      </c>
    </row>
    <row r="229" spans="3:6" x14ac:dyDescent="0.25">
      <c r="C229" s="1577"/>
      <c r="D229" s="287" t="s">
        <v>513</v>
      </c>
      <c r="E229" s="135" t="s">
        <v>402</v>
      </c>
      <c r="F229" s="288">
        <v>0</v>
      </c>
    </row>
    <row r="230" spans="3:6" x14ac:dyDescent="0.25">
      <c r="C230" s="368" t="s">
        <v>1906</v>
      </c>
      <c r="D230" s="1587" t="s">
        <v>679</v>
      </c>
      <c r="E230" s="1588"/>
      <c r="F230" s="1589"/>
    </row>
    <row r="231" spans="3:6" x14ac:dyDescent="0.25">
      <c r="C231" s="1575"/>
      <c r="D231" s="287" t="s">
        <v>680</v>
      </c>
      <c r="E231" s="135" t="s">
        <v>402</v>
      </c>
      <c r="F231" s="288">
        <v>0</v>
      </c>
    </row>
    <row r="232" spans="3:6" ht="15" customHeight="1" x14ac:dyDescent="0.25">
      <c r="C232" s="1576"/>
      <c r="D232" s="287" t="s">
        <v>506</v>
      </c>
      <c r="E232" s="135" t="s">
        <v>402</v>
      </c>
      <c r="F232" s="288">
        <v>0</v>
      </c>
    </row>
    <row r="233" spans="3:6" x14ac:dyDescent="0.25">
      <c r="C233" s="1577"/>
      <c r="D233" s="287" t="s">
        <v>681</v>
      </c>
      <c r="E233" s="135" t="s">
        <v>402</v>
      </c>
      <c r="F233" s="288">
        <v>0</v>
      </c>
    </row>
    <row r="234" spans="3:6" x14ac:dyDescent="0.25">
      <c r="C234" s="369" t="s">
        <v>1907</v>
      </c>
      <c r="D234" s="1578" t="s">
        <v>526</v>
      </c>
      <c r="E234" s="1579"/>
      <c r="F234" s="1580"/>
    </row>
    <row r="235" spans="3:6" x14ac:dyDescent="0.25">
      <c r="C235" s="1575"/>
      <c r="D235" s="287" t="s">
        <v>527</v>
      </c>
      <c r="E235" s="135" t="s">
        <v>402</v>
      </c>
      <c r="F235" s="288">
        <v>0</v>
      </c>
    </row>
    <row r="236" spans="3:6" x14ac:dyDescent="0.25">
      <c r="C236" s="1576"/>
      <c r="D236" s="287" t="s">
        <v>490</v>
      </c>
      <c r="E236" s="135" t="s">
        <v>402</v>
      </c>
      <c r="F236" s="288">
        <v>0</v>
      </c>
    </row>
    <row r="237" spans="3:6" x14ac:dyDescent="0.25">
      <c r="C237" s="1576"/>
      <c r="D237" s="287" t="s">
        <v>528</v>
      </c>
      <c r="E237" s="135" t="s">
        <v>402</v>
      </c>
      <c r="F237" s="288">
        <v>0</v>
      </c>
    </row>
    <row r="238" spans="3:6" ht="15" customHeight="1" x14ac:dyDescent="0.25">
      <c r="C238" s="1577"/>
      <c r="D238" s="287" t="s">
        <v>492</v>
      </c>
      <c r="E238" s="135" t="s">
        <v>402</v>
      </c>
      <c r="F238" s="288">
        <v>0</v>
      </c>
    </row>
    <row r="239" spans="3:6" x14ac:dyDescent="0.25">
      <c r="C239" s="369" t="s">
        <v>1908</v>
      </c>
      <c r="D239" s="1578" t="s">
        <v>529</v>
      </c>
      <c r="E239" s="1579"/>
      <c r="F239" s="1580"/>
    </row>
    <row r="240" spans="3:6" x14ac:dyDescent="0.25">
      <c r="C240" s="1575"/>
      <c r="D240" s="287" t="s">
        <v>530</v>
      </c>
      <c r="E240" s="135" t="s">
        <v>402</v>
      </c>
      <c r="F240" s="288">
        <v>0</v>
      </c>
    </row>
    <row r="241" spans="2:6" x14ac:dyDescent="0.25">
      <c r="C241" s="1576"/>
      <c r="D241" s="287" t="s">
        <v>528</v>
      </c>
      <c r="E241" s="135" t="s">
        <v>402</v>
      </c>
      <c r="F241" s="288">
        <v>0</v>
      </c>
    </row>
    <row r="242" spans="2:6" x14ac:dyDescent="0.25">
      <c r="C242" s="1577"/>
      <c r="D242" s="287" t="s">
        <v>492</v>
      </c>
      <c r="E242" s="135" t="s">
        <v>402</v>
      </c>
      <c r="F242" s="288">
        <v>0</v>
      </c>
    </row>
    <row r="243" spans="2:6" ht="34.5" customHeight="1" x14ac:dyDescent="0.25">
      <c r="C243" s="273">
        <v>2.5</v>
      </c>
      <c r="D243" s="1594" t="s">
        <v>1915</v>
      </c>
      <c r="E243" s="1594"/>
      <c r="F243" s="1594"/>
    </row>
    <row r="244" spans="2:6" ht="68.25" customHeight="1" x14ac:dyDescent="0.25">
      <c r="C244" s="1022" t="s">
        <v>1909</v>
      </c>
      <c r="D244" s="1023" t="s">
        <v>1413</v>
      </c>
      <c r="E244" s="1024" t="s">
        <v>1414</v>
      </c>
      <c r="F244" s="1024">
        <v>0</v>
      </c>
    </row>
    <row r="245" spans="2:6" ht="50.25" customHeight="1" x14ac:dyDescent="0.25">
      <c r="C245" s="1022" t="s">
        <v>1910</v>
      </c>
      <c r="D245" s="1023" t="s">
        <v>1416</v>
      </c>
      <c r="E245" s="1024" t="s">
        <v>411</v>
      </c>
      <c r="F245" s="1024">
        <v>0</v>
      </c>
    </row>
    <row r="246" spans="2:6" ht="56.25" customHeight="1" x14ac:dyDescent="0.25">
      <c r="C246" s="1022" t="s">
        <v>1911</v>
      </c>
      <c r="D246" s="1023" t="s">
        <v>1417</v>
      </c>
      <c r="E246" s="1024" t="s">
        <v>1414</v>
      </c>
      <c r="F246" s="1024">
        <v>0</v>
      </c>
    </row>
    <row r="247" spans="2:6" ht="45.75" customHeight="1" x14ac:dyDescent="0.25">
      <c r="C247" s="1022" t="s">
        <v>1912</v>
      </c>
      <c r="D247" s="1023" t="s">
        <v>1418</v>
      </c>
      <c r="E247" s="1024" t="s">
        <v>1415</v>
      </c>
      <c r="F247" s="1024">
        <v>0</v>
      </c>
    </row>
    <row r="248" spans="2:6" ht="52.5" customHeight="1" x14ac:dyDescent="0.25">
      <c r="C248" s="1022" t="s">
        <v>1913</v>
      </c>
      <c r="D248" s="1023" t="s">
        <v>1419</v>
      </c>
      <c r="E248" s="1024" t="s">
        <v>1415</v>
      </c>
      <c r="F248" s="1024">
        <v>0</v>
      </c>
    </row>
    <row r="249" spans="2:6" ht="52.5" customHeight="1" x14ac:dyDescent="0.25">
      <c r="C249" s="1022" t="s">
        <v>1914</v>
      </c>
      <c r="D249" s="1023" t="s">
        <v>1420</v>
      </c>
      <c r="E249" s="1024" t="s">
        <v>1415</v>
      </c>
      <c r="F249" s="1024">
        <v>0</v>
      </c>
    </row>
    <row r="250" spans="2:6" x14ac:dyDescent="0.25">
      <c r="C250" s="222"/>
      <c r="D250" s="222"/>
      <c r="E250" s="222"/>
      <c r="F250" s="222"/>
    </row>
    <row r="251" spans="2:6" x14ac:dyDescent="0.25">
      <c r="B251" s="261">
        <v>3</v>
      </c>
      <c r="C251" s="222" t="s">
        <v>1714</v>
      </c>
      <c r="D251" s="222"/>
      <c r="E251" s="222"/>
      <c r="F251" s="222"/>
    </row>
    <row r="252" spans="2:6" x14ac:dyDescent="0.25">
      <c r="C252" s="222"/>
      <c r="D252" s="222"/>
      <c r="E252" s="222"/>
      <c r="F252" s="222"/>
    </row>
    <row r="253" spans="2:6" x14ac:dyDescent="0.25">
      <c r="C253" s="232" t="s">
        <v>398</v>
      </c>
      <c r="D253" s="232" t="s">
        <v>396</v>
      </c>
      <c r="E253" s="232" t="s">
        <v>397</v>
      </c>
      <c r="F253" s="232" t="s">
        <v>428</v>
      </c>
    </row>
    <row r="254" spans="2:6" ht="32.25" customHeight="1" x14ac:dyDescent="0.25">
      <c r="C254" s="273">
        <v>3.1</v>
      </c>
      <c r="D254" s="1594" t="s">
        <v>1672</v>
      </c>
      <c r="E254" s="1594"/>
      <c r="F254" s="1594"/>
    </row>
    <row r="255" spans="2:6" ht="63.75" x14ac:dyDescent="0.25">
      <c r="C255" s="1243" t="s">
        <v>412</v>
      </c>
      <c r="D255" s="275" t="s">
        <v>1673</v>
      </c>
      <c r="E255" s="1248" t="s">
        <v>402</v>
      </c>
      <c r="F255" s="1248">
        <v>0</v>
      </c>
    </row>
    <row r="256" spans="2:6" ht="44.25" customHeight="1" x14ac:dyDescent="0.25">
      <c r="C256" s="273" t="s">
        <v>734</v>
      </c>
      <c r="D256" s="1594" t="s">
        <v>1674</v>
      </c>
      <c r="E256" s="1594"/>
      <c r="F256" s="1594"/>
    </row>
    <row r="257" spans="2:6" ht="51" x14ac:dyDescent="0.25">
      <c r="C257" s="1243" t="s">
        <v>413</v>
      </c>
      <c r="D257" s="1245" t="s">
        <v>1644</v>
      </c>
      <c r="E257" s="1248" t="s">
        <v>402</v>
      </c>
      <c r="F257" s="1248">
        <v>0</v>
      </c>
    </row>
    <row r="258" spans="2:6" x14ac:dyDescent="0.25">
      <c r="C258" s="273" t="s">
        <v>735</v>
      </c>
      <c r="D258" s="1594" t="s">
        <v>1675</v>
      </c>
      <c r="E258" s="1594"/>
      <c r="F258" s="1594"/>
    </row>
    <row r="259" spans="2:6" ht="99" x14ac:dyDescent="0.25">
      <c r="C259" s="1243" t="s">
        <v>1676</v>
      </c>
      <c r="D259" s="1238" t="s">
        <v>418</v>
      </c>
      <c r="E259" s="245" t="s">
        <v>402</v>
      </c>
      <c r="F259" s="245">
        <v>0</v>
      </c>
    </row>
    <row r="260" spans="2:6" ht="115.5" x14ac:dyDescent="0.25">
      <c r="C260" s="1243" t="s">
        <v>1677</v>
      </c>
      <c r="D260" s="1238" t="s">
        <v>419</v>
      </c>
      <c r="E260" s="245" t="s">
        <v>402</v>
      </c>
      <c r="F260" s="245">
        <v>0</v>
      </c>
    </row>
    <row r="261" spans="2:6" ht="27" customHeight="1" x14ac:dyDescent="0.25">
      <c r="C261" s="1243" t="s">
        <v>1678</v>
      </c>
      <c r="D261" s="1238" t="s">
        <v>420</v>
      </c>
      <c r="E261" s="245" t="s">
        <v>402</v>
      </c>
      <c r="F261" s="245">
        <v>0</v>
      </c>
    </row>
    <row r="262" spans="2:6" x14ac:dyDescent="0.25">
      <c r="C262" s="222"/>
      <c r="D262" s="222"/>
      <c r="E262" s="222"/>
      <c r="F262" s="222"/>
    </row>
    <row r="263" spans="2:6" x14ac:dyDescent="0.25">
      <c r="B263" s="97">
        <v>4</v>
      </c>
      <c r="C263" s="222" t="s">
        <v>1717</v>
      </c>
      <c r="D263" s="222"/>
      <c r="E263" s="222"/>
      <c r="F263" s="222"/>
    </row>
    <row r="264" spans="2:6" x14ac:dyDescent="0.25">
      <c r="C264" s="222"/>
      <c r="D264" s="222"/>
      <c r="E264" s="222"/>
      <c r="F264" s="222"/>
    </row>
    <row r="265" spans="2:6" x14ac:dyDescent="0.25">
      <c r="C265" s="232" t="s">
        <v>398</v>
      </c>
      <c r="D265" s="232" t="s">
        <v>396</v>
      </c>
      <c r="E265" s="232" t="s">
        <v>397</v>
      </c>
      <c r="F265" s="232" t="s">
        <v>428</v>
      </c>
    </row>
    <row r="266" spans="2:6" ht="46.5" customHeight="1" x14ac:dyDescent="0.25">
      <c r="C266" s="273">
        <v>4.0999999999999996</v>
      </c>
      <c r="D266" s="1590" t="s">
        <v>417</v>
      </c>
      <c r="E266" s="1591"/>
      <c r="F266" s="1592"/>
    </row>
    <row r="267" spans="2:6" ht="55.5" customHeight="1" x14ac:dyDescent="0.25">
      <c r="C267" s="1022" t="s">
        <v>415</v>
      </c>
      <c r="D267" s="1027" t="s">
        <v>1424</v>
      </c>
      <c r="E267" s="1022" t="s">
        <v>1065</v>
      </c>
      <c r="F267" s="1022">
        <v>0</v>
      </c>
    </row>
    <row r="268" spans="2:6" ht="42" customHeight="1" x14ac:dyDescent="0.25">
      <c r="C268" s="1022" t="s">
        <v>1679</v>
      </c>
      <c r="D268" s="1027" t="s">
        <v>1428</v>
      </c>
      <c r="E268" s="1022" t="s">
        <v>1065</v>
      </c>
      <c r="F268" s="1022">
        <v>0</v>
      </c>
    </row>
    <row r="269" spans="2:6" ht="38.25" x14ac:dyDescent="0.25">
      <c r="C269" s="1022" t="s">
        <v>1680</v>
      </c>
      <c r="D269" s="1027" t="s">
        <v>1425</v>
      </c>
      <c r="E269" s="1022" t="s">
        <v>1065</v>
      </c>
      <c r="F269" s="1022">
        <v>0</v>
      </c>
    </row>
    <row r="270" spans="2:6" ht="41.25" customHeight="1" x14ac:dyDescent="0.25">
      <c r="C270" s="1022" t="s">
        <v>1681</v>
      </c>
      <c r="D270" s="1027" t="s">
        <v>1427</v>
      </c>
      <c r="E270" s="1022" t="s">
        <v>1065</v>
      </c>
      <c r="F270" s="1022">
        <v>0</v>
      </c>
    </row>
    <row r="271" spans="2:6" ht="38.25" x14ac:dyDescent="0.25">
      <c r="C271" s="1022" t="s">
        <v>1682</v>
      </c>
      <c r="D271" s="1027" t="s">
        <v>1426</v>
      </c>
      <c r="E271" s="1022" t="s">
        <v>1065</v>
      </c>
      <c r="F271" s="1022">
        <v>0</v>
      </c>
    </row>
    <row r="272" spans="2:6" ht="30.75" customHeight="1" x14ac:dyDescent="0.25">
      <c r="C272" s="1239">
        <v>4.2</v>
      </c>
      <c r="D272" s="1609" t="s">
        <v>421</v>
      </c>
      <c r="E272" s="1609"/>
      <c r="F272" s="1609"/>
    </row>
    <row r="273" spans="3:6" ht="55.5" customHeight="1" x14ac:dyDescent="0.25">
      <c r="C273" s="386" t="s">
        <v>416</v>
      </c>
      <c r="D273" s="1050" t="s">
        <v>1702</v>
      </c>
      <c r="E273" s="245" t="s">
        <v>402</v>
      </c>
      <c r="F273" s="245">
        <v>0</v>
      </c>
    </row>
    <row r="274" spans="3:6" ht="51" x14ac:dyDescent="0.25">
      <c r="C274" s="386" t="s">
        <v>1703</v>
      </c>
      <c r="D274" s="1050" t="s">
        <v>1704</v>
      </c>
      <c r="E274" s="245" t="s">
        <v>402</v>
      </c>
      <c r="F274" s="245">
        <v>0</v>
      </c>
    </row>
    <row r="275" spans="3:6" x14ac:dyDescent="0.25">
      <c r="C275" s="222"/>
      <c r="D275" s="222"/>
      <c r="E275" s="222"/>
      <c r="F275" s="222"/>
    </row>
  </sheetData>
  <mergeCells count="71">
    <mergeCell ref="D266:F266"/>
    <mergeCell ref="D272:F272"/>
    <mergeCell ref="C224:C229"/>
    <mergeCell ref="D243:F243"/>
    <mergeCell ref="D254:F254"/>
    <mergeCell ref="D230:F230"/>
    <mergeCell ref="C231:C233"/>
    <mergeCell ref="D234:F234"/>
    <mergeCell ref="C235:C238"/>
    <mergeCell ref="D239:F239"/>
    <mergeCell ref="C240:C242"/>
    <mergeCell ref="D256:F256"/>
    <mergeCell ref="D258:F258"/>
    <mergeCell ref="D208:F208"/>
    <mergeCell ref="C209:C215"/>
    <mergeCell ref="D216:F216"/>
    <mergeCell ref="C217:C222"/>
    <mergeCell ref="D223:F223"/>
    <mergeCell ref="D195:F195"/>
    <mergeCell ref="C196:C199"/>
    <mergeCell ref="D200:F200"/>
    <mergeCell ref="C201:C206"/>
    <mergeCell ref="D207:F207"/>
    <mergeCell ref="D186:F186"/>
    <mergeCell ref="C187:C189"/>
    <mergeCell ref="D190:F190"/>
    <mergeCell ref="C191:C193"/>
    <mergeCell ref="D194:F194"/>
    <mergeCell ref="C150:C165"/>
    <mergeCell ref="D166:F166"/>
    <mergeCell ref="C167:C179"/>
    <mergeCell ref="D180:F180"/>
    <mergeCell ref="C181:C185"/>
    <mergeCell ref="C124:C141"/>
    <mergeCell ref="D142:F142"/>
    <mergeCell ref="D143:F143"/>
    <mergeCell ref="C144:C148"/>
    <mergeCell ref="D149:F149"/>
    <mergeCell ref="C5:L8"/>
    <mergeCell ref="C29:E29"/>
    <mergeCell ref="H27:J27"/>
    <mergeCell ref="F26:F27"/>
    <mergeCell ref="E26:E27"/>
    <mergeCell ref="D26:D27"/>
    <mergeCell ref="C26:C27"/>
    <mergeCell ref="D11:D12"/>
    <mergeCell ref="E11:E12"/>
    <mergeCell ref="F11:F12"/>
    <mergeCell ref="G11:G12"/>
    <mergeCell ref="H11:H12"/>
    <mergeCell ref="I12:K12"/>
    <mergeCell ref="G33:G34"/>
    <mergeCell ref="D123:F123"/>
    <mergeCell ref="D104:F104"/>
    <mergeCell ref="D109:F109"/>
    <mergeCell ref="D49:F49"/>
    <mergeCell ref="D54:F54"/>
    <mergeCell ref="D55:F55"/>
    <mergeCell ref="D62:F62"/>
    <mergeCell ref="D66:F66"/>
    <mergeCell ref="D86:F86"/>
    <mergeCell ref="D99:F99"/>
    <mergeCell ref="C110:C122"/>
    <mergeCell ref="D42:F42"/>
    <mergeCell ref="D47:F47"/>
    <mergeCell ref="D74:F74"/>
    <mergeCell ref="E33:E34"/>
    <mergeCell ref="F33:F34"/>
    <mergeCell ref="D103:F103"/>
    <mergeCell ref="C87:C98"/>
    <mergeCell ref="C100:C102"/>
  </mergeCells>
  <phoneticPr fontId="59" type="noConversion"/>
  <pageMargins left="0.7" right="0.7" top="0.75" bottom="0.75" header="0.3" footer="0.3"/>
  <pageSetup paperSize="9" scale="34" orientation="portrait" horizontalDpi="4294967295" verticalDpi="4294967295" r:id="rId1"/>
  <rowBreaks count="1" manualBreakCount="1">
    <brk id="102" min="1" max="20" man="1"/>
  </rowBreaks>
  <ignoredErrors>
    <ignoredError sqref="F37:G3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B3:V275"/>
  <sheetViews>
    <sheetView view="pageBreakPreview" zoomScale="80" zoomScaleNormal="100" zoomScaleSheetLayoutView="80" workbookViewId="0">
      <selection activeCell="C248" sqref="C248"/>
    </sheetView>
  </sheetViews>
  <sheetFormatPr baseColWidth="10" defaultRowHeight="12.75" x14ac:dyDescent="0.2"/>
  <cols>
    <col min="1" max="3" width="11.42578125" style="52"/>
    <col min="4" max="4" width="24.7109375" style="52" customWidth="1"/>
    <col min="5" max="5" width="17.28515625" style="52" customWidth="1"/>
    <col min="6" max="6" width="15.85546875" style="52" customWidth="1"/>
    <col min="7" max="7" width="11.42578125" style="222"/>
    <col min="8" max="16384" width="11.42578125" style="52"/>
  </cols>
  <sheetData>
    <row r="3" spans="2:22" x14ac:dyDescent="0.2">
      <c r="B3" s="837" t="s">
        <v>1237</v>
      </c>
      <c r="C3" s="279"/>
    </row>
    <row r="5" spans="2:22" x14ac:dyDescent="0.2">
      <c r="C5" s="52" t="s">
        <v>1734</v>
      </c>
    </row>
    <row r="7" spans="2:22" x14ac:dyDescent="0.2">
      <c r="D7" s="1617" t="s">
        <v>1720</v>
      </c>
      <c r="E7" s="1619">
        <v>2017</v>
      </c>
      <c r="F7" s="1619">
        <v>2018</v>
      </c>
      <c r="G7" s="1619">
        <v>2019</v>
      </c>
      <c r="H7" s="1619">
        <v>2020</v>
      </c>
      <c r="I7" s="1282">
        <v>2021</v>
      </c>
      <c r="J7" s="1282">
        <v>2022</v>
      </c>
      <c r="K7" s="1282">
        <v>2023</v>
      </c>
      <c r="L7" s="1278">
        <v>2024</v>
      </c>
      <c r="M7" s="1278">
        <v>2025</v>
      </c>
      <c r="N7" s="1278">
        <v>2026</v>
      </c>
      <c r="O7" s="1278">
        <v>2027</v>
      </c>
      <c r="P7" s="1278">
        <v>2028</v>
      </c>
      <c r="Q7" s="1278">
        <v>2029</v>
      </c>
      <c r="R7" s="1278">
        <v>2030</v>
      </c>
      <c r="S7" s="1278">
        <v>2031</v>
      </c>
      <c r="T7" s="1278">
        <v>2032</v>
      </c>
      <c r="U7" s="1278">
        <v>2033</v>
      </c>
    </row>
    <row r="8" spans="2:22" x14ac:dyDescent="0.2">
      <c r="D8" s="1618"/>
      <c r="E8" s="1619"/>
      <c r="F8" s="1619"/>
      <c r="G8" s="1619"/>
      <c r="H8" s="1619"/>
      <c r="I8" s="1616" t="s">
        <v>257</v>
      </c>
      <c r="J8" s="1616"/>
      <c r="K8" s="1616"/>
      <c r="L8" s="1279" t="s">
        <v>174</v>
      </c>
      <c r="M8" s="1279" t="s">
        <v>175</v>
      </c>
      <c r="N8" s="1279" t="s">
        <v>176</v>
      </c>
      <c r="O8" s="1279" t="s">
        <v>177</v>
      </c>
      <c r="P8" s="1279" t="s">
        <v>178</v>
      </c>
      <c r="Q8" s="1279" t="s">
        <v>179</v>
      </c>
      <c r="R8" s="1279" t="s">
        <v>180</v>
      </c>
      <c r="S8" s="1279" t="s">
        <v>181</v>
      </c>
      <c r="T8" s="1279" t="s">
        <v>182</v>
      </c>
      <c r="U8" s="1279" t="s">
        <v>183</v>
      </c>
    </row>
    <row r="9" spans="2:22" ht="25.5" hidden="1" x14ac:dyDescent="0.2">
      <c r="D9" s="1285" t="s">
        <v>1723</v>
      </c>
      <c r="E9" s="1283">
        <v>0</v>
      </c>
      <c r="F9" s="1283">
        <v>0</v>
      </c>
      <c r="G9" s="1283">
        <v>0</v>
      </c>
      <c r="H9" s="1283">
        <v>0</v>
      </c>
      <c r="I9" s="1283">
        <v>0</v>
      </c>
      <c r="J9" s="1283">
        <v>0</v>
      </c>
      <c r="K9" s="1283">
        <v>0</v>
      </c>
      <c r="L9" s="1283">
        <v>0</v>
      </c>
      <c r="M9" s="1283">
        <v>0</v>
      </c>
      <c r="N9" s="1283">
        <v>0</v>
      </c>
      <c r="O9" s="1283">
        <v>0</v>
      </c>
      <c r="P9" s="1283">
        <v>0</v>
      </c>
      <c r="Q9" s="1283">
        <v>0</v>
      </c>
      <c r="R9" s="1283">
        <v>0</v>
      </c>
      <c r="S9" s="1283">
        <v>0</v>
      </c>
      <c r="T9" s="1283">
        <v>0</v>
      </c>
      <c r="U9" s="1283">
        <v>0</v>
      </c>
    </row>
    <row r="10" spans="2:22" ht="25.5" hidden="1" x14ac:dyDescent="0.2">
      <c r="D10" s="1285" t="s">
        <v>1724</v>
      </c>
      <c r="E10" s="1283">
        <v>0</v>
      </c>
      <c r="F10" s="1283">
        <v>0</v>
      </c>
      <c r="G10" s="1283">
        <v>0</v>
      </c>
      <c r="H10" s="1283">
        <v>0</v>
      </c>
      <c r="I10" s="1283">
        <v>0</v>
      </c>
      <c r="J10" s="1283">
        <v>0</v>
      </c>
      <c r="K10" s="1283">
        <v>0</v>
      </c>
      <c r="L10" s="1283">
        <v>0</v>
      </c>
      <c r="M10" s="1283">
        <v>0</v>
      </c>
      <c r="N10" s="1283">
        <v>0</v>
      </c>
      <c r="O10" s="1283">
        <v>0</v>
      </c>
      <c r="P10" s="1283">
        <v>0</v>
      </c>
      <c r="Q10" s="1283">
        <v>0</v>
      </c>
      <c r="R10" s="1283">
        <v>0</v>
      </c>
      <c r="S10" s="1283">
        <v>0</v>
      </c>
      <c r="T10" s="1283">
        <v>0</v>
      </c>
      <c r="U10" s="1283">
        <v>0</v>
      </c>
    </row>
    <row r="11" spans="2:22" ht="38.25" hidden="1" x14ac:dyDescent="0.2">
      <c r="D11" s="1285" t="s">
        <v>1726</v>
      </c>
      <c r="E11" s="1283">
        <v>0</v>
      </c>
      <c r="F11" s="1283">
        <v>0</v>
      </c>
      <c r="G11" s="1283">
        <v>0</v>
      </c>
      <c r="H11" s="1283">
        <v>0</v>
      </c>
      <c r="I11" s="1283">
        <v>0</v>
      </c>
      <c r="J11" s="1283">
        <v>0</v>
      </c>
      <c r="K11" s="1283">
        <v>0</v>
      </c>
      <c r="L11" s="1283">
        <v>0</v>
      </c>
      <c r="M11" s="1283">
        <v>0</v>
      </c>
      <c r="N11" s="1283">
        <v>0</v>
      </c>
      <c r="O11" s="1283">
        <v>0</v>
      </c>
      <c r="P11" s="1283">
        <v>0</v>
      </c>
      <c r="Q11" s="1283">
        <v>0</v>
      </c>
      <c r="R11" s="1283">
        <v>0</v>
      </c>
      <c r="S11" s="1283">
        <v>0</v>
      </c>
      <c r="T11" s="1283">
        <v>0</v>
      </c>
      <c r="U11" s="1283">
        <v>0</v>
      </c>
    </row>
    <row r="12" spans="2:22" ht="25.5" hidden="1" x14ac:dyDescent="0.2">
      <c r="D12" s="1276" t="s">
        <v>1725</v>
      </c>
      <c r="E12" s="1283">
        <v>0</v>
      </c>
      <c r="F12" s="1283">
        <v>0</v>
      </c>
      <c r="G12" s="1283">
        <v>0</v>
      </c>
      <c r="H12" s="1283">
        <v>0</v>
      </c>
      <c r="I12" s="1283">
        <v>0</v>
      </c>
      <c r="J12" s="1283">
        <v>0</v>
      </c>
      <c r="K12" s="1283">
        <v>0</v>
      </c>
      <c r="L12" s="1283">
        <v>0</v>
      </c>
      <c r="M12" s="1283">
        <v>0</v>
      </c>
      <c r="N12" s="1283">
        <v>0</v>
      </c>
      <c r="O12" s="1283">
        <v>0</v>
      </c>
      <c r="P12" s="1283">
        <v>0</v>
      </c>
      <c r="Q12" s="1283">
        <v>0</v>
      </c>
      <c r="R12" s="1283">
        <v>0</v>
      </c>
      <c r="S12" s="1283">
        <v>0</v>
      </c>
      <c r="T12" s="1283">
        <v>0</v>
      </c>
      <c r="U12" s="1283">
        <v>0</v>
      </c>
    </row>
    <row r="13" spans="2:22" ht="63.75" x14ac:dyDescent="0.2">
      <c r="D13" s="1281" t="s">
        <v>1729</v>
      </c>
      <c r="E13" s="1290">
        <f>OFE!E17-'DEM - DESN'!D30</f>
        <v>-896.4</v>
      </c>
      <c r="F13" s="1290">
        <f>OFE!F17-'DEM - DESN'!E30</f>
        <v>-970.74398094276785</v>
      </c>
      <c r="G13" s="1290">
        <f>OFE!G17-'DEM - DESN'!F30</f>
        <v>-1051.2537667744455</v>
      </c>
      <c r="H13" s="1290">
        <f>OFE!H17-'DEM - DESN'!G30</f>
        <v>-1138.440725724794</v>
      </c>
      <c r="I13" s="1290">
        <f>OFE!I17-'DEM - DESN'!H30</f>
        <v>-1232.8586369449581</v>
      </c>
      <c r="J13" s="1290">
        <f>OFE!J17-'DEM - DESN'!I30</f>
        <v>-1335.107207906764</v>
      </c>
      <c r="K13" s="1290">
        <f>OFE!K17-'DEM - DESN'!J30</f>
        <v>-1445.8358835216375</v>
      </c>
      <c r="L13" s="1290">
        <f>OFE!L17-'DEM - DESN'!K30</f>
        <v>-1565.7479711732469</v>
      </c>
      <c r="M13" s="1290">
        <f>OFE!M17-'DEM - DESN'!L30</f>
        <v>-1695.6051078645471</v>
      </c>
      <c r="N13" s="1290">
        <f>OFE!N17-'DEM - DESN'!M30</f>
        <v>-1836.2320978528803</v>
      </c>
      <c r="O13" s="1290">
        <f>OFE!O17-'DEM - DESN'!N30</f>
        <v>-1988.5221514999946</v>
      </c>
      <c r="P13" s="1290">
        <f>OFE!P17-'DEM - DESN'!O30</f>
        <v>-2153.4425586122074</v>
      </c>
      <c r="Q13" s="1290">
        <f>OFE!Q17-'DEM - DESN'!P30</f>
        <v>-2332.0408323056608</v>
      </c>
      <c r="R13" s="1290">
        <f>OFE!R17-'DEM - DESN'!Q30</f>
        <v>-2525.4513624202173</v>
      </c>
      <c r="S13" s="1290">
        <f>OFE!S17-'DEM - DESN'!R30</f>
        <v>-2734.9026207420111</v>
      </c>
      <c r="T13" s="1290">
        <f>OFE!T17-'DEM - DESN'!S30</f>
        <v>-2961.7249637995419</v>
      </c>
      <c r="U13" s="1290">
        <f>OFE!U17-'DEM - DESN'!T30</f>
        <v>-3207.3590827937783</v>
      </c>
      <c r="V13" s="1295"/>
    </row>
    <row r="16" spans="2:22" x14ac:dyDescent="0.2">
      <c r="B16" s="222">
        <v>1</v>
      </c>
      <c r="C16" s="222" t="s">
        <v>429</v>
      </c>
      <c r="E16" s="222"/>
      <c r="F16" s="222"/>
      <c r="H16" s="222"/>
      <c r="I16" s="222"/>
    </row>
    <row r="18" spans="2:21" x14ac:dyDescent="0.2">
      <c r="C18" s="1541" t="s">
        <v>427</v>
      </c>
      <c r="D18" s="1541" t="s">
        <v>189</v>
      </c>
      <c r="E18" s="1541" t="s">
        <v>188</v>
      </c>
      <c r="F18" s="1541" t="s">
        <v>256</v>
      </c>
      <c r="G18" s="1541">
        <v>2019</v>
      </c>
      <c r="H18" s="219">
        <v>2020</v>
      </c>
      <c r="I18" s="218">
        <v>2021</v>
      </c>
      <c r="J18" s="218">
        <v>2022</v>
      </c>
      <c r="K18" s="218">
        <v>2023</v>
      </c>
      <c r="L18" s="218">
        <v>2024</v>
      </c>
      <c r="M18" s="218">
        <v>2025</v>
      </c>
      <c r="N18" s="218">
        <v>2026</v>
      </c>
      <c r="O18" s="218">
        <v>2027</v>
      </c>
      <c r="P18" s="218">
        <v>2028</v>
      </c>
      <c r="Q18" s="218">
        <v>2029</v>
      </c>
      <c r="R18" s="218">
        <v>2030</v>
      </c>
      <c r="S18" s="218">
        <v>2031</v>
      </c>
      <c r="T18" s="218">
        <v>2032</v>
      </c>
      <c r="U18" s="218">
        <v>2033</v>
      </c>
    </row>
    <row r="19" spans="2:21" x14ac:dyDescent="0.2">
      <c r="C19" s="1541"/>
      <c r="D19" s="1541"/>
      <c r="E19" s="1541"/>
      <c r="F19" s="1541"/>
      <c r="G19" s="1541"/>
      <c r="H19" s="220"/>
      <c r="I19" s="1610" t="s">
        <v>257</v>
      </c>
      <c r="J19" s="1611"/>
      <c r="K19" s="1612"/>
      <c r="L19" s="54" t="s">
        <v>174</v>
      </c>
      <c r="M19" s="54" t="s">
        <v>175</v>
      </c>
      <c r="N19" s="54" t="s">
        <v>176</v>
      </c>
      <c r="O19" s="54" t="s">
        <v>177</v>
      </c>
      <c r="P19" s="54" t="s">
        <v>178</v>
      </c>
      <c r="Q19" s="54" t="s">
        <v>179</v>
      </c>
      <c r="R19" s="54" t="s">
        <v>180</v>
      </c>
      <c r="S19" s="54" t="s">
        <v>181</v>
      </c>
      <c r="T19" s="54" t="s">
        <v>182</v>
      </c>
      <c r="U19" s="54" t="s">
        <v>183</v>
      </c>
    </row>
    <row r="20" spans="2:21" ht="177.75" customHeight="1" x14ac:dyDescent="0.2">
      <c r="C20" s="280" t="s">
        <v>426</v>
      </c>
      <c r="D20" s="135" t="str">
        <f>OFE!C28</f>
        <v>ABANCAY</v>
      </c>
      <c r="E20" s="278" t="str">
        <f>OFE!D28</f>
        <v>ABANCAY, PICHIRHUA, CHACOCHE, LAMBRAMA, CIRCA, CURAHUASI,HUANIPACA, SAN PEDRO DE CACHORA Y TAMBURCO.</v>
      </c>
      <c r="F20" s="281" t="str">
        <f>OFE!E28</f>
        <v>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v>
      </c>
      <c r="G20" s="136">
        <f>'DEM EFEC'!G110</f>
        <v>2031.6664854602686</v>
      </c>
      <c r="H20" s="136">
        <f>'DEM EFEC'!J110</f>
        <v>1541.1397968194719</v>
      </c>
      <c r="I20" s="136">
        <f>'DEM EFEC'!K110</f>
        <v>1541.7369998142146</v>
      </c>
      <c r="J20" s="136">
        <f>'DEM EFEC'!L110</f>
        <v>1542.3344342295054</v>
      </c>
      <c r="K20" s="136">
        <f>'DEM EFEC'!M110</f>
        <v>1542.9321001550218</v>
      </c>
      <c r="L20" s="136">
        <f>'DEM EFEC'!N110</f>
        <v>1543.5299976804758</v>
      </c>
      <c r="M20" s="136">
        <f>'DEM EFEC'!O110</f>
        <v>1544.1281268956134</v>
      </c>
      <c r="N20" s="136">
        <f>'DEM EFEC'!P110</f>
        <v>1544.726487890217</v>
      </c>
      <c r="O20" s="136">
        <f>'DEM EFEC'!Q110</f>
        <v>1545.3250807541026</v>
      </c>
      <c r="P20" s="136">
        <f>'DEM EFEC'!R110</f>
        <v>1545.9239055771211</v>
      </c>
      <c r="Q20" s="136">
        <f>'DEM EFEC'!S110</f>
        <v>1546.5229624491581</v>
      </c>
      <c r="R20" s="136">
        <f>'DEM EFEC'!T110</f>
        <v>1547.1222514601347</v>
      </c>
      <c r="S20" s="136">
        <f>'DEM EFEC'!U110</f>
        <v>1547.7217727000061</v>
      </c>
      <c r="T20" s="136">
        <f>'DEM EFEC'!V110</f>
        <v>1548.3215262587637</v>
      </c>
      <c r="U20" s="136">
        <f>'DEM EFEC'!W110</f>
        <v>1548.9215122264309</v>
      </c>
    </row>
    <row r="21" spans="2:21" ht="177.75" customHeight="1" x14ac:dyDescent="0.2">
      <c r="C21" s="280" t="s">
        <v>428</v>
      </c>
      <c r="D21" s="135" t="str">
        <f>D20</f>
        <v>ABANCAY</v>
      </c>
      <c r="E21" s="278" t="str">
        <f>E20</f>
        <v>ABANCAY, PICHIRHUA, CHACOCHE, LAMBRAMA, CIRCA, CURAHUASI,HUANIPACA, SAN PEDRO DE CACHORA Y TAMBURCO.</v>
      </c>
      <c r="F21" s="198" t="str">
        <f>F20</f>
        <v>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v>
      </c>
      <c r="G21" s="136">
        <f>OFE!F28</f>
        <v>0</v>
      </c>
      <c r="H21" s="136">
        <f>OFE!G28</f>
        <v>0</v>
      </c>
      <c r="I21" s="136">
        <f>OFE!H28</f>
        <v>0</v>
      </c>
      <c r="J21" s="136">
        <f>OFE!I28</f>
        <v>0</v>
      </c>
      <c r="K21" s="136">
        <f>OFE!J28</f>
        <v>0</v>
      </c>
      <c r="L21" s="136">
        <f>OFE!K28</f>
        <v>0</v>
      </c>
      <c r="M21" s="136">
        <f>OFE!L28</f>
        <v>0</v>
      </c>
      <c r="N21" s="136">
        <f>OFE!M28</f>
        <v>0</v>
      </c>
      <c r="O21" s="136">
        <f>OFE!N28</f>
        <v>0</v>
      </c>
      <c r="P21" s="136">
        <f>OFE!O28</f>
        <v>0</v>
      </c>
      <c r="Q21" s="136">
        <f>OFE!P28</f>
        <v>0</v>
      </c>
      <c r="R21" s="136">
        <f>OFE!Q28</f>
        <v>0</v>
      </c>
      <c r="S21" s="136">
        <f>OFE!R28</f>
        <v>0</v>
      </c>
      <c r="T21" s="136">
        <f>OFE!S28</f>
        <v>0</v>
      </c>
      <c r="U21" s="136">
        <f>OFE!T28</f>
        <v>0</v>
      </c>
    </row>
    <row r="22" spans="2:21" ht="15" customHeight="1" x14ac:dyDescent="0.2">
      <c r="C22" s="1565" t="s">
        <v>425</v>
      </c>
      <c r="D22" s="1565"/>
      <c r="E22" s="1565"/>
      <c r="F22" s="1565"/>
      <c r="G22" s="268">
        <f>G21-G20</f>
        <v>-2031.6664854602686</v>
      </c>
      <c r="H22" s="137">
        <f>H21-H20</f>
        <v>-1541.1397968194719</v>
      </c>
      <c r="I22" s="137">
        <f t="shared" ref="I22:T22" si="0">I21-I20</f>
        <v>-1541.7369998142146</v>
      </c>
      <c r="J22" s="137">
        <f t="shared" si="0"/>
        <v>-1542.3344342295054</v>
      </c>
      <c r="K22" s="137">
        <f t="shared" si="0"/>
        <v>-1542.9321001550218</v>
      </c>
      <c r="L22" s="137">
        <f t="shared" si="0"/>
        <v>-1543.5299976804758</v>
      </c>
      <c r="M22" s="137">
        <f t="shared" si="0"/>
        <v>-1544.1281268956134</v>
      </c>
      <c r="N22" s="137">
        <f t="shared" si="0"/>
        <v>-1544.726487890217</v>
      </c>
      <c r="O22" s="137">
        <f t="shared" si="0"/>
        <v>-1545.3250807541026</v>
      </c>
      <c r="P22" s="137">
        <f t="shared" si="0"/>
        <v>-1545.9239055771211</v>
      </c>
      <c r="Q22" s="137">
        <f t="shared" si="0"/>
        <v>-1546.5229624491581</v>
      </c>
      <c r="R22" s="137">
        <f t="shared" si="0"/>
        <v>-1547.1222514601347</v>
      </c>
      <c r="S22" s="137">
        <f t="shared" si="0"/>
        <v>-1547.7217727000061</v>
      </c>
      <c r="T22" s="137">
        <f t="shared" si="0"/>
        <v>-1548.3215262587637</v>
      </c>
      <c r="U22" s="268">
        <f>U21-U20</f>
        <v>-1548.9215122264309</v>
      </c>
    </row>
    <row r="24" spans="2:21" x14ac:dyDescent="0.2">
      <c r="B24" s="222">
        <v>2</v>
      </c>
      <c r="C24" s="222" t="s">
        <v>430</v>
      </c>
      <c r="E24" s="222"/>
      <c r="F24" s="222"/>
      <c r="H24" s="222"/>
      <c r="I24" s="222"/>
      <c r="J24" s="222"/>
      <c r="K24" s="222"/>
    </row>
    <row r="26" spans="2:21" x14ac:dyDescent="0.2">
      <c r="E26" s="1541" t="s">
        <v>427</v>
      </c>
      <c r="F26" s="1541" t="s">
        <v>189</v>
      </c>
      <c r="G26" s="1607">
        <v>2019</v>
      </c>
      <c r="H26" s="1542">
        <v>2020</v>
      </c>
      <c r="I26" s="218">
        <v>2021</v>
      </c>
      <c r="J26" s="218">
        <v>2022</v>
      </c>
      <c r="K26" s="218">
        <v>2023</v>
      </c>
      <c r="L26" s="218">
        <v>2024</v>
      </c>
      <c r="M26" s="218">
        <v>2025</v>
      </c>
      <c r="N26" s="218">
        <v>2026</v>
      </c>
      <c r="O26" s="218">
        <v>2027</v>
      </c>
      <c r="P26" s="218">
        <v>2028</v>
      </c>
      <c r="Q26" s="218">
        <v>2029</v>
      </c>
      <c r="R26" s="218">
        <v>2030</v>
      </c>
      <c r="S26" s="218">
        <v>2031</v>
      </c>
      <c r="T26" s="218">
        <v>2032</v>
      </c>
      <c r="U26" s="218">
        <v>2033</v>
      </c>
    </row>
    <row r="27" spans="2:21" x14ac:dyDescent="0.2">
      <c r="E27" s="1541"/>
      <c r="F27" s="1541"/>
      <c r="G27" s="1608"/>
      <c r="H27" s="1543"/>
      <c r="I27" s="1610" t="s">
        <v>257</v>
      </c>
      <c r="J27" s="1611"/>
      <c r="K27" s="1612"/>
      <c r="L27" s="54" t="s">
        <v>174</v>
      </c>
      <c r="M27" s="54" t="s">
        <v>175</v>
      </c>
      <c r="N27" s="54" t="s">
        <v>176</v>
      </c>
      <c r="O27" s="54" t="s">
        <v>177</v>
      </c>
      <c r="P27" s="54" t="s">
        <v>178</v>
      </c>
      <c r="Q27" s="54" t="s">
        <v>179</v>
      </c>
      <c r="R27" s="54" t="s">
        <v>180</v>
      </c>
      <c r="S27" s="54" t="s">
        <v>181</v>
      </c>
      <c r="T27" s="54" t="s">
        <v>182</v>
      </c>
      <c r="U27" s="54" t="s">
        <v>183</v>
      </c>
    </row>
    <row r="28" spans="2:21" ht="51" x14ac:dyDescent="0.2">
      <c r="E28" s="1626" t="s">
        <v>426</v>
      </c>
      <c r="F28" s="250" t="str">
        <f>OFE!E35</f>
        <v>NIÑOS MENORES DE 05 AÑOS CON DESNUTRICIÓN CRÓNICA</v>
      </c>
      <c r="G28" s="246">
        <f>'DEM - DESN'!D109</f>
        <v>1088</v>
      </c>
      <c r="H28" s="246">
        <f>'DEM - DESN'!E109</f>
        <v>1103.3591892790541</v>
      </c>
      <c r="I28" s="246">
        <f>'DEM - DESN'!F109</f>
        <v>1118.9352027265916</v>
      </c>
      <c r="J28" s="246">
        <f>'DEM - DESN'!G109</f>
        <v>1134.7311012281307</v>
      </c>
      <c r="K28" s="246">
        <f>'DEM - DESN'!H109</f>
        <v>1150.7499888794105</v>
      </c>
      <c r="L28" s="246">
        <f>'DEM - DESN'!I109</f>
        <v>1166.995013596385</v>
      </c>
      <c r="M28" s="246">
        <f>'DEM - DESN'!J109</f>
        <v>1183.4693677338294</v>
      </c>
      <c r="N28" s="246">
        <f>'DEM - DESN'!K109</f>
        <v>1200.1762887126772</v>
      </c>
      <c r="O28" s="246">
        <f>'DEM - DESN'!L109</f>
        <v>1217.1190596562165</v>
      </c>
      <c r="P28" s="246">
        <f>'DEM - DESN'!M109</f>
        <v>1234.3010100352644</v>
      </c>
      <c r="Q28" s="246">
        <f>'DEM - DESN'!N109</f>
        <v>1251.7255163224515</v>
      </c>
      <c r="R28" s="246">
        <f>'DEM - DESN'!O109</f>
        <v>1269.3960026557402</v>
      </c>
      <c r="S28" s="246">
        <f>'DEM - DESN'!P109</f>
        <v>1287.3159415113143</v>
      </c>
      <c r="T28" s="246">
        <f>'DEM - DESN'!Q109</f>
        <v>1305.4888543859611</v>
      </c>
      <c r="U28" s="246">
        <f>'DEM - DESN'!R109</f>
        <v>1323.9183124890951</v>
      </c>
    </row>
    <row r="29" spans="2:21" ht="38.25" x14ac:dyDescent="0.2">
      <c r="E29" s="1626"/>
      <c r="F29" s="250" t="str">
        <f>OFE!E36</f>
        <v>MADRES CON DESNUTRICIÓN CRÓNICA</v>
      </c>
      <c r="G29" s="246">
        <f>'DEM - DESN'!D110</f>
        <v>71</v>
      </c>
      <c r="H29" s="246">
        <f>'DEM - DESN'!E110</f>
        <v>72.002300035673571</v>
      </c>
      <c r="I29" s="246">
        <f>'DEM - DESN'!F110</f>
        <v>73.018749442636036</v>
      </c>
      <c r="J29" s="246">
        <f>'DEM - DESN'!G110</f>
        <v>74.049547966173975</v>
      </c>
      <c r="K29" s="246">
        <f>'DEM - DESN'!H110</f>
        <v>75.094898171358594</v>
      </c>
      <c r="L29" s="246">
        <f>'DEM - DESN'!I110</f>
        <v>76.155005482852332</v>
      </c>
      <c r="M29" s="246">
        <f>'DEM - DESN'!J110</f>
        <v>77.230078225277467</v>
      </c>
      <c r="N29" s="246">
        <f>'DEM - DESN'!K110</f>
        <v>78.32032766415449</v>
      </c>
      <c r="O29" s="246">
        <f>'DEM - DESN'!L110</f>
        <v>79.42596804741855</v>
      </c>
      <c r="P29" s="246">
        <f>'DEM - DESN'!M110</f>
        <v>80.54721664752185</v>
      </c>
      <c r="Q29" s="246">
        <f>'DEM - DESN'!N110</f>
        <v>81.684293804130576</v>
      </c>
      <c r="R29" s="246">
        <f>'DEM - DESN'!O110</f>
        <v>82.837422967424232</v>
      </c>
      <c r="S29" s="246">
        <f>'DEM - DESN'!P110</f>
        <v>84.006830742006727</v>
      </c>
      <c r="T29" s="246">
        <f>'DEM - DESN'!Q110</f>
        <v>85.192746931436801</v>
      </c>
      <c r="U29" s="246">
        <f>'DEM - DESN'!R110</f>
        <v>86.395404583387645</v>
      </c>
    </row>
    <row r="30" spans="2:21" ht="51" x14ac:dyDescent="0.2">
      <c r="E30" s="1626" t="s">
        <v>428</v>
      </c>
      <c r="F30" s="250" t="str">
        <f>F28</f>
        <v>NIÑOS MENORES DE 05 AÑOS CON DESNUTRICIÓN CRÓNICA</v>
      </c>
      <c r="G30" s="246">
        <f>OFE!F35</f>
        <v>0</v>
      </c>
      <c r="H30" s="246">
        <f>OFE!G35</f>
        <v>0</v>
      </c>
      <c r="I30" s="246">
        <f>OFE!H35</f>
        <v>0</v>
      </c>
      <c r="J30" s="246">
        <f>OFE!I35</f>
        <v>0</v>
      </c>
      <c r="K30" s="246">
        <f>OFE!J35</f>
        <v>0</v>
      </c>
      <c r="L30" s="246">
        <f>OFE!K35</f>
        <v>0</v>
      </c>
      <c r="M30" s="246">
        <f>OFE!L35</f>
        <v>0</v>
      </c>
      <c r="N30" s="246">
        <f>OFE!M35</f>
        <v>0</v>
      </c>
      <c r="O30" s="246">
        <f>OFE!N35</f>
        <v>0</v>
      </c>
      <c r="P30" s="246">
        <f>OFE!O35</f>
        <v>0</v>
      </c>
      <c r="Q30" s="246">
        <f>OFE!P35</f>
        <v>0</v>
      </c>
      <c r="R30" s="246">
        <f>OFE!Q35</f>
        <v>0</v>
      </c>
      <c r="S30" s="246">
        <f>OFE!R35</f>
        <v>0</v>
      </c>
      <c r="T30" s="246">
        <f>OFE!S35</f>
        <v>0</v>
      </c>
      <c r="U30" s="246">
        <f>OFE!T35</f>
        <v>0</v>
      </c>
    </row>
    <row r="31" spans="2:21" ht="38.25" x14ac:dyDescent="0.2">
      <c r="E31" s="1626"/>
      <c r="F31" s="250" t="str">
        <f>F29</f>
        <v>MADRES CON DESNUTRICIÓN CRÓNICA</v>
      </c>
      <c r="G31" s="246">
        <f>OFE!F36</f>
        <v>0</v>
      </c>
      <c r="H31" s="246">
        <f>OFE!G36</f>
        <v>0</v>
      </c>
      <c r="I31" s="246">
        <f>OFE!H36</f>
        <v>0</v>
      </c>
      <c r="J31" s="246">
        <f>OFE!I36</f>
        <v>0</v>
      </c>
      <c r="K31" s="246">
        <f>OFE!J36</f>
        <v>0</v>
      </c>
      <c r="L31" s="246">
        <f>OFE!K36</f>
        <v>0</v>
      </c>
      <c r="M31" s="246">
        <f>OFE!L36</f>
        <v>0</v>
      </c>
      <c r="N31" s="246">
        <f>OFE!M36</f>
        <v>0</v>
      </c>
      <c r="O31" s="246">
        <f>OFE!N36</f>
        <v>0</v>
      </c>
      <c r="P31" s="246">
        <f>OFE!O36</f>
        <v>0</v>
      </c>
      <c r="Q31" s="246">
        <f>OFE!P36</f>
        <v>0</v>
      </c>
      <c r="R31" s="246">
        <f>OFE!Q36</f>
        <v>0</v>
      </c>
      <c r="S31" s="246">
        <f>OFE!R36</f>
        <v>0</v>
      </c>
      <c r="T31" s="246">
        <f>OFE!S36</f>
        <v>0</v>
      </c>
      <c r="U31" s="246">
        <f>OFE!T36</f>
        <v>0</v>
      </c>
    </row>
    <row r="32" spans="2:21" ht="51" x14ac:dyDescent="0.2">
      <c r="E32" s="1626" t="s">
        <v>425</v>
      </c>
      <c r="F32" s="250" t="str">
        <f>F28</f>
        <v>NIÑOS MENORES DE 05 AÑOS CON DESNUTRICIÓN CRÓNICA</v>
      </c>
      <c r="G32" s="246">
        <f>G30-G28</f>
        <v>-1088</v>
      </c>
      <c r="H32" s="246">
        <f t="shared" ref="H32:U32" si="1">H30-H28</f>
        <v>-1103.3591892790541</v>
      </c>
      <c r="I32" s="246">
        <f t="shared" si="1"/>
        <v>-1118.9352027265916</v>
      </c>
      <c r="J32" s="246">
        <f t="shared" si="1"/>
        <v>-1134.7311012281307</v>
      </c>
      <c r="K32" s="246">
        <f t="shared" si="1"/>
        <v>-1150.7499888794105</v>
      </c>
      <c r="L32" s="246">
        <f t="shared" si="1"/>
        <v>-1166.995013596385</v>
      </c>
      <c r="M32" s="246">
        <f t="shared" si="1"/>
        <v>-1183.4693677338294</v>
      </c>
      <c r="N32" s="246">
        <f t="shared" si="1"/>
        <v>-1200.1762887126772</v>
      </c>
      <c r="O32" s="246">
        <f t="shared" si="1"/>
        <v>-1217.1190596562165</v>
      </c>
      <c r="P32" s="246">
        <f t="shared" si="1"/>
        <v>-1234.3010100352644</v>
      </c>
      <c r="Q32" s="246">
        <f t="shared" si="1"/>
        <v>-1251.7255163224515</v>
      </c>
      <c r="R32" s="246">
        <f t="shared" si="1"/>
        <v>-1269.3960026557402</v>
      </c>
      <c r="S32" s="246">
        <f t="shared" si="1"/>
        <v>-1287.3159415113143</v>
      </c>
      <c r="T32" s="246">
        <f t="shared" si="1"/>
        <v>-1305.4888543859611</v>
      </c>
      <c r="U32" s="246">
        <f t="shared" si="1"/>
        <v>-1323.9183124890951</v>
      </c>
    </row>
    <row r="33" spans="2:21" ht="38.25" x14ac:dyDescent="0.2">
      <c r="E33" s="1626"/>
      <c r="F33" s="250" t="str">
        <f>F29</f>
        <v>MADRES CON DESNUTRICIÓN CRÓNICA</v>
      </c>
      <c r="G33" s="246">
        <f>G31-G29</f>
        <v>-71</v>
      </c>
      <c r="H33" s="246">
        <f t="shared" ref="H33:U33" si="2">H31-H29</f>
        <v>-72.002300035673571</v>
      </c>
      <c r="I33" s="246">
        <f t="shared" si="2"/>
        <v>-73.018749442636036</v>
      </c>
      <c r="J33" s="246">
        <f t="shared" si="2"/>
        <v>-74.049547966173975</v>
      </c>
      <c r="K33" s="246">
        <f t="shared" si="2"/>
        <v>-75.094898171358594</v>
      </c>
      <c r="L33" s="246">
        <f t="shared" si="2"/>
        <v>-76.155005482852332</v>
      </c>
      <c r="M33" s="246">
        <f t="shared" si="2"/>
        <v>-77.230078225277467</v>
      </c>
      <c r="N33" s="246">
        <f t="shared" si="2"/>
        <v>-78.32032766415449</v>
      </c>
      <c r="O33" s="246">
        <f t="shared" si="2"/>
        <v>-79.42596804741855</v>
      </c>
      <c r="P33" s="246">
        <f t="shared" si="2"/>
        <v>-80.54721664752185</v>
      </c>
      <c r="Q33" s="246">
        <f t="shared" si="2"/>
        <v>-81.684293804130576</v>
      </c>
      <c r="R33" s="246">
        <f t="shared" si="2"/>
        <v>-82.837422967424232</v>
      </c>
      <c r="S33" s="246">
        <f t="shared" si="2"/>
        <v>-84.006830742006727</v>
      </c>
      <c r="T33" s="246">
        <f t="shared" si="2"/>
        <v>-85.192746931436801</v>
      </c>
      <c r="U33" s="246">
        <f t="shared" si="2"/>
        <v>-86.395404583387645</v>
      </c>
    </row>
    <row r="34" spans="2:21" x14ac:dyDescent="0.2">
      <c r="E34" s="55"/>
      <c r="F34" s="247" t="s">
        <v>44</v>
      </c>
      <c r="G34" s="293">
        <f>SUM(G32:G33)</f>
        <v>-1159</v>
      </c>
      <c r="H34" s="249">
        <f t="shared" ref="H34:T34" si="3">SUM(H32:H33)</f>
        <v>-1175.3614893147278</v>
      </c>
      <c r="I34" s="249">
        <f t="shared" si="3"/>
        <v>-1191.9539521692277</v>
      </c>
      <c r="J34" s="249">
        <f t="shared" si="3"/>
        <v>-1208.7806491943047</v>
      </c>
      <c r="K34" s="249">
        <f t="shared" si="3"/>
        <v>-1225.8448870507691</v>
      </c>
      <c r="L34" s="249">
        <f t="shared" si="3"/>
        <v>-1243.1500190792374</v>
      </c>
      <c r="M34" s="249">
        <f t="shared" si="3"/>
        <v>-1260.6994459591069</v>
      </c>
      <c r="N34" s="249">
        <f t="shared" si="3"/>
        <v>-1278.4966163768318</v>
      </c>
      <c r="O34" s="249">
        <f t="shared" si="3"/>
        <v>-1296.545027703635</v>
      </c>
      <c r="P34" s="249">
        <f t="shared" si="3"/>
        <v>-1314.8482266827864</v>
      </c>
      <c r="Q34" s="249">
        <f t="shared" si="3"/>
        <v>-1333.4098101265822</v>
      </c>
      <c r="R34" s="249">
        <f t="shared" si="3"/>
        <v>-1352.2334256231643</v>
      </c>
      <c r="S34" s="249">
        <f t="shared" si="3"/>
        <v>-1371.3227722533211</v>
      </c>
      <c r="T34" s="249">
        <f t="shared" si="3"/>
        <v>-1390.681601317398</v>
      </c>
      <c r="U34" s="248">
        <f>SUM(U32:U33)</f>
        <v>-1410.3137170724829</v>
      </c>
    </row>
    <row r="37" spans="2:21" x14ac:dyDescent="0.2">
      <c r="B37" s="261">
        <v>1</v>
      </c>
      <c r="C37" s="222" t="s">
        <v>1715</v>
      </c>
      <c r="D37" s="222"/>
      <c r="E37" s="222"/>
      <c r="F37" s="222"/>
    </row>
    <row r="38" spans="2:21" x14ac:dyDescent="0.2">
      <c r="C38" s="222"/>
      <c r="D38" s="222"/>
      <c r="E38" s="222"/>
      <c r="F38" s="222"/>
    </row>
    <row r="39" spans="2:21" x14ac:dyDescent="0.2">
      <c r="C39" s="347" t="s">
        <v>398</v>
      </c>
      <c r="D39" s="347" t="s">
        <v>583</v>
      </c>
      <c r="E39" s="347" t="s">
        <v>397</v>
      </c>
      <c r="F39" s="347" t="s">
        <v>426</v>
      </c>
      <c r="G39" s="348" t="s">
        <v>428</v>
      </c>
      <c r="H39" s="348" t="s">
        <v>425</v>
      </c>
    </row>
    <row r="40" spans="2:21" ht="28.5" customHeight="1" x14ac:dyDescent="0.2">
      <c r="C40" s="1252" t="s">
        <v>401</v>
      </c>
      <c r="D40" s="1623" t="s">
        <v>1706</v>
      </c>
      <c r="E40" s="1624"/>
      <c r="F40" s="1624"/>
      <c r="G40" s="1624"/>
      <c r="H40" s="1625"/>
    </row>
    <row r="41" spans="2:21" ht="18.75" customHeight="1" x14ac:dyDescent="0.2">
      <c r="C41" s="351" t="s">
        <v>584</v>
      </c>
      <c r="D41" s="278" t="s">
        <v>585</v>
      </c>
      <c r="E41" s="351" t="s">
        <v>402</v>
      </c>
      <c r="F41" s="351">
        <f>'DEM - DESN'!E149</f>
        <v>1</v>
      </c>
      <c r="G41" s="360">
        <f>OFE!F43</f>
        <v>0</v>
      </c>
      <c r="H41" s="359">
        <f>G41-F41</f>
        <v>-1</v>
      </c>
    </row>
    <row r="42" spans="2:21" x14ac:dyDescent="0.2">
      <c r="C42" s="351" t="s">
        <v>399</v>
      </c>
      <c r="D42" s="278" t="s">
        <v>586</v>
      </c>
      <c r="E42" s="351" t="s">
        <v>402</v>
      </c>
      <c r="F42" s="351">
        <f>'DEM - DESN'!E150</f>
        <v>1</v>
      </c>
      <c r="G42" s="360">
        <f>OFE!F44</f>
        <v>0</v>
      </c>
      <c r="H42" s="359">
        <f>G42-F42</f>
        <v>-1</v>
      </c>
    </row>
    <row r="43" spans="2:21" x14ac:dyDescent="0.2">
      <c r="C43" s="351" t="s">
        <v>587</v>
      </c>
      <c r="D43" s="278" t="s">
        <v>588</v>
      </c>
      <c r="E43" s="351" t="s">
        <v>402</v>
      </c>
      <c r="F43" s="351">
        <f>'DEM - DESN'!E151</f>
        <v>1</v>
      </c>
      <c r="G43" s="360">
        <f>OFE!F45</f>
        <v>0</v>
      </c>
      <c r="H43" s="359">
        <f>G43-F43</f>
        <v>-1</v>
      </c>
    </row>
    <row r="44" spans="2:21" ht="15" x14ac:dyDescent="0.2">
      <c r="C44" s="351" t="s">
        <v>589</v>
      </c>
      <c r="D44" s="278" t="s">
        <v>590</v>
      </c>
      <c r="E44" s="351" t="s">
        <v>591</v>
      </c>
      <c r="F44" s="351">
        <f>'DEM - DESN'!E152</f>
        <v>250</v>
      </c>
      <c r="G44" s="360">
        <f>OFE!F46</f>
        <v>0</v>
      </c>
      <c r="H44" s="364">
        <f>G44-F44</f>
        <v>-250</v>
      </c>
    </row>
    <row r="45" spans="2:21" ht="15" customHeight="1" x14ac:dyDescent="0.2">
      <c r="C45" s="1252" t="s">
        <v>400</v>
      </c>
      <c r="D45" s="1623" t="s">
        <v>1707</v>
      </c>
      <c r="E45" s="1624"/>
      <c r="F45" s="1624"/>
      <c r="G45" s="1624"/>
      <c r="H45" s="1625"/>
    </row>
    <row r="46" spans="2:21" ht="19.5" customHeight="1" x14ac:dyDescent="0.2">
      <c r="C46" s="351" t="s">
        <v>592</v>
      </c>
      <c r="D46" s="278" t="s">
        <v>593</v>
      </c>
      <c r="E46" s="351" t="s">
        <v>594</v>
      </c>
      <c r="F46" s="351">
        <f>'DEM - DESN'!E154</f>
        <v>40</v>
      </c>
      <c r="G46" s="135">
        <f>OFE!F48</f>
        <v>0</v>
      </c>
      <c r="H46" s="365">
        <f>G46-F46</f>
        <v>-40</v>
      </c>
    </row>
    <row r="47" spans="2:21" ht="26.25" customHeight="1" x14ac:dyDescent="0.2">
      <c r="C47" s="1252" t="s">
        <v>595</v>
      </c>
      <c r="D47" s="1623" t="s">
        <v>1669</v>
      </c>
      <c r="E47" s="1624"/>
      <c r="F47" s="1624"/>
      <c r="G47" s="1624"/>
      <c r="H47" s="1625"/>
    </row>
    <row r="48" spans="2:21" ht="45" customHeight="1" x14ac:dyDescent="0.2">
      <c r="C48" s="353" t="s">
        <v>596</v>
      </c>
      <c r="D48" s="355" t="s">
        <v>597</v>
      </c>
      <c r="E48" s="353" t="s">
        <v>411</v>
      </c>
      <c r="F48" s="353">
        <f>'DEM - DESN'!E156</f>
        <v>8167.32</v>
      </c>
      <c r="G48" s="349">
        <f>OFE!F50</f>
        <v>0</v>
      </c>
      <c r="H48" s="1254">
        <f>G48-F48</f>
        <v>-8167.32</v>
      </c>
    </row>
    <row r="49" spans="3:8" ht="19.5" customHeight="1" x14ac:dyDescent="0.2">
      <c r="C49" s="351" t="s">
        <v>598</v>
      </c>
      <c r="D49" s="278" t="s">
        <v>599</v>
      </c>
      <c r="E49" s="351" t="s">
        <v>600</v>
      </c>
      <c r="F49" s="361">
        <f>'DEM - DESN'!E157</f>
        <v>30</v>
      </c>
      <c r="G49" s="135">
        <f>OFE!F51</f>
        <v>0</v>
      </c>
      <c r="H49" s="365">
        <f>G49-F49</f>
        <v>-30</v>
      </c>
    </row>
    <row r="50" spans="3:8" ht="19.5" customHeight="1" x14ac:dyDescent="0.2">
      <c r="C50" s="351" t="s">
        <v>601</v>
      </c>
      <c r="D50" s="354" t="s">
        <v>602</v>
      </c>
      <c r="E50" s="351" t="s">
        <v>402</v>
      </c>
      <c r="F50" s="361">
        <f>'DEM - DESN'!E158</f>
        <v>3</v>
      </c>
      <c r="G50" s="135">
        <f>OFE!F52</f>
        <v>0</v>
      </c>
      <c r="H50" s="365">
        <f>G50-F50</f>
        <v>-3</v>
      </c>
    </row>
    <row r="51" spans="3:8" ht="19.5" customHeight="1" x14ac:dyDescent="0.2">
      <c r="C51" s="351" t="s">
        <v>603</v>
      </c>
      <c r="D51" s="278" t="s">
        <v>604</v>
      </c>
      <c r="E51" s="351" t="s">
        <v>594</v>
      </c>
      <c r="F51" s="361">
        <f>'DEM - DESN'!E159</f>
        <v>40</v>
      </c>
      <c r="G51" s="135">
        <f>OFE!F53</f>
        <v>0</v>
      </c>
      <c r="H51" s="365">
        <f>G51-F51</f>
        <v>-40</v>
      </c>
    </row>
    <row r="52" spans="3:8" ht="26.25" customHeight="1" x14ac:dyDescent="0.2">
      <c r="C52" s="1252" t="s">
        <v>605</v>
      </c>
      <c r="D52" s="1623" t="s">
        <v>1708</v>
      </c>
      <c r="E52" s="1624"/>
      <c r="F52" s="1624"/>
      <c r="G52" s="1624"/>
      <c r="H52" s="1625"/>
    </row>
    <row r="53" spans="3:8" ht="19.5" customHeight="1" x14ac:dyDescent="0.2">
      <c r="C53" s="347" t="s">
        <v>606</v>
      </c>
      <c r="D53" s="1603" t="s">
        <v>607</v>
      </c>
      <c r="E53" s="1604"/>
      <c r="F53" s="1604"/>
      <c r="G53" s="1604"/>
      <c r="H53" s="1605"/>
    </row>
    <row r="54" spans="3:8" ht="19.5" customHeight="1" x14ac:dyDescent="0.2">
      <c r="C54" s="351" t="s">
        <v>608</v>
      </c>
      <c r="D54" s="278" t="s">
        <v>609</v>
      </c>
      <c r="E54" s="351" t="s">
        <v>594</v>
      </c>
      <c r="F54" s="351">
        <f>'DEM - DESN'!E162</f>
        <v>35</v>
      </c>
      <c r="G54" s="135">
        <f>OFE!F56</f>
        <v>0</v>
      </c>
      <c r="H54" s="365">
        <f t="shared" ref="H54:H59" si="4">G54-F54</f>
        <v>-35</v>
      </c>
    </row>
    <row r="55" spans="3:8" ht="15" x14ac:dyDescent="0.2">
      <c r="C55" s="351" t="s">
        <v>610</v>
      </c>
      <c r="D55" s="278" t="s">
        <v>611</v>
      </c>
      <c r="E55" s="351" t="s">
        <v>594</v>
      </c>
      <c r="F55" s="351">
        <f>'DEM - DESN'!E163</f>
        <v>86</v>
      </c>
      <c r="G55" s="135">
        <f>OFE!F57</f>
        <v>0</v>
      </c>
      <c r="H55" s="365">
        <f t="shared" si="4"/>
        <v>-86</v>
      </c>
    </row>
    <row r="56" spans="3:8" ht="15" x14ac:dyDescent="0.2">
      <c r="C56" s="351" t="s">
        <v>612</v>
      </c>
      <c r="D56" s="278" t="s">
        <v>613</v>
      </c>
      <c r="E56" s="351" t="s">
        <v>594</v>
      </c>
      <c r="F56" s="351">
        <f>'DEM - DESN'!E164</f>
        <v>18.5</v>
      </c>
      <c r="G56" s="135">
        <f>OFE!F58</f>
        <v>0</v>
      </c>
      <c r="H56" s="365">
        <f t="shared" si="4"/>
        <v>-18.5</v>
      </c>
    </row>
    <row r="57" spans="3:8" ht="18.75" customHeight="1" x14ac:dyDescent="0.2">
      <c r="C57" s="351" t="s">
        <v>614</v>
      </c>
      <c r="D57" s="278" t="s">
        <v>615</v>
      </c>
      <c r="E57" s="351" t="s">
        <v>594</v>
      </c>
      <c r="F57" s="351">
        <f>'DEM - DESN'!E165</f>
        <v>13.5</v>
      </c>
      <c r="G57" s="135">
        <f>OFE!F59</f>
        <v>0</v>
      </c>
      <c r="H57" s="365">
        <f t="shared" si="4"/>
        <v>-13.5</v>
      </c>
    </row>
    <row r="58" spans="3:8" ht="15" x14ac:dyDescent="0.2">
      <c r="C58" s="351" t="s">
        <v>616</v>
      </c>
      <c r="D58" s="278" t="s">
        <v>431</v>
      </c>
      <c r="E58" s="351" t="s">
        <v>594</v>
      </c>
      <c r="F58" s="351">
        <f>'DEM - DESN'!E166</f>
        <v>26</v>
      </c>
      <c r="G58" s="135">
        <f>OFE!F60</f>
        <v>0</v>
      </c>
      <c r="H58" s="365">
        <f t="shared" si="4"/>
        <v>-26</v>
      </c>
    </row>
    <row r="59" spans="3:8" ht="29.25" customHeight="1" x14ac:dyDescent="0.2">
      <c r="C59" s="353" t="s">
        <v>617</v>
      </c>
      <c r="D59" s="355" t="s">
        <v>618</v>
      </c>
      <c r="E59" s="353" t="s">
        <v>619</v>
      </c>
      <c r="F59" s="353">
        <f>'DEM - DESN'!E167</f>
        <v>16.87</v>
      </c>
      <c r="G59" s="349">
        <f>OFE!F61</f>
        <v>0</v>
      </c>
      <c r="H59" s="366">
        <f t="shared" si="4"/>
        <v>-16.87</v>
      </c>
    </row>
    <row r="60" spans="3:8" ht="12.75" customHeight="1" x14ac:dyDescent="0.2">
      <c r="C60" s="1252" t="s">
        <v>620</v>
      </c>
      <c r="D60" s="1623" t="s">
        <v>621</v>
      </c>
      <c r="E60" s="1624"/>
      <c r="F60" s="1624"/>
      <c r="G60" s="1624"/>
      <c r="H60" s="1625"/>
    </row>
    <row r="61" spans="3:8" x14ac:dyDescent="0.2">
      <c r="C61" s="351" t="s">
        <v>622</v>
      </c>
      <c r="D61" s="355" t="s">
        <v>623</v>
      </c>
      <c r="E61" s="353" t="s">
        <v>402</v>
      </c>
      <c r="F61" s="353">
        <f>'DEM - DESN'!E169</f>
        <v>5</v>
      </c>
      <c r="G61" s="349">
        <f>OFE!F63</f>
        <v>0</v>
      </c>
      <c r="H61" s="349">
        <f>G61-F61</f>
        <v>-5</v>
      </c>
    </row>
    <row r="62" spans="3:8" ht="15" x14ac:dyDescent="0.2">
      <c r="C62" s="351" t="s">
        <v>624</v>
      </c>
      <c r="D62" s="278" t="s">
        <v>625</v>
      </c>
      <c r="E62" s="351" t="s">
        <v>594</v>
      </c>
      <c r="F62" s="361">
        <f>'DEM - DESN'!E170</f>
        <v>20</v>
      </c>
      <c r="G62" s="135">
        <f>OFE!F64</f>
        <v>0</v>
      </c>
      <c r="H62" s="365">
        <f>G62-F62</f>
        <v>-20</v>
      </c>
    </row>
    <row r="63" spans="3:8" ht="15" x14ac:dyDescent="0.2">
      <c r="C63" s="351" t="s">
        <v>626</v>
      </c>
      <c r="D63" s="278" t="s">
        <v>627</v>
      </c>
      <c r="E63" s="351" t="s">
        <v>594</v>
      </c>
      <c r="F63" s="361">
        <f>'DEM - DESN'!E171</f>
        <v>20</v>
      </c>
      <c r="G63" s="135">
        <f>OFE!F65</f>
        <v>0</v>
      </c>
      <c r="H63" s="365">
        <f>G63-F63</f>
        <v>-20</v>
      </c>
    </row>
    <row r="64" spans="3:8" ht="12.75" customHeight="1" x14ac:dyDescent="0.2">
      <c r="C64" s="1252" t="s">
        <v>637</v>
      </c>
      <c r="D64" s="1623" t="s">
        <v>638</v>
      </c>
      <c r="E64" s="1624"/>
      <c r="F64" s="1624"/>
      <c r="G64" s="1624"/>
      <c r="H64" s="1625"/>
    </row>
    <row r="65" spans="3:8" ht="28.5" customHeight="1" x14ac:dyDescent="0.2">
      <c r="C65" s="351" t="s">
        <v>639</v>
      </c>
      <c r="D65" s="278" t="s">
        <v>628</v>
      </c>
      <c r="E65" s="351" t="s">
        <v>594</v>
      </c>
      <c r="F65" s="351">
        <f>'DEM - DESN'!E173</f>
        <v>23</v>
      </c>
      <c r="G65" s="135">
        <f>OFE!F67</f>
        <v>0</v>
      </c>
      <c r="H65" s="365">
        <f>G65-F65</f>
        <v>-23</v>
      </c>
    </row>
    <row r="66" spans="3:8" ht="15" x14ac:dyDescent="0.2">
      <c r="C66" s="351" t="s">
        <v>640</v>
      </c>
      <c r="D66" s="278" t="s">
        <v>629</v>
      </c>
      <c r="E66" s="351" t="s">
        <v>594</v>
      </c>
      <c r="F66" s="351">
        <f>'DEM - DESN'!E174</f>
        <v>16</v>
      </c>
      <c r="G66" s="135">
        <f>OFE!F68</f>
        <v>0</v>
      </c>
      <c r="H66" s="365">
        <f t="shared" ref="H66:H71" si="5">G66-F66</f>
        <v>-16</v>
      </c>
    </row>
    <row r="67" spans="3:8" ht="15" x14ac:dyDescent="0.2">
      <c r="C67" s="351" t="s">
        <v>641</v>
      </c>
      <c r="D67" s="278" t="s">
        <v>630</v>
      </c>
      <c r="E67" s="351" t="s">
        <v>594</v>
      </c>
      <c r="F67" s="351">
        <f>'DEM - DESN'!E175</f>
        <v>24</v>
      </c>
      <c r="G67" s="135">
        <f>OFE!F69</f>
        <v>0</v>
      </c>
      <c r="H67" s="365">
        <f t="shared" si="5"/>
        <v>-24</v>
      </c>
    </row>
    <row r="68" spans="3:8" ht="15" x14ac:dyDescent="0.2">
      <c r="C68" s="351" t="s">
        <v>642</v>
      </c>
      <c r="D68" s="278" t="s">
        <v>631</v>
      </c>
      <c r="E68" s="351" t="s">
        <v>594</v>
      </c>
      <c r="F68" s="351">
        <f>'DEM - DESN'!E176</f>
        <v>9</v>
      </c>
      <c r="G68" s="135">
        <f>OFE!F70</f>
        <v>0</v>
      </c>
      <c r="H68" s="365">
        <f t="shared" si="5"/>
        <v>-9</v>
      </c>
    </row>
    <row r="69" spans="3:8" ht="15.75" customHeight="1" x14ac:dyDescent="0.2">
      <c r="C69" s="356" t="s">
        <v>643</v>
      </c>
      <c r="D69" s="357" t="s">
        <v>632</v>
      </c>
      <c r="E69" s="356" t="s">
        <v>411</v>
      </c>
      <c r="F69" s="351">
        <f>'DEM - DESN'!E177</f>
        <v>1</v>
      </c>
      <c r="G69" s="135">
        <f>OFE!F71</f>
        <v>0</v>
      </c>
      <c r="H69" s="365">
        <f t="shared" si="5"/>
        <v>-1</v>
      </c>
    </row>
    <row r="70" spans="3:8" ht="15" x14ac:dyDescent="0.2">
      <c r="C70" s="356" t="s">
        <v>644</v>
      </c>
      <c r="D70" s="357" t="s">
        <v>633</v>
      </c>
      <c r="E70" s="356" t="s">
        <v>634</v>
      </c>
      <c r="F70" s="351">
        <f>'DEM - DESN'!E178</f>
        <v>2</v>
      </c>
      <c r="G70" s="135">
        <f>OFE!F72</f>
        <v>0</v>
      </c>
      <c r="H70" s="365">
        <f t="shared" si="5"/>
        <v>-2</v>
      </c>
    </row>
    <row r="71" spans="3:8" x14ac:dyDescent="0.2">
      <c r="C71" s="356" t="s">
        <v>645</v>
      </c>
      <c r="D71" s="357" t="s">
        <v>635</v>
      </c>
      <c r="E71" s="356" t="s">
        <v>636</v>
      </c>
      <c r="F71" s="351">
        <f>'DEM - DESN'!E179</f>
        <v>200</v>
      </c>
      <c r="G71" s="135">
        <f>OFE!F73</f>
        <v>0</v>
      </c>
      <c r="H71" s="365">
        <f t="shared" si="5"/>
        <v>-200</v>
      </c>
    </row>
    <row r="72" spans="3:8" ht="12.75" customHeight="1" x14ac:dyDescent="0.2">
      <c r="C72" s="358" t="s">
        <v>646</v>
      </c>
      <c r="D72" s="1600" t="s">
        <v>1916</v>
      </c>
      <c r="E72" s="1601"/>
      <c r="F72" s="1601"/>
      <c r="G72" s="1601"/>
      <c r="H72" s="1602"/>
    </row>
    <row r="73" spans="3:8" ht="12.75" customHeight="1" x14ac:dyDescent="0.2">
      <c r="C73" s="1018" t="s">
        <v>1698</v>
      </c>
      <c r="D73" s="1019" t="s">
        <v>1888</v>
      </c>
      <c r="E73" s="1018" t="s">
        <v>402</v>
      </c>
      <c r="F73" s="1020">
        <f>'DEM - DESN'!E181</f>
        <v>1</v>
      </c>
      <c r="G73" s="1026">
        <f>OFE!F75</f>
        <v>0</v>
      </c>
      <c r="H73" s="1026">
        <f t="shared" ref="H73:H78" si="6">G73-F73</f>
        <v>-1</v>
      </c>
    </row>
    <row r="74" spans="3:8" ht="38.25" x14ac:dyDescent="0.2">
      <c r="C74" s="1018" t="s">
        <v>1699</v>
      </c>
      <c r="D74" s="1019" t="s">
        <v>1408</v>
      </c>
      <c r="E74" s="1018" t="s">
        <v>402</v>
      </c>
      <c r="F74" s="1025">
        <f>'DEM - DESN'!E182</f>
        <v>11</v>
      </c>
      <c r="G74" s="1026">
        <f>OFE!F76</f>
        <v>0</v>
      </c>
      <c r="H74" s="1026">
        <f t="shared" si="6"/>
        <v>-11</v>
      </c>
    </row>
    <row r="75" spans="3:8" ht="25.5" x14ac:dyDescent="0.2">
      <c r="C75" s="1018" t="s">
        <v>1409</v>
      </c>
      <c r="D75" s="1019" t="s">
        <v>1403</v>
      </c>
      <c r="E75" s="1018" t="s">
        <v>402</v>
      </c>
      <c r="F75" s="1025">
        <f>'DEM - DESN'!E183</f>
        <v>11</v>
      </c>
      <c r="G75" s="1026">
        <f>OFE!F77</f>
        <v>0</v>
      </c>
      <c r="H75" s="1026">
        <f t="shared" si="6"/>
        <v>-11</v>
      </c>
    </row>
    <row r="76" spans="3:8" ht="25.5" x14ac:dyDescent="0.2">
      <c r="C76" s="1018" t="s">
        <v>1700</v>
      </c>
      <c r="D76" s="1019" t="s">
        <v>1404</v>
      </c>
      <c r="E76" s="1018" t="s">
        <v>402</v>
      </c>
      <c r="F76" s="1025">
        <f>'DEM - DESN'!E184</f>
        <v>11</v>
      </c>
      <c r="G76" s="1026">
        <f>OFE!F78</f>
        <v>0</v>
      </c>
      <c r="H76" s="1026">
        <f t="shared" si="6"/>
        <v>-11</v>
      </c>
    </row>
    <row r="77" spans="3:8" ht="38.25" x14ac:dyDescent="0.2">
      <c r="C77" s="1018" t="s">
        <v>1701</v>
      </c>
      <c r="D77" s="1019" t="s">
        <v>1405</v>
      </c>
      <c r="E77" s="1018" t="s">
        <v>402</v>
      </c>
      <c r="F77" s="1025">
        <f>'DEM - DESN'!E185</f>
        <v>11</v>
      </c>
      <c r="G77" s="1026">
        <f>OFE!F79</f>
        <v>0</v>
      </c>
      <c r="H77" s="1026">
        <f t="shared" si="6"/>
        <v>-11</v>
      </c>
    </row>
    <row r="78" spans="3:8" ht="38.25" x14ac:dyDescent="0.2">
      <c r="C78" s="1018" t="s">
        <v>1410</v>
      </c>
      <c r="D78" s="1021" t="s">
        <v>1406</v>
      </c>
      <c r="E78" s="1018" t="s">
        <v>402</v>
      </c>
      <c r="F78" s="1025">
        <f>'DEM - DESN'!E186</f>
        <v>11</v>
      </c>
      <c r="G78" s="1026">
        <f>OFE!F80</f>
        <v>0</v>
      </c>
      <c r="H78" s="1026">
        <f t="shared" si="6"/>
        <v>-11</v>
      </c>
    </row>
    <row r="79" spans="3:8" ht="38.25" x14ac:dyDescent="0.2">
      <c r="C79" s="1018" t="s">
        <v>1887</v>
      </c>
      <c r="D79" s="1021" t="s">
        <v>1407</v>
      </c>
      <c r="E79" s="1018" t="s">
        <v>402</v>
      </c>
      <c r="F79" s="1025">
        <f>'DEM - DESN'!E187</f>
        <v>11</v>
      </c>
      <c r="G79" s="1026">
        <f>OFE!F81</f>
        <v>0</v>
      </c>
      <c r="H79" s="1026">
        <f>G79-F79</f>
        <v>-11</v>
      </c>
    </row>
    <row r="80" spans="3:8" x14ac:dyDescent="0.2">
      <c r="C80" s="222"/>
      <c r="D80" s="222"/>
      <c r="E80" s="222"/>
      <c r="F80" s="222"/>
      <c r="G80" s="291"/>
      <c r="H80" s="291"/>
    </row>
    <row r="81" spans="2:8" ht="27" customHeight="1" x14ac:dyDescent="0.2">
      <c r="B81" s="290">
        <v>2</v>
      </c>
      <c r="C81" s="222" t="s">
        <v>1716</v>
      </c>
      <c r="D81" s="222"/>
      <c r="E81" s="222"/>
      <c r="F81" s="222"/>
      <c r="G81" s="292"/>
      <c r="H81" s="292"/>
    </row>
    <row r="82" spans="2:8" x14ac:dyDescent="0.2">
      <c r="C82" s="222"/>
      <c r="D82" s="222"/>
      <c r="E82" s="222"/>
      <c r="F82" s="222"/>
      <c r="G82" s="291"/>
      <c r="H82" s="291"/>
    </row>
    <row r="83" spans="2:8" x14ac:dyDescent="0.2">
      <c r="C83" s="232" t="s">
        <v>398</v>
      </c>
      <c r="D83" s="232" t="s">
        <v>396</v>
      </c>
      <c r="E83" s="232" t="s">
        <v>397</v>
      </c>
      <c r="F83" s="232" t="s">
        <v>426</v>
      </c>
      <c r="G83" s="232" t="s">
        <v>428</v>
      </c>
      <c r="H83" s="232" t="s">
        <v>425</v>
      </c>
    </row>
    <row r="84" spans="2:8" ht="12.75" customHeight="1" x14ac:dyDescent="0.2">
      <c r="B84" s="97"/>
      <c r="C84" s="273" t="s">
        <v>691</v>
      </c>
      <c r="D84" s="1590" t="s">
        <v>1657</v>
      </c>
      <c r="E84" s="1591"/>
      <c r="F84" s="1591"/>
      <c r="G84" s="1591"/>
      <c r="H84" s="1592"/>
    </row>
    <row r="85" spans="2:8" ht="12.75" customHeight="1" x14ac:dyDescent="0.2">
      <c r="C85" s="1575"/>
      <c r="D85" s="63" t="s">
        <v>1658</v>
      </c>
      <c r="E85" s="157" t="s">
        <v>1536</v>
      </c>
      <c r="F85" s="282">
        <f>'DEM - DESN'!E194</f>
        <v>2</v>
      </c>
      <c r="G85" s="1255">
        <f>OFE!F87</f>
        <v>0</v>
      </c>
      <c r="H85" s="1255">
        <f>G85-F85</f>
        <v>-2</v>
      </c>
    </row>
    <row r="86" spans="2:8" x14ac:dyDescent="0.2">
      <c r="C86" s="1576"/>
      <c r="D86" s="63" t="s">
        <v>1659</v>
      </c>
      <c r="E86" s="157" t="s">
        <v>1536</v>
      </c>
      <c r="F86" s="282">
        <f>'DEM - DESN'!E195</f>
        <v>2</v>
      </c>
      <c r="G86" s="1255">
        <f>OFE!F88</f>
        <v>0</v>
      </c>
      <c r="H86" s="1255">
        <f t="shared" ref="H86:H96" si="7">G86-F86</f>
        <v>-2</v>
      </c>
    </row>
    <row r="87" spans="2:8" ht="17.25" customHeight="1" x14ac:dyDescent="0.2">
      <c r="C87" s="1576"/>
      <c r="D87" s="63" t="s">
        <v>1660</v>
      </c>
      <c r="E87" s="157" t="s">
        <v>1536</v>
      </c>
      <c r="F87" s="282">
        <f>'DEM - DESN'!E196</f>
        <v>2</v>
      </c>
      <c r="G87" s="1255">
        <f>OFE!F89</f>
        <v>0</v>
      </c>
      <c r="H87" s="1255">
        <f t="shared" si="7"/>
        <v>-2</v>
      </c>
    </row>
    <row r="88" spans="2:8" x14ac:dyDescent="0.2">
      <c r="C88" s="1576"/>
      <c r="D88" s="63" t="s">
        <v>1661</v>
      </c>
      <c r="E88" s="157" t="s">
        <v>1536</v>
      </c>
      <c r="F88" s="282">
        <f>'DEM - DESN'!E197</f>
        <v>3</v>
      </c>
      <c r="G88" s="1255">
        <f>OFE!F90</f>
        <v>0</v>
      </c>
      <c r="H88" s="1255">
        <f t="shared" si="7"/>
        <v>-3</v>
      </c>
    </row>
    <row r="89" spans="2:8" x14ac:dyDescent="0.2">
      <c r="C89" s="1576"/>
      <c r="D89" s="63" t="s">
        <v>1662</v>
      </c>
      <c r="E89" s="157" t="s">
        <v>1536</v>
      </c>
      <c r="F89" s="282">
        <f>'DEM - DESN'!E198</f>
        <v>3</v>
      </c>
      <c r="G89" s="1255">
        <f>OFE!F91</f>
        <v>0</v>
      </c>
      <c r="H89" s="1255">
        <f t="shared" si="7"/>
        <v>-3</v>
      </c>
    </row>
    <row r="90" spans="2:8" ht="12.75" customHeight="1" x14ac:dyDescent="0.2">
      <c r="C90" s="1576"/>
      <c r="D90" s="63" t="s">
        <v>1663</v>
      </c>
      <c r="E90" s="157" t="s">
        <v>1536</v>
      </c>
      <c r="F90" s="282">
        <f>'DEM - DESN'!E199</f>
        <v>12</v>
      </c>
      <c r="G90" s="1255">
        <f>OFE!F92</f>
        <v>0</v>
      </c>
      <c r="H90" s="1255">
        <f t="shared" si="7"/>
        <v>-12</v>
      </c>
    </row>
    <row r="91" spans="2:8" x14ac:dyDescent="0.2">
      <c r="C91" s="1576"/>
      <c r="D91" s="1234" t="s">
        <v>1664</v>
      </c>
      <c r="E91" s="1235" t="s">
        <v>1536</v>
      </c>
      <c r="F91" s="282">
        <f>'DEM - DESN'!E200</f>
        <v>1</v>
      </c>
      <c r="G91" s="1255">
        <f>OFE!F93</f>
        <v>0</v>
      </c>
      <c r="H91" s="1255">
        <f t="shared" si="7"/>
        <v>-1</v>
      </c>
    </row>
    <row r="92" spans="2:8" x14ac:dyDescent="0.2">
      <c r="C92" s="1576"/>
      <c r="D92" s="63" t="s">
        <v>1665</v>
      </c>
      <c r="E92" s="157" t="s">
        <v>1536</v>
      </c>
      <c r="F92" s="282">
        <f>'DEM - DESN'!E201</f>
        <v>2</v>
      </c>
      <c r="G92" s="1255">
        <f>OFE!F94</f>
        <v>0</v>
      </c>
      <c r="H92" s="1255">
        <f t="shared" si="7"/>
        <v>-2</v>
      </c>
    </row>
    <row r="93" spans="2:8" x14ac:dyDescent="0.2">
      <c r="C93" s="1576"/>
      <c r="D93" s="1231" t="s">
        <v>1666</v>
      </c>
      <c r="E93" s="157" t="s">
        <v>1536</v>
      </c>
      <c r="F93" s="282">
        <f>'DEM - DESN'!E202</f>
        <v>1</v>
      </c>
      <c r="G93" s="1255">
        <f>OFE!F95</f>
        <v>0</v>
      </c>
      <c r="H93" s="1255">
        <f t="shared" si="7"/>
        <v>-1</v>
      </c>
    </row>
    <row r="94" spans="2:8" x14ac:dyDescent="0.2">
      <c r="C94" s="1576"/>
      <c r="D94" s="1231" t="s">
        <v>521</v>
      </c>
      <c r="E94" s="157" t="s">
        <v>1536</v>
      </c>
      <c r="F94" s="282">
        <f>'DEM - DESN'!E203</f>
        <v>2</v>
      </c>
      <c r="G94" s="1255">
        <f>OFE!F96</f>
        <v>0</v>
      </c>
      <c r="H94" s="1255">
        <f t="shared" si="7"/>
        <v>-2</v>
      </c>
    </row>
    <row r="95" spans="2:8" x14ac:dyDescent="0.2">
      <c r="C95" s="1576"/>
      <c r="D95" s="1232" t="s">
        <v>803</v>
      </c>
      <c r="E95" s="157" t="s">
        <v>1668</v>
      </c>
      <c r="F95" s="282">
        <f>'DEM - DESN'!E204</f>
        <v>1</v>
      </c>
      <c r="G95" s="1255">
        <f>OFE!F97</f>
        <v>0</v>
      </c>
      <c r="H95" s="1255">
        <f t="shared" si="7"/>
        <v>-1</v>
      </c>
    </row>
    <row r="96" spans="2:8" ht="16.5" x14ac:dyDescent="0.3">
      <c r="C96" s="1577"/>
      <c r="D96" s="1233" t="s">
        <v>1667</v>
      </c>
      <c r="E96" s="157" t="s">
        <v>1536</v>
      </c>
      <c r="F96" s="282">
        <f>'DEM - DESN'!E205</f>
        <v>1</v>
      </c>
      <c r="G96" s="1255">
        <f>OFE!F98</f>
        <v>0</v>
      </c>
      <c r="H96" s="1255">
        <f t="shared" si="7"/>
        <v>-1</v>
      </c>
    </row>
    <row r="97" spans="2:8" ht="27" customHeight="1" x14ac:dyDescent="0.2">
      <c r="C97" s="273">
        <v>2.2000000000000002</v>
      </c>
      <c r="D97" s="1590" t="s">
        <v>1710</v>
      </c>
      <c r="E97" s="1591"/>
      <c r="F97" s="1591"/>
      <c r="G97" s="1591"/>
      <c r="H97" s="1592"/>
    </row>
    <row r="98" spans="2:8" ht="25.5" x14ac:dyDescent="0.2">
      <c r="C98" s="1575"/>
      <c r="D98" s="1232" t="s">
        <v>1892</v>
      </c>
      <c r="E98" s="269" t="s">
        <v>1536</v>
      </c>
      <c r="F98" s="282">
        <f>'DEM - DESN'!E207</f>
        <v>2</v>
      </c>
      <c r="G98" s="1255">
        <f>OFE!F100</f>
        <v>0</v>
      </c>
      <c r="H98" s="1255">
        <f>G98-F98</f>
        <v>-2</v>
      </c>
    </row>
    <row r="99" spans="2:8" ht="38.25" x14ac:dyDescent="0.2">
      <c r="C99" s="1576"/>
      <c r="D99" s="1232" t="s">
        <v>1893</v>
      </c>
      <c r="E99" s="269" t="s">
        <v>1895</v>
      </c>
      <c r="F99" s="282">
        <f>'DEM - DESN'!E208</f>
        <v>1</v>
      </c>
      <c r="G99" s="1255">
        <f>OFE!F101</f>
        <v>0</v>
      </c>
      <c r="H99" s="1255">
        <f t="shared" ref="H99:H100" si="8">G99-F99</f>
        <v>-1</v>
      </c>
    </row>
    <row r="100" spans="2:8" ht="38.25" x14ac:dyDescent="0.2">
      <c r="C100" s="1577"/>
      <c r="D100" s="1232" t="s">
        <v>1894</v>
      </c>
      <c r="E100" s="269" t="s">
        <v>1895</v>
      </c>
      <c r="F100" s="282">
        <f>'DEM - DESN'!E209</f>
        <v>1</v>
      </c>
      <c r="G100" s="1255">
        <f>OFE!F102</f>
        <v>0</v>
      </c>
      <c r="H100" s="1255">
        <f t="shared" si="8"/>
        <v>-1</v>
      </c>
    </row>
    <row r="101" spans="2:8" ht="24" customHeight="1" x14ac:dyDescent="0.2">
      <c r="C101" s="273">
        <v>2.2999999999999998</v>
      </c>
      <c r="D101" s="1590" t="s">
        <v>1710</v>
      </c>
      <c r="E101" s="1591"/>
      <c r="F101" s="1591"/>
      <c r="G101" s="1591"/>
      <c r="H101" s="1592"/>
    </row>
    <row r="102" spans="2:8" ht="24.75" customHeight="1" x14ac:dyDescent="0.2">
      <c r="C102" s="1240" t="s">
        <v>410</v>
      </c>
      <c r="D102" s="1597" t="s">
        <v>532</v>
      </c>
      <c r="E102" s="1598"/>
      <c r="F102" s="1598"/>
      <c r="G102" s="1598"/>
      <c r="H102" s="1599"/>
    </row>
    <row r="103" spans="2:8" x14ac:dyDescent="0.2">
      <c r="C103" s="1240"/>
      <c r="D103" s="283" t="s">
        <v>435</v>
      </c>
      <c r="E103" s="1248" t="s">
        <v>402</v>
      </c>
      <c r="F103" s="282">
        <f>'DEM - DESN'!E212</f>
        <v>2</v>
      </c>
      <c r="G103" s="1248">
        <f>OFE!F105</f>
        <v>0</v>
      </c>
      <c r="H103" s="135">
        <f>G103-F103</f>
        <v>-2</v>
      </c>
    </row>
    <row r="104" spans="2:8" x14ac:dyDescent="0.2">
      <c r="B104" s="97"/>
      <c r="C104" s="1241"/>
      <c r="D104" s="283" t="s">
        <v>432</v>
      </c>
      <c r="E104" s="282" t="s">
        <v>411</v>
      </c>
      <c r="F104" s="282">
        <f>'DEM - DESN'!E213</f>
        <v>1</v>
      </c>
      <c r="G104" s="1248">
        <f>OFE!F106</f>
        <v>0</v>
      </c>
      <c r="H104" s="135">
        <f>G104-F104</f>
        <v>-1</v>
      </c>
    </row>
    <row r="105" spans="2:8" x14ac:dyDescent="0.2">
      <c r="C105" s="1241"/>
      <c r="D105" s="283" t="s">
        <v>433</v>
      </c>
      <c r="E105" s="1248" t="s">
        <v>402</v>
      </c>
      <c r="F105" s="282">
        <f>'DEM - DESN'!E214</f>
        <v>1</v>
      </c>
      <c r="G105" s="1248">
        <f>OFE!F107</f>
        <v>0</v>
      </c>
      <c r="H105" s="135">
        <f>G105-F105</f>
        <v>-1</v>
      </c>
    </row>
    <row r="106" spans="2:8" x14ac:dyDescent="0.2">
      <c r="C106" s="1242"/>
      <c r="D106" s="283" t="s">
        <v>434</v>
      </c>
      <c r="E106" s="1248" t="s">
        <v>402</v>
      </c>
      <c r="F106" s="282">
        <f>'DEM - DESN'!E215</f>
        <v>1</v>
      </c>
      <c r="G106" s="1248">
        <f>OFE!F108</f>
        <v>0</v>
      </c>
      <c r="H106" s="135">
        <f>G106-F106</f>
        <v>-1</v>
      </c>
    </row>
    <row r="107" spans="2:8" ht="27" customHeight="1" x14ac:dyDescent="0.2">
      <c r="C107" s="1242" t="s">
        <v>1621</v>
      </c>
      <c r="D107" s="1597" t="s">
        <v>1671</v>
      </c>
      <c r="E107" s="1598"/>
      <c r="F107" s="1598"/>
      <c r="G107" s="1598"/>
      <c r="H107" s="1599"/>
    </row>
    <row r="108" spans="2:8" ht="18" customHeight="1" x14ac:dyDescent="0.2">
      <c r="C108" s="1575"/>
      <c r="D108" s="283" t="s">
        <v>436</v>
      </c>
      <c r="E108" s="1248" t="s">
        <v>402</v>
      </c>
      <c r="F108" s="282">
        <f>'DEM - DESN'!E217</f>
        <v>1</v>
      </c>
      <c r="G108" s="1255">
        <f>OFE!F110</f>
        <v>0</v>
      </c>
      <c r="H108" s="1248">
        <f>G108-F108</f>
        <v>-1</v>
      </c>
    </row>
    <row r="109" spans="2:8" ht="15" customHeight="1" x14ac:dyDescent="0.2">
      <c r="C109" s="1576"/>
      <c r="D109" s="283" t="s">
        <v>437</v>
      </c>
      <c r="E109" s="1248" t="s">
        <v>402</v>
      </c>
      <c r="F109" s="282">
        <f>'DEM - DESN'!E218</f>
        <v>1</v>
      </c>
      <c r="G109" s="1255">
        <f>OFE!F111</f>
        <v>0</v>
      </c>
      <c r="H109" s="1248">
        <f t="shared" ref="H109:H139" si="9">G109-F109</f>
        <v>-1</v>
      </c>
    </row>
    <row r="110" spans="2:8" x14ac:dyDescent="0.2">
      <c r="C110" s="1576"/>
      <c r="D110" s="283" t="s">
        <v>438</v>
      </c>
      <c r="E110" s="1248" t="s">
        <v>402</v>
      </c>
      <c r="F110" s="282">
        <f>'DEM - DESN'!E219</f>
        <v>1</v>
      </c>
      <c r="G110" s="1255">
        <f>OFE!F112</f>
        <v>0</v>
      </c>
      <c r="H110" s="1248">
        <f t="shared" si="9"/>
        <v>-1</v>
      </c>
    </row>
    <row r="111" spans="2:8" ht="18" customHeight="1" x14ac:dyDescent="0.2">
      <c r="C111" s="1576"/>
      <c r="D111" s="283" t="s">
        <v>439</v>
      </c>
      <c r="E111" s="1248" t="s">
        <v>402</v>
      </c>
      <c r="F111" s="282">
        <f>'DEM - DESN'!E220</f>
        <v>2</v>
      </c>
      <c r="G111" s="1255">
        <f>OFE!F113</f>
        <v>0</v>
      </c>
      <c r="H111" s="1248">
        <f t="shared" si="9"/>
        <v>-2</v>
      </c>
    </row>
    <row r="112" spans="2:8" ht="15" customHeight="1" x14ac:dyDescent="0.2">
      <c r="C112" s="1576"/>
      <c r="D112" s="283" t="s">
        <v>440</v>
      </c>
      <c r="E112" s="1248" t="s">
        <v>402</v>
      </c>
      <c r="F112" s="282">
        <f>'DEM - DESN'!E221</f>
        <v>1</v>
      </c>
      <c r="G112" s="1255">
        <f>OFE!F114</f>
        <v>0</v>
      </c>
      <c r="H112" s="1248">
        <f t="shared" si="9"/>
        <v>-1</v>
      </c>
    </row>
    <row r="113" spans="2:8" x14ac:dyDescent="0.2">
      <c r="C113" s="1576"/>
      <c r="D113" s="283" t="s">
        <v>441</v>
      </c>
      <c r="E113" s="1248" t="s">
        <v>402</v>
      </c>
      <c r="F113" s="282">
        <f>'DEM - DESN'!E222</f>
        <v>1</v>
      </c>
      <c r="G113" s="1255">
        <f>OFE!F115</f>
        <v>0</v>
      </c>
      <c r="H113" s="1248">
        <f t="shared" si="9"/>
        <v>-1</v>
      </c>
    </row>
    <row r="114" spans="2:8" x14ac:dyDescent="0.2">
      <c r="C114" s="1576"/>
      <c r="D114" s="283" t="s">
        <v>442</v>
      </c>
      <c r="E114" s="1248" t="s">
        <v>402</v>
      </c>
      <c r="F114" s="282">
        <f>'DEM - DESN'!E223</f>
        <v>1</v>
      </c>
      <c r="G114" s="1255">
        <f>OFE!F116</f>
        <v>0</v>
      </c>
      <c r="H114" s="1248">
        <f t="shared" si="9"/>
        <v>-1</v>
      </c>
    </row>
    <row r="115" spans="2:8" ht="16.5" customHeight="1" x14ac:dyDescent="0.2">
      <c r="B115" s="97"/>
      <c r="C115" s="1576"/>
      <c r="D115" s="283" t="s">
        <v>443</v>
      </c>
      <c r="E115" s="1248" t="s">
        <v>402</v>
      </c>
      <c r="F115" s="282">
        <f>'DEM - DESN'!E224</f>
        <v>4</v>
      </c>
      <c r="G115" s="1255">
        <f>OFE!F117</f>
        <v>0</v>
      </c>
      <c r="H115" s="1248">
        <f t="shared" si="9"/>
        <v>-4</v>
      </c>
    </row>
    <row r="116" spans="2:8" x14ac:dyDescent="0.2">
      <c r="C116" s="1576"/>
      <c r="D116" s="283" t="s">
        <v>444</v>
      </c>
      <c r="E116" s="1248" t="s">
        <v>402</v>
      </c>
      <c r="F116" s="282">
        <f>'DEM - DESN'!E225</f>
        <v>1</v>
      </c>
      <c r="G116" s="1255">
        <f>OFE!F118</f>
        <v>0</v>
      </c>
      <c r="H116" s="1248">
        <f t="shared" si="9"/>
        <v>-1</v>
      </c>
    </row>
    <row r="117" spans="2:8" x14ac:dyDescent="0.2">
      <c r="C117" s="1576"/>
      <c r="D117" s="283" t="s">
        <v>445</v>
      </c>
      <c r="E117" s="1248" t="s">
        <v>402</v>
      </c>
      <c r="F117" s="282">
        <f>'DEM - DESN'!E226</f>
        <v>10</v>
      </c>
      <c r="G117" s="1255">
        <f>OFE!F119</f>
        <v>0</v>
      </c>
      <c r="H117" s="1248">
        <f t="shared" si="9"/>
        <v>-10</v>
      </c>
    </row>
    <row r="118" spans="2:8" x14ac:dyDescent="0.2">
      <c r="C118" s="1576"/>
      <c r="D118" s="283" t="s">
        <v>446</v>
      </c>
      <c r="E118" s="1248" t="s">
        <v>402</v>
      </c>
      <c r="F118" s="282">
        <f>'DEM - DESN'!E227</f>
        <v>1</v>
      </c>
      <c r="G118" s="1255">
        <f>OFE!F120</f>
        <v>0</v>
      </c>
      <c r="H118" s="1248">
        <f t="shared" si="9"/>
        <v>-1</v>
      </c>
    </row>
    <row r="119" spans="2:8" x14ac:dyDescent="0.2">
      <c r="C119" s="1576"/>
      <c r="D119" s="283" t="s">
        <v>447</v>
      </c>
      <c r="E119" s="282" t="s">
        <v>411</v>
      </c>
      <c r="F119" s="282">
        <f>'DEM - DESN'!E228</f>
        <v>1</v>
      </c>
      <c r="G119" s="1255">
        <f>OFE!F121</f>
        <v>0</v>
      </c>
      <c r="H119" s="1248">
        <f t="shared" si="9"/>
        <v>-1</v>
      </c>
    </row>
    <row r="120" spans="2:8" x14ac:dyDescent="0.2">
      <c r="C120" s="1577"/>
      <c r="D120" s="283" t="s">
        <v>448</v>
      </c>
      <c r="E120" s="282" t="s">
        <v>411</v>
      </c>
      <c r="F120" s="282">
        <f>'DEM - DESN'!E229</f>
        <v>1</v>
      </c>
      <c r="G120" s="1255">
        <f>OFE!F122</f>
        <v>0</v>
      </c>
      <c r="H120" s="1248">
        <f t="shared" si="9"/>
        <v>-1</v>
      </c>
    </row>
    <row r="121" spans="2:8" ht="27.75" customHeight="1" x14ac:dyDescent="0.2">
      <c r="C121" s="1243" t="s">
        <v>1622</v>
      </c>
      <c r="D121" s="1597" t="s">
        <v>1670</v>
      </c>
      <c r="E121" s="1598"/>
      <c r="F121" s="1598"/>
      <c r="G121" s="1598"/>
      <c r="H121" s="1599"/>
    </row>
    <row r="122" spans="2:8" ht="15" customHeight="1" x14ac:dyDescent="0.2">
      <c r="C122" s="1575"/>
      <c r="D122" s="1244" t="s">
        <v>449</v>
      </c>
      <c r="E122" s="1248" t="s">
        <v>402</v>
      </c>
      <c r="F122" s="288">
        <f>'DEM - DESN'!E231</f>
        <v>15</v>
      </c>
      <c r="G122" s="274">
        <f>OFE!F124</f>
        <v>0</v>
      </c>
      <c r="H122" s="1248">
        <f t="shared" si="9"/>
        <v>-15</v>
      </c>
    </row>
    <row r="123" spans="2:8" x14ac:dyDescent="0.2">
      <c r="C123" s="1576"/>
      <c r="D123" s="1244" t="s">
        <v>450</v>
      </c>
      <c r="E123" s="288" t="s">
        <v>467</v>
      </c>
      <c r="F123" s="288">
        <f>'DEM - DESN'!E232</f>
        <v>200</v>
      </c>
      <c r="G123" s="1243">
        <f>OFE!F125</f>
        <v>0</v>
      </c>
      <c r="H123" s="1248">
        <f t="shared" si="9"/>
        <v>-200</v>
      </c>
    </row>
    <row r="124" spans="2:8" ht="25.5" x14ac:dyDescent="0.2">
      <c r="C124" s="1576"/>
      <c r="D124" s="1244" t="s">
        <v>451</v>
      </c>
      <c r="E124" s="1248" t="s">
        <v>402</v>
      </c>
      <c r="F124" s="288">
        <f>'DEM - DESN'!E233</f>
        <v>30</v>
      </c>
      <c r="G124" s="1243">
        <f>OFE!F126</f>
        <v>0</v>
      </c>
      <c r="H124" s="1248">
        <f t="shared" si="9"/>
        <v>-30</v>
      </c>
    </row>
    <row r="125" spans="2:8" x14ac:dyDescent="0.2">
      <c r="C125" s="1576"/>
      <c r="D125" s="1244" t="s">
        <v>452</v>
      </c>
      <c r="E125" s="1248" t="s">
        <v>402</v>
      </c>
      <c r="F125" s="288">
        <f>'DEM - DESN'!E234</f>
        <v>2</v>
      </c>
      <c r="G125" s="1243">
        <f>OFE!F127</f>
        <v>0</v>
      </c>
      <c r="H125" s="1248">
        <f t="shared" si="9"/>
        <v>-2</v>
      </c>
    </row>
    <row r="126" spans="2:8" x14ac:dyDescent="0.2">
      <c r="C126" s="1576"/>
      <c r="D126" s="1244" t="s">
        <v>453</v>
      </c>
      <c r="E126" s="1248" t="s">
        <v>402</v>
      </c>
      <c r="F126" s="288">
        <f>'DEM - DESN'!E235</f>
        <v>2</v>
      </c>
      <c r="G126" s="1243">
        <f>OFE!F128</f>
        <v>0</v>
      </c>
      <c r="H126" s="1248">
        <f t="shared" si="9"/>
        <v>-2</v>
      </c>
    </row>
    <row r="127" spans="2:8" ht="12.75" customHeight="1" x14ac:dyDescent="0.2">
      <c r="C127" s="1576"/>
      <c r="D127" s="1244" t="s">
        <v>454</v>
      </c>
      <c r="E127" s="1248" t="s">
        <v>402</v>
      </c>
      <c r="F127" s="288">
        <f>'DEM - DESN'!E236</f>
        <v>8</v>
      </c>
      <c r="G127" s="1243">
        <f>OFE!F129</f>
        <v>0</v>
      </c>
      <c r="H127" s="1248">
        <f t="shared" si="9"/>
        <v>-8</v>
      </c>
    </row>
    <row r="128" spans="2:8" ht="25.5" x14ac:dyDescent="0.2">
      <c r="C128" s="1576"/>
      <c r="D128" s="1244" t="s">
        <v>455</v>
      </c>
      <c r="E128" s="282" t="s">
        <v>411</v>
      </c>
      <c r="F128" s="288">
        <f>'DEM - DESN'!E237</f>
        <v>1</v>
      </c>
      <c r="G128" s="1243">
        <f>OFE!F130</f>
        <v>0</v>
      </c>
      <c r="H128" s="1248">
        <f t="shared" si="9"/>
        <v>-1</v>
      </c>
    </row>
    <row r="129" spans="3:8" x14ac:dyDescent="0.2">
      <c r="C129" s="1576"/>
      <c r="D129" s="1244" t="s">
        <v>456</v>
      </c>
      <c r="E129" s="1248" t="s">
        <v>402</v>
      </c>
      <c r="F129" s="288">
        <f>'DEM - DESN'!E238</f>
        <v>4</v>
      </c>
      <c r="G129" s="1243">
        <f>OFE!F131</f>
        <v>0</v>
      </c>
      <c r="H129" s="1248">
        <f t="shared" si="9"/>
        <v>-4</v>
      </c>
    </row>
    <row r="130" spans="3:8" x14ac:dyDescent="0.2">
      <c r="C130" s="1576"/>
      <c r="D130" s="1244" t="s">
        <v>457</v>
      </c>
      <c r="E130" s="1248" t="s">
        <v>402</v>
      </c>
      <c r="F130" s="288">
        <f>'DEM - DESN'!E239</f>
        <v>2</v>
      </c>
      <c r="G130" s="1243">
        <f>OFE!F132</f>
        <v>0</v>
      </c>
      <c r="H130" s="1248">
        <f t="shared" si="9"/>
        <v>-2</v>
      </c>
    </row>
    <row r="131" spans="3:8" x14ac:dyDescent="0.2">
      <c r="C131" s="1576"/>
      <c r="D131" s="1244" t="s">
        <v>458</v>
      </c>
      <c r="E131" s="282" t="s">
        <v>411</v>
      </c>
      <c r="F131" s="288">
        <f>'DEM - DESN'!E240</f>
        <v>1</v>
      </c>
      <c r="G131" s="1243">
        <f>OFE!F133</f>
        <v>0</v>
      </c>
      <c r="H131" s="1248">
        <f t="shared" si="9"/>
        <v>-1</v>
      </c>
    </row>
    <row r="132" spans="3:8" x14ac:dyDescent="0.2">
      <c r="C132" s="1576"/>
      <c r="D132" s="1244" t="s">
        <v>459</v>
      </c>
      <c r="E132" s="1248" t="s">
        <v>402</v>
      </c>
      <c r="F132" s="288">
        <f>'DEM - DESN'!E241</f>
        <v>8</v>
      </c>
      <c r="G132" s="1243">
        <f>OFE!F134</f>
        <v>0</v>
      </c>
      <c r="H132" s="1248">
        <f t="shared" si="9"/>
        <v>-8</v>
      </c>
    </row>
    <row r="133" spans="3:8" x14ac:dyDescent="0.2">
      <c r="C133" s="1576"/>
      <c r="D133" s="1244" t="s">
        <v>460</v>
      </c>
      <c r="E133" s="1248" t="s">
        <v>402</v>
      </c>
      <c r="F133" s="288">
        <f>'DEM - DESN'!E242</f>
        <v>8</v>
      </c>
      <c r="G133" s="1243">
        <f>OFE!F135</f>
        <v>0</v>
      </c>
      <c r="H133" s="1248">
        <f t="shared" si="9"/>
        <v>-8</v>
      </c>
    </row>
    <row r="134" spans="3:8" ht="12" customHeight="1" x14ac:dyDescent="0.2">
      <c r="C134" s="1576"/>
      <c r="D134" s="1244" t="s">
        <v>461</v>
      </c>
      <c r="E134" s="1248" t="s">
        <v>402</v>
      </c>
      <c r="F134" s="288">
        <f>'DEM - DESN'!E243</f>
        <v>3</v>
      </c>
      <c r="G134" s="1243">
        <f>OFE!F136</f>
        <v>0</v>
      </c>
      <c r="H134" s="1248">
        <f t="shared" si="9"/>
        <v>-3</v>
      </c>
    </row>
    <row r="135" spans="3:8" x14ac:dyDescent="0.2">
      <c r="C135" s="1576"/>
      <c r="D135" s="1244" t="s">
        <v>462</v>
      </c>
      <c r="E135" s="1248" t="s">
        <v>402</v>
      </c>
      <c r="F135" s="288">
        <f>'DEM - DESN'!E244</f>
        <v>3</v>
      </c>
      <c r="G135" s="1243">
        <f>OFE!F137</f>
        <v>0</v>
      </c>
      <c r="H135" s="1248">
        <f t="shared" si="9"/>
        <v>-3</v>
      </c>
    </row>
    <row r="136" spans="3:8" x14ac:dyDescent="0.2">
      <c r="C136" s="1576"/>
      <c r="D136" s="1244" t="s">
        <v>463</v>
      </c>
      <c r="E136" s="1248" t="s">
        <v>402</v>
      </c>
      <c r="F136" s="288">
        <f>'DEM - DESN'!E245</f>
        <v>3</v>
      </c>
      <c r="G136" s="1243">
        <f>OFE!F138</f>
        <v>0</v>
      </c>
      <c r="H136" s="1248">
        <f t="shared" si="9"/>
        <v>-3</v>
      </c>
    </row>
    <row r="137" spans="3:8" x14ac:dyDescent="0.2">
      <c r="C137" s="1576"/>
      <c r="D137" s="1244" t="s">
        <v>464</v>
      </c>
      <c r="E137" s="1248" t="s">
        <v>402</v>
      </c>
      <c r="F137" s="288">
        <f>'DEM - DESN'!E246</f>
        <v>2</v>
      </c>
      <c r="G137" s="1243">
        <f>OFE!F139</f>
        <v>0</v>
      </c>
      <c r="H137" s="1248">
        <f t="shared" si="9"/>
        <v>-2</v>
      </c>
    </row>
    <row r="138" spans="3:8" x14ac:dyDescent="0.2">
      <c r="C138" s="1576"/>
      <c r="D138" s="1244" t="s">
        <v>465</v>
      </c>
      <c r="E138" s="1248" t="s">
        <v>402</v>
      </c>
      <c r="F138" s="288">
        <f>'DEM - DESN'!E247</f>
        <v>5</v>
      </c>
      <c r="G138" s="1243">
        <f>OFE!F140</f>
        <v>0</v>
      </c>
      <c r="H138" s="1248">
        <f t="shared" si="9"/>
        <v>-5</v>
      </c>
    </row>
    <row r="139" spans="3:8" x14ac:dyDescent="0.2">
      <c r="C139" s="1577"/>
      <c r="D139" s="1244" t="s">
        <v>466</v>
      </c>
      <c r="E139" s="1248" t="s">
        <v>402</v>
      </c>
      <c r="F139" s="288">
        <f>'DEM - DESN'!E248</f>
        <v>3</v>
      </c>
      <c r="G139" s="1243">
        <f>OFE!F141</f>
        <v>0</v>
      </c>
      <c r="H139" s="1248">
        <f t="shared" si="9"/>
        <v>-3</v>
      </c>
    </row>
    <row r="140" spans="3:8" ht="28.5" customHeight="1" x14ac:dyDescent="0.2">
      <c r="C140" s="273">
        <v>2.4</v>
      </c>
      <c r="D140" s="1590" t="s">
        <v>406</v>
      </c>
      <c r="E140" s="1591"/>
      <c r="F140" s="1591"/>
      <c r="G140" s="1591"/>
      <c r="H140" s="1592"/>
    </row>
    <row r="141" spans="3:8" x14ac:dyDescent="0.2">
      <c r="C141" s="1243" t="s">
        <v>1711</v>
      </c>
      <c r="D141" s="1587" t="s">
        <v>468</v>
      </c>
      <c r="E141" s="1588"/>
      <c r="F141" s="1588"/>
      <c r="G141" s="1588"/>
      <c r="H141" s="1589"/>
    </row>
    <row r="142" spans="3:8" x14ac:dyDescent="0.2">
      <c r="C142" s="1595"/>
      <c r="D142" s="287" t="s">
        <v>469</v>
      </c>
      <c r="E142" s="1248" t="s">
        <v>402</v>
      </c>
      <c r="F142" s="288">
        <f>'DEM - DESN'!E251</f>
        <v>2</v>
      </c>
      <c r="G142" s="1248">
        <f>OFE!F144</f>
        <v>0</v>
      </c>
      <c r="H142" s="1248">
        <f t="shared" ref="H142:H146" si="10">G142-F142</f>
        <v>-2</v>
      </c>
    </row>
    <row r="143" spans="3:8" x14ac:dyDescent="0.2">
      <c r="C143" s="1595"/>
      <c r="D143" s="287" t="s">
        <v>470</v>
      </c>
      <c r="E143" s="1248" t="s">
        <v>402</v>
      </c>
      <c r="F143" s="288">
        <f>'DEM - DESN'!E252</f>
        <v>1</v>
      </c>
      <c r="G143" s="1248">
        <f>OFE!F145</f>
        <v>0</v>
      </c>
      <c r="H143" s="1248">
        <f t="shared" si="10"/>
        <v>-1</v>
      </c>
    </row>
    <row r="144" spans="3:8" x14ac:dyDescent="0.2">
      <c r="C144" s="1595"/>
      <c r="D144" s="287" t="s">
        <v>471</v>
      </c>
      <c r="E144" s="1248" t="s">
        <v>402</v>
      </c>
      <c r="F144" s="288">
        <f>'DEM - DESN'!E253</f>
        <v>1</v>
      </c>
      <c r="G144" s="1248">
        <f>OFE!F146</f>
        <v>0</v>
      </c>
      <c r="H144" s="1248">
        <f t="shared" si="10"/>
        <v>-1</v>
      </c>
    </row>
    <row r="145" spans="3:8" x14ac:dyDescent="0.2">
      <c r="C145" s="1595"/>
      <c r="D145" s="287" t="s">
        <v>472</v>
      </c>
      <c r="E145" s="1248" t="s">
        <v>402</v>
      </c>
      <c r="F145" s="288">
        <f>'DEM - DESN'!E254</f>
        <v>1</v>
      </c>
      <c r="G145" s="1248">
        <f>OFE!F147</f>
        <v>0</v>
      </c>
      <c r="H145" s="1248">
        <f t="shared" si="10"/>
        <v>-1</v>
      </c>
    </row>
    <row r="146" spans="3:8" x14ac:dyDescent="0.2">
      <c r="C146" s="1595"/>
      <c r="D146" s="287" t="s">
        <v>473</v>
      </c>
      <c r="E146" s="1248" t="s">
        <v>402</v>
      </c>
      <c r="F146" s="288">
        <f>'DEM - DESN'!E255</f>
        <v>2</v>
      </c>
      <c r="G146" s="1248">
        <f>OFE!F148</f>
        <v>0</v>
      </c>
      <c r="H146" s="1248">
        <f t="shared" si="10"/>
        <v>-2</v>
      </c>
    </row>
    <row r="147" spans="3:8" ht="18.75" customHeight="1" x14ac:dyDescent="0.2">
      <c r="C147" s="1243" t="s">
        <v>1896</v>
      </c>
      <c r="D147" s="1578" t="s">
        <v>675</v>
      </c>
      <c r="E147" s="1579"/>
      <c r="F147" s="1579"/>
      <c r="G147" s="1579"/>
      <c r="H147" s="1580"/>
    </row>
    <row r="148" spans="3:8" x14ac:dyDescent="0.2">
      <c r="C148" s="1575"/>
      <c r="D148" s="287" t="s">
        <v>474</v>
      </c>
      <c r="E148" s="1248" t="s">
        <v>402</v>
      </c>
      <c r="F148" s="288">
        <f>'DEM - DESN'!E257</f>
        <v>1</v>
      </c>
      <c r="G148" s="1248">
        <f>OFE!F150</f>
        <v>0</v>
      </c>
      <c r="H148" s="1256">
        <f>G148-F148</f>
        <v>-1</v>
      </c>
    </row>
    <row r="149" spans="3:8" x14ac:dyDescent="0.2">
      <c r="C149" s="1576"/>
      <c r="D149" s="287" t="s">
        <v>475</v>
      </c>
      <c r="E149" s="1248" t="s">
        <v>402</v>
      </c>
      <c r="F149" s="288">
        <f>'DEM - DESN'!E258</f>
        <v>1</v>
      </c>
      <c r="G149" s="1248">
        <f>OFE!F151</f>
        <v>0</v>
      </c>
      <c r="H149" s="1256">
        <f t="shared" ref="H149:H163" si="11">G149-F149</f>
        <v>-1</v>
      </c>
    </row>
    <row r="150" spans="3:8" x14ac:dyDescent="0.2">
      <c r="C150" s="1576"/>
      <c r="D150" s="287" t="s">
        <v>476</v>
      </c>
      <c r="E150" s="1248" t="s">
        <v>402</v>
      </c>
      <c r="F150" s="288">
        <f>'DEM - DESN'!E259</f>
        <v>1</v>
      </c>
      <c r="G150" s="1248">
        <f>OFE!F152</f>
        <v>0</v>
      </c>
      <c r="H150" s="1256">
        <f t="shared" si="11"/>
        <v>-1</v>
      </c>
    </row>
    <row r="151" spans="3:8" ht="12.75" customHeight="1" x14ac:dyDescent="0.2">
      <c r="C151" s="1576"/>
      <c r="D151" s="287" t="s">
        <v>477</v>
      </c>
      <c r="E151" s="1248" t="s">
        <v>402</v>
      </c>
      <c r="F151" s="288">
        <f>'DEM - DESN'!E260</f>
        <v>1</v>
      </c>
      <c r="G151" s="1248">
        <f>OFE!F153</f>
        <v>0</v>
      </c>
      <c r="H151" s="1256">
        <f t="shared" si="11"/>
        <v>-1</v>
      </c>
    </row>
    <row r="152" spans="3:8" x14ac:dyDescent="0.2">
      <c r="C152" s="1576"/>
      <c r="D152" s="287" t="s">
        <v>478</v>
      </c>
      <c r="E152" s="1248" t="s">
        <v>402</v>
      </c>
      <c r="F152" s="288">
        <f>'DEM - DESN'!E261</f>
        <v>2</v>
      </c>
      <c r="G152" s="1248">
        <f>OFE!F154</f>
        <v>0</v>
      </c>
      <c r="H152" s="1256">
        <f t="shared" si="11"/>
        <v>-2</v>
      </c>
    </row>
    <row r="153" spans="3:8" x14ac:dyDescent="0.2">
      <c r="C153" s="1576"/>
      <c r="D153" s="287" t="s">
        <v>461</v>
      </c>
      <c r="E153" s="1248" t="s">
        <v>402</v>
      </c>
      <c r="F153" s="288">
        <f>'DEM - DESN'!E262</f>
        <v>3</v>
      </c>
      <c r="G153" s="1248">
        <f>OFE!F155</f>
        <v>0</v>
      </c>
      <c r="H153" s="1256">
        <f t="shared" si="11"/>
        <v>-3</v>
      </c>
    </row>
    <row r="154" spans="3:8" x14ac:dyDescent="0.2">
      <c r="C154" s="1576"/>
      <c r="D154" s="287" t="s">
        <v>462</v>
      </c>
      <c r="E154" s="1248" t="s">
        <v>402</v>
      </c>
      <c r="F154" s="288">
        <f>'DEM - DESN'!E263</f>
        <v>3</v>
      </c>
      <c r="G154" s="1248">
        <f>OFE!F156</f>
        <v>0</v>
      </c>
      <c r="H154" s="1256">
        <f t="shared" si="11"/>
        <v>-3</v>
      </c>
    </row>
    <row r="155" spans="3:8" x14ac:dyDescent="0.2">
      <c r="C155" s="1576"/>
      <c r="D155" s="287" t="s">
        <v>479</v>
      </c>
      <c r="E155" s="1248" t="s">
        <v>402</v>
      </c>
      <c r="F155" s="288">
        <f>'DEM - DESN'!E264</f>
        <v>3</v>
      </c>
      <c r="G155" s="1248">
        <f>OFE!F157</f>
        <v>0</v>
      </c>
      <c r="H155" s="1256">
        <f t="shared" si="11"/>
        <v>-3</v>
      </c>
    </row>
    <row r="156" spans="3:8" x14ac:dyDescent="0.2">
      <c r="C156" s="1576"/>
      <c r="D156" s="287" t="s">
        <v>463</v>
      </c>
      <c r="E156" s="1248" t="s">
        <v>402</v>
      </c>
      <c r="F156" s="288">
        <f>'DEM - DESN'!E265</f>
        <v>3</v>
      </c>
      <c r="G156" s="1248">
        <f>OFE!F158</f>
        <v>0</v>
      </c>
      <c r="H156" s="1256">
        <f t="shared" si="11"/>
        <v>-3</v>
      </c>
    </row>
    <row r="157" spans="3:8" x14ac:dyDescent="0.2">
      <c r="C157" s="1576"/>
      <c r="D157" s="287" t="s">
        <v>480</v>
      </c>
      <c r="E157" s="1248" t="s">
        <v>402</v>
      </c>
      <c r="F157" s="288">
        <f>'DEM - DESN'!E266</f>
        <v>2</v>
      </c>
      <c r="G157" s="1248">
        <f>OFE!F159</f>
        <v>0</v>
      </c>
      <c r="H157" s="1256">
        <f t="shared" si="11"/>
        <v>-2</v>
      </c>
    </row>
    <row r="158" spans="3:8" x14ac:dyDescent="0.2">
      <c r="C158" s="1576"/>
      <c r="D158" s="287" t="s">
        <v>465</v>
      </c>
      <c r="E158" s="1248" t="s">
        <v>402</v>
      </c>
      <c r="F158" s="288">
        <f>'DEM - DESN'!E267</f>
        <v>5</v>
      </c>
      <c r="G158" s="1248">
        <f>OFE!F160</f>
        <v>0</v>
      </c>
      <c r="H158" s="1256">
        <f t="shared" si="11"/>
        <v>-5</v>
      </c>
    </row>
    <row r="159" spans="3:8" x14ac:dyDescent="0.2">
      <c r="C159" s="1576"/>
      <c r="D159" s="287" t="s">
        <v>466</v>
      </c>
      <c r="E159" s="1248" t="s">
        <v>402</v>
      </c>
      <c r="F159" s="288">
        <f>'DEM - DESN'!E268</f>
        <v>2</v>
      </c>
      <c r="G159" s="1248">
        <f>OFE!F161</f>
        <v>0</v>
      </c>
      <c r="H159" s="1256">
        <f t="shared" si="11"/>
        <v>-2</v>
      </c>
    </row>
    <row r="160" spans="3:8" x14ac:dyDescent="0.2">
      <c r="C160" s="1576"/>
      <c r="D160" s="287" t="s">
        <v>481</v>
      </c>
      <c r="E160" s="1248" t="s">
        <v>402</v>
      </c>
      <c r="F160" s="288">
        <f>'DEM - DESN'!E269</f>
        <v>2</v>
      </c>
      <c r="G160" s="1248">
        <f>OFE!F162</f>
        <v>0</v>
      </c>
      <c r="H160" s="1256">
        <f t="shared" si="11"/>
        <v>-2</v>
      </c>
    </row>
    <row r="161" spans="3:8" x14ac:dyDescent="0.2">
      <c r="C161" s="1576"/>
      <c r="D161" s="287" t="s">
        <v>482</v>
      </c>
      <c r="E161" s="1248" t="s">
        <v>402</v>
      </c>
      <c r="F161" s="288">
        <f>'DEM - DESN'!E270</f>
        <v>10</v>
      </c>
      <c r="G161" s="1248">
        <f>OFE!F163</f>
        <v>0</v>
      </c>
      <c r="H161" s="1256">
        <f t="shared" si="11"/>
        <v>-10</v>
      </c>
    </row>
    <row r="162" spans="3:8" x14ac:dyDescent="0.2">
      <c r="C162" s="1576"/>
      <c r="D162" s="287" t="s">
        <v>483</v>
      </c>
      <c r="E162" s="1248" t="s">
        <v>402</v>
      </c>
      <c r="F162" s="288">
        <f>'DEM - DESN'!E271</f>
        <v>10</v>
      </c>
      <c r="G162" s="1248">
        <f>OFE!F164</f>
        <v>0</v>
      </c>
      <c r="H162" s="1256">
        <f t="shared" si="11"/>
        <v>-10</v>
      </c>
    </row>
    <row r="163" spans="3:8" x14ac:dyDescent="0.2">
      <c r="C163" s="1577"/>
      <c r="D163" s="287" t="s">
        <v>484</v>
      </c>
      <c r="E163" s="1248" t="s">
        <v>402</v>
      </c>
      <c r="F163" s="288">
        <f>'DEM - DESN'!E272</f>
        <v>2</v>
      </c>
      <c r="G163" s="1248">
        <f>OFE!F165</f>
        <v>0</v>
      </c>
      <c r="H163" s="1256">
        <f t="shared" si="11"/>
        <v>-2</v>
      </c>
    </row>
    <row r="164" spans="3:8" ht="12.75" customHeight="1" x14ac:dyDescent="0.2">
      <c r="C164" s="1243" t="s">
        <v>1897</v>
      </c>
      <c r="D164" s="1578" t="s">
        <v>485</v>
      </c>
      <c r="E164" s="1579"/>
      <c r="F164" s="1579"/>
      <c r="G164" s="1579"/>
      <c r="H164" s="1580"/>
    </row>
    <row r="165" spans="3:8" x14ac:dyDescent="0.2">
      <c r="C165" s="1575"/>
      <c r="D165" s="287" t="s">
        <v>486</v>
      </c>
      <c r="E165" s="1248" t="s">
        <v>402</v>
      </c>
      <c r="F165" s="288">
        <f>'DEM - DESN'!E274</f>
        <v>1</v>
      </c>
      <c r="G165" s="1248">
        <f>OFE!F167</f>
        <v>0</v>
      </c>
      <c r="H165" s="1256">
        <f>G165-F165</f>
        <v>-1</v>
      </c>
    </row>
    <row r="166" spans="3:8" x14ac:dyDescent="0.2">
      <c r="C166" s="1576"/>
      <c r="D166" s="287" t="s">
        <v>487</v>
      </c>
      <c r="E166" s="1248" t="s">
        <v>402</v>
      </c>
      <c r="F166" s="288">
        <f>'DEM - DESN'!E275</f>
        <v>1</v>
      </c>
      <c r="G166" s="1248">
        <f>OFE!F168</f>
        <v>0</v>
      </c>
      <c r="H166" s="1256">
        <f t="shared" ref="H166:H177" si="12">G166-F166</f>
        <v>-1</v>
      </c>
    </row>
    <row r="167" spans="3:8" x14ac:dyDescent="0.2">
      <c r="C167" s="1576"/>
      <c r="D167" s="287" t="s">
        <v>438</v>
      </c>
      <c r="E167" s="1248" t="s">
        <v>402</v>
      </c>
      <c r="F167" s="288">
        <f>'DEM - DESN'!E276</f>
        <v>1</v>
      </c>
      <c r="G167" s="1248">
        <f>OFE!F169</f>
        <v>0</v>
      </c>
      <c r="H167" s="1256">
        <f t="shared" si="12"/>
        <v>-1</v>
      </c>
    </row>
    <row r="168" spans="3:8" x14ac:dyDescent="0.2">
      <c r="C168" s="1576"/>
      <c r="D168" s="287" t="s">
        <v>488</v>
      </c>
      <c r="E168" s="1248" t="s">
        <v>402</v>
      </c>
      <c r="F168" s="288">
        <f>'DEM - DESN'!E277</f>
        <v>2</v>
      </c>
      <c r="G168" s="1248">
        <f>OFE!F170</f>
        <v>0</v>
      </c>
      <c r="H168" s="1256">
        <f t="shared" si="12"/>
        <v>-2</v>
      </c>
    </row>
    <row r="169" spans="3:8" x14ac:dyDescent="0.2">
      <c r="C169" s="1576"/>
      <c r="D169" s="287" t="s">
        <v>489</v>
      </c>
      <c r="E169" s="1248" t="s">
        <v>402</v>
      </c>
      <c r="F169" s="288">
        <f>'DEM - DESN'!E278</f>
        <v>1</v>
      </c>
      <c r="G169" s="1248">
        <f>OFE!F171</f>
        <v>0</v>
      </c>
      <c r="H169" s="1256">
        <f t="shared" si="12"/>
        <v>-1</v>
      </c>
    </row>
    <row r="170" spans="3:8" x14ac:dyDescent="0.2">
      <c r="C170" s="1576"/>
      <c r="D170" s="287" t="s">
        <v>490</v>
      </c>
      <c r="E170" s="1248" t="s">
        <v>402</v>
      </c>
      <c r="F170" s="288">
        <f>'DEM - DESN'!E279</f>
        <v>1</v>
      </c>
      <c r="G170" s="1248">
        <f>OFE!F172</f>
        <v>0</v>
      </c>
      <c r="H170" s="1256">
        <f t="shared" si="12"/>
        <v>-1</v>
      </c>
    </row>
    <row r="171" spans="3:8" ht="12.75" customHeight="1" x14ac:dyDescent="0.2">
      <c r="C171" s="1576"/>
      <c r="D171" s="287" t="s">
        <v>491</v>
      </c>
      <c r="E171" s="1248" t="s">
        <v>402</v>
      </c>
      <c r="F171" s="288">
        <f>'DEM - DESN'!E280</f>
        <v>1</v>
      </c>
      <c r="G171" s="1248">
        <f>OFE!F173</f>
        <v>0</v>
      </c>
      <c r="H171" s="1256">
        <f t="shared" si="12"/>
        <v>-1</v>
      </c>
    </row>
    <row r="172" spans="3:8" x14ac:dyDescent="0.2">
      <c r="C172" s="1576"/>
      <c r="D172" s="287" t="s">
        <v>492</v>
      </c>
      <c r="E172" s="1248" t="s">
        <v>402</v>
      </c>
      <c r="F172" s="288">
        <f>'DEM - DESN'!E281</f>
        <v>6</v>
      </c>
      <c r="G172" s="1248">
        <f>OFE!F174</f>
        <v>0</v>
      </c>
      <c r="H172" s="1256">
        <f t="shared" si="12"/>
        <v>-6</v>
      </c>
    </row>
    <row r="173" spans="3:8" x14ac:dyDescent="0.2">
      <c r="C173" s="1576"/>
      <c r="D173" s="287" t="s">
        <v>493</v>
      </c>
      <c r="E173" s="1248" t="s">
        <v>402</v>
      </c>
      <c r="F173" s="288">
        <f>'DEM - DESN'!E282</f>
        <v>1</v>
      </c>
      <c r="G173" s="1248">
        <f>OFE!F175</f>
        <v>0</v>
      </c>
      <c r="H173" s="1256">
        <f t="shared" si="12"/>
        <v>-1</v>
      </c>
    </row>
    <row r="174" spans="3:8" x14ac:dyDescent="0.2">
      <c r="C174" s="1576"/>
      <c r="D174" s="287" t="s">
        <v>494</v>
      </c>
      <c r="E174" s="1248" t="s">
        <v>402</v>
      </c>
      <c r="F174" s="288">
        <f>'DEM - DESN'!E283</f>
        <v>10</v>
      </c>
      <c r="G174" s="1248">
        <f>OFE!F176</f>
        <v>0</v>
      </c>
      <c r="H174" s="1256">
        <f t="shared" si="12"/>
        <v>-10</v>
      </c>
    </row>
    <row r="175" spans="3:8" ht="12.75" customHeight="1" x14ac:dyDescent="0.2">
      <c r="C175" s="1576"/>
      <c r="D175" s="287" t="s">
        <v>495</v>
      </c>
      <c r="E175" s="1248" t="s">
        <v>402</v>
      </c>
      <c r="F175" s="288">
        <f>'DEM - DESN'!E284</f>
        <v>1</v>
      </c>
      <c r="G175" s="1248">
        <f>OFE!F177</f>
        <v>0</v>
      </c>
      <c r="H175" s="1256">
        <f t="shared" si="12"/>
        <v>-1</v>
      </c>
    </row>
    <row r="176" spans="3:8" x14ac:dyDescent="0.2">
      <c r="C176" s="1576"/>
      <c r="D176" s="287" t="s">
        <v>496</v>
      </c>
      <c r="E176" s="282" t="s">
        <v>411</v>
      </c>
      <c r="F176" s="288">
        <f>'DEM - DESN'!E285</f>
        <v>1</v>
      </c>
      <c r="G176" s="1248">
        <f>OFE!F178</f>
        <v>0</v>
      </c>
      <c r="H176" s="1256">
        <f t="shared" si="12"/>
        <v>-1</v>
      </c>
    </row>
    <row r="177" spans="3:9" x14ac:dyDescent="0.2">
      <c r="C177" s="1577"/>
      <c r="D177" s="287" t="s">
        <v>497</v>
      </c>
      <c r="E177" s="282" t="s">
        <v>411</v>
      </c>
      <c r="F177" s="288">
        <f>'DEM - DESN'!E286</f>
        <v>1</v>
      </c>
      <c r="G177" s="1248">
        <f>OFE!F179</f>
        <v>0</v>
      </c>
      <c r="H177" s="1256">
        <f t="shared" si="12"/>
        <v>-1</v>
      </c>
    </row>
    <row r="178" spans="3:9" x14ac:dyDescent="0.2">
      <c r="C178" s="1243" t="s">
        <v>1712</v>
      </c>
      <c r="D178" s="1578" t="s">
        <v>498</v>
      </c>
      <c r="E178" s="1579"/>
      <c r="F178" s="1579"/>
      <c r="G178" s="1579"/>
      <c r="H178" s="1580"/>
    </row>
    <row r="179" spans="3:9" ht="12.75" customHeight="1" x14ac:dyDescent="0.2">
      <c r="C179" s="1575"/>
      <c r="D179" s="287" t="s">
        <v>499</v>
      </c>
      <c r="E179" s="1248" t="s">
        <v>402</v>
      </c>
      <c r="F179" s="288">
        <f>'DEM - DESN'!E288</f>
        <v>1</v>
      </c>
      <c r="G179" s="349">
        <f>OFE!F181</f>
        <v>0</v>
      </c>
      <c r="H179" s="1256">
        <f t="shared" ref="H179:H183" si="13">G179-F179</f>
        <v>-1</v>
      </c>
      <c r="I179" s="388"/>
    </row>
    <row r="180" spans="3:9" x14ac:dyDescent="0.2">
      <c r="C180" s="1576"/>
      <c r="D180" s="287" t="s">
        <v>500</v>
      </c>
      <c r="E180" s="1248" t="s">
        <v>402</v>
      </c>
      <c r="F180" s="288">
        <f>'DEM - DESN'!E289</f>
        <v>1</v>
      </c>
      <c r="G180" s="245">
        <f>OFE!F182</f>
        <v>0</v>
      </c>
      <c r="H180" s="1256">
        <f t="shared" si="13"/>
        <v>-1</v>
      </c>
    </row>
    <row r="181" spans="3:9" x14ac:dyDescent="0.2">
      <c r="C181" s="1576"/>
      <c r="D181" s="287" t="s">
        <v>501</v>
      </c>
      <c r="E181" s="1248" t="s">
        <v>402</v>
      </c>
      <c r="F181" s="288">
        <f>'DEM - DESN'!E290</f>
        <v>2</v>
      </c>
      <c r="G181" s="245">
        <f>OFE!F183</f>
        <v>0</v>
      </c>
      <c r="H181" s="1256">
        <f t="shared" si="13"/>
        <v>-2</v>
      </c>
    </row>
    <row r="182" spans="3:9" x14ac:dyDescent="0.2">
      <c r="C182" s="1576"/>
      <c r="D182" s="287" t="s">
        <v>502</v>
      </c>
      <c r="E182" s="1248" t="s">
        <v>402</v>
      </c>
      <c r="F182" s="288">
        <f>'DEM - DESN'!E291</f>
        <v>1</v>
      </c>
      <c r="G182" s="245">
        <f>OFE!F184</f>
        <v>0</v>
      </c>
      <c r="H182" s="1256">
        <f t="shared" si="13"/>
        <v>-1</v>
      </c>
    </row>
    <row r="183" spans="3:9" x14ac:dyDescent="0.2">
      <c r="C183" s="1577"/>
      <c r="D183" s="287" t="s">
        <v>503</v>
      </c>
      <c r="E183" s="1248" t="s">
        <v>402</v>
      </c>
      <c r="F183" s="288">
        <f>'DEM - DESN'!E292</f>
        <v>1</v>
      </c>
      <c r="G183" s="245">
        <f>OFE!F185</f>
        <v>0</v>
      </c>
      <c r="H183" s="1256">
        <f t="shared" si="13"/>
        <v>-1</v>
      </c>
    </row>
    <row r="184" spans="3:9" ht="12.75" customHeight="1" x14ac:dyDescent="0.2">
      <c r="C184" s="1243" t="s">
        <v>1898</v>
      </c>
      <c r="D184" s="1578" t="s">
        <v>504</v>
      </c>
      <c r="E184" s="1579"/>
      <c r="F184" s="1579"/>
      <c r="G184" s="1579"/>
      <c r="H184" s="1580"/>
    </row>
    <row r="185" spans="3:9" x14ac:dyDescent="0.2">
      <c r="C185" s="1575"/>
      <c r="D185" s="287" t="s">
        <v>505</v>
      </c>
      <c r="E185" s="1248" t="s">
        <v>402</v>
      </c>
      <c r="F185" s="288">
        <f>'DEM - DESN'!E294</f>
        <v>6</v>
      </c>
      <c r="G185" s="245">
        <f>OFE!F187</f>
        <v>0</v>
      </c>
      <c r="H185" s="1256">
        <f t="shared" ref="H185:H191" si="14">G185-F185</f>
        <v>-6</v>
      </c>
    </row>
    <row r="186" spans="3:9" x14ac:dyDescent="0.2">
      <c r="C186" s="1576"/>
      <c r="D186" s="287" t="s">
        <v>506</v>
      </c>
      <c r="E186" s="1248" t="s">
        <v>402</v>
      </c>
      <c r="F186" s="288">
        <f>'DEM - DESN'!E295</f>
        <v>2</v>
      </c>
      <c r="G186" s="245">
        <f>OFE!F188</f>
        <v>0</v>
      </c>
      <c r="H186" s="1256">
        <f t="shared" si="14"/>
        <v>-2</v>
      </c>
    </row>
    <row r="187" spans="3:9" x14ac:dyDescent="0.2">
      <c r="C187" s="1577"/>
      <c r="D187" s="287" t="s">
        <v>507</v>
      </c>
      <c r="E187" s="1248" t="s">
        <v>402</v>
      </c>
      <c r="F187" s="288">
        <f>'DEM - DESN'!E296</f>
        <v>1</v>
      </c>
      <c r="G187" s="245">
        <f>OFE!F189</f>
        <v>0</v>
      </c>
      <c r="H187" s="1256">
        <f t="shared" si="14"/>
        <v>-1</v>
      </c>
    </row>
    <row r="188" spans="3:9" ht="12.75" customHeight="1" x14ac:dyDescent="0.2">
      <c r="C188" s="386" t="s">
        <v>1713</v>
      </c>
      <c r="D188" s="1584" t="s">
        <v>508</v>
      </c>
      <c r="E188" s="1585"/>
      <c r="F188" s="1585"/>
      <c r="G188" s="1585"/>
      <c r="H188" s="1586"/>
    </row>
    <row r="189" spans="3:9" x14ac:dyDescent="0.2">
      <c r="C189" s="1575"/>
      <c r="D189" s="287" t="s">
        <v>505</v>
      </c>
      <c r="E189" s="1248" t="s">
        <v>402</v>
      </c>
      <c r="F189" s="288">
        <f>'DEM - DESN'!E298</f>
        <v>4</v>
      </c>
      <c r="G189" s="135">
        <f>OFE!F191</f>
        <v>0</v>
      </c>
      <c r="H189" s="135">
        <f t="shared" si="14"/>
        <v>-4</v>
      </c>
    </row>
    <row r="190" spans="3:9" x14ac:dyDescent="0.2">
      <c r="C190" s="1576"/>
      <c r="D190" s="287" t="s">
        <v>506</v>
      </c>
      <c r="E190" s="1248" t="s">
        <v>402</v>
      </c>
      <c r="F190" s="288">
        <f>'DEM - DESN'!E299</f>
        <v>1</v>
      </c>
      <c r="G190" s="1248">
        <f>OFE!F192</f>
        <v>0</v>
      </c>
      <c r="H190" s="135">
        <f t="shared" si="14"/>
        <v>-1</v>
      </c>
    </row>
    <row r="191" spans="3:9" x14ac:dyDescent="0.2">
      <c r="C191" s="1577"/>
      <c r="D191" s="287" t="s">
        <v>503</v>
      </c>
      <c r="E191" s="1248" t="s">
        <v>402</v>
      </c>
      <c r="F191" s="288">
        <f>'DEM - DESN'!E300</f>
        <v>1</v>
      </c>
      <c r="G191" s="1248">
        <f>OFE!F193</f>
        <v>0</v>
      </c>
      <c r="H191" s="135">
        <f t="shared" si="14"/>
        <v>-1</v>
      </c>
    </row>
    <row r="192" spans="3:9" ht="12.75" customHeight="1" x14ac:dyDescent="0.2">
      <c r="C192" s="386" t="s">
        <v>1899</v>
      </c>
      <c r="D192" s="1613" t="s">
        <v>676</v>
      </c>
      <c r="E192" s="1614"/>
      <c r="F192" s="1614"/>
      <c r="G192" s="1614"/>
      <c r="H192" s="1615"/>
    </row>
    <row r="193" spans="3:8" x14ac:dyDescent="0.2">
      <c r="C193" s="387" t="s">
        <v>1900</v>
      </c>
      <c r="D193" s="1584" t="s">
        <v>677</v>
      </c>
      <c r="E193" s="1585"/>
      <c r="F193" s="1585"/>
      <c r="G193" s="1585"/>
      <c r="H193" s="1586"/>
    </row>
    <row r="194" spans="3:8" ht="12.75" customHeight="1" x14ac:dyDescent="0.2">
      <c r="C194" s="1581"/>
      <c r="D194" s="287" t="s">
        <v>531</v>
      </c>
      <c r="E194" s="1248" t="s">
        <v>402</v>
      </c>
      <c r="F194" s="288">
        <f>'DEM - DESN'!E303</f>
        <v>2</v>
      </c>
      <c r="G194" s="1248">
        <f>OFE!F196</f>
        <v>0</v>
      </c>
      <c r="H194" s="135">
        <f>G194-F194</f>
        <v>-2</v>
      </c>
    </row>
    <row r="195" spans="3:8" x14ac:dyDescent="0.2">
      <c r="C195" s="1582"/>
      <c r="D195" s="287" t="s">
        <v>479</v>
      </c>
      <c r="E195" s="1248" t="s">
        <v>402</v>
      </c>
      <c r="F195" s="288">
        <f>'DEM - DESN'!E304</f>
        <v>2</v>
      </c>
      <c r="G195" s="1248">
        <f>OFE!F197</f>
        <v>0</v>
      </c>
      <c r="H195" s="1248">
        <f t="shared" ref="H195:H197" si="15">G195-F195</f>
        <v>-2</v>
      </c>
    </row>
    <row r="196" spans="3:8" x14ac:dyDescent="0.2">
      <c r="C196" s="1582"/>
      <c r="D196" s="287" t="s">
        <v>463</v>
      </c>
      <c r="E196" s="1248" t="s">
        <v>402</v>
      </c>
      <c r="F196" s="288">
        <f>'DEM - DESN'!E305</f>
        <v>2</v>
      </c>
      <c r="G196" s="1248">
        <f>OFE!F198</f>
        <v>0</v>
      </c>
      <c r="H196" s="1248">
        <f t="shared" si="15"/>
        <v>-2</v>
      </c>
    </row>
    <row r="197" spans="3:8" x14ac:dyDescent="0.2">
      <c r="C197" s="1583"/>
      <c r="D197" s="287" t="s">
        <v>466</v>
      </c>
      <c r="E197" s="1248" t="s">
        <v>402</v>
      </c>
      <c r="F197" s="288">
        <f>'DEM - DESN'!E306</f>
        <v>2</v>
      </c>
      <c r="G197" s="1248">
        <f>OFE!F199</f>
        <v>0</v>
      </c>
      <c r="H197" s="1248">
        <f t="shared" si="15"/>
        <v>-2</v>
      </c>
    </row>
    <row r="198" spans="3:8" x14ac:dyDescent="0.2">
      <c r="C198" s="387" t="s">
        <v>1901</v>
      </c>
      <c r="D198" s="1584" t="s">
        <v>509</v>
      </c>
      <c r="E198" s="1585"/>
      <c r="F198" s="1585"/>
      <c r="G198" s="1585"/>
      <c r="H198" s="1586"/>
    </row>
    <row r="199" spans="3:8" x14ac:dyDescent="0.2">
      <c r="C199" s="1575"/>
      <c r="D199" s="287" t="s">
        <v>510</v>
      </c>
      <c r="E199" s="1248" t="s">
        <v>402</v>
      </c>
      <c r="F199" s="288">
        <f>'DEM - DESN'!E308</f>
        <v>1</v>
      </c>
      <c r="G199" s="1248">
        <f>OFE!F201</f>
        <v>0</v>
      </c>
      <c r="H199" s="1256">
        <f t="shared" ref="H199:H204" si="16">G199-F199</f>
        <v>-1</v>
      </c>
    </row>
    <row r="200" spans="3:8" x14ac:dyDescent="0.2">
      <c r="C200" s="1576"/>
      <c r="D200" s="287" t="s">
        <v>511</v>
      </c>
      <c r="E200" s="1248" t="s">
        <v>402</v>
      </c>
      <c r="F200" s="288">
        <f>'DEM - DESN'!E309</f>
        <v>2</v>
      </c>
      <c r="G200" s="1248">
        <f>OFE!F202</f>
        <v>0</v>
      </c>
      <c r="H200" s="1256">
        <f t="shared" si="16"/>
        <v>-2</v>
      </c>
    </row>
    <row r="201" spans="3:8" ht="12.75" customHeight="1" x14ac:dyDescent="0.2">
      <c r="C201" s="1576"/>
      <c r="D201" s="287" t="s">
        <v>462</v>
      </c>
      <c r="E201" s="1248" t="s">
        <v>402</v>
      </c>
      <c r="F201" s="288">
        <f>'DEM - DESN'!E310</f>
        <v>2</v>
      </c>
      <c r="G201" s="1248">
        <f>OFE!F203</f>
        <v>0</v>
      </c>
      <c r="H201" s="1256">
        <f t="shared" si="16"/>
        <v>-2</v>
      </c>
    </row>
    <row r="202" spans="3:8" x14ac:dyDescent="0.2">
      <c r="C202" s="1576"/>
      <c r="D202" s="287" t="s">
        <v>479</v>
      </c>
      <c r="E202" s="1248" t="s">
        <v>402</v>
      </c>
      <c r="F202" s="288">
        <f>'DEM - DESN'!E311</f>
        <v>2</v>
      </c>
      <c r="G202" s="1248">
        <f>OFE!F204</f>
        <v>0</v>
      </c>
      <c r="H202" s="1256">
        <f t="shared" si="16"/>
        <v>-2</v>
      </c>
    </row>
    <row r="203" spans="3:8" x14ac:dyDescent="0.2">
      <c r="C203" s="1576"/>
      <c r="D203" s="287" t="s">
        <v>463</v>
      </c>
      <c r="E203" s="1248" t="s">
        <v>402</v>
      </c>
      <c r="F203" s="288">
        <f>'DEM - DESN'!E312</f>
        <v>2</v>
      </c>
      <c r="G203" s="1248">
        <f>OFE!F205</f>
        <v>0</v>
      </c>
      <c r="H203" s="1256">
        <f t="shared" si="16"/>
        <v>-2</v>
      </c>
    </row>
    <row r="204" spans="3:8" x14ac:dyDescent="0.2">
      <c r="C204" s="1577"/>
      <c r="D204" s="287" t="s">
        <v>466</v>
      </c>
      <c r="E204" s="1248" t="s">
        <v>402</v>
      </c>
      <c r="F204" s="288">
        <f>'DEM - DESN'!E313</f>
        <v>4</v>
      </c>
      <c r="G204" s="1248">
        <f>OFE!F206</f>
        <v>0</v>
      </c>
      <c r="H204" s="1256">
        <f t="shared" si="16"/>
        <v>-4</v>
      </c>
    </row>
    <row r="205" spans="3:8" ht="12.75" customHeight="1" x14ac:dyDescent="0.2">
      <c r="C205" s="1242" t="s">
        <v>1902</v>
      </c>
      <c r="D205" s="1587" t="s">
        <v>678</v>
      </c>
      <c r="E205" s="1588"/>
      <c r="F205" s="1588"/>
      <c r="G205" s="1588"/>
      <c r="H205" s="1589"/>
    </row>
    <row r="206" spans="3:8" x14ac:dyDescent="0.2">
      <c r="C206" s="1243" t="s">
        <v>1903</v>
      </c>
      <c r="D206" s="1578" t="s">
        <v>512</v>
      </c>
      <c r="E206" s="1579"/>
      <c r="F206" s="1579"/>
      <c r="G206" s="1579"/>
      <c r="H206" s="1580"/>
    </row>
    <row r="207" spans="3:8" x14ac:dyDescent="0.2">
      <c r="C207" s="1575"/>
      <c r="D207" s="287" t="s">
        <v>513</v>
      </c>
      <c r="E207" s="1248" t="s">
        <v>402</v>
      </c>
      <c r="F207" s="288">
        <f>'DEM - DESN'!E316</f>
        <v>2</v>
      </c>
      <c r="G207" s="1248">
        <f>OFE!F209</f>
        <v>0</v>
      </c>
      <c r="H207" s="1256">
        <f t="shared" ref="H207:H213" si="17">G207-F207</f>
        <v>-2</v>
      </c>
    </row>
    <row r="208" spans="3:8" x14ac:dyDescent="0.2">
      <c r="C208" s="1576"/>
      <c r="D208" s="287" t="s">
        <v>514</v>
      </c>
      <c r="E208" s="1248" t="s">
        <v>402</v>
      </c>
      <c r="F208" s="288">
        <f>'DEM - DESN'!E317</f>
        <v>2</v>
      </c>
      <c r="G208" s="1248">
        <f>OFE!F210</f>
        <v>0</v>
      </c>
      <c r="H208" s="1256">
        <f t="shared" si="17"/>
        <v>-2</v>
      </c>
    </row>
    <row r="209" spans="3:8" x14ac:dyDescent="0.2">
      <c r="C209" s="1576"/>
      <c r="D209" s="287" t="s">
        <v>492</v>
      </c>
      <c r="E209" s="1248" t="s">
        <v>402</v>
      </c>
      <c r="F209" s="288">
        <f>'DEM - DESN'!E318</f>
        <v>8</v>
      </c>
      <c r="G209" s="1248">
        <f>OFE!F211</f>
        <v>0</v>
      </c>
      <c r="H209" s="1256">
        <f t="shared" si="17"/>
        <v>-8</v>
      </c>
    </row>
    <row r="210" spans="3:8" x14ac:dyDescent="0.2">
      <c r="C210" s="1576"/>
      <c r="D210" s="287" t="s">
        <v>490</v>
      </c>
      <c r="E210" s="1248" t="s">
        <v>402</v>
      </c>
      <c r="F210" s="288">
        <f>'DEM - DESN'!E319</f>
        <v>3</v>
      </c>
      <c r="G210" s="1248">
        <f>OFE!F212</f>
        <v>0</v>
      </c>
      <c r="H210" s="1256">
        <f t="shared" si="17"/>
        <v>-3</v>
      </c>
    </row>
    <row r="211" spans="3:8" x14ac:dyDescent="0.2">
      <c r="C211" s="1576"/>
      <c r="D211" s="287" t="s">
        <v>515</v>
      </c>
      <c r="E211" s="1248" t="s">
        <v>402</v>
      </c>
      <c r="F211" s="288">
        <f>'DEM - DESN'!E320</f>
        <v>1</v>
      </c>
      <c r="G211" s="1248">
        <f>OFE!F213</f>
        <v>0</v>
      </c>
      <c r="H211" s="1256">
        <f t="shared" si="17"/>
        <v>-1</v>
      </c>
    </row>
    <row r="212" spans="3:8" x14ac:dyDescent="0.2">
      <c r="C212" s="1576"/>
      <c r="D212" s="287" t="s">
        <v>516</v>
      </c>
      <c r="E212" s="1248" t="s">
        <v>402</v>
      </c>
      <c r="F212" s="288">
        <f>'DEM - DESN'!E321</f>
        <v>1</v>
      </c>
      <c r="G212" s="1248">
        <f>OFE!F214</f>
        <v>0</v>
      </c>
      <c r="H212" s="1256">
        <f t="shared" si="17"/>
        <v>-1</v>
      </c>
    </row>
    <row r="213" spans="3:8" x14ac:dyDescent="0.2">
      <c r="C213" s="1577"/>
      <c r="D213" s="287" t="s">
        <v>517</v>
      </c>
      <c r="E213" s="282" t="s">
        <v>411</v>
      </c>
      <c r="F213" s="288">
        <f>'DEM - DESN'!E322</f>
        <v>1</v>
      </c>
      <c r="G213" s="1248">
        <f>OFE!F215</f>
        <v>0</v>
      </c>
      <c r="H213" s="1256">
        <f t="shared" si="17"/>
        <v>-1</v>
      </c>
    </row>
    <row r="214" spans="3:8" ht="12.75" customHeight="1" x14ac:dyDescent="0.2">
      <c r="C214" s="1243" t="s">
        <v>1904</v>
      </c>
      <c r="D214" s="1578" t="s">
        <v>518</v>
      </c>
      <c r="E214" s="1579"/>
      <c r="F214" s="1579"/>
      <c r="G214" s="1579"/>
      <c r="H214" s="1580"/>
    </row>
    <row r="215" spans="3:8" ht="12.75" customHeight="1" x14ac:dyDescent="0.2">
      <c r="C215" s="1575"/>
      <c r="D215" s="287" t="s">
        <v>513</v>
      </c>
      <c r="E215" s="1248" t="s">
        <v>402</v>
      </c>
      <c r="F215" s="288">
        <f>'DEM - DESN'!E324</f>
        <v>3</v>
      </c>
      <c r="G215" s="288">
        <f>OFE!F217</f>
        <v>0</v>
      </c>
      <c r="H215" s="1256">
        <f>G215-F215</f>
        <v>-3</v>
      </c>
    </row>
    <row r="216" spans="3:8" x14ac:dyDescent="0.2">
      <c r="C216" s="1576"/>
      <c r="D216" s="287" t="s">
        <v>514</v>
      </c>
      <c r="E216" s="1248" t="s">
        <v>402</v>
      </c>
      <c r="F216" s="288">
        <f>'DEM - DESN'!E325</f>
        <v>3</v>
      </c>
      <c r="G216" s="288">
        <f>OFE!F218</f>
        <v>0</v>
      </c>
      <c r="H216" s="1256">
        <f t="shared" ref="H216:H220" si="18">G216-F216</f>
        <v>-3</v>
      </c>
    </row>
    <row r="217" spans="3:8" ht="12.75" customHeight="1" x14ac:dyDescent="0.2">
      <c r="C217" s="1576"/>
      <c r="D217" s="287" t="s">
        <v>492</v>
      </c>
      <c r="E217" s="1248" t="s">
        <v>402</v>
      </c>
      <c r="F217" s="288">
        <f>'DEM - DESN'!E326</f>
        <v>10</v>
      </c>
      <c r="G217" s="288">
        <f>OFE!F219</f>
        <v>0</v>
      </c>
      <c r="H217" s="1256">
        <f t="shared" si="18"/>
        <v>-10</v>
      </c>
    </row>
    <row r="218" spans="3:8" x14ac:dyDescent="0.2">
      <c r="C218" s="1576"/>
      <c r="D218" s="287" t="s">
        <v>490</v>
      </c>
      <c r="E218" s="1248" t="s">
        <v>402</v>
      </c>
      <c r="F218" s="288">
        <f>'DEM - DESN'!E327</f>
        <v>3</v>
      </c>
      <c r="G218" s="288">
        <f>OFE!F220</f>
        <v>0</v>
      </c>
      <c r="H218" s="1256">
        <f t="shared" si="18"/>
        <v>-3</v>
      </c>
    </row>
    <row r="219" spans="3:8" x14ac:dyDescent="0.2">
      <c r="C219" s="1576"/>
      <c r="D219" s="287" t="s">
        <v>516</v>
      </c>
      <c r="E219" s="1248" t="s">
        <v>402</v>
      </c>
      <c r="F219" s="288">
        <f>'DEM - DESN'!E328</f>
        <v>1</v>
      </c>
      <c r="G219" s="288">
        <f>OFE!F221</f>
        <v>0</v>
      </c>
      <c r="H219" s="1256">
        <f t="shared" si="18"/>
        <v>-1</v>
      </c>
    </row>
    <row r="220" spans="3:8" x14ac:dyDescent="0.2">
      <c r="C220" s="1577"/>
      <c r="D220" s="287" t="s">
        <v>517</v>
      </c>
      <c r="E220" s="282" t="s">
        <v>411</v>
      </c>
      <c r="F220" s="288">
        <f>'DEM - DESN'!E329</f>
        <v>1</v>
      </c>
      <c r="G220" s="288">
        <f>OFE!F222</f>
        <v>0</v>
      </c>
      <c r="H220" s="1256">
        <f t="shared" si="18"/>
        <v>-1</v>
      </c>
    </row>
    <row r="221" spans="3:8" x14ac:dyDescent="0.2">
      <c r="C221" s="1243" t="s">
        <v>1905</v>
      </c>
      <c r="D221" s="1578" t="s">
        <v>519</v>
      </c>
      <c r="E221" s="1579"/>
      <c r="F221" s="1579"/>
      <c r="G221" s="1579"/>
      <c r="H221" s="1580"/>
    </row>
    <row r="222" spans="3:8" x14ac:dyDescent="0.2">
      <c r="C222" s="1575"/>
      <c r="D222" s="287" t="s">
        <v>520</v>
      </c>
      <c r="E222" s="282" t="s">
        <v>411</v>
      </c>
      <c r="F222" s="288">
        <f>'DEM - DESN'!E331</f>
        <v>1</v>
      </c>
      <c r="G222" s="135">
        <f>OFE!F224</f>
        <v>0</v>
      </c>
      <c r="H222" s="135">
        <f>G222-F222</f>
        <v>-1</v>
      </c>
    </row>
    <row r="223" spans="3:8" ht="12.75" customHeight="1" x14ac:dyDescent="0.2">
      <c r="C223" s="1576"/>
      <c r="D223" s="287" t="s">
        <v>521</v>
      </c>
      <c r="E223" s="1248" t="s">
        <v>402</v>
      </c>
      <c r="F223" s="288">
        <f>'DEM - DESN'!E332</f>
        <v>1</v>
      </c>
      <c r="G223" s="1248">
        <f>OFE!F225</f>
        <v>0</v>
      </c>
      <c r="H223" s="1248">
        <f t="shared" ref="H223:H227" si="19">G223-F223</f>
        <v>-1</v>
      </c>
    </row>
    <row r="224" spans="3:8" x14ac:dyDescent="0.2">
      <c r="C224" s="1576"/>
      <c r="D224" s="287" t="s">
        <v>522</v>
      </c>
      <c r="E224" s="1248" t="s">
        <v>402</v>
      </c>
      <c r="F224" s="288">
        <f>'DEM - DESN'!E333</f>
        <v>25</v>
      </c>
      <c r="G224" s="1248">
        <f>OFE!F226</f>
        <v>0</v>
      </c>
      <c r="H224" s="1248">
        <f t="shared" si="19"/>
        <v>-25</v>
      </c>
    </row>
    <row r="225" spans="3:8" x14ac:dyDescent="0.2">
      <c r="C225" s="1576"/>
      <c r="D225" s="287" t="s">
        <v>523</v>
      </c>
      <c r="E225" s="1248" t="s">
        <v>402</v>
      </c>
      <c r="F225" s="288">
        <f>'DEM - DESN'!E334</f>
        <v>1</v>
      </c>
      <c r="G225" s="1248">
        <f>OFE!F227</f>
        <v>0</v>
      </c>
      <c r="H225" s="1248">
        <f t="shared" si="19"/>
        <v>-1</v>
      </c>
    </row>
    <row r="226" spans="3:8" x14ac:dyDescent="0.2">
      <c r="C226" s="1576"/>
      <c r="D226" s="287" t="s">
        <v>524</v>
      </c>
      <c r="E226" s="288" t="s">
        <v>525</v>
      </c>
      <c r="F226" s="288">
        <f>'DEM - DESN'!E335</f>
        <v>1</v>
      </c>
      <c r="G226" s="1248">
        <f>OFE!F228</f>
        <v>0</v>
      </c>
      <c r="H226" s="1248">
        <f t="shared" si="19"/>
        <v>-1</v>
      </c>
    </row>
    <row r="227" spans="3:8" x14ac:dyDescent="0.2">
      <c r="C227" s="1577"/>
      <c r="D227" s="287" t="s">
        <v>513</v>
      </c>
      <c r="E227" s="1248" t="s">
        <v>402</v>
      </c>
      <c r="F227" s="288">
        <f>'DEM - DESN'!E336</f>
        <v>1</v>
      </c>
      <c r="G227" s="1248">
        <f>OFE!F229</f>
        <v>0</v>
      </c>
      <c r="H227" s="1248">
        <f t="shared" si="19"/>
        <v>-1</v>
      </c>
    </row>
    <row r="228" spans="3:8" ht="17.25" customHeight="1" x14ac:dyDescent="0.2">
      <c r="C228" s="1242" t="s">
        <v>1906</v>
      </c>
      <c r="D228" s="1587" t="s">
        <v>679</v>
      </c>
      <c r="E228" s="1588"/>
      <c r="F228" s="1588"/>
      <c r="G228" s="1588"/>
      <c r="H228" s="1589"/>
    </row>
    <row r="229" spans="3:8" ht="15" customHeight="1" x14ac:dyDescent="0.2">
      <c r="C229" s="1575"/>
      <c r="D229" s="287" t="s">
        <v>680</v>
      </c>
      <c r="E229" s="1248" t="s">
        <v>402</v>
      </c>
      <c r="F229" s="288">
        <f>'DEM - DESN'!E338</f>
        <v>6</v>
      </c>
      <c r="G229" s="386">
        <f>OFE!F231</f>
        <v>0</v>
      </c>
      <c r="H229" s="1262">
        <f t="shared" ref="H229:H247" si="20">G229-F229</f>
        <v>-6</v>
      </c>
    </row>
    <row r="230" spans="3:8" x14ac:dyDescent="0.2">
      <c r="C230" s="1576"/>
      <c r="D230" s="287" t="s">
        <v>506</v>
      </c>
      <c r="E230" s="1248" t="s">
        <v>402</v>
      </c>
      <c r="F230" s="288">
        <f>'DEM - DESN'!E339</f>
        <v>1</v>
      </c>
      <c r="G230" s="386">
        <f>OFE!F232</f>
        <v>0</v>
      </c>
      <c r="H230" s="1262">
        <f t="shared" si="20"/>
        <v>-1</v>
      </c>
    </row>
    <row r="231" spans="3:8" x14ac:dyDescent="0.2">
      <c r="C231" s="1577"/>
      <c r="D231" s="287" t="s">
        <v>681</v>
      </c>
      <c r="E231" s="1248" t="s">
        <v>402</v>
      </c>
      <c r="F231" s="288">
        <f>'DEM - DESN'!E340</f>
        <v>2</v>
      </c>
      <c r="G231" s="386">
        <f>OFE!F233</f>
        <v>0</v>
      </c>
      <c r="H231" s="1262">
        <f t="shared" si="20"/>
        <v>-2</v>
      </c>
    </row>
    <row r="232" spans="3:8" ht="17.25" customHeight="1" x14ac:dyDescent="0.2">
      <c r="C232" s="1243" t="s">
        <v>1907</v>
      </c>
      <c r="D232" s="1578" t="s">
        <v>526</v>
      </c>
      <c r="E232" s="1579"/>
      <c r="F232" s="1579"/>
      <c r="G232" s="1579"/>
      <c r="H232" s="1580"/>
    </row>
    <row r="233" spans="3:8" x14ac:dyDescent="0.2">
      <c r="C233" s="1575"/>
      <c r="D233" s="287" t="s">
        <v>527</v>
      </c>
      <c r="E233" s="1248" t="s">
        <v>402</v>
      </c>
      <c r="F233" s="288">
        <f>'DEM - DESN'!E342</f>
        <v>1</v>
      </c>
      <c r="G233" s="386">
        <f>OFE!F235</f>
        <v>0</v>
      </c>
      <c r="H233" s="1262">
        <f t="shared" si="20"/>
        <v>-1</v>
      </c>
    </row>
    <row r="234" spans="3:8" x14ac:dyDescent="0.2">
      <c r="C234" s="1576"/>
      <c r="D234" s="287" t="s">
        <v>490</v>
      </c>
      <c r="E234" s="1248" t="s">
        <v>402</v>
      </c>
      <c r="F234" s="288">
        <f>'DEM - DESN'!E343</f>
        <v>1</v>
      </c>
      <c r="G234" s="386">
        <f>OFE!F236</f>
        <v>0</v>
      </c>
      <c r="H234" s="1262">
        <f t="shared" si="20"/>
        <v>-1</v>
      </c>
    </row>
    <row r="235" spans="3:8" x14ac:dyDescent="0.2">
      <c r="C235" s="1576"/>
      <c r="D235" s="287" t="s">
        <v>528</v>
      </c>
      <c r="E235" s="1248" t="s">
        <v>402</v>
      </c>
      <c r="F235" s="288">
        <f>'DEM - DESN'!E344</f>
        <v>1</v>
      </c>
      <c r="G235" s="386">
        <f>OFE!F237</f>
        <v>0</v>
      </c>
      <c r="H235" s="1262">
        <f t="shared" si="20"/>
        <v>-1</v>
      </c>
    </row>
    <row r="236" spans="3:8" x14ac:dyDescent="0.2">
      <c r="C236" s="1577"/>
      <c r="D236" s="1257" t="s">
        <v>492</v>
      </c>
      <c r="E236" s="1246" t="s">
        <v>402</v>
      </c>
      <c r="F236" s="288">
        <f>'DEM - DESN'!E345</f>
        <v>3</v>
      </c>
      <c r="G236" s="386">
        <f>OFE!F238</f>
        <v>0</v>
      </c>
      <c r="H236" s="1262">
        <f t="shared" si="20"/>
        <v>-3</v>
      </c>
    </row>
    <row r="237" spans="3:8" x14ac:dyDescent="0.2">
      <c r="C237" s="1243" t="s">
        <v>1908</v>
      </c>
      <c r="D237" s="1627" t="s">
        <v>529</v>
      </c>
      <c r="E237" s="1627"/>
      <c r="F237" s="1627"/>
      <c r="G237" s="1627"/>
      <c r="H237" s="1627"/>
    </row>
    <row r="238" spans="3:8" x14ac:dyDescent="0.2">
      <c r="C238" s="1575"/>
      <c r="D238" s="1258" t="s">
        <v>530</v>
      </c>
      <c r="E238" s="1247" t="s">
        <v>402</v>
      </c>
      <c r="F238" s="1259">
        <f>'DEM - DESN'!E347</f>
        <v>1</v>
      </c>
      <c r="G238" s="1248">
        <f>OFE!F240</f>
        <v>0</v>
      </c>
      <c r="H238" s="1262">
        <f t="shared" si="20"/>
        <v>-1</v>
      </c>
    </row>
    <row r="239" spans="3:8" x14ac:dyDescent="0.2">
      <c r="C239" s="1576"/>
      <c r="D239" s="287" t="s">
        <v>528</v>
      </c>
      <c r="E239" s="1248" t="s">
        <v>402</v>
      </c>
      <c r="F239" s="1259">
        <f>'DEM - DESN'!E348</f>
        <v>1</v>
      </c>
      <c r="G239" s="1248">
        <f>OFE!F241</f>
        <v>0</v>
      </c>
      <c r="H239" s="1262">
        <f t="shared" si="20"/>
        <v>-1</v>
      </c>
    </row>
    <row r="240" spans="3:8" x14ac:dyDescent="0.2">
      <c r="C240" s="1577"/>
      <c r="D240" s="1257" t="s">
        <v>492</v>
      </c>
      <c r="E240" s="1246" t="s">
        <v>402</v>
      </c>
      <c r="F240" s="1259">
        <f>'DEM - DESN'!E349</f>
        <v>2</v>
      </c>
      <c r="G240" s="1248">
        <f>OFE!F242</f>
        <v>0</v>
      </c>
      <c r="H240" s="1262">
        <f t="shared" si="20"/>
        <v>-2</v>
      </c>
    </row>
    <row r="241" spans="2:9" ht="30.75" customHeight="1" x14ac:dyDescent="0.2">
      <c r="C241" s="273">
        <v>2.5</v>
      </c>
      <c r="D241" s="1594" t="s">
        <v>414</v>
      </c>
      <c r="E241" s="1594"/>
      <c r="F241" s="1594"/>
      <c r="G241" s="1594"/>
      <c r="H241" s="1594"/>
      <c r="I241" s="292"/>
    </row>
    <row r="242" spans="2:9" ht="51" x14ac:dyDescent="0.2">
      <c r="C242" s="1022" t="s">
        <v>1909</v>
      </c>
      <c r="D242" s="1260" t="s">
        <v>1413</v>
      </c>
      <c r="E242" s="1261" t="s">
        <v>1414</v>
      </c>
      <c r="F242" s="1024">
        <f>'DEM - DESN'!E351</f>
        <v>11</v>
      </c>
      <c r="G242" s="1248">
        <f>OFE!F244</f>
        <v>0</v>
      </c>
      <c r="H242" s="386">
        <f t="shared" si="20"/>
        <v>-11</v>
      </c>
    </row>
    <row r="243" spans="2:9" ht="38.25" x14ac:dyDescent="0.2">
      <c r="C243" s="1022" t="s">
        <v>1910</v>
      </c>
      <c r="D243" s="1023" t="s">
        <v>1429</v>
      </c>
      <c r="E243" s="1024" t="s">
        <v>411</v>
      </c>
      <c r="F243" s="1024">
        <f>'DEM - DESN'!E352</f>
        <v>11</v>
      </c>
      <c r="G243" s="1248">
        <f>OFE!F245</f>
        <v>0</v>
      </c>
      <c r="H243" s="386">
        <f t="shared" si="20"/>
        <v>-11</v>
      </c>
    </row>
    <row r="244" spans="2:9" ht="51" x14ac:dyDescent="0.2">
      <c r="C244" s="1022" t="s">
        <v>1911</v>
      </c>
      <c r="D244" s="1023" t="s">
        <v>1417</v>
      </c>
      <c r="E244" s="1024" t="s">
        <v>1414</v>
      </c>
      <c r="F244" s="1024">
        <f>'DEM - DESN'!E353</f>
        <v>11</v>
      </c>
      <c r="G244" s="1248">
        <f>OFE!F246</f>
        <v>0</v>
      </c>
      <c r="H244" s="386">
        <f t="shared" si="20"/>
        <v>-11</v>
      </c>
    </row>
    <row r="245" spans="2:9" ht="25.5" x14ac:dyDescent="0.2">
      <c r="C245" s="1022" t="s">
        <v>1912</v>
      </c>
      <c r="D245" s="1023" t="s">
        <v>1418</v>
      </c>
      <c r="E245" s="1024" t="s">
        <v>1415</v>
      </c>
      <c r="F245" s="1024">
        <f>'DEM - DESN'!E354</f>
        <v>11</v>
      </c>
      <c r="G245" s="1248">
        <f>OFE!F247</f>
        <v>0</v>
      </c>
      <c r="H245" s="386">
        <f t="shared" si="20"/>
        <v>-11</v>
      </c>
    </row>
    <row r="246" spans="2:9" ht="51" x14ac:dyDescent="0.2">
      <c r="C246" s="1022" t="s">
        <v>1913</v>
      </c>
      <c r="D246" s="1023" t="s">
        <v>1419</v>
      </c>
      <c r="E246" s="1024" t="s">
        <v>1415</v>
      </c>
      <c r="F246" s="1024">
        <f>'DEM - DESN'!E355</f>
        <v>11</v>
      </c>
      <c r="G246" s="1248">
        <f>OFE!F248</f>
        <v>0</v>
      </c>
      <c r="H246" s="386">
        <f t="shared" si="20"/>
        <v>-11</v>
      </c>
    </row>
    <row r="247" spans="2:9" ht="51" x14ac:dyDescent="0.2">
      <c r="C247" s="1022" t="s">
        <v>1914</v>
      </c>
      <c r="D247" s="1023" t="s">
        <v>1420</v>
      </c>
      <c r="E247" s="1024" t="s">
        <v>1415</v>
      </c>
      <c r="F247" s="1024">
        <f>'DEM - DESN'!E356</f>
        <v>11</v>
      </c>
      <c r="G247" s="1248">
        <f>OFE!F249</f>
        <v>0</v>
      </c>
      <c r="H247" s="386">
        <f t="shared" si="20"/>
        <v>-11</v>
      </c>
    </row>
    <row r="248" spans="2:9" x14ac:dyDescent="0.2">
      <c r="C248" s="222"/>
      <c r="D248" s="222"/>
      <c r="E248" s="222"/>
      <c r="F248" s="222"/>
      <c r="G248" s="264"/>
      <c r="H248" s="89"/>
    </row>
    <row r="249" spans="2:9" x14ac:dyDescent="0.2">
      <c r="C249" s="222"/>
      <c r="D249" s="222"/>
      <c r="E249" s="222"/>
      <c r="F249" s="222"/>
      <c r="G249" s="264"/>
      <c r="H249" s="89"/>
    </row>
    <row r="250" spans="2:9" x14ac:dyDescent="0.2">
      <c r="C250" s="222"/>
      <c r="D250" s="222"/>
      <c r="E250" s="222"/>
      <c r="F250" s="222"/>
      <c r="G250" s="264"/>
      <c r="H250" s="89"/>
    </row>
    <row r="251" spans="2:9" x14ac:dyDescent="0.2">
      <c r="B251" s="261">
        <v>4</v>
      </c>
      <c r="C251" s="222" t="s">
        <v>1718</v>
      </c>
      <c r="D251" s="222"/>
      <c r="E251" s="222"/>
      <c r="F251" s="222"/>
      <c r="G251" s="264"/>
      <c r="H251" s="89"/>
    </row>
    <row r="252" spans="2:9" x14ac:dyDescent="0.2">
      <c r="C252" s="222"/>
      <c r="D252" s="222"/>
      <c r="E252" s="222"/>
      <c r="F252" s="222"/>
      <c r="G252" s="264"/>
      <c r="H252" s="89"/>
    </row>
    <row r="253" spans="2:9" x14ac:dyDescent="0.2">
      <c r="C253" s="232" t="s">
        <v>398</v>
      </c>
      <c r="D253" s="232" t="s">
        <v>396</v>
      </c>
      <c r="E253" s="232" t="s">
        <v>397</v>
      </c>
      <c r="F253" s="232" t="s">
        <v>426</v>
      </c>
      <c r="G253" s="232" t="s">
        <v>428</v>
      </c>
      <c r="H253" s="232" t="s">
        <v>425</v>
      </c>
    </row>
    <row r="254" spans="2:9" ht="24.75" customHeight="1" x14ac:dyDescent="0.2">
      <c r="C254" s="273">
        <v>3.1</v>
      </c>
      <c r="D254" s="1590" t="s">
        <v>1672</v>
      </c>
      <c r="E254" s="1591"/>
      <c r="F254" s="1591"/>
      <c r="G254" s="1591"/>
      <c r="H254" s="1592"/>
    </row>
    <row r="255" spans="2:9" ht="51" x14ac:dyDescent="0.2">
      <c r="C255" s="1263" t="s">
        <v>412</v>
      </c>
      <c r="D255" s="275" t="s">
        <v>1673</v>
      </c>
      <c r="E255" s="1264" t="s">
        <v>402</v>
      </c>
      <c r="F255" s="1264">
        <f>'DEM - DESN'!E362</f>
        <v>1</v>
      </c>
      <c r="G255" s="1264">
        <f>'DEM - DESN'!E362</f>
        <v>1</v>
      </c>
      <c r="H255" s="1264">
        <f>G255-F255</f>
        <v>0</v>
      </c>
    </row>
    <row r="256" spans="2:9" ht="24" customHeight="1" x14ac:dyDescent="0.2">
      <c r="C256" s="273" t="s">
        <v>734</v>
      </c>
      <c r="D256" s="1590" t="s">
        <v>1674</v>
      </c>
      <c r="E256" s="1591"/>
      <c r="F256" s="1591"/>
      <c r="G256" s="1591"/>
      <c r="H256" s="1592"/>
    </row>
    <row r="257" spans="2:8" ht="51" x14ac:dyDescent="0.2">
      <c r="C257" s="1263" t="s">
        <v>413</v>
      </c>
      <c r="D257" s="1245" t="s">
        <v>1644</v>
      </c>
      <c r="E257" s="1264" t="s">
        <v>402</v>
      </c>
      <c r="F257" s="1264">
        <f>'DEM - DESN'!E364</f>
        <v>1</v>
      </c>
      <c r="G257" s="1264">
        <f>OFE!F257</f>
        <v>0</v>
      </c>
      <c r="H257" s="1264">
        <f t="shared" ref="H257:H261" si="21">G257-F257</f>
        <v>-1</v>
      </c>
    </row>
    <row r="258" spans="2:8" ht="12.75" customHeight="1" x14ac:dyDescent="0.2">
      <c r="C258" s="273" t="s">
        <v>735</v>
      </c>
      <c r="D258" s="1590" t="s">
        <v>1675</v>
      </c>
      <c r="E258" s="1591"/>
      <c r="F258" s="1591"/>
      <c r="G258" s="1591"/>
      <c r="H258" s="1592"/>
    </row>
    <row r="259" spans="2:8" ht="99" x14ac:dyDescent="0.2">
      <c r="C259" s="1263" t="s">
        <v>1676</v>
      </c>
      <c r="D259" s="1238" t="s">
        <v>418</v>
      </c>
      <c r="E259" s="245" t="s">
        <v>402</v>
      </c>
      <c r="F259" s="245">
        <f>'DEM - DESN'!E366</f>
        <v>1</v>
      </c>
      <c r="G259" s="1264">
        <f>OFE!F259</f>
        <v>0</v>
      </c>
      <c r="H259" s="1264">
        <f t="shared" si="21"/>
        <v>-1</v>
      </c>
    </row>
    <row r="260" spans="2:8" ht="115.5" x14ac:dyDescent="0.2">
      <c r="C260" s="1263" t="s">
        <v>1677</v>
      </c>
      <c r="D260" s="1238" t="s">
        <v>419</v>
      </c>
      <c r="E260" s="245" t="s">
        <v>402</v>
      </c>
      <c r="F260" s="245">
        <f>'DEM - DESN'!E367</f>
        <v>1</v>
      </c>
      <c r="G260" s="1264">
        <f>OFE!F260</f>
        <v>0</v>
      </c>
      <c r="H260" s="1264">
        <f t="shared" si="21"/>
        <v>-1</v>
      </c>
    </row>
    <row r="261" spans="2:8" ht="99" customHeight="1" x14ac:dyDescent="0.2">
      <c r="C261" s="1263" t="s">
        <v>1678</v>
      </c>
      <c r="D261" s="1238" t="s">
        <v>420</v>
      </c>
      <c r="E261" s="245" t="s">
        <v>402</v>
      </c>
      <c r="F261" s="245">
        <f>'DEM - DESN'!E368</f>
        <v>1</v>
      </c>
      <c r="G261" s="1264">
        <f>OFE!F261</f>
        <v>0</v>
      </c>
      <c r="H261" s="1264">
        <f t="shared" si="21"/>
        <v>-1</v>
      </c>
    </row>
    <row r="262" spans="2:8" x14ac:dyDescent="0.2">
      <c r="C262" s="222"/>
      <c r="D262" s="222"/>
      <c r="E262" s="222"/>
      <c r="F262" s="222"/>
      <c r="G262" s="264"/>
      <c r="H262" s="89"/>
    </row>
    <row r="263" spans="2:8" x14ac:dyDescent="0.2">
      <c r="B263" s="97">
        <v>4</v>
      </c>
      <c r="C263" s="222" t="s">
        <v>1719</v>
      </c>
      <c r="D263" s="222"/>
      <c r="E263" s="222"/>
      <c r="F263" s="222"/>
      <c r="G263" s="264"/>
      <c r="H263" s="89"/>
    </row>
    <row r="264" spans="2:8" x14ac:dyDescent="0.2">
      <c r="C264" s="222"/>
      <c r="D264" s="222"/>
      <c r="E264" s="222"/>
      <c r="F264" s="222"/>
      <c r="G264" s="264"/>
      <c r="H264" s="89"/>
    </row>
    <row r="265" spans="2:8" x14ac:dyDescent="0.2">
      <c r="C265" s="232" t="s">
        <v>398</v>
      </c>
      <c r="D265" s="232" t="s">
        <v>396</v>
      </c>
      <c r="E265" s="232" t="s">
        <v>397</v>
      </c>
      <c r="F265" s="232" t="s">
        <v>426</v>
      </c>
      <c r="G265" s="232" t="s">
        <v>428</v>
      </c>
      <c r="H265" s="232" t="s">
        <v>425</v>
      </c>
    </row>
    <row r="266" spans="2:8" ht="17.25" customHeight="1" x14ac:dyDescent="0.2">
      <c r="C266" s="273">
        <v>4.0999999999999996</v>
      </c>
      <c r="D266" s="1590" t="s">
        <v>417</v>
      </c>
      <c r="E266" s="1591"/>
      <c r="F266" s="1591"/>
      <c r="G266" s="1591"/>
      <c r="H266" s="1592"/>
    </row>
    <row r="267" spans="2:8" ht="25.5" x14ac:dyDescent="0.2">
      <c r="C267" s="1022" t="s">
        <v>415</v>
      </c>
      <c r="D267" s="1027" t="s">
        <v>1424</v>
      </c>
      <c r="E267" s="1022" t="s">
        <v>1065</v>
      </c>
      <c r="F267" s="1022">
        <f>'DEM - DESN'!E375</f>
        <v>9</v>
      </c>
      <c r="G267" s="1264">
        <f>OFE!F267</f>
        <v>0</v>
      </c>
      <c r="H267" s="1264">
        <f t="shared" ref="H267:H271" si="22">G267-F267</f>
        <v>-9</v>
      </c>
    </row>
    <row r="268" spans="2:8" ht="29.25" customHeight="1" x14ac:dyDescent="0.2">
      <c r="C268" s="1022" t="s">
        <v>1679</v>
      </c>
      <c r="D268" s="1027" t="s">
        <v>1428</v>
      </c>
      <c r="E268" s="1022" t="s">
        <v>1065</v>
      </c>
      <c r="F268" s="1022">
        <f>'DEM - DESN'!E376</f>
        <v>9</v>
      </c>
      <c r="G268" s="1264">
        <f>OFE!F268</f>
        <v>0</v>
      </c>
      <c r="H268" s="1264">
        <f t="shared" si="22"/>
        <v>-9</v>
      </c>
    </row>
    <row r="269" spans="2:8" ht="25.5" x14ac:dyDescent="0.2">
      <c r="C269" s="1022" t="s">
        <v>1680</v>
      </c>
      <c r="D269" s="1027" t="s">
        <v>1425</v>
      </c>
      <c r="E269" s="1022" t="s">
        <v>1065</v>
      </c>
      <c r="F269" s="1022">
        <f>'DEM - DESN'!E377</f>
        <v>9</v>
      </c>
      <c r="G269" s="1264">
        <f>OFE!F269</f>
        <v>0</v>
      </c>
      <c r="H269" s="1264">
        <f t="shared" si="22"/>
        <v>-9</v>
      </c>
    </row>
    <row r="270" spans="2:8" ht="12.75" customHeight="1" x14ac:dyDescent="0.2">
      <c r="C270" s="1022" t="s">
        <v>1681</v>
      </c>
      <c r="D270" s="1027" t="s">
        <v>1427</v>
      </c>
      <c r="E270" s="1022" t="s">
        <v>1065</v>
      </c>
      <c r="F270" s="1022">
        <f>'DEM - DESN'!E378</f>
        <v>9</v>
      </c>
      <c r="G270" s="1264">
        <f>OFE!F270</f>
        <v>0</v>
      </c>
      <c r="H270" s="1264">
        <f t="shared" si="22"/>
        <v>-9</v>
      </c>
    </row>
    <row r="271" spans="2:8" ht="12.75" customHeight="1" x14ac:dyDescent="0.2">
      <c r="C271" s="1022" t="s">
        <v>1682</v>
      </c>
      <c r="D271" s="1027" t="s">
        <v>1426</v>
      </c>
      <c r="E271" s="1022" t="s">
        <v>1065</v>
      </c>
      <c r="F271" s="1022">
        <f>'DEM - DESN'!E379</f>
        <v>9</v>
      </c>
      <c r="G271" s="1264">
        <f>OFE!F271</f>
        <v>0</v>
      </c>
      <c r="H271" s="1264">
        <f t="shared" si="22"/>
        <v>-9</v>
      </c>
    </row>
    <row r="272" spans="2:8" ht="12.75" customHeight="1" x14ac:dyDescent="0.2">
      <c r="C272" s="1239">
        <v>4.2</v>
      </c>
      <c r="D272" s="1628" t="s">
        <v>421</v>
      </c>
      <c r="E272" s="1629"/>
      <c r="F272" s="1629"/>
      <c r="G272" s="1629"/>
      <c r="H272" s="1630"/>
    </row>
    <row r="273" spans="3:8" ht="12.75" customHeight="1" x14ac:dyDescent="0.2">
      <c r="C273" s="386" t="s">
        <v>416</v>
      </c>
      <c r="D273" s="1050" t="s">
        <v>1702</v>
      </c>
      <c r="E273" s="245" t="s">
        <v>402</v>
      </c>
      <c r="F273" s="245">
        <f>'DEM - DESN'!E381</f>
        <v>2</v>
      </c>
      <c r="G273" s="386">
        <f>OFE!F273</f>
        <v>0</v>
      </c>
      <c r="H273" s="386">
        <f>G273-F273</f>
        <v>-2</v>
      </c>
    </row>
    <row r="274" spans="3:8" ht="12.75" customHeight="1" x14ac:dyDescent="0.2">
      <c r="C274" s="386" t="s">
        <v>1703</v>
      </c>
      <c r="D274" s="1050" t="s">
        <v>1704</v>
      </c>
      <c r="E274" s="245" t="s">
        <v>402</v>
      </c>
      <c r="F274" s="245">
        <f>'DEM - DESN'!E382</f>
        <v>4</v>
      </c>
      <c r="G274" s="386">
        <f>OFE!F274</f>
        <v>0</v>
      </c>
      <c r="H274" s="386">
        <f>G274-F274</f>
        <v>-4</v>
      </c>
    </row>
    <row r="275" spans="3:8" x14ac:dyDescent="0.2">
      <c r="C275" s="222"/>
      <c r="D275" s="222"/>
      <c r="E275" s="222"/>
      <c r="F275" s="222"/>
      <c r="G275" s="264"/>
      <c r="H275" s="89"/>
    </row>
  </sheetData>
  <mergeCells count="76">
    <mergeCell ref="D272:H272"/>
    <mergeCell ref="C238:C240"/>
    <mergeCell ref="D101:H101"/>
    <mergeCell ref="D102:H102"/>
    <mergeCell ref="D107:H107"/>
    <mergeCell ref="D121:H121"/>
    <mergeCell ref="D140:H140"/>
    <mergeCell ref="D141:H141"/>
    <mergeCell ref="D147:H147"/>
    <mergeCell ref="D164:H164"/>
    <mergeCell ref="D178:H178"/>
    <mergeCell ref="D184:H184"/>
    <mergeCell ref="D188:H188"/>
    <mergeCell ref="D198:H198"/>
    <mergeCell ref="D205:H205"/>
    <mergeCell ref="C222:C227"/>
    <mergeCell ref="C229:C231"/>
    <mergeCell ref="C233:C236"/>
    <mergeCell ref="D232:H232"/>
    <mergeCell ref="C207:C213"/>
    <mergeCell ref="C215:C220"/>
    <mergeCell ref="D214:H214"/>
    <mergeCell ref="D221:H221"/>
    <mergeCell ref="D206:H206"/>
    <mergeCell ref="D228:H228"/>
    <mergeCell ref="D254:H254"/>
    <mergeCell ref="D266:H266"/>
    <mergeCell ref="D237:H237"/>
    <mergeCell ref="D241:H241"/>
    <mergeCell ref="D256:H256"/>
    <mergeCell ref="D258:H258"/>
    <mergeCell ref="C185:C187"/>
    <mergeCell ref="C189:C191"/>
    <mergeCell ref="C122:C139"/>
    <mergeCell ref="C142:C146"/>
    <mergeCell ref="C148:C163"/>
    <mergeCell ref="E28:E29"/>
    <mergeCell ref="E30:E31"/>
    <mergeCell ref="E32:E33"/>
    <mergeCell ref="C165:C177"/>
    <mergeCell ref="C179:C183"/>
    <mergeCell ref="D97:H97"/>
    <mergeCell ref="C98:C100"/>
    <mergeCell ref="I19:K19"/>
    <mergeCell ref="C18:C19"/>
    <mergeCell ref="C22:F22"/>
    <mergeCell ref="F26:F27"/>
    <mergeCell ref="G26:G27"/>
    <mergeCell ref="H26:H27"/>
    <mergeCell ref="E26:E27"/>
    <mergeCell ref="D18:D19"/>
    <mergeCell ref="E18:E19"/>
    <mergeCell ref="F18:F19"/>
    <mergeCell ref="G18:G19"/>
    <mergeCell ref="D192:H192"/>
    <mergeCell ref="D193:H193"/>
    <mergeCell ref="C194:C197"/>
    <mergeCell ref="C199:C204"/>
    <mergeCell ref="I27:K27"/>
    <mergeCell ref="D40:H40"/>
    <mergeCell ref="D45:H45"/>
    <mergeCell ref="D84:H84"/>
    <mergeCell ref="D47:H47"/>
    <mergeCell ref="D52:H52"/>
    <mergeCell ref="D53:H53"/>
    <mergeCell ref="D60:H60"/>
    <mergeCell ref="D64:H64"/>
    <mergeCell ref="D72:H72"/>
    <mergeCell ref="C85:C96"/>
    <mergeCell ref="C108:C120"/>
    <mergeCell ref="I8:K8"/>
    <mergeCell ref="D7:D8"/>
    <mergeCell ref="E7:E8"/>
    <mergeCell ref="F7:F8"/>
    <mergeCell ref="G7:G8"/>
    <mergeCell ref="H7:H8"/>
  </mergeCells>
  <phoneticPr fontId="59" type="noConversion"/>
  <pageMargins left="0.7" right="0.7" top="0.75" bottom="0.75" header="0.3" footer="0.3"/>
  <pageSetup paperSize="9" scale="32"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CC"/>
  </sheetPr>
  <dimension ref="B6:N43"/>
  <sheetViews>
    <sheetView view="pageBreakPreview" zoomScale="80" zoomScaleNormal="100" zoomScaleSheetLayoutView="80" workbookViewId="0">
      <selection activeCell="K19" sqref="K19"/>
    </sheetView>
  </sheetViews>
  <sheetFormatPr baseColWidth="10" defaultRowHeight="12.75" x14ac:dyDescent="0.25"/>
  <cols>
    <col min="1" max="2" width="11.42578125" style="222"/>
    <col min="3" max="3" width="35.5703125" style="222" customWidth="1"/>
    <col min="4" max="4" width="19.28515625" style="222" customWidth="1"/>
    <col min="5" max="5" width="14.42578125" style="222" customWidth="1"/>
    <col min="6" max="6" width="21.85546875" style="222" customWidth="1"/>
    <col min="7" max="16384" width="11.42578125" style="222"/>
  </cols>
  <sheetData>
    <row r="6" spans="2:13" x14ac:dyDescent="0.25">
      <c r="B6" s="294" t="s">
        <v>538</v>
      </c>
      <c r="C6" s="295"/>
      <c r="D6" s="295"/>
      <c r="E6" s="295"/>
      <c r="F6" s="296"/>
      <c r="G6" s="297"/>
      <c r="H6" s="297"/>
      <c r="I6" s="296"/>
      <c r="J6" s="303"/>
      <c r="K6" s="307"/>
      <c r="L6" s="303"/>
      <c r="M6" s="303"/>
    </row>
    <row r="7" spans="2:13" x14ac:dyDescent="0.2">
      <c r="B7" s="301"/>
      <c r="C7" s="302"/>
      <c r="D7" s="302"/>
      <c r="E7" s="302"/>
      <c r="F7" s="303"/>
      <c r="G7" s="304"/>
      <c r="H7" s="305"/>
      <c r="I7" s="305"/>
      <c r="J7" s="303"/>
      <c r="K7" s="302"/>
      <c r="L7" s="306"/>
      <c r="M7" s="306"/>
    </row>
    <row r="8" spans="2:13" x14ac:dyDescent="0.25">
      <c r="B8" s="1636" t="s">
        <v>533</v>
      </c>
      <c r="C8" s="1636"/>
      <c r="D8" s="1636"/>
      <c r="E8" s="1636"/>
      <c r="F8" s="1636"/>
      <c r="G8" s="1636"/>
      <c r="H8" s="1636"/>
      <c r="I8" s="1636"/>
      <c r="J8" s="1636"/>
      <c r="K8" s="1636"/>
      <c r="L8" s="1636"/>
      <c r="M8" s="1636"/>
    </row>
    <row r="9" spans="2:13" x14ac:dyDescent="0.25">
      <c r="B9" s="1636"/>
      <c r="C9" s="1636"/>
      <c r="D9" s="1636"/>
      <c r="E9" s="1636"/>
      <c r="F9" s="1636"/>
      <c r="G9" s="1636"/>
      <c r="H9" s="1636"/>
      <c r="I9" s="1636"/>
      <c r="J9" s="1636"/>
      <c r="K9" s="1636"/>
      <c r="L9" s="1636"/>
      <c r="M9" s="1636"/>
    </row>
    <row r="10" spans="2:13" ht="39.75" customHeight="1" x14ac:dyDescent="0.2">
      <c r="B10" s="1633" t="s">
        <v>1736</v>
      </c>
      <c r="C10" s="1634"/>
      <c r="D10" s="1634"/>
      <c r="E10" s="1634"/>
      <c r="F10" s="1634"/>
      <c r="G10" s="1634"/>
      <c r="H10" s="1634"/>
      <c r="I10" s="1634"/>
      <c r="J10" s="1634"/>
      <c r="K10" s="1634"/>
      <c r="L10" s="1635"/>
      <c r="M10" s="308"/>
    </row>
    <row r="11" spans="2:13" x14ac:dyDescent="0.2">
      <c r="B11" s="323"/>
      <c r="C11" s="324"/>
      <c r="D11" s="324"/>
      <c r="E11" s="324"/>
      <c r="F11" s="324"/>
      <c r="G11" s="324"/>
      <c r="H11" s="324"/>
      <c r="I11" s="324"/>
      <c r="J11" s="324"/>
      <c r="K11" s="324"/>
      <c r="L11" s="325"/>
      <c r="M11" s="322"/>
    </row>
    <row r="12" spans="2:13" x14ac:dyDescent="0.25">
      <c r="B12" s="1636"/>
      <c r="C12" s="1636"/>
      <c r="D12" s="1636"/>
      <c r="E12" s="1636"/>
      <c r="F12" s="1636"/>
      <c r="G12" s="1636"/>
      <c r="H12" s="1636"/>
      <c r="I12" s="1636"/>
      <c r="J12" s="1636"/>
      <c r="K12" s="1636"/>
      <c r="L12" s="1636"/>
      <c r="M12" s="1636"/>
    </row>
    <row r="13" spans="2:13" x14ac:dyDescent="0.25">
      <c r="B13" s="1636"/>
      <c r="C13" s="1636"/>
      <c r="D13" s="1636"/>
      <c r="E13" s="1636"/>
      <c r="F13" s="1636"/>
      <c r="G13" s="1636"/>
      <c r="H13" s="1636"/>
      <c r="I13" s="1636"/>
      <c r="J13" s="1636"/>
      <c r="K13" s="1636"/>
      <c r="L13" s="1636"/>
      <c r="M13" s="1636"/>
    </row>
    <row r="14" spans="2:13" x14ac:dyDescent="0.25">
      <c r="B14" s="1636"/>
      <c r="C14" s="1636"/>
      <c r="D14" s="1636"/>
      <c r="E14" s="1636"/>
      <c r="F14" s="1636"/>
      <c r="G14" s="1636"/>
      <c r="H14" s="1636"/>
      <c r="I14" s="1636"/>
      <c r="J14" s="1636"/>
      <c r="K14" s="1636"/>
      <c r="L14" s="1636"/>
      <c r="M14" s="1636"/>
    </row>
    <row r="15" spans="2:13" ht="25.5" customHeight="1" x14ac:dyDescent="0.25">
      <c r="B15" s="299" t="s">
        <v>534</v>
      </c>
      <c r="C15" s="299" t="s">
        <v>535</v>
      </c>
      <c r="D15" s="299" t="s">
        <v>536</v>
      </c>
      <c r="E15" s="300" t="s">
        <v>537</v>
      </c>
      <c r="F15" s="299" t="s">
        <v>540</v>
      </c>
      <c r="G15" s="310"/>
      <c r="J15" s="303"/>
      <c r="K15" s="302"/>
      <c r="L15" s="306"/>
      <c r="M15" s="298"/>
    </row>
    <row r="16" spans="2:13" ht="38.25" x14ac:dyDescent="0.2">
      <c r="B16" s="309">
        <v>1</v>
      </c>
      <c r="C16" s="312" t="s">
        <v>567</v>
      </c>
      <c r="D16" s="316" t="s">
        <v>539</v>
      </c>
      <c r="E16" s="315">
        <f>BRECHA!U20</f>
        <v>1548.9215122264309</v>
      </c>
      <c r="F16" s="312" t="s">
        <v>573</v>
      </c>
      <c r="G16" s="314"/>
      <c r="J16" s="303"/>
      <c r="K16" s="302"/>
      <c r="L16" s="306"/>
      <c r="M16" s="298"/>
    </row>
    <row r="17" spans="2:14" ht="51" x14ac:dyDescent="0.2">
      <c r="B17" s="309">
        <v>2</v>
      </c>
      <c r="C17" s="312" t="s">
        <v>569</v>
      </c>
      <c r="D17" s="316" t="s">
        <v>541</v>
      </c>
      <c r="E17" s="315">
        <f>BRECHA!U28</f>
        <v>1323.9183124890951</v>
      </c>
      <c r="F17" s="312" t="s">
        <v>573</v>
      </c>
      <c r="G17" s="311"/>
      <c r="J17" s="303"/>
      <c r="K17" s="302"/>
      <c r="L17" s="306"/>
      <c r="M17" s="298"/>
    </row>
    <row r="18" spans="2:14" ht="38.25" x14ac:dyDescent="0.2">
      <c r="B18" s="309">
        <v>3</v>
      </c>
      <c r="C18" s="312" t="s">
        <v>568</v>
      </c>
      <c r="D18" s="316" t="s">
        <v>542</v>
      </c>
      <c r="E18" s="315">
        <f>BRECHA!U29</f>
        <v>86.395404583387645</v>
      </c>
      <c r="F18" s="312" t="s">
        <v>573</v>
      </c>
      <c r="G18" s="311"/>
      <c r="J18" s="303"/>
      <c r="K18" s="302"/>
      <c r="L18" s="306"/>
      <c r="M18" s="298"/>
    </row>
    <row r="19" spans="2:14" ht="76.5" x14ac:dyDescent="0.2">
      <c r="B19" s="309">
        <v>4</v>
      </c>
      <c r="C19" s="312" t="s">
        <v>571</v>
      </c>
      <c r="D19" s="316" t="s">
        <v>570</v>
      </c>
      <c r="E19" s="315">
        <f>'DEM - DESN'!T129</f>
        <v>11779.758710521182</v>
      </c>
      <c r="F19" s="312" t="s">
        <v>573</v>
      </c>
      <c r="G19" s="311"/>
      <c r="J19" s="303"/>
      <c r="K19" s="302"/>
      <c r="L19" s="306"/>
      <c r="M19" s="298"/>
    </row>
    <row r="20" spans="2:14" x14ac:dyDescent="0.2">
      <c r="B20" s="1638" t="s">
        <v>44</v>
      </c>
      <c r="C20" s="1638"/>
      <c r="D20" s="1638"/>
      <c r="E20" s="345">
        <f>SUM(E16:E19)</f>
        <v>14738.993939820095</v>
      </c>
      <c r="F20" s="312"/>
      <c r="G20" s="311"/>
      <c r="J20" s="303"/>
      <c r="K20" s="302"/>
      <c r="L20" s="306"/>
      <c r="M20" s="298"/>
    </row>
    <row r="21" spans="2:14" x14ac:dyDescent="0.2">
      <c r="B21" s="303"/>
      <c r="C21" s="335"/>
      <c r="D21" s="303"/>
      <c r="E21" s="336"/>
      <c r="F21" s="335"/>
      <c r="G21" s="311"/>
      <c r="J21" s="303"/>
      <c r="K21" s="302"/>
      <c r="L21" s="306"/>
      <c r="M21" s="306"/>
    </row>
    <row r="22" spans="2:14" ht="159.75" customHeight="1" x14ac:dyDescent="0.25">
      <c r="B22" s="1637" t="s">
        <v>582</v>
      </c>
      <c r="C22" s="1637"/>
      <c r="D22" s="1637"/>
      <c r="E22" s="1637"/>
      <c r="F22" s="1637"/>
      <c r="G22" s="1637"/>
      <c r="H22" s="1637"/>
      <c r="I22" s="1637"/>
      <c r="J22" s="1637"/>
      <c r="K22" s="1637"/>
      <c r="L22" s="1637"/>
      <c r="M22" s="306"/>
    </row>
    <row r="23" spans="2:14" x14ac:dyDescent="0.2">
      <c r="B23" s="303"/>
      <c r="C23" s="335"/>
      <c r="D23" s="303"/>
      <c r="E23" s="336"/>
      <c r="F23" s="335"/>
      <c r="G23" s="311"/>
      <c r="J23" s="303"/>
      <c r="K23" s="302"/>
      <c r="L23" s="306"/>
      <c r="M23" s="306"/>
    </row>
    <row r="26" spans="2:14" x14ac:dyDescent="0.25">
      <c r="B26" s="318" t="s">
        <v>548</v>
      </c>
      <c r="C26" s="318"/>
      <c r="D26" s="318"/>
      <c r="E26" s="318"/>
      <c r="F26" s="318"/>
      <c r="G26" s="318"/>
      <c r="H26" s="318"/>
      <c r="I26" s="318"/>
      <c r="J26" s="318"/>
      <c r="K26" s="318"/>
      <c r="L26" s="318"/>
      <c r="M26" s="318"/>
      <c r="N26" s="318"/>
    </row>
    <row r="27" spans="2:14" x14ac:dyDescent="0.2">
      <c r="B27" s="311"/>
      <c r="C27" s="311"/>
      <c r="D27" s="311"/>
      <c r="E27" s="311"/>
      <c r="F27" s="311"/>
      <c r="G27" s="311"/>
      <c r="H27" s="311"/>
      <c r="I27" s="311"/>
      <c r="J27" s="311"/>
      <c r="K27" s="311"/>
      <c r="L27" s="311"/>
      <c r="M27" s="311"/>
      <c r="N27" s="311"/>
    </row>
    <row r="28" spans="2:14" ht="12.75" customHeight="1" x14ac:dyDescent="0.25">
      <c r="B28" s="319" t="s">
        <v>543</v>
      </c>
      <c r="C28" s="320"/>
      <c r="D28" s="320"/>
      <c r="E28" s="320"/>
      <c r="F28" s="320"/>
      <c r="G28" s="320"/>
      <c r="H28" s="320"/>
      <c r="I28" s="320"/>
      <c r="J28" s="320"/>
      <c r="K28" s="320"/>
      <c r="L28" s="320"/>
      <c r="M28" s="320"/>
      <c r="N28" s="321"/>
    </row>
    <row r="29" spans="2:14" x14ac:dyDescent="0.25">
      <c r="B29" s="320"/>
      <c r="C29" s="320"/>
      <c r="D29" s="320"/>
      <c r="E29" s="320"/>
      <c r="F29" s="320"/>
      <c r="G29" s="320"/>
      <c r="H29" s="320"/>
      <c r="I29" s="320"/>
      <c r="J29" s="320"/>
      <c r="K29" s="320"/>
      <c r="L29" s="320"/>
      <c r="M29" s="320"/>
      <c r="N29" s="321"/>
    </row>
    <row r="30" spans="2:14" ht="39.75" customHeight="1" x14ac:dyDescent="0.2">
      <c r="B30" s="1631" t="s">
        <v>549</v>
      </c>
      <c r="C30" s="1632"/>
      <c r="D30" s="1632"/>
      <c r="E30" s="1632"/>
      <c r="F30" s="1632"/>
      <c r="G30" s="1632"/>
      <c r="H30" s="1632"/>
      <c r="I30" s="1632"/>
      <c r="J30" s="1632"/>
      <c r="K30" s="1632"/>
      <c r="L30" s="1632"/>
      <c r="M30" s="308"/>
      <c r="N30" s="317"/>
    </row>
    <row r="31" spans="2:14" ht="12.75" customHeight="1" x14ac:dyDescent="0.25">
      <c r="B31" s="319" t="s">
        <v>544</v>
      </c>
      <c r="C31" s="320"/>
      <c r="D31" s="320"/>
      <c r="E31" s="320"/>
      <c r="F31" s="320"/>
      <c r="G31" s="320"/>
      <c r="H31" s="320"/>
      <c r="I31" s="320"/>
      <c r="J31" s="320"/>
      <c r="K31" s="320"/>
      <c r="L31" s="320"/>
      <c r="M31" s="320"/>
      <c r="N31" s="321"/>
    </row>
    <row r="32" spans="2:14" x14ac:dyDescent="0.25">
      <c r="B32" s="320"/>
      <c r="C32" s="320"/>
      <c r="D32" s="320"/>
      <c r="E32" s="320"/>
      <c r="F32" s="320"/>
      <c r="G32" s="320"/>
      <c r="H32" s="320"/>
      <c r="I32" s="320"/>
      <c r="J32" s="320"/>
      <c r="K32" s="320"/>
      <c r="L32" s="320"/>
      <c r="M32" s="320"/>
      <c r="N32" s="321"/>
    </row>
    <row r="33" spans="2:14" ht="44.25" customHeight="1" x14ac:dyDescent="0.25">
      <c r="B33" s="299" t="s">
        <v>545</v>
      </c>
      <c r="C33" s="299" t="s">
        <v>546</v>
      </c>
      <c r="D33" s="299" t="s">
        <v>547</v>
      </c>
      <c r="E33" s="299" t="s">
        <v>540</v>
      </c>
      <c r="G33" s="310"/>
      <c r="J33" s="303"/>
      <c r="K33" s="302"/>
      <c r="L33" s="306"/>
      <c r="M33" s="298"/>
      <c r="N33" s="317"/>
    </row>
    <row r="34" spans="2:14" ht="25.5" x14ac:dyDescent="0.2">
      <c r="B34" s="309">
        <v>1</v>
      </c>
      <c r="C34" s="313" t="s">
        <v>550</v>
      </c>
      <c r="D34" s="313"/>
      <c r="E34" s="312" t="s">
        <v>559</v>
      </c>
      <c r="G34" s="311"/>
      <c r="J34" s="303"/>
      <c r="K34" s="302"/>
      <c r="L34" s="306"/>
      <c r="M34" s="298"/>
      <c r="N34" s="317"/>
    </row>
    <row r="35" spans="2:14" ht="25.5" x14ac:dyDescent="0.2">
      <c r="B35" s="309">
        <v>2</v>
      </c>
      <c r="C35" s="313" t="s">
        <v>551</v>
      </c>
      <c r="D35" s="313"/>
      <c r="E35" s="312" t="s">
        <v>559</v>
      </c>
      <c r="G35" s="311"/>
      <c r="J35" s="303"/>
      <c r="K35" s="302"/>
      <c r="L35" s="306"/>
      <c r="M35" s="298"/>
      <c r="N35" s="317"/>
    </row>
    <row r="36" spans="2:14" ht="25.5" x14ac:dyDescent="0.2">
      <c r="B36" s="309">
        <v>3</v>
      </c>
      <c r="C36" s="313" t="s">
        <v>552</v>
      </c>
      <c r="D36" s="313"/>
      <c r="E36" s="312" t="s">
        <v>559</v>
      </c>
      <c r="G36" s="311"/>
      <c r="J36" s="303"/>
      <c r="K36" s="302"/>
      <c r="L36" s="306"/>
      <c r="M36" s="298"/>
      <c r="N36" s="317"/>
    </row>
    <row r="37" spans="2:14" ht="25.5" x14ac:dyDescent="0.25">
      <c r="B37" s="309">
        <v>4</v>
      </c>
      <c r="C37" s="313" t="s">
        <v>553</v>
      </c>
      <c r="D37" s="313"/>
      <c r="E37" s="312" t="s">
        <v>559</v>
      </c>
    </row>
    <row r="38" spans="2:14" ht="25.5" x14ac:dyDescent="0.25">
      <c r="B38" s="309">
        <v>5</v>
      </c>
      <c r="C38" s="313" t="s">
        <v>554</v>
      </c>
      <c r="D38" s="313"/>
      <c r="E38" s="312" t="s">
        <v>559</v>
      </c>
    </row>
    <row r="39" spans="2:14" ht="25.5" x14ac:dyDescent="0.25">
      <c r="B39" s="309">
        <v>6</v>
      </c>
      <c r="C39" s="313" t="s">
        <v>555</v>
      </c>
      <c r="D39" s="313"/>
      <c r="E39" s="312" t="s">
        <v>559</v>
      </c>
    </row>
    <row r="40" spans="2:14" ht="25.5" x14ac:dyDescent="0.25">
      <c r="B40" s="309">
        <v>7</v>
      </c>
      <c r="C40" s="313" t="s">
        <v>556</v>
      </c>
      <c r="D40" s="313"/>
      <c r="E40" s="312" t="s">
        <v>559</v>
      </c>
    </row>
    <row r="41" spans="2:14" ht="25.5" x14ac:dyDescent="0.25">
      <c r="B41" s="309">
        <v>8</v>
      </c>
      <c r="C41" s="313" t="s">
        <v>557</v>
      </c>
      <c r="D41" s="313"/>
      <c r="E41" s="312" t="s">
        <v>559</v>
      </c>
    </row>
    <row r="42" spans="2:14" ht="25.5" x14ac:dyDescent="0.25">
      <c r="B42" s="309">
        <v>9</v>
      </c>
      <c r="C42" s="313" t="s">
        <v>558</v>
      </c>
      <c r="D42" s="313"/>
      <c r="E42" s="312" t="s">
        <v>559</v>
      </c>
    </row>
    <row r="43" spans="2:14" ht="25.5" x14ac:dyDescent="0.25">
      <c r="B43" s="309">
        <v>10</v>
      </c>
      <c r="C43" s="312" t="s">
        <v>560</v>
      </c>
      <c r="D43" s="313"/>
      <c r="E43" s="312" t="s">
        <v>559</v>
      </c>
    </row>
  </sheetData>
  <mergeCells count="6">
    <mergeCell ref="B30:L30"/>
    <mergeCell ref="B10:L10"/>
    <mergeCell ref="B8:M9"/>
    <mergeCell ref="B12:M14"/>
    <mergeCell ref="B22:L22"/>
    <mergeCell ref="B20:D20"/>
  </mergeCells>
  <pageMargins left="0.7" right="0.7" top="0.75" bottom="0.75" header="0.3" footer="0.3"/>
  <pageSetup paperSize="9" scale="5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249977111117893"/>
  </sheetPr>
  <dimension ref="B5:K116"/>
  <sheetViews>
    <sheetView view="pageBreakPreview" zoomScaleNormal="100" zoomScaleSheetLayoutView="100" workbookViewId="0">
      <selection activeCell="D43" sqref="D43"/>
    </sheetView>
  </sheetViews>
  <sheetFormatPr baseColWidth="10" defaultRowHeight="12.75" x14ac:dyDescent="0.2"/>
  <cols>
    <col min="1" max="1" width="11.42578125" style="52"/>
    <col min="2" max="2" width="11.42578125" style="133"/>
    <col min="3" max="3" width="6.42578125" style="133" customWidth="1"/>
    <col min="4" max="4" width="42.28515625" style="133" customWidth="1"/>
    <col min="5" max="5" width="13" style="133" customWidth="1"/>
    <col min="6" max="6" width="11.42578125" style="133"/>
    <col min="7" max="7" width="11.42578125" style="381"/>
    <col min="8" max="8" width="17.140625" style="133" bestFit="1" customWidth="1"/>
    <col min="9" max="16384" width="11.42578125" style="52"/>
  </cols>
  <sheetData>
    <row r="5" spans="2:8" x14ac:dyDescent="0.2">
      <c r="B5" s="204" t="s">
        <v>1584</v>
      </c>
    </row>
    <row r="7" spans="2:8" x14ac:dyDescent="0.2">
      <c r="C7" s="838" t="s">
        <v>673</v>
      </c>
    </row>
    <row r="9" spans="2:8" x14ac:dyDescent="0.2">
      <c r="C9" s="379" t="s">
        <v>398</v>
      </c>
      <c r="D9" s="379" t="s">
        <v>649</v>
      </c>
      <c r="E9" s="379" t="s">
        <v>650</v>
      </c>
      <c r="F9" s="379" t="s">
        <v>397</v>
      </c>
      <c r="G9" s="378" t="s">
        <v>668</v>
      </c>
      <c r="H9" s="378" t="s">
        <v>651</v>
      </c>
    </row>
    <row r="10" spans="2:8" ht="15" customHeight="1" x14ac:dyDescent="0.2">
      <c r="C10" s="370">
        <v>1</v>
      </c>
      <c r="D10" s="1645" t="s">
        <v>1062</v>
      </c>
      <c r="E10" s="1646"/>
      <c r="F10" s="1646"/>
      <c r="G10" s="1646"/>
      <c r="H10" s="1647"/>
    </row>
    <row r="11" spans="2:8" ht="15" customHeight="1" x14ac:dyDescent="0.2">
      <c r="C11" s="376" t="s">
        <v>401</v>
      </c>
      <c r="D11" s="1639" t="s">
        <v>1585</v>
      </c>
      <c r="E11" s="1640"/>
      <c r="F11" s="1640"/>
      <c r="G11" s="1641"/>
      <c r="H11" s="1054">
        <f>SUM(H17)</f>
        <v>4106244.009019</v>
      </c>
    </row>
    <row r="12" spans="2:8" ht="18" customHeight="1" x14ac:dyDescent="0.2">
      <c r="C12" s="373" t="s">
        <v>584</v>
      </c>
      <c r="D12" s="1645" t="s">
        <v>1587</v>
      </c>
      <c r="E12" s="1646"/>
      <c r="F12" s="1646"/>
      <c r="G12" s="1646"/>
      <c r="H12" s="1056"/>
    </row>
    <row r="13" spans="2:8" x14ac:dyDescent="0.2">
      <c r="C13" s="1642"/>
      <c r="D13" s="374" t="s">
        <v>585</v>
      </c>
      <c r="E13" s="380">
        <v>1</v>
      </c>
      <c r="F13" s="375" t="s">
        <v>666</v>
      </c>
      <c r="G13" s="1052" t="s">
        <v>669</v>
      </c>
      <c r="H13" s="1057"/>
    </row>
    <row r="14" spans="2:8" x14ac:dyDescent="0.2">
      <c r="C14" s="1643"/>
      <c r="D14" s="374" t="s">
        <v>586</v>
      </c>
      <c r="E14" s="380">
        <v>1</v>
      </c>
      <c r="F14" s="375" t="s">
        <v>666</v>
      </c>
      <c r="G14" s="1052" t="s">
        <v>669</v>
      </c>
      <c r="H14" s="1057"/>
    </row>
    <row r="15" spans="2:8" x14ac:dyDescent="0.2">
      <c r="C15" s="1643"/>
      <c r="D15" s="374" t="s">
        <v>588</v>
      </c>
      <c r="E15" s="380">
        <v>1</v>
      </c>
      <c r="F15" s="375" t="s">
        <v>402</v>
      </c>
      <c r="G15" s="1052" t="s">
        <v>669</v>
      </c>
      <c r="H15" s="1057"/>
    </row>
    <row r="16" spans="2:8" x14ac:dyDescent="0.2">
      <c r="C16" s="1644"/>
      <c r="D16" s="374" t="s">
        <v>590</v>
      </c>
      <c r="E16" s="380">
        <v>1</v>
      </c>
      <c r="F16" s="375" t="s">
        <v>667</v>
      </c>
      <c r="G16" s="1053">
        <v>250</v>
      </c>
      <c r="H16" s="1057"/>
    </row>
    <row r="17" spans="3:11" ht="31.5" customHeight="1" x14ac:dyDescent="0.2">
      <c r="C17" s="668" t="s">
        <v>399</v>
      </c>
      <c r="D17" s="371" t="s">
        <v>1589</v>
      </c>
      <c r="E17" s="380">
        <v>1</v>
      </c>
      <c r="F17" s="375" t="s">
        <v>666</v>
      </c>
      <c r="G17" s="1053">
        <v>32</v>
      </c>
      <c r="H17" s="1057">
        <v>4106244.009019</v>
      </c>
    </row>
    <row r="18" spans="3:11" ht="17.25" customHeight="1" x14ac:dyDescent="0.2">
      <c r="C18" s="668" t="s">
        <v>587</v>
      </c>
      <c r="D18" s="1645" t="s">
        <v>1619</v>
      </c>
      <c r="E18" s="1646"/>
      <c r="F18" s="1646"/>
      <c r="G18" s="1646"/>
      <c r="H18" s="1057"/>
    </row>
    <row r="19" spans="3:11" x14ac:dyDescent="0.2">
      <c r="C19" s="1642"/>
      <c r="D19" s="374" t="s">
        <v>653</v>
      </c>
      <c r="E19" s="380">
        <v>1</v>
      </c>
      <c r="F19" s="375" t="s">
        <v>666</v>
      </c>
      <c r="G19" s="1052" t="s">
        <v>669</v>
      </c>
      <c r="H19" s="1057"/>
    </row>
    <row r="20" spans="3:11" x14ac:dyDescent="0.2">
      <c r="C20" s="1643"/>
      <c r="D20" s="374" t="s">
        <v>671</v>
      </c>
      <c r="E20" s="380">
        <v>30</v>
      </c>
      <c r="F20" s="375" t="s">
        <v>667</v>
      </c>
      <c r="G20" s="1052">
        <v>50</v>
      </c>
      <c r="H20" s="1057"/>
    </row>
    <row r="21" spans="3:11" x14ac:dyDescent="0.2">
      <c r="C21" s="1643"/>
      <c r="D21" s="374" t="s">
        <v>672</v>
      </c>
      <c r="E21" s="380">
        <v>3</v>
      </c>
      <c r="F21" s="375" t="s">
        <v>667</v>
      </c>
      <c r="G21" s="1052">
        <v>5</v>
      </c>
      <c r="H21" s="1057"/>
    </row>
    <row r="22" spans="3:11" x14ac:dyDescent="0.2">
      <c r="C22" s="1644"/>
      <c r="D22" s="374" t="s">
        <v>604</v>
      </c>
      <c r="E22" s="380">
        <v>1</v>
      </c>
      <c r="F22" s="375" t="s">
        <v>666</v>
      </c>
      <c r="G22" s="1052">
        <v>40</v>
      </c>
      <c r="H22" s="1058"/>
    </row>
    <row r="23" spans="3:11" ht="18" customHeight="1" x14ac:dyDescent="0.2">
      <c r="C23" s="376" t="s">
        <v>400</v>
      </c>
      <c r="D23" s="1648" t="s">
        <v>1591</v>
      </c>
      <c r="E23" s="1649"/>
      <c r="F23" s="1649"/>
      <c r="G23" s="1650"/>
      <c r="H23" s="1055">
        <f>H24</f>
        <v>552882.57957329997</v>
      </c>
    </row>
    <row r="24" spans="3:11" ht="18" customHeight="1" x14ac:dyDescent="0.2">
      <c r="C24" s="668" t="s">
        <v>592</v>
      </c>
      <c r="D24" s="1645" t="s">
        <v>1593</v>
      </c>
      <c r="E24" s="1646"/>
      <c r="F24" s="1646"/>
      <c r="G24" s="1647"/>
      <c r="H24" s="372">
        <f>SUM(H25)</f>
        <v>552882.57957329997</v>
      </c>
    </row>
    <row r="25" spans="3:11" x14ac:dyDescent="0.2">
      <c r="C25" s="1642"/>
      <c r="D25" s="374" t="s">
        <v>654</v>
      </c>
      <c r="E25" s="380">
        <v>1</v>
      </c>
      <c r="F25" s="375" t="s">
        <v>666</v>
      </c>
      <c r="G25" s="375">
        <v>35</v>
      </c>
      <c r="H25" s="1654">
        <v>552882.57957329997</v>
      </c>
      <c r="K25" s="133">
        <f>H11+H23</f>
        <v>4659126.5885923002</v>
      </c>
    </row>
    <row r="26" spans="3:11" x14ac:dyDescent="0.2">
      <c r="C26" s="1643"/>
      <c r="D26" s="374" t="s">
        <v>655</v>
      </c>
      <c r="E26" s="380">
        <v>1</v>
      </c>
      <c r="F26" s="375" t="s">
        <v>666</v>
      </c>
      <c r="G26" s="375">
        <v>86</v>
      </c>
      <c r="H26" s="1655"/>
    </row>
    <row r="27" spans="3:11" x14ac:dyDescent="0.2">
      <c r="C27" s="1643"/>
      <c r="D27" s="374" t="s">
        <v>613</v>
      </c>
      <c r="E27" s="380">
        <v>1</v>
      </c>
      <c r="F27" s="375" t="s">
        <v>666</v>
      </c>
      <c r="G27" s="375">
        <v>18.5</v>
      </c>
      <c r="H27" s="1655"/>
    </row>
    <row r="28" spans="3:11" x14ac:dyDescent="0.2">
      <c r="C28" s="1643"/>
      <c r="D28" s="374" t="s">
        <v>656</v>
      </c>
      <c r="E28" s="380">
        <v>1</v>
      </c>
      <c r="F28" s="375" t="s">
        <v>666</v>
      </c>
      <c r="G28" s="375">
        <v>13.5</v>
      </c>
      <c r="H28" s="1655"/>
    </row>
    <row r="29" spans="3:11" x14ac:dyDescent="0.2">
      <c r="C29" s="1643"/>
      <c r="D29" s="374" t="s">
        <v>431</v>
      </c>
      <c r="E29" s="380">
        <v>1</v>
      </c>
      <c r="F29" s="375" t="s">
        <v>666</v>
      </c>
      <c r="G29" s="375">
        <v>26</v>
      </c>
      <c r="H29" s="1655"/>
    </row>
    <row r="30" spans="3:11" x14ac:dyDescent="0.2">
      <c r="C30" s="1644"/>
      <c r="D30" s="374" t="s">
        <v>657</v>
      </c>
      <c r="E30" s="380">
        <v>1</v>
      </c>
      <c r="F30" s="375" t="s">
        <v>666</v>
      </c>
      <c r="G30" s="375">
        <v>16.87</v>
      </c>
      <c r="H30" s="1655"/>
    </row>
    <row r="31" spans="3:11" ht="18.75" customHeight="1" x14ac:dyDescent="0.2">
      <c r="C31" s="668" t="s">
        <v>647</v>
      </c>
      <c r="D31" s="1645" t="s">
        <v>1594</v>
      </c>
      <c r="E31" s="1646"/>
      <c r="F31" s="1646"/>
      <c r="G31" s="1647"/>
      <c r="H31" s="1655"/>
    </row>
    <row r="32" spans="3:11" x14ac:dyDescent="0.2">
      <c r="C32" s="1642"/>
      <c r="D32" s="374" t="s">
        <v>670</v>
      </c>
      <c r="E32" s="380">
        <v>5</v>
      </c>
      <c r="F32" s="380" t="s">
        <v>666</v>
      </c>
      <c r="G32" s="382" t="s">
        <v>669</v>
      </c>
      <c r="H32" s="1655"/>
    </row>
    <row r="33" spans="3:11" x14ac:dyDescent="0.2">
      <c r="C33" s="1643"/>
      <c r="D33" s="374" t="s">
        <v>658</v>
      </c>
      <c r="E33" s="380">
        <v>1</v>
      </c>
      <c r="F33" s="375" t="s">
        <v>666</v>
      </c>
      <c r="G33" s="375">
        <v>20</v>
      </c>
      <c r="H33" s="1655"/>
    </row>
    <row r="34" spans="3:11" x14ac:dyDescent="0.2">
      <c r="C34" s="1644"/>
      <c r="D34" s="374" t="s">
        <v>659</v>
      </c>
      <c r="E34" s="380">
        <v>1</v>
      </c>
      <c r="F34" s="375" t="s">
        <v>666</v>
      </c>
      <c r="G34" s="375">
        <v>20</v>
      </c>
      <c r="H34" s="1655"/>
    </row>
    <row r="35" spans="3:11" ht="18.75" customHeight="1" x14ac:dyDescent="0.2">
      <c r="C35" s="668" t="s">
        <v>648</v>
      </c>
      <c r="D35" s="1645" t="s">
        <v>1620</v>
      </c>
      <c r="E35" s="1646"/>
      <c r="F35" s="1646"/>
      <c r="G35" s="1647"/>
      <c r="H35" s="1655"/>
    </row>
    <row r="36" spans="3:11" x14ac:dyDescent="0.2">
      <c r="C36" s="1642"/>
      <c r="D36" s="374" t="s">
        <v>660</v>
      </c>
      <c r="E36" s="380">
        <v>1</v>
      </c>
      <c r="F36" s="375" t="s">
        <v>666</v>
      </c>
      <c r="G36" s="375">
        <v>23</v>
      </c>
      <c r="H36" s="1655"/>
    </row>
    <row r="37" spans="3:11" x14ac:dyDescent="0.2">
      <c r="C37" s="1643"/>
      <c r="D37" s="374" t="s">
        <v>661</v>
      </c>
      <c r="E37" s="380">
        <v>1</v>
      </c>
      <c r="F37" s="375" t="s">
        <v>666</v>
      </c>
      <c r="G37" s="375">
        <v>16</v>
      </c>
      <c r="H37" s="1655"/>
    </row>
    <row r="38" spans="3:11" x14ac:dyDescent="0.2">
      <c r="C38" s="1643"/>
      <c r="D38" s="374" t="s">
        <v>662</v>
      </c>
      <c r="E38" s="380">
        <v>1</v>
      </c>
      <c r="F38" s="375" t="s">
        <v>666</v>
      </c>
      <c r="G38" s="375">
        <v>24</v>
      </c>
      <c r="H38" s="1655"/>
    </row>
    <row r="39" spans="3:11" x14ac:dyDescent="0.2">
      <c r="C39" s="1643"/>
      <c r="D39" s="374" t="s">
        <v>663</v>
      </c>
      <c r="E39" s="380">
        <v>1</v>
      </c>
      <c r="F39" s="375" t="s">
        <v>666</v>
      </c>
      <c r="G39" s="375">
        <v>9</v>
      </c>
      <c r="H39" s="1655"/>
    </row>
    <row r="40" spans="3:11" x14ac:dyDescent="0.2">
      <c r="C40" s="1643"/>
      <c r="D40" s="374" t="s">
        <v>664</v>
      </c>
      <c r="E40" s="380">
        <v>1</v>
      </c>
      <c r="F40" s="375" t="s">
        <v>666</v>
      </c>
      <c r="G40" s="375" t="s">
        <v>669</v>
      </c>
      <c r="H40" s="1655"/>
    </row>
    <row r="41" spans="3:11" x14ac:dyDescent="0.2">
      <c r="C41" s="1644"/>
      <c r="D41" s="374" t="s">
        <v>665</v>
      </c>
      <c r="E41" s="380">
        <v>1</v>
      </c>
      <c r="F41" s="375" t="s">
        <v>666</v>
      </c>
      <c r="G41" s="375">
        <v>2</v>
      </c>
      <c r="H41" s="1656"/>
    </row>
    <row r="42" spans="3:11" ht="12.75" customHeight="1" x14ac:dyDescent="0.2">
      <c r="C42" s="376" t="s">
        <v>595</v>
      </c>
      <c r="D42" s="1648" t="s">
        <v>1595</v>
      </c>
      <c r="E42" s="1649"/>
      <c r="F42" s="1649"/>
      <c r="G42" s="1650"/>
      <c r="H42" s="377">
        <f>SUM(H43:H49)</f>
        <v>997767.43280000007</v>
      </c>
      <c r="J42" s="133">
        <f>H11+H23</f>
        <v>4659126.5885923002</v>
      </c>
    </row>
    <row r="43" spans="3:11" ht="30.75" customHeight="1" x14ac:dyDescent="0.2">
      <c r="C43" s="361" t="s">
        <v>1596</v>
      </c>
      <c r="D43" s="1288" t="s">
        <v>1888</v>
      </c>
      <c r="E43" s="1069">
        <v>1</v>
      </c>
      <c r="F43" s="1070" t="s">
        <v>402</v>
      </c>
      <c r="G43" s="1470" t="s">
        <v>669</v>
      </c>
      <c r="H43" s="1071">
        <v>82000</v>
      </c>
      <c r="J43" s="133"/>
    </row>
    <row r="44" spans="3:11" ht="29.25" customHeight="1" x14ac:dyDescent="0.2">
      <c r="C44" s="361" t="s">
        <v>598</v>
      </c>
      <c r="D44" s="1287" t="s">
        <v>1638</v>
      </c>
      <c r="E44" s="1069">
        <v>11</v>
      </c>
      <c r="F44" s="1070" t="s">
        <v>402</v>
      </c>
      <c r="G44" s="1069">
        <v>2550</v>
      </c>
      <c r="H44" s="1071">
        <f>79338.05*E44</f>
        <v>872718.55</v>
      </c>
      <c r="K44" s="133">
        <f>K25+H42</f>
        <v>5656894.0213923007</v>
      </c>
    </row>
    <row r="45" spans="3:11" ht="30" customHeight="1" x14ac:dyDescent="0.2">
      <c r="C45" s="361" t="s">
        <v>1645</v>
      </c>
      <c r="D45" s="1288" t="s">
        <v>1639</v>
      </c>
      <c r="E45" s="1069">
        <v>11</v>
      </c>
      <c r="F45" s="1070" t="s">
        <v>402</v>
      </c>
      <c r="G45" s="1069" t="s">
        <v>669</v>
      </c>
      <c r="H45" s="1112">
        <f>H67*E45</f>
        <v>23248.882799999999</v>
      </c>
    </row>
    <row r="46" spans="3:11" ht="33.75" customHeight="1" x14ac:dyDescent="0.2">
      <c r="C46" s="361" t="s">
        <v>1646</v>
      </c>
      <c r="D46" s="1288" t="s">
        <v>1640</v>
      </c>
      <c r="E46" s="1069">
        <v>11</v>
      </c>
      <c r="F46" s="1070" t="s">
        <v>666</v>
      </c>
      <c r="G46" s="1069">
        <v>350</v>
      </c>
      <c r="H46" s="1071">
        <f>H79*E46</f>
        <v>990</v>
      </c>
    </row>
    <row r="47" spans="3:11" ht="25.5" x14ac:dyDescent="0.2">
      <c r="C47" s="361" t="s">
        <v>1647</v>
      </c>
      <c r="D47" s="1288" t="s">
        <v>1641</v>
      </c>
      <c r="E47" s="1069">
        <v>11</v>
      </c>
      <c r="F47" s="1070" t="s">
        <v>666</v>
      </c>
      <c r="G47" s="1069">
        <v>350</v>
      </c>
      <c r="H47" s="1071">
        <f>H93*E47</f>
        <v>17160</v>
      </c>
    </row>
    <row r="48" spans="3:11" ht="25.5" x14ac:dyDescent="0.2">
      <c r="C48" s="361" t="s">
        <v>1648</v>
      </c>
      <c r="D48" s="1288" t="s">
        <v>1642</v>
      </c>
      <c r="E48" s="1069">
        <v>11</v>
      </c>
      <c r="F48" s="1070" t="s">
        <v>666</v>
      </c>
      <c r="G48" s="1069">
        <v>350</v>
      </c>
      <c r="H48" s="1071">
        <f>H104*E48</f>
        <v>825</v>
      </c>
    </row>
    <row r="49" spans="2:10" ht="25.5" x14ac:dyDescent="0.2">
      <c r="C49" s="361" t="s">
        <v>1917</v>
      </c>
      <c r="D49" s="1288" t="s">
        <v>1643</v>
      </c>
      <c r="E49" s="1069">
        <v>11</v>
      </c>
      <c r="F49" s="1070" t="s">
        <v>666</v>
      </c>
      <c r="G49" s="1069">
        <v>350</v>
      </c>
      <c r="H49" s="1071">
        <f>H116*E49</f>
        <v>825</v>
      </c>
      <c r="J49" s="133">
        <f>H45+H46+H47+H48+H49</f>
        <v>43048.882799999999</v>
      </c>
    </row>
    <row r="50" spans="2:10" ht="15" customHeight="1" x14ac:dyDescent="0.2">
      <c r="C50" s="1651" t="s">
        <v>652</v>
      </c>
      <c r="D50" s="1652"/>
      <c r="E50" s="1652"/>
      <c r="F50" s="1652"/>
      <c r="G50" s="1653"/>
      <c r="H50" s="1030">
        <f>H11+H23+H42</f>
        <v>5656894.0213923007</v>
      </c>
    </row>
    <row r="54" spans="2:10" ht="33" customHeight="1" x14ac:dyDescent="0.2">
      <c r="B54" s="1661" t="s">
        <v>1494</v>
      </c>
      <c r="C54" s="1661"/>
      <c r="D54" s="1661"/>
      <c r="E54" s="1661"/>
      <c r="F54" s="1661"/>
      <c r="G54" s="1661"/>
      <c r="H54" s="1661"/>
      <c r="I54" s="1661"/>
    </row>
    <row r="56" spans="2:10" x14ac:dyDescent="0.2">
      <c r="D56" s="133" t="s">
        <v>1450</v>
      </c>
    </row>
    <row r="57" spans="2:10" ht="25.5" x14ac:dyDescent="0.2">
      <c r="D57" s="1077" t="s">
        <v>1463</v>
      </c>
      <c r="E57" s="1080" t="s">
        <v>536</v>
      </c>
      <c r="F57" s="1081" t="s">
        <v>1088</v>
      </c>
      <c r="G57" s="1080" t="s">
        <v>1464</v>
      </c>
      <c r="H57" s="1082" t="s">
        <v>1465</v>
      </c>
    </row>
    <row r="58" spans="2:10" x14ac:dyDescent="0.2">
      <c r="D58" s="1105" t="s">
        <v>1454</v>
      </c>
      <c r="E58" s="1073"/>
      <c r="F58" s="1083"/>
      <c r="G58" s="1073"/>
      <c r="H58" s="1084"/>
    </row>
    <row r="59" spans="2:10" x14ac:dyDescent="0.2">
      <c r="D59" s="1106" t="s">
        <v>1455</v>
      </c>
      <c r="E59" s="1074" t="s">
        <v>667</v>
      </c>
      <c r="F59" s="1075">
        <v>4.8600000000000003</v>
      </c>
      <c r="G59" s="1074">
        <v>5.15</v>
      </c>
      <c r="H59" s="1076">
        <f>F59*G59</f>
        <v>25.029000000000003</v>
      </c>
    </row>
    <row r="60" spans="2:10" x14ac:dyDescent="0.2">
      <c r="D60" s="1105" t="s">
        <v>1456</v>
      </c>
      <c r="E60" s="1073"/>
      <c r="F60" s="1075"/>
      <c r="G60" s="1074"/>
      <c r="H60" s="1076"/>
    </row>
    <row r="61" spans="2:10" x14ac:dyDescent="0.2">
      <c r="D61" s="1106" t="s">
        <v>1457</v>
      </c>
      <c r="E61" s="1073" t="s">
        <v>666</v>
      </c>
      <c r="F61" s="1075">
        <v>66.88</v>
      </c>
      <c r="G61" s="1074">
        <v>15.34</v>
      </c>
      <c r="H61" s="1076">
        <f>G61*F61</f>
        <v>1025.9392</v>
      </c>
    </row>
    <row r="62" spans="2:10" x14ac:dyDescent="0.2">
      <c r="D62" s="1106" t="s">
        <v>1458</v>
      </c>
      <c r="E62" s="1073" t="s">
        <v>667</v>
      </c>
      <c r="F62" s="1075">
        <v>2.58</v>
      </c>
      <c r="G62" s="1074">
        <v>328.27</v>
      </c>
      <c r="H62" s="1076">
        <f>G62*F62</f>
        <v>846.9366</v>
      </c>
    </row>
    <row r="63" spans="2:10" x14ac:dyDescent="0.2">
      <c r="D63" s="1105" t="s">
        <v>1459</v>
      </c>
      <c r="E63" s="1073"/>
      <c r="F63" s="1075"/>
      <c r="G63" s="1074"/>
      <c r="H63" s="1076"/>
    </row>
    <row r="64" spans="2:10" x14ac:dyDescent="0.2">
      <c r="D64" s="1106" t="s">
        <v>1460</v>
      </c>
      <c r="E64" s="1073" t="s">
        <v>1191</v>
      </c>
      <c r="F64" s="1075">
        <v>1</v>
      </c>
      <c r="G64" s="1074">
        <v>168.42</v>
      </c>
      <c r="H64" s="1076">
        <f>G64*F64</f>
        <v>168.42</v>
      </c>
    </row>
    <row r="65" spans="2:8" x14ac:dyDescent="0.2">
      <c r="D65" s="1105" t="s">
        <v>1461</v>
      </c>
      <c r="E65" s="1073"/>
      <c r="F65" s="1075"/>
      <c r="G65" s="1074"/>
      <c r="H65" s="1076"/>
    </row>
    <row r="66" spans="2:8" x14ac:dyDescent="0.2">
      <c r="D66" s="1106" t="s">
        <v>1462</v>
      </c>
      <c r="E66" s="1073" t="s">
        <v>1191</v>
      </c>
      <c r="F66" s="1075">
        <v>1</v>
      </c>
      <c r="G66" s="1074">
        <v>47.21</v>
      </c>
      <c r="H66" s="1076">
        <f>F66*G66</f>
        <v>47.21</v>
      </c>
    </row>
    <row r="67" spans="2:8" x14ac:dyDescent="0.2">
      <c r="D67" s="1657" t="s">
        <v>252</v>
      </c>
      <c r="E67" s="1657"/>
      <c r="F67" s="1657"/>
      <c r="G67" s="1657"/>
      <c r="H67" s="1104">
        <f>SUM(H58:H66)</f>
        <v>2113.5347999999999</v>
      </c>
    </row>
    <row r="68" spans="2:8" s="89" customFormat="1" x14ac:dyDescent="0.2">
      <c r="B68" s="1101"/>
      <c r="C68" s="1101"/>
      <c r="D68" s="1102"/>
      <c r="E68" s="1102"/>
      <c r="F68" s="1102"/>
      <c r="G68" s="1102"/>
      <c r="H68" s="1103"/>
    </row>
    <row r="69" spans="2:8" s="89" customFormat="1" x14ac:dyDescent="0.2">
      <c r="B69" s="1101"/>
      <c r="C69" s="1101"/>
      <c r="D69" s="1102"/>
      <c r="E69" s="1102"/>
      <c r="F69" s="1102"/>
      <c r="G69" s="1102"/>
      <c r="H69" s="1103"/>
    </row>
    <row r="70" spans="2:8" s="89" customFormat="1" x14ac:dyDescent="0.2">
      <c r="B70" s="1101"/>
      <c r="C70" s="1101"/>
      <c r="D70" s="133" t="s">
        <v>1451</v>
      </c>
      <c r="E70" s="1102"/>
      <c r="F70" s="1102"/>
      <c r="G70" s="1102"/>
      <c r="H70" s="1103"/>
    </row>
    <row r="71" spans="2:8" ht="25.5" x14ac:dyDescent="0.2">
      <c r="D71" s="1080" t="s">
        <v>1463</v>
      </c>
      <c r="E71" s="1080" t="s">
        <v>536</v>
      </c>
      <c r="F71" s="1081" t="s">
        <v>1088</v>
      </c>
      <c r="G71" s="1080" t="s">
        <v>1464</v>
      </c>
      <c r="H71" s="1080" t="s">
        <v>1465</v>
      </c>
    </row>
    <row r="72" spans="2:8" x14ac:dyDescent="0.2">
      <c r="D72" s="1085" t="s">
        <v>1466</v>
      </c>
      <c r="E72" s="1086"/>
      <c r="F72" s="1087">
        <f>SUM(F73:F78)</f>
        <v>3</v>
      </c>
      <c r="G72" s="1088"/>
      <c r="H72" s="1088"/>
    </row>
    <row r="73" spans="2:8" x14ac:dyDescent="0.2">
      <c r="D73" s="1107" t="s">
        <v>1467</v>
      </c>
      <c r="E73" s="1090" t="s">
        <v>1468</v>
      </c>
      <c r="F73" s="1091">
        <v>0.5</v>
      </c>
      <c r="G73" s="1090">
        <v>30</v>
      </c>
      <c r="H73" s="1090">
        <f t="shared" ref="H73:H78" si="0">ROUND(G73*F73,1)</f>
        <v>15</v>
      </c>
    </row>
    <row r="74" spans="2:8" x14ac:dyDescent="0.2">
      <c r="D74" s="1107" t="s">
        <v>1469</v>
      </c>
      <c r="E74" s="1090" t="s">
        <v>1468</v>
      </c>
      <c r="F74" s="1091">
        <v>0.5</v>
      </c>
      <c r="G74" s="1090">
        <v>30</v>
      </c>
      <c r="H74" s="1090">
        <f t="shared" si="0"/>
        <v>15</v>
      </c>
    </row>
    <row r="75" spans="2:8" x14ac:dyDescent="0.2">
      <c r="D75" s="1107" t="s">
        <v>1470</v>
      </c>
      <c r="E75" s="1090" t="s">
        <v>1468</v>
      </c>
      <c r="F75" s="1091">
        <v>0.5</v>
      </c>
      <c r="G75" s="1090">
        <v>30</v>
      </c>
      <c r="H75" s="1090">
        <f t="shared" si="0"/>
        <v>15</v>
      </c>
    </row>
    <row r="76" spans="2:8" x14ac:dyDescent="0.2">
      <c r="D76" s="1107" t="s">
        <v>1471</v>
      </c>
      <c r="E76" s="1090" t="s">
        <v>1468</v>
      </c>
      <c r="F76" s="1091">
        <v>0.5</v>
      </c>
      <c r="G76" s="1090">
        <v>30</v>
      </c>
      <c r="H76" s="1090">
        <f t="shared" si="0"/>
        <v>15</v>
      </c>
    </row>
    <row r="77" spans="2:8" x14ac:dyDescent="0.2">
      <c r="D77" s="1107" t="s">
        <v>1472</v>
      </c>
      <c r="E77" s="1090" t="s">
        <v>1468</v>
      </c>
      <c r="F77" s="1091">
        <v>0.5</v>
      </c>
      <c r="G77" s="1090">
        <v>30</v>
      </c>
      <c r="H77" s="1090">
        <f t="shared" si="0"/>
        <v>15</v>
      </c>
    </row>
    <row r="78" spans="2:8" x14ac:dyDescent="0.2">
      <c r="D78" s="1107" t="s">
        <v>1473</v>
      </c>
      <c r="E78" s="1090" t="s">
        <v>1468</v>
      </c>
      <c r="F78" s="1091">
        <v>0.5</v>
      </c>
      <c r="G78" s="1090">
        <v>30</v>
      </c>
      <c r="H78" s="1090">
        <f t="shared" si="0"/>
        <v>15</v>
      </c>
    </row>
    <row r="79" spans="2:8" x14ac:dyDescent="0.2">
      <c r="D79" s="1658" t="s">
        <v>252</v>
      </c>
      <c r="E79" s="1660"/>
      <c r="F79" s="1284"/>
      <c r="G79" s="1284"/>
      <c r="H79" s="1104">
        <f>SUM(H73:H78)</f>
        <v>90</v>
      </c>
    </row>
    <row r="80" spans="2:8" s="89" customFormat="1" x14ac:dyDescent="0.2">
      <c r="B80" s="1101"/>
      <c r="C80" s="1101"/>
      <c r="D80" s="1102"/>
      <c r="E80" s="1102"/>
      <c r="F80" s="1102"/>
      <c r="G80" s="1102"/>
      <c r="H80" s="1103"/>
    </row>
    <row r="81" spans="2:8" s="89" customFormat="1" x14ac:dyDescent="0.2">
      <c r="B81" s="1101"/>
      <c r="C81" s="1101"/>
      <c r="D81" s="1102"/>
      <c r="E81" s="1102"/>
      <c r="F81" s="1102"/>
      <c r="G81" s="1102"/>
      <c r="H81" s="1103"/>
    </row>
    <row r="82" spans="2:8" s="89" customFormat="1" x14ac:dyDescent="0.2">
      <c r="B82" s="1101"/>
      <c r="C82" s="1101"/>
      <c r="D82" s="133" t="s">
        <v>1474</v>
      </c>
      <c r="E82" s="1102"/>
      <c r="F82" s="1102"/>
      <c r="G82" s="1102"/>
      <c r="H82" s="1103"/>
    </row>
    <row r="83" spans="2:8" ht="25.5" x14ac:dyDescent="0.2">
      <c r="D83" s="1080" t="s">
        <v>1463</v>
      </c>
      <c r="E83" s="1080" t="s">
        <v>536</v>
      </c>
      <c r="F83" s="1081" t="s">
        <v>1088</v>
      </c>
      <c r="G83" s="1080" t="s">
        <v>1464</v>
      </c>
      <c r="H83" s="1080" t="s">
        <v>1465</v>
      </c>
    </row>
    <row r="84" spans="2:8" x14ac:dyDescent="0.2">
      <c r="D84" s="1085" t="s">
        <v>1466</v>
      </c>
      <c r="E84" s="1092"/>
      <c r="F84" s="1093">
        <f>F85+F86+F90+F91+F92</f>
        <v>6</v>
      </c>
      <c r="G84" s="1092"/>
      <c r="H84" s="1092"/>
    </row>
    <row r="85" spans="2:8" x14ac:dyDescent="0.2">
      <c r="D85" s="1106" t="s">
        <v>1475</v>
      </c>
      <c r="E85" s="1090" t="s">
        <v>1468</v>
      </c>
      <c r="F85" s="1094">
        <v>1</v>
      </c>
      <c r="G85" s="1079">
        <v>60</v>
      </c>
      <c r="H85" s="1079">
        <f t="shared" ref="H85:H90" si="1">G85*F85</f>
        <v>60</v>
      </c>
    </row>
    <row r="86" spans="2:8" x14ac:dyDescent="0.2">
      <c r="D86" s="1106" t="s">
        <v>1476</v>
      </c>
      <c r="E86" s="1090" t="s">
        <v>1468</v>
      </c>
      <c r="F86" s="1094">
        <v>1</v>
      </c>
      <c r="G86" s="1079">
        <v>60</v>
      </c>
      <c r="H86" s="1079">
        <f t="shared" si="1"/>
        <v>60</v>
      </c>
    </row>
    <row r="87" spans="2:8" x14ac:dyDescent="0.2">
      <c r="D87" s="1106" t="s">
        <v>1477</v>
      </c>
      <c r="E87" s="1095" t="s">
        <v>1478</v>
      </c>
      <c r="F87" s="1078">
        <v>1</v>
      </c>
      <c r="G87" s="1079">
        <v>400</v>
      </c>
      <c r="H87" s="1079">
        <f t="shared" si="1"/>
        <v>400</v>
      </c>
    </row>
    <row r="88" spans="2:8" x14ac:dyDescent="0.2">
      <c r="D88" s="1106" t="s">
        <v>1479</v>
      </c>
      <c r="E88" s="1095" t="s">
        <v>1191</v>
      </c>
      <c r="F88" s="1078">
        <v>5</v>
      </c>
      <c r="G88" s="1079">
        <v>80</v>
      </c>
      <c r="H88" s="1079">
        <f t="shared" si="1"/>
        <v>400</v>
      </c>
    </row>
    <row r="89" spans="2:8" x14ac:dyDescent="0.2">
      <c r="D89" s="1106" t="s">
        <v>1480</v>
      </c>
      <c r="E89" s="1095" t="s">
        <v>1481</v>
      </c>
      <c r="F89" s="1078">
        <v>50</v>
      </c>
      <c r="G89" s="1079">
        <v>8</v>
      </c>
      <c r="H89" s="1079">
        <f t="shared" si="1"/>
        <v>400</v>
      </c>
    </row>
    <row r="90" spans="2:8" x14ac:dyDescent="0.2">
      <c r="D90" s="1106" t="s">
        <v>1482</v>
      </c>
      <c r="E90" s="1090" t="s">
        <v>1468</v>
      </c>
      <c r="F90" s="1094">
        <v>2</v>
      </c>
      <c r="G90" s="1079">
        <v>60</v>
      </c>
      <c r="H90" s="1079">
        <f t="shared" si="1"/>
        <v>120</v>
      </c>
    </row>
    <row r="91" spans="2:8" x14ac:dyDescent="0.2">
      <c r="D91" s="1107" t="s">
        <v>1483</v>
      </c>
      <c r="E91" s="1090" t="s">
        <v>1468</v>
      </c>
      <c r="F91" s="1096">
        <v>1</v>
      </c>
      <c r="G91" s="1079">
        <v>60</v>
      </c>
      <c r="H91" s="1097">
        <f t="shared" ref="H91:H92" si="2">F91*G91</f>
        <v>60</v>
      </c>
    </row>
    <row r="92" spans="2:8" x14ac:dyDescent="0.2">
      <c r="D92" s="1107" t="s">
        <v>1484</v>
      </c>
      <c r="E92" s="1090" t="s">
        <v>1468</v>
      </c>
      <c r="F92" s="1096">
        <v>1</v>
      </c>
      <c r="G92" s="1079">
        <v>60</v>
      </c>
      <c r="H92" s="1097">
        <f t="shared" si="2"/>
        <v>60</v>
      </c>
    </row>
    <row r="93" spans="2:8" x14ac:dyDescent="0.2">
      <c r="D93" s="1657" t="s">
        <v>252</v>
      </c>
      <c r="E93" s="1657"/>
      <c r="F93" s="1657"/>
      <c r="G93" s="1657"/>
      <c r="H93" s="1104">
        <f>SUM(H85:H92)</f>
        <v>1560</v>
      </c>
    </row>
    <row r="94" spans="2:8" s="89" customFormat="1" x14ac:dyDescent="0.2">
      <c r="B94" s="1101"/>
      <c r="C94" s="1101"/>
      <c r="D94" s="1102"/>
      <c r="E94" s="1102"/>
      <c r="F94" s="1102"/>
      <c r="G94" s="1102"/>
      <c r="H94" s="1103"/>
    </row>
    <row r="95" spans="2:8" s="89" customFormat="1" x14ac:dyDescent="0.2">
      <c r="B95" s="1101"/>
      <c r="C95" s="1101"/>
      <c r="D95" s="1102"/>
      <c r="E95" s="1102"/>
      <c r="F95" s="1102"/>
      <c r="G95" s="1102"/>
      <c r="H95" s="1103"/>
    </row>
    <row r="96" spans="2:8" s="89" customFormat="1" x14ac:dyDescent="0.2">
      <c r="B96" s="1101"/>
      <c r="C96" s="1101"/>
      <c r="D96" s="133" t="s">
        <v>1452</v>
      </c>
      <c r="E96" s="1102"/>
      <c r="F96" s="1102"/>
      <c r="G96" s="1102"/>
      <c r="H96" s="1103"/>
    </row>
    <row r="97" spans="2:8" ht="25.5" x14ac:dyDescent="0.2">
      <c r="D97" s="1080" t="s">
        <v>1463</v>
      </c>
      <c r="E97" s="1080" t="s">
        <v>536</v>
      </c>
      <c r="F97" s="1081" t="s">
        <v>1088</v>
      </c>
      <c r="G97" s="1080" t="s">
        <v>1464</v>
      </c>
      <c r="H97" s="1080" t="s">
        <v>1465</v>
      </c>
    </row>
    <row r="98" spans="2:8" x14ac:dyDescent="0.2">
      <c r="D98" s="1085" t="s">
        <v>1466</v>
      </c>
      <c r="E98" s="1092"/>
      <c r="F98" s="1099">
        <f>SUM(F99:F103)</f>
        <v>2.5</v>
      </c>
      <c r="G98" s="1092"/>
      <c r="H98" s="1092"/>
    </row>
    <row r="99" spans="2:8" x14ac:dyDescent="0.2">
      <c r="D99" s="1107" t="s">
        <v>1485</v>
      </c>
      <c r="E99" s="1090" t="s">
        <v>1468</v>
      </c>
      <c r="F99" s="1094">
        <v>0.5</v>
      </c>
      <c r="G99" s="1079">
        <v>30</v>
      </c>
      <c r="H99" s="1097">
        <f>F99*G99</f>
        <v>15</v>
      </c>
    </row>
    <row r="100" spans="2:8" x14ac:dyDescent="0.2">
      <c r="D100" s="1106" t="s">
        <v>1486</v>
      </c>
      <c r="E100" s="1090" t="s">
        <v>1468</v>
      </c>
      <c r="F100" s="1094">
        <v>0.5</v>
      </c>
      <c r="G100" s="1079">
        <v>30</v>
      </c>
      <c r="H100" s="1097">
        <f>G100*F100</f>
        <v>15</v>
      </c>
    </row>
    <row r="101" spans="2:8" x14ac:dyDescent="0.2">
      <c r="D101" s="1107" t="s">
        <v>1487</v>
      </c>
      <c r="E101" s="1090" t="s">
        <v>1468</v>
      </c>
      <c r="F101" s="1094">
        <v>0.5</v>
      </c>
      <c r="G101" s="1097">
        <v>30</v>
      </c>
      <c r="H101" s="1097">
        <f>G101*F101</f>
        <v>15</v>
      </c>
    </row>
    <row r="102" spans="2:8" x14ac:dyDescent="0.2">
      <c r="D102" s="1107" t="s">
        <v>1488</v>
      </c>
      <c r="E102" s="1090" t="s">
        <v>1468</v>
      </c>
      <c r="F102" s="1094">
        <v>0.5</v>
      </c>
      <c r="G102" s="1097">
        <v>30</v>
      </c>
      <c r="H102" s="1097">
        <f t="shared" ref="H102:H103" si="3">G102*F102</f>
        <v>15</v>
      </c>
    </row>
    <row r="103" spans="2:8" x14ac:dyDescent="0.2">
      <c r="D103" s="1108" t="s">
        <v>1489</v>
      </c>
      <c r="E103" s="1090" t="s">
        <v>1468</v>
      </c>
      <c r="F103" s="1094">
        <v>0.5</v>
      </c>
      <c r="G103" s="1097">
        <v>30</v>
      </c>
      <c r="H103" s="1097">
        <f t="shared" si="3"/>
        <v>15</v>
      </c>
    </row>
    <row r="104" spans="2:8" x14ac:dyDescent="0.2">
      <c r="D104" s="1657" t="s">
        <v>252</v>
      </c>
      <c r="E104" s="1657"/>
      <c r="F104" s="1657"/>
      <c r="G104" s="1657"/>
      <c r="H104" s="1104">
        <f>SUM(H99:H103)</f>
        <v>75</v>
      </c>
    </row>
    <row r="105" spans="2:8" s="89" customFormat="1" x14ac:dyDescent="0.2">
      <c r="B105" s="1101"/>
      <c r="C105" s="1101"/>
      <c r="D105" s="1102"/>
      <c r="E105" s="1102"/>
      <c r="F105" s="1102"/>
      <c r="G105" s="1102"/>
      <c r="H105" s="1103"/>
    </row>
    <row r="106" spans="2:8" s="89" customFormat="1" x14ac:dyDescent="0.2">
      <c r="B106" s="1101"/>
      <c r="C106" s="1101"/>
      <c r="D106" s="1102"/>
      <c r="E106" s="1102"/>
      <c r="F106" s="1102"/>
      <c r="G106" s="1102"/>
      <c r="H106" s="1103"/>
    </row>
    <row r="107" spans="2:8" s="89" customFormat="1" x14ac:dyDescent="0.2">
      <c r="B107" s="1101"/>
      <c r="C107" s="1101"/>
      <c r="D107" s="133" t="s">
        <v>1453</v>
      </c>
      <c r="E107" s="1102"/>
      <c r="F107" s="1102"/>
      <c r="G107" s="1102"/>
      <c r="H107" s="1103"/>
    </row>
    <row r="108" spans="2:8" ht="25.5" x14ac:dyDescent="0.2">
      <c r="D108" s="1080" t="s">
        <v>792</v>
      </c>
      <c r="E108" s="1080" t="s">
        <v>536</v>
      </c>
      <c r="F108" s="1081" t="s">
        <v>1088</v>
      </c>
      <c r="G108" s="1080" t="s">
        <v>1464</v>
      </c>
      <c r="H108" s="1080" t="s">
        <v>1465</v>
      </c>
    </row>
    <row r="109" spans="2:8" x14ac:dyDescent="0.2">
      <c r="D109" s="1085" t="s">
        <v>1466</v>
      </c>
      <c r="E109" s="1092"/>
      <c r="F109" s="1099">
        <f>SUM(F110:F114)</f>
        <v>2.5</v>
      </c>
      <c r="G109" s="1092"/>
      <c r="H109" s="1092"/>
    </row>
    <row r="110" spans="2:8" x14ac:dyDescent="0.2">
      <c r="D110" s="1107" t="s">
        <v>1490</v>
      </c>
      <c r="E110" s="1090" t="s">
        <v>1468</v>
      </c>
      <c r="F110" s="1100">
        <v>0.5</v>
      </c>
      <c r="G110" s="1097">
        <v>30</v>
      </c>
      <c r="H110" s="1097">
        <f>F110*G110</f>
        <v>15</v>
      </c>
    </row>
    <row r="111" spans="2:8" x14ac:dyDescent="0.2">
      <c r="D111" s="1106" t="s">
        <v>1467</v>
      </c>
      <c r="E111" s="1090" t="s">
        <v>1468</v>
      </c>
      <c r="F111" s="1100">
        <v>0.5</v>
      </c>
      <c r="G111" s="1079">
        <v>30</v>
      </c>
      <c r="H111" s="1097">
        <f t="shared" ref="H111:H115" si="4">F111*G111</f>
        <v>15</v>
      </c>
    </row>
    <row r="112" spans="2:8" x14ac:dyDescent="0.2">
      <c r="D112" s="1106" t="s">
        <v>1487</v>
      </c>
      <c r="E112" s="1090" t="s">
        <v>1468</v>
      </c>
      <c r="F112" s="1100">
        <v>0.5</v>
      </c>
      <c r="G112" s="1079">
        <v>30</v>
      </c>
      <c r="H112" s="1097">
        <f t="shared" si="4"/>
        <v>15</v>
      </c>
    </row>
    <row r="113" spans="4:8" x14ac:dyDescent="0.2">
      <c r="D113" s="1107" t="s">
        <v>1491</v>
      </c>
      <c r="E113" s="1090" t="s">
        <v>1468</v>
      </c>
      <c r="F113" s="1100">
        <v>0.5</v>
      </c>
      <c r="G113" s="1097">
        <v>30</v>
      </c>
      <c r="H113" s="1097">
        <f t="shared" si="4"/>
        <v>15</v>
      </c>
    </row>
    <row r="114" spans="4:8" x14ac:dyDescent="0.2">
      <c r="D114" s="1108" t="s">
        <v>1492</v>
      </c>
      <c r="E114" s="1090" t="s">
        <v>1468</v>
      </c>
      <c r="F114" s="1100">
        <v>0.5</v>
      </c>
      <c r="G114" s="1097">
        <v>30</v>
      </c>
      <c r="H114" s="1097">
        <f t="shared" si="4"/>
        <v>15</v>
      </c>
    </row>
    <row r="115" spans="4:8" x14ac:dyDescent="0.2">
      <c r="D115" s="1108" t="s">
        <v>1493</v>
      </c>
      <c r="E115" s="1090" t="s">
        <v>1468</v>
      </c>
      <c r="F115" s="1100">
        <v>0.5</v>
      </c>
      <c r="G115" s="1097">
        <v>30</v>
      </c>
      <c r="H115" s="1097">
        <f t="shared" si="4"/>
        <v>15</v>
      </c>
    </row>
    <row r="116" spans="4:8" x14ac:dyDescent="0.2">
      <c r="D116" s="1658" t="s">
        <v>252</v>
      </c>
      <c r="E116" s="1659"/>
      <c r="F116" s="1659"/>
      <c r="G116" s="1660"/>
      <c r="H116" s="1104">
        <f>SUM(H110:H114)</f>
        <v>75</v>
      </c>
    </row>
  </sheetData>
  <mergeCells count="22">
    <mergeCell ref="D104:G104"/>
    <mergeCell ref="D116:G116"/>
    <mergeCell ref="B54:I54"/>
    <mergeCell ref="D67:G67"/>
    <mergeCell ref="D93:G93"/>
    <mergeCell ref="D79:E79"/>
    <mergeCell ref="D11:G11"/>
    <mergeCell ref="C36:C41"/>
    <mergeCell ref="D10:H10"/>
    <mergeCell ref="D42:G42"/>
    <mergeCell ref="C50:G50"/>
    <mergeCell ref="C32:C34"/>
    <mergeCell ref="D12:G12"/>
    <mergeCell ref="D18:G18"/>
    <mergeCell ref="D23:G23"/>
    <mergeCell ref="D24:G24"/>
    <mergeCell ref="D31:G31"/>
    <mergeCell ref="D35:G35"/>
    <mergeCell ref="C13:C16"/>
    <mergeCell ref="C19:C22"/>
    <mergeCell ref="C25:C30"/>
    <mergeCell ref="H25:H41"/>
  </mergeCells>
  <phoneticPr fontId="59" type="noConversion"/>
  <pageMargins left="0.7" right="0.7" top="0.75" bottom="0.75" header="0.3" footer="0.3"/>
  <pageSetup paperSize="9" scale="70" orientation="portrait" r:id="rId1"/>
  <rowBreaks count="1" manualBreakCount="1">
    <brk id="52" min="1"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249977111117893"/>
  </sheetPr>
  <dimension ref="B4:J405"/>
  <sheetViews>
    <sheetView view="pageBreakPreview" topLeftCell="A4" zoomScale="70" zoomScaleNormal="100" zoomScaleSheetLayoutView="70" workbookViewId="0">
      <selection activeCell="H28" sqref="H28"/>
    </sheetView>
  </sheetViews>
  <sheetFormatPr baseColWidth="10" defaultRowHeight="12.75" x14ac:dyDescent="0.25"/>
  <cols>
    <col min="1" max="1" width="11.42578125" style="222"/>
    <col min="2" max="2" width="5.85546875" style="236" customWidth="1"/>
    <col min="3" max="3" width="24.140625" style="222" customWidth="1"/>
    <col min="4" max="6" width="11.42578125" style="222"/>
    <col min="7" max="7" width="15.28515625" style="222" customWidth="1"/>
    <col min="8" max="16384" width="11.42578125" style="222"/>
  </cols>
  <sheetData>
    <row r="4" spans="2:10" x14ac:dyDescent="0.25">
      <c r="B4" s="389" t="s">
        <v>674</v>
      </c>
    </row>
    <row r="6" spans="2:10" x14ac:dyDescent="0.25">
      <c r="B6" s="204" t="s">
        <v>1737</v>
      </c>
    </row>
    <row r="7" spans="2:10" x14ac:dyDescent="0.25">
      <c r="B7" s="204"/>
    </row>
    <row r="8" spans="2:10" x14ac:dyDescent="0.25">
      <c r="B8" s="1272">
        <v>2.1</v>
      </c>
      <c r="C8" s="1662" t="s">
        <v>1739</v>
      </c>
      <c r="D8" s="1662"/>
      <c r="E8" s="1662"/>
      <c r="F8" s="1662"/>
      <c r="G8" s="1662"/>
      <c r="H8" s="1662"/>
      <c r="I8" s="1662"/>
      <c r="J8" s="1662"/>
    </row>
    <row r="9" spans="2:10" x14ac:dyDescent="0.25">
      <c r="B9" s="204"/>
    </row>
    <row r="10" spans="2:10" ht="25.5" x14ac:dyDescent="0.25">
      <c r="B10" s="395" t="s">
        <v>398</v>
      </c>
      <c r="C10" s="395" t="s">
        <v>682</v>
      </c>
      <c r="D10" s="395" t="s">
        <v>397</v>
      </c>
      <c r="E10" s="395" t="s">
        <v>650</v>
      </c>
      <c r="F10" s="395" t="s">
        <v>684</v>
      </c>
      <c r="G10" s="395" t="s">
        <v>685</v>
      </c>
    </row>
    <row r="11" spans="2:10" ht="25.5" x14ac:dyDescent="0.25">
      <c r="B11" s="1271">
        <v>1</v>
      </c>
      <c r="C11" s="1232" t="s">
        <v>1740</v>
      </c>
      <c r="D11" s="269" t="s">
        <v>1536</v>
      </c>
      <c r="E11" s="282">
        <v>2</v>
      </c>
      <c r="F11" s="393">
        <v>5000</v>
      </c>
      <c r="G11" s="393">
        <f>E11*F11</f>
        <v>10000</v>
      </c>
    </row>
    <row r="12" spans="2:10" x14ac:dyDescent="0.25">
      <c r="B12" s="1271">
        <v>2</v>
      </c>
      <c r="C12" s="1297" t="s">
        <v>1659</v>
      </c>
      <c r="D12" s="269" t="s">
        <v>1536</v>
      </c>
      <c r="E12" s="282">
        <v>2</v>
      </c>
      <c r="F12" s="393">
        <v>6000</v>
      </c>
      <c r="G12" s="393">
        <f t="shared" ref="G12:G22" si="0">E12*F12</f>
        <v>12000</v>
      </c>
    </row>
    <row r="13" spans="2:10" x14ac:dyDescent="0.25">
      <c r="B13" s="1271">
        <v>3</v>
      </c>
      <c r="C13" s="1297" t="s">
        <v>1660</v>
      </c>
      <c r="D13" s="269" t="s">
        <v>1536</v>
      </c>
      <c r="E13" s="282">
        <v>2</v>
      </c>
      <c r="F13" s="393">
        <v>1000</v>
      </c>
      <c r="G13" s="393">
        <f t="shared" si="0"/>
        <v>2000</v>
      </c>
    </row>
    <row r="14" spans="2:10" x14ac:dyDescent="0.25">
      <c r="B14" s="1271">
        <v>4</v>
      </c>
      <c r="C14" s="1297" t="s">
        <v>1661</v>
      </c>
      <c r="D14" s="269" t="s">
        <v>1536</v>
      </c>
      <c r="E14" s="282">
        <v>3</v>
      </c>
      <c r="F14" s="393">
        <v>800</v>
      </c>
      <c r="G14" s="393">
        <f t="shared" si="0"/>
        <v>2400</v>
      </c>
    </row>
    <row r="15" spans="2:10" x14ac:dyDescent="0.25">
      <c r="B15" s="1271">
        <v>5</v>
      </c>
      <c r="C15" s="1297" t="s">
        <v>1662</v>
      </c>
      <c r="D15" s="269" t="s">
        <v>1536</v>
      </c>
      <c r="E15" s="282">
        <v>3</v>
      </c>
      <c r="F15" s="393">
        <v>500</v>
      </c>
      <c r="G15" s="393">
        <f t="shared" si="0"/>
        <v>1500</v>
      </c>
    </row>
    <row r="16" spans="2:10" x14ac:dyDescent="0.25">
      <c r="B16" s="1271">
        <v>6</v>
      </c>
      <c r="C16" s="1297" t="s">
        <v>1663</v>
      </c>
      <c r="D16" s="269" t="s">
        <v>1536</v>
      </c>
      <c r="E16" s="282">
        <v>12</v>
      </c>
      <c r="F16" s="393">
        <v>120</v>
      </c>
      <c r="G16" s="393">
        <f t="shared" si="0"/>
        <v>1440</v>
      </c>
    </row>
    <row r="17" spans="2:7" ht="24.75" customHeight="1" x14ac:dyDescent="0.25">
      <c r="B17" s="1271">
        <v>7</v>
      </c>
      <c r="C17" s="1298" t="s">
        <v>1664</v>
      </c>
      <c r="D17" s="1299" t="s">
        <v>1536</v>
      </c>
      <c r="E17" s="1236">
        <v>1</v>
      </c>
      <c r="F17" s="393">
        <v>5000</v>
      </c>
      <c r="G17" s="393">
        <f t="shared" si="0"/>
        <v>5000</v>
      </c>
    </row>
    <row r="18" spans="2:7" x14ac:dyDescent="0.25">
      <c r="B18" s="1271">
        <v>8</v>
      </c>
      <c r="C18" s="1297" t="s">
        <v>1665</v>
      </c>
      <c r="D18" s="269" t="s">
        <v>1536</v>
      </c>
      <c r="E18" s="282">
        <v>2</v>
      </c>
      <c r="F18" s="393">
        <v>800</v>
      </c>
      <c r="G18" s="393">
        <f t="shared" si="0"/>
        <v>1600</v>
      </c>
    </row>
    <row r="19" spans="2:7" x14ac:dyDescent="0.25">
      <c r="B19" s="1271">
        <v>9</v>
      </c>
      <c r="C19" s="1300" t="s">
        <v>1666</v>
      </c>
      <c r="D19" s="269" t="s">
        <v>1536</v>
      </c>
      <c r="E19" s="282">
        <v>1</v>
      </c>
      <c r="F19" s="393">
        <v>1500</v>
      </c>
      <c r="G19" s="393">
        <f t="shared" si="0"/>
        <v>1500</v>
      </c>
    </row>
    <row r="20" spans="2:7" ht="23.25" customHeight="1" x14ac:dyDescent="0.25">
      <c r="B20" s="1271">
        <v>10</v>
      </c>
      <c r="C20" s="1245" t="s">
        <v>1741</v>
      </c>
      <c r="D20" s="269" t="s">
        <v>1536</v>
      </c>
      <c r="E20" s="282">
        <v>2</v>
      </c>
      <c r="F20" s="393">
        <v>8000</v>
      </c>
      <c r="G20" s="393">
        <f t="shared" si="0"/>
        <v>16000</v>
      </c>
    </row>
    <row r="21" spans="2:7" x14ac:dyDescent="0.25">
      <c r="B21" s="1271">
        <v>11</v>
      </c>
      <c r="C21" s="1232" t="s">
        <v>803</v>
      </c>
      <c r="D21" s="269" t="s">
        <v>1668</v>
      </c>
      <c r="E21" s="282">
        <v>1</v>
      </c>
      <c r="F21" s="393">
        <v>4000</v>
      </c>
      <c r="G21" s="393">
        <f t="shared" si="0"/>
        <v>4000</v>
      </c>
    </row>
    <row r="22" spans="2:7" ht="16.5" x14ac:dyDescent="0.25">
      <c r="B22" s="1271">
        <v>12</v>
      </c>
      <c r="C22" s="1301" t="s">
        <v>1667</v>
      </c>
      <c r="D22" s="269" t="s">
        <v>1536</v>
      </c>
      <c r="E22" s="282">
        <v>1</v>
      </c>
      <c r="F22" s="393">
        <v>13000</v>
      </c>
      <c r="G22" s="393">
        <f t="shared" si="0"/>
        <v>13000</v>
      </c>
    </row>
    <row r="23" spans="2:7" x14ac:dyDescent="0.25">
      <c r="B23" s="1663" t="s">
        <v>44</v>
      </c>
      <c r="C23" s="1664"/>
      <c r="D23" s="1664"/>
      <c r="E23" s="1664"/>
      <c r="F23" s="1665"/>
      <c r="G23" s="394">
        <f>SUM(G11:G22)</f>
        <v>70440</v>
      </c>
    </row>
    <row r="24" spans="2:7" x14ac:dyDescent="0.25">
      <c r="B24" s="1471"/>
      <c r="C24" s="1471"/>
      <c r="D24" s="1471"/>
      <c r="E24" s="1471"/>
      <c r="F24" s="1471"/>
      <c r="G24" s="397"/>
    </row>
    <row r="25" spans="2:7" s="1472" customFormat="1" x14ac:dyDescent="0.25">
      <c r="B25" s="1473" t="s">
        <v>1919</v>
      </c>
      <c r="C25" s="1473" t="s">
        <v>1888</v>
      </c>
      <c r="D25" s="1474"/>
      <c r="E25" s="1474"/>
      <c r="F25" s="1474"/>
      <c r="G25" s="1475"/>
    </row>
    <row r="26" spans="2:7" x14ac:dyDescent="0.25">
      <c r="B26" s="1471"/>
      <c r="C26" s="1471"/>
      <c r="D26" s="1471"/>
      <c r="E26" s="1471"/>
      <c r="F26" s="1471"/>
      <c r="G26" s="397"/>
    </row>
    <row r="27" spans="2:7" ht="25.5" x14ac:dyDescent="0.25">
      <c r="B27" s="395" t="s">
        <v>398</v>
      </c>
      <c r="C27" s="395" t="s">
        <v>682</v>
      </c>
      <c r="D27" s="395" t="s">
        <v>397</v>
      </c>
      <c r="E27" s="395" t="s">
        <v>650</v>
      </c>
      <c r="F27" s="395" t="s">
        <v>684</v>
      </c>
      <c r="G27" s="395" t="s">
        <v>685</v>
      </c>
    </row>
    <row r="28" spans="2:7" ht="92.25" customHeight="1" x14ac:dyDescent="0.25">
      <c r="B28" s="1466">
        <v>1</v>
      </c>
      <c r="C28" s="1232" t="s">
        <v>1918</v>
      </c>
      <c r="D28" s="269" t="s">
        <v>1536</v>
      </c>
      <c r="E28" s="282">
        <v>2</v>
      </c>
      <c r="F28" s="393">
        <v>17500</v>
      </c>
      <c r="G28" s="393">
        <f>F28*E28</f>
        <v>35000</v>
      </c>
    </row>
    <row r="29" spans="2:7" ht="54" customHeight="1" x14ac:dyDescent="0.25">
      <c r="B29" s="1466">
        <v>2</v>
      </c>
      <c r="C29" s="1232" t="s">
        <v>1893</v>
      </c>
      <c r="D29" s="269" t="s">
        <v>1895</v>
      </c>
      <c r="E29" s="1464">
        <v>1</v>
      </c>
      <c r="F29" s="393">
        <v>47082.994999999995</v>
      </c>
      <c r="G29" s="393">
        <f t="shared" ref="G29:G30" si="1">F29*E29</f>
        <v>47082.994999999995</v>
      </c>
    </row>
    <row r="30" spans="2:7" ht="58.5" customHeight="1" x14ac:dyDescent="0.25">
      <c r="B30" s="1466">
        <v>3</v>
      </c>
      <c r="C30" s="1232" t="s">
        <v>1894</v>
      </c>
      <c r="D30" s="269" t="s">
        <v>1895</v>
      </c>
      <c r="E30" s="1464">
        <v>1</v>
      </c>
      <c r="F30" s="393">
        <v>55250.000000000007</v>
      </c>
      <c r="G30" s="393">
        <f t="shared" si="1"/>
        <v>55250.000000000007</v>
      </c>
    </row>
    <row r="31" spans="2:7" ht="15.75" customHeight="1" x14ac:dyDescent="0.25">
      <c r="B31" s="1663" t="s">
        <v>44</v>
      </c>
      <c r="C31" s="1664"/>
      <c r="D31" s="1664"/>
      <c r="E31" s="1664"/>
      <c r="F31" s="1665"/>
      <c r="G31" s="394">
        <f>SUM(G28:G30)</f>
        <v>137332.995</v>
      </c>
    </row>
    <row r="32" spans="2:7" x14ac:dyDescent="0.25">
      <c r="B32" s="204"/>
    </row>
    <row r="33" spans="2:10" x14ac:dyDescent="0.25">
      <c r="B33" s="204"/>
    </row>
    <row r="34" spans="2:10" x14ac:dyDescent="0.25">
      <c r="B34" s="1666" t="s">
        <v>1742</v>
      </c>
      <c r="C34" s="1666"/>
      <c r="D34" s="1666"/>
      <c r="E34" s="1666"/>
      <c r="F34" s="1666"/>
      <c r="G34" s="1666"/>
      <c r="H34" s="1666"/>
      <c r="I34" s="1666"/>
      <c r="J34" s="1666"/>
    </row>
    <row r="35" spans="2:10" x14ac:dyDescent="0.25">
      <c r="C35" s="390"/>
      <c r="D35" s="390"/>
      <c r="E35" s="390"/>
      <c r="F35" s="390"/>
      <c r="G35" s="397"/>
    </row>
    <row r="36" spans="2:10" ht="25.5" x14ac:dyDescent="0.25">
      <c r="B36" s="399" t="s">
        <v>398</v>
      </c>
      <c r="C36" s="399" t="s">
        <v>682</v>
      </c>
      <c r="D36" s="399" t="s">
        <v>397</v>
      </c>
      <c r="E36" s="399" t="s">
        <v>650</v>
      </c>
      <c r="F36" s="399" t="s">
        <v>684</v>
      </c>
      <c r="G36" s="399" t="s">
        <v>685</v>
      </c>
    </row>
    <row r="37" spans="2:10" ht="38.25" x14ac:dyDescent="0.25">
      <c r="B37" s="1271">
        <v>1</v>
      </c>
      <c r="C37" s="1266" t="str">
        <f>C8</f>
        <v>Implementación de módulo para el mejoramiento de la dirección de industria</v>
      </c>
      <c r="D37" s="1271" t="s">
        <v>411</v>
      </c>
      <c r="E37" s="1271">
        <v>1</v>
      </c>
      <c r="F37" s="398">
        <f>G23</f>
        <v>70440</v>
      </c>
      <c r="G37" s="393">
        <f>E37*F37</f>
        <v>70440</v>
      </c>
    </row>
    <row r="38" spans="2:10" ht="52.5" customHeight="1" x14ac:dyDescent="0.25">
      <c r="B38" s="1466">
        <v>2</v>
      </c>
      <c r="C38" s="1465" t="str">
        <f>C25</f>
        <v>Mejoramiento y adecuación de la planta piloto de procesamiento de frutas y hortalizas</v>
      </c>
      <c r="D38" s="1466" t="s">
        <v>411</v>
      </c>
      <c r="E38" s="1466">
        <v>2</v>
      </c>
      <c r="F38" s="398">
        <f>G31</f>
        <v>137332.995</v>
      </c>
      <c r="G38" s="393">
        <f>G31</f>
        <v>137332.995</v>
      </c>
    </row>
    <row r="39" spans="2:10" x14ac:dyDescent="0.25">
      <c r="B39" s="1667" t="s">
        <v>44</v>
      </c>
      <c r="C39" s="1668"/>
      <c r="D39" s="1668"/>
      <c r="E39" s="1668"/>
      <c r="F39" s="1669"/>
      <c r="G39" s="400">
        <f>SUM(G37:G38)</f>
        <v>207772.995</v>
      </c>
    </row>
    <row r="40" spans="2:10" x14ac:dyDescent="0.25">
      <c r="B40" s="204"/>
    </row>
    <row r="42" spans="2:10" ht="27" customHeight="1" x14ac:dyDescent="0.25">
      <c r="B42" s="401">
        <v>2.2000000000000002</v>
      </c>
      <c r="C42" s="1662" t="s">
        <v>1738</v>
      </c>
      <c r="D42" s="1662"/>
      <c r="E42" s="1662"/>
      <c r="F42" s="1662"/>
      <c r="G42" s="1662"/>
      <c r="H42" s="1662"/>
      <c r="I42" s="1662"/>
      <c r="J42" s="1662"/>
    </row>
    <row r="44" spans="2:10" ht="12.75" customHeight="1" x14ac:dyDescent="0.25">
      <c r="B44" s="1224" t="s">
        <v>403</v>
      </c>
      <c r="C44" s="1673" t="s">
        <v>1597</v>
      </c>
      <c r="D44" s="1674"/>
      <c r="E44" s="1674"/>
      <c r="F44" s="1674"/>
      <c r="G44" s="1674"/>
      <c r="H44" s="1674"/>
      <c r="I44" s="1674"/>
      <c r="J44" s="1674"/>
    </row>
    <row r="46" spans="2:10" ht="25.5" x14ac:dyDescent="0.25">
      <c r="B46" s="395" t="s">
        <v>398</v>
      </c>
      <c r="C46" s="395" t="s">
        <v>682</v>
      </c>
      <c r="D46" s="395" t="s">
        <v>397</v>
      </c>
      <c r="E46" s="395" t="s">
        <v>650</v>
      </c>
      <c r="F46" s="395" t="s">
        <v>684</v>
      </c>
      <c r="G46" s="395" t="s">
        <v>685</v>
      </c>
    </row>
    <row r="47" spans="2:10" x14ac:dyDescent="0.25">
      <c r="B47" s="135">
        <v>1</v>
      </c>
      <c r="C47" s="256" t="s">
        <v>686</v>
      </c>
      <c r="D47" s="135" t="s">
        <v>402</v>
      </c>
      <c r="E47" s="135">
        <v>2</v>
      </c>
      <c r="F47" s="393">
        <v>5000</v>
      </c>
      <c r="G47" s="393">
        <f>E47*F47</f>
        <v>10000</v>
      </c>
    </row>
    <row r="48" spans="2:10" x14ac:dyDescent="0.25">
      <c r="B48" s="135">
        <v>2</v>
      </c>
      <c r="C48" s="256" t="s">
        <v>687</v>
      </c>
      <c r="D48" s="135" t="s">
        <v>411</v>
      </c>
      <c r="E48" s="135">
        <v>1</v>
      </c>
      <c r="F48" s="393">
        <v>3500</v>
      </c>
      <c r="G48" s="393">
        <f>E48*F48</f>
        <v>3500</v>
      </c>
    </row>
    <row r="49" spans="2:7" x14ac:dyDescent="0.25">
      <c r="B49" s="135">
        <v>3</v>
      </c>
      <c r="C49" s="256" t="s">
        <v>688</v>
      </c>
      <c r="D49" s="135" t="s">
        <v>402</v>
      </c>
      <c r="E49" s="135">
        <v>1</v>
      </c>
      <c r="F49" s="393">
        <v>25000</v>
      </c>
      <c r="G49" s="393">
        <f>E49*F49</f>
        <v>25000</v>
      </c>
    </row>
    <row r="50" spans="2:7" x14ac:dyDescent="0.25">
      <c r="B50" s="135">
        <v>4</v>
      </c>
      <c r="C50" s="256" t="s">
        <v>434</v>
      </c>
      <c r="D50" s="135" t="s">
        <v>402</v>
      </c>
      <c r="E50" s="135">
        <v>1</v>
      </c>
      <c r="F50" s="393">
        <v>3500</v>
      </c>
      <c r="G50" s="393">
        <f>E50*F50</f>
        <v>3500</v>
      </c>
    </row>
    <row r="51" spans="2:7" ht="15" customHeight="1" x14ac:dyDescent="0.25">
      <c r="B51" s="1663" t="s">
        <v>44</v>
      </c>
      <c r="C51" s="1664"/>
      <c r="D51" s="1664"/>
      <c r="E51" s="1664"/>
      <c r="F51" s="1665"/>
      <c r="G51" s="394">
        <f>SUM(G47:G50)</f>
        <v>42000</v>
      </c>
    </row>
    <row r="54" spans="2:7" ht="15.75" customHeight="1" x14ac:dyDescent="0.25">
      <c r="B54" s="1224" t="s">
        <v>404</v>
      </c>
      <c r="C54" s="1225" t="s">
        <v>1598</v>
      </c>
      <c r="D54" s="265"/>
      <c r="E54" s="265"/>
      <c r="F54" s="265"/>
      <c r="G54" s="265"/>
    </row>
    <row r="56" spans="2:7" ht="25.5" x14ac:dyDescent="0.25">
      <c r="B56" s="395" t="s">
        <v>398</v>
      </c>
      <c r="C56" s="395" t="s">
        <v>682</v>
      </c>
      <c r="D56" s="395" t="s">
        <v>397</v>
      </c>
      <c r="E56" s="395" t="s">
        <v>650</v>
      </c>
      <c r="F56" s="395" t="s">
        <v>684</v>
      </c>
      <c r="G56" s="395" t="s">
        <v>685</v>
      </c>
    </row>
    <row r="57" spans="2:7" x14ac:dyDescent="0.25">
      <c r="B57" s="135">
        <v>1</v>
      </c>
      <c r="C57" s="402" t="s">
        <v>436</v>
      </c>
      <c r="D57" s="135" t="s">
        <v>402</v>
      </c>
      <c r="E57" s="135">
        <v>1</v>
      </c>
      <c r="F57" s="338">
        <v>15000</v>
      </c>
      <c r="G57" s="393">
        <f>E57*F57</f>
        <v>15000</v>
      </c>
    </row>
    <row r="58" spans="2:7" x14ac:dyDescent="0.25">
      <c r="B58" s="135">
        <v>2</v>
      </c>
      <c r="C58" s="402" t="s">
        <v>437</v>
      </c>
      <c r="D58" s="135" t="s">
        <v>402</v>
      </c>
      <c r="E58" s="135">
        <v>1</v>
      </c>
      <c r="F58" s="338">
        <v>18000</v>
      </c>
      <c r="G58" s="393">
        <f t="shared" ref="G58:G69" si="2">E58*F58</f>
        <v>18000</v>
      </c>
    </row>
    <row r="59" spans="2:7" x14ac:dyDescent="0.25">
      <c r="B59" s="135">
        <v>3</v>
      </c>
      <c r="C59" s="402" t="s">
        <v>438</v>
      </c>
      <c r="D59" s="135" t="s">
        <v>402</v>
      </c>
      <c r="E59" s="135">
        <v>1</v>
      </c>
      <c r="F59" s="338">
        <v>2500</v>
      </c>
      <c r="G59" s="393">
        <f t="shared" si="2"/>
        <v>2500</v>
      </c>
    </row>
    <row r="60" spans="2:7" x14ac:dyDescent="0.25">
      <c r="B60" s="135">
        <v>4</v>
      </c>
      <c r="C60" s="402" t="s">
        <v>439</v>
      </c>
      <c r="D60" s="135" t="s">
        <v>402</v>
      </c>
      <c r="E60" s="135">
        <v>2</v>
      </c>
      <c r="F60" s="338">
        <v>2500</v>
      </c>
      <c r="G60" s="393">
        <f t="shared" si="2"/>
        <v>5000</v>
      </c>
    </row>
    <row r="61" spans="2:7" x14ac:dyDescent="0.25">
      <c r="B61" s="135">
        <v>5</v>
      </c>
      <c r="C61" s="402" t="s">
        <v>440</v>
      </c>
      <c r="D61" s="135" t="s">
        <v>402</v>
      </c>
      <c r="E61" s="135">
        <v>1</v>
      </c>
      <c r="F61" s="338">
        <v>35000</v>
      </c>
      <c r="G61" s="393">
        <f t="shared" si="2"/>
        <v>35000</v>
      </c>
    </row>
    <row r="62" spans="2:7" x14ac:dyDescent="0.25">
      <c r="B62" s="135">
        <v>6</v>
      </c>
      <c r="C62" s="402" t="s">
        <v>441</v>
      </c>
      <c r="D62" s="135" t="s">
        <v>402</v>
      </c>
      <c r="E62" s="135">
        <v>1</v>
      </c>
      <c r="F62" s="338">
        <v>800</v>
      </c>
      <c r="G62" s="393">
        <f t="shared" si="2"/>
        <v>800</v>
      </c>
    </row>
    <row r="63" spans="2:7" x14ac:dyDescent="0.25">
      <c r="B63" s="135">
        <v>7</v>
      </c>
      <c r="C63" s="402" t="s">
        <v>442</v>
      </c>
      <c r="D63" s="135" t="s">
        <v>402</v>
      </c>
      <c r="E63" s="135">
        <v>1</v>
      </c>
      <c r="F63" s="338">
        <v>500</v>
      </c>
      <c r="G63" s="393">
        <f t="shared" si="2"/>
        <v>500</v>
      </c>
    </row>
    <row r="64" spans="2:7" x14ac:dyDescent="0.25">
      <c r="B64" s="135">
        <v>8</v>
      </c>
      <c r="C64" s="402" t="s">
        <v>443</v>
      </c>
      <c r="D64" s="135" t="s">
        <v>402</v>
      </c>
      <c r="E64" s="135">
        <v>4</v>
      </c>
      <c r="F64" s="338">
        <v>150</v>
      </c>
      <c r="G64" s="393">
        <f t="shared" si="2"/>
        <v>600</v>
      </c>
    </row>
    <row r="65" spans="2:7" x14ac:dyDescent="0.25">
      <c r="B65" s="135">
        <v>9</v>
      </c>
      <c r="C65" s="402" t="s">
        <v>444</v>
      </c>
      <c r="D65" s="135" t="s">
        <v>402</v>
      </c>
      <c r="E65" s="135">
        <v>1</v>
      </c>
      <c r="F65" s="338">
        <v>250</v>
      </c>
      <c r="G65" s="393">
        <f t="shared" si="2"/>
        <v>250</v>
      </c>
    </row>
    <row r="66" spans="2:7" x14ac:dyDescent="0.25">
      <c r="B66" s="135">
        <v>10</v>
      </c>
      <c r="C66" s="402" t="s">
        <v>445</v>
      </c>
      <c r="D66" s="135" t="s">
        <v>402</v>
      </c>
      <c r="E66" s="135">
        <v>10</v>
      </c>
      <c r="F66" s="338">
        <v>20</v>
      </c>
      <c r="G66" s="393">
        <f t="shared" si="2"/>
        <v>200</v>
      </c>
    </row>
    <row r="67" spans="2:7" x14ac:dyDescent="0.25">
      <c r="B67" s="135">
        <v>11</v>
      </c>
      <c r="C67" s="402" t="s">
        <v>446</v>
      </c>
      <c r="D67" s="135" t="s">
        <v>402</v>
      </c>
      <c r="E67" s="135">
        <v>1</v>
      </c>
      <c r="F67" s="338">
        <v>1200</v>
      </c>
      <c r="G67" s="393">
        <f t="shared" si="2"/>
        <v>1200</v>
      </c>
    </row>
    <row r="68" spans="2:7" x14ac:dyDescent="0.25">
      <c r="B68" s="135">
        <v>12</v>
      </c>
      <c r="C68" s="402" t="s">
        <v>447</v>
      </c>
      <c r="D68" s="135" t="s">
        <v>411</v>
      </c>
      <c r="E68" s="135">
        <v>1</v>
      </c>
      <c r="F68" s="338">
        <v>2500</v>
      </c>
      <c r="G68" s="393">
        <f t="shared" si="2"/>
        <v>2500</v>
      </c>
    </row>
    <row r="69" spans="2:7" x14ac:dyDescent="0.25">
      <c r="B69" s="135">
        <v>13</v>
      </c>
      <c r="C69" s="402" t="s">
        <v>448</v>
      </c>
      <c r="D69" s="135" t="s">
        <v>411</v>
      </c>
      <c r="E69" s="135">
        <v>1</v>
      </c>
      <c r="F69" s="338">
        <v>10000</v>
      </c>
      <c r="G69" s="393">
        <f t="shared" si="2"/>
        <v>10000</v>
      </c>
    </row>
    <row r="70" spans="2:7" ht="15" customHeight="1" x14ac:dyDescent="0.25">
      <c r="B70" s="1672" t="s">
        <v>44</v>
      </c>
      <c r="C70" s="1672"/>
      <c r="D70" s="1672"/>
      <c r="E70" s="1672"/>
      <c r="F70" s="1672"/>
      <c r="G70" s="394">
        <f>SUM(G57:G69)</f>
        <v>91550</v>
      </c>
    </row>
    <row r="73" spans="2:7" ht="15.75" customHeight="1" x14ac:dyDescent="0.25">
      <c r="B73" s="1224" t="s">
        <v>405</v>
      </c>
      <c r="C73" s="1225" t="s">
        <v>1599</v>
      </c>
      <c r="D73" s="264"/>
      <c r="E73" s="264"/>
      <c r="F73" s="264"/>
      <c r="G73" s="264"/>
    </row>
    <row r="75" spans="2:7" ht="25.5" x14ac:dyDescent="0.25">
      <c r="B75" s="395" t="s">
        <v>398</v>
      </c>
      <c r="C75" s="395" t="s">
        <v>682</v>
      </c>
      <c r="D75" s="395" t="s">
        <v>397</v>
      </c>
      <c r="E75" s="395" t="s">
        <v>650</v>
      </c>
      <c r="F75" s="395" t="s">
        <v>684</v>
      </c>
      <c r="G75" s="395" t="s">
        <v>685</v>
      </c>
    </row>
    <row r="76" spans="2:7" x14ac:dyDescent="0.25">
      <c r="B76" s="135">
        <v>1</v>
      </c>
      <c r="C76" s="396" t="s">
        <v>449</v>
      </c>
      <c r="D76" s="135" t="s">
        <v>402</v>
      </c>
      <c r="E76" s="135">
        <v>15</v>
      </c>
      <c r="F76" s="393">
        <v>1200</v>
      </c>
      <c r="G76" s="393">
        <f>E76*F76</f>
        <v>18000</v>
      </c>
    </row>
    <row r="77" spans="2:7" x14ac:dyDescent="0.25">
      <c r="B77" s="135">
        <v>2</v>
      </c>
      <c r="C77" s="396" t="s">
        <v>450</v>
      </c>
      <c r="D77" s="135" t="s">
        <v>467</v>
      </c>
      <c r="E77" s="135">
        <v>200</v>
      </c>
      <c r="F77" s="393">
        <v>25</v>
      </c>
      <c r="G77" s="393">
        <f t="shared" ref="G77:G93" si="3">E77*F77</f>
        <v>5000</v>
      </c>
    </row>
    <row r="78" spans="2:7" ht="29.25" customHeight="1" x14ac:dyDescent="0.25">
      <c r="B78" s="135">
        <v>3</v>
      </c>
      <c r="C78" s="396" t="s">
        <v>451</v>
      </c>
      <c r="D78" s="135" t="s">
        <v>402</v>
      </c>
      <c r="E78" s="135">
        <v>30</v>
      </c>
      <c r="F78" s="393">
        <v>2500</v>
      </c>
      <c r="G78" s="393">
        <f t="shared" si="3"/>
        <v>75000</v>
      </c>
    </row>
    <row r="79" spans="2:7" x14ac:dyDescent="0.25">
      <c r="B79" s="135">
        <v>4</v>
      </c>
      <c r="C79" s="396" t="s">
        <v>689</v>
      </c>
      <c r="D79" s="135" t="s">
        <v>402</v>
      </c>
      <c r="E79" s="135">
        <v>2</v>
      </c>
      <c r="F79" s="393">
        <v>3500</v>
      </c>
      <c r="G79" s="393">
        <f t="shared" si="3"/>
        <v>7000</v>
      </c>
    </row>
    <row r="80" spans="2:7" x14ac:dyDescent="0.25">
      <c r="B80" s="135">
        <v>5</v>
      </c>
      <c r="C80" s="396" t="s">
        <v>453</v>
      </c>
      <c r="D80" s="135" t="s">
        <v>402</v>
      </c>
      <c r="E80" s="135">
        <v>2</v>
      </c>
      <c r="F80" s="393">
        <v>1500</v>
      </c>
      <c r="G80" s="393">
        <f t="shared" si="3"/>
        <v>3000</v>
      </c>
    </row>
    <row r="81" spans="2:10" x14ac:dyDescent="0.25">
      <c r="B81" s="135">
        <v>6</v>
      </c>
      <c r="C81" s="396" t="s">
        <v>454</v>
      </c>
      <c r="D81" s="135" t="s">
        <v>402</v>
      </c>
      <c r="E81" s="135">
        <v>8</v>
      </c>
      <c r="F81" s="393">
        <v>550</v>
      </c>
      <c r="G81" s="393">
        <f t="shared" si="3"/>
        <v>4400</v>
      </c>
    </row>
    <row r="82" spans="2:10" ht="30.75" customHeight="1" x14ac:dyDescent="0.25">
      <c r="B82" s="135">
        <v>7</v>
      </c>
      <c r="C82" s="396" t="s">
        <v>690</v>
      </c>
      <c r="D82" s="135" t="s">
        <v>411</v>
      </c>
      <c r="E82" s="135">
        <v>1</v>
      </c>
      <c r="F82" s="393">
        <v>10000</v>
      </c>
      <c r="G82" s="393">
        <f t="shared" si="3"/>
        <v>10000</v>
      </c>
    </row>
    <row r="83" spans="2:10" x14ac:dyDescent="0.25">
      <c r="B83" s="135">
        <v>8</v>
      </c>
      <c r="C83" s="396" t="s">
        <v>456</v>
      </c>
      <c r="D83" s="135" t="s">
        <v>402</v>
      </c>
      <c r="E83" s="135">
        <v>4</v>
      </c>
      <c r="F83" s="393">
        <v>5000</v>
      </c>
      <c r="G83" s="393">
        <f t="shared" si="3"/>
        <v>20000</v>
      </c>
    </row>
    <row r="84" spans="2:10" x14ac:dyDescent="0.25">
      <c r="B84" s="135">
        <v>9</v>
      </c>
      <c r="C84" s="396" t="s">
        <v>457</v>
      </c>
      <c r="D84" s="135" t="s">
        <v>402</v>
      </c>
      <c r="E84" s="135">
        <v>2</v>
      </c>
      <c r="F84" s="393">
        <v>3500</v>
      </c>
      <c r="G84" s="393">
        <f t="shared" si="3"/>
        <v>7000</v>
      </c>
    </row>
    <row r="85" spans="2:10" x14ac:dyDescent="0.25">
      <c r="B85" s="135">
        <v>10</v>
      </c>
      <c r="C85" s="396" t="s">
        <v>458</v>
      </c>
      <c r="D85" s="135" t="s">
        <v>411</v>
      </c>
      <c r="E85" s="135">
        <v>1</v>
      </c>
      <c r="F85" s="393">
        <v>8000</v>
      </c>
      <c r="G85" s="393">
        <f t="shared" si="3"/>
        <v>8000</v>
      </c>
    </row>
    <row r="86" spans="2:10" x14ac:dyDescent="0.25">
      <c r="B86" s="135">
        <v>11</v>
      </c>
      <c r="C86" s="396" t="s">
        <v>459</v>
      </c>
      <c r="D86" s="135" t="s">
        <v>402</v>
      </c>
      <c r="E86" s="135">
        <v>8</v>
      </c>
      <c r="F86" s="393">
        <v>4000</v>
      </c>
      <c r="G86" s="393">
        <f t="shared" si="3"/>
        <v>32000</v>
      </c>
    </row>
    <row r="87" spans="2:10" x14ac:dyDescent="0.25">
      <c r="B87" s="135">
        <v>12</v>
      </c>
      <c r="C87" s="396" t="s">
        <v>460</v>
      </c>
      <c r="D87" s="135" t="s">
        <v>402</v>
      </c>
      <c r="E87" s="135">
        <v>8</v>
      </c>
      <c r="F87" s="393">
        <v>2500</v>
      </c>
      <c r="G87" s="393">
        <f t="shared" si="3"/>
        <v>20000</v>
      </c>
    </row>
    <row r="88" spans="2:10" x14ac:dyDescent="0.25">
      <c r="B88" s="135">
        <v>13</v>
      </c>
      <c r="C88" s="396" t="s">
        <v>461</v>
      </c>
      <c r="D88" s="135" t="s">
        <v>402</v>
      </c>
      <c r="E88" s="135">
        <v>3</v>
      </c>
      <c r="F88" s="393">
        <v>1200</v>
      </c>
      <c r="G88" s="393">
        <f t="shared" si="3"/>
        <v>3600</v>
      </c>
    </row>
    <row r="89" spans="2:10" x14ac:dyDescent="0.25">
      <c r="B89" s="135">
        <v>14</v>
      </c>
      <c r="C89" s="396" t="s">
        <v>531</v>
      </c>
      <c r="D89" s="135" t="s">
        <v>402</v>
      </c>
      <c r="E89" s="135">
        <v>3</v>
      </c>
      <c r="F89" s="393">
        <v>200</v>
      </c>
      <c r="G89" s="393">
        <f t="shared" si="3"/>
        <v>600</v>
      </c>
    </row>
    <row r="90" spans="2:10" x14ac:dyDescent="0.25">
      <c r="B90" s="135">
        <v>15</v>
      </c>
      <c r="C90" s="396" t="s">
        <v>463</v>
      </c>
      <c r="D90" s="135" t="s">
        <v>402</v>
      </c>
      <c r="E90" s="135">
        <v>3</v>
      </c>
      <c r="F90" s="393">
        <v>50</v>
      </c>
      <c r="G90" s="393">
        <f t="shared" si="3"/>
        <v>150</v>
      </c>
    </row>
    <row r="91" spans="2:10" x14ac:dyDescent="0.25">
      <c r="B91" s="135">
        <v>16</v>
      </c>
      <c r="C91" s="396" t="s">
        <v>480</v>
      </c>
      <c r="D91" s="135" t="s">
        <v>402</v>
      </c>
      <c r="E91" s="135">
        <v>2</v>
      </c>
      <c r="F91" s="393">
        <v>350</v>
      </c>
      <c r="G91" s="393">
        <f t="shared" si="3"/>
        <v>700</v>
      </c>
    </row>
    <row r="92" spans="2:10" x14ac:dyDescent="0.25">
      <c r="B92" s="135">
        <v>17</v>
      </c>
      <c r="C92" s="396" t="s">
        <v>465</v>
      </c>
      <c r="D92" s="135" t="s">
        <v>402</v>
      </c>
      <c r="E92" s="135">
        <v>5</v>
      </c>
      <c r="F92" s="393">
        <v>50</v>
      </c>
      <c r="G92" s="393">
        <f t="shared" si="3"/>
        <v>250</v>
      </c>
    </row>
    <row r="93" spans="2:10" x14ac:dyDescent="0.25">
      <c r="B93" s="135">
        <v>18</v>
      </c>
      <c r="C93" s="396" t="s">
        <v>466</v>
      </c>
      <c r="D93" s="135" t="s">
        <v>402</v>
      </c>
      <c r="E93" s="135">
        <v>3</v>
      </c>
      <c r="F93" s="393">
        <v>100</v>
      </c>
      <c r="G93" s="393">
        <f t="shared" si="3"/>
        <v>300</v>
      </c>
    </row>
    <row r="94" spans="2:10" ht="15" customHeight="1" x14ac:dyDescent="0.25">
      <c r="B94" s="1672" t="s">
        <v>44</v>
      </c>
      <c r="C94" s="1672"/>
      <c r="D94" s="1672"/>
      <c r="E94" s="1672"/>
      <c r="F94" s="1672"/>
      <c r="G94" s="394">
        <f>SUM(G76:G93)</f>
        <v>215000</v>
      </c>
    </row>
    <row r="95" spans="2:10" ht="15" customHeight="1" x14ac:dyDescent="0.25">
      <c r="C95" s="390"/>
      <c r="D95" s="390"/>
      <c r="E95" s="390"/>
      <c r="F95" s="390"/>
      <c r="G95" s="397"/>
    </row>
    <row r="96" spans="2:10" ht="30.75" customHeight="1" x14ac:dyDescent="0.25">
      <c r="B96" s="1666" t="s">
        <v>704</v>
      </c>
      <c r="C96" s="1666"/>
      <c r="D96" s="1666"/>
      <c r="E96" s="1666"/>
      <c r="F96" s="1666"/>
      <c r="G96" s="1666"/>
      <c r="H96" s="1666"/>
      <c r="I96" s="1666"/>
      <c r="J96" s="1666"/>
    </row>
    <row r="97" spans="2:10" ht="15" customHeight="1" x14ac:dyDescent="0.25">
      <c r="C97" s="390"/>
      <c r="D97" s="390"/>
      <c r="E97" s="390"/>
      <c r="F97" s="390"/>
      <c r="G97" s="397"/>
    </row>
    <row r="98" spans="2:10" ht="30" customHeight="1" x14ac:dyDescent="0.25">
      <c r="B98" s="399" t="s">
        <v>398</v>
      </c>
      <c r="C98" s="399" t="s">
        <v>682</v>
      </c>
      <c r="D98" s="399" t="s">
        <v>397</v>
      </c>
      <c r="E98" s="399" t="s">
        <v>650</v>
      </c>
      <c r="F98" s="399" t="s">
        <v>684</v>
      </c>
      <c r="G98" s="399" t="s">
        <v>685</v>
      </c>
    </row>
    <row r="99" spans="2:10" ht="69" customHeight="1" x14ac:dyDescent="0.25">
      <c r="B99" s="135" t="str">
        <f>+B44</f>
        <v>2.1.1</v>
      </c>
      <c r="C99" s="396" t="str">
        <f>C44</f>
        <v>Implementación de equipamiento del sistema de purificación y almacenamiento de agua.</v>
      </c>
      <c r="D99" s="135" t="s">
        <v>411</v>
      </c>
      <c r="E99" s="135">
        <v>1</v>
      </c>
      <c r="F99" s="398">
        <f>G51</f>
        <v>42000</v>
      </c>
      <c r="G99" s="393">
        <f>E99*F99</f>
        <v>42000</v>
      </c>
    </row>
    <row r="100" spans="2:10" ht="38.25" x14ac:dyDescent="0.25">
      <c r="B100" s="135" t="str">
        <f>+B54</f>
        <v>2.1.2</v>
      </c>
      <c r="C100" s="396" t="str">
        <f>C54</f>
        <v>Implementación de equipamiento  del laboratorio de propagación de microalgas Espirulina.</v>
      </c>
      <c r="D100" s="135" t="s">
        <v>411</v>
      </c>
      <c r="E100" s="135">
        <v>1</v>
      </c>
      <c r="F100" s="398">
        <f>G70</f>
        <v>91550</v>
      </c>
      <c r="G100" s="393">
        <f>E100*F100</f>
        <v>91550</v>
      </c>
    </row>
    <row r="101" spans="2:10" ht="38.25" x14ac:dyDescent="0.25">
      <c r="B101" s="135" t="str">
        <f>+B73</f>
        <v>2.1.3</v>
      </c>
      <c r="C101" s="396" t="str">
        <f>C73</f>
        <v xml:space="preserve">Implementación de equipamiento del  invernadero de la producción del microalga Espirulina. </v>
      </c>
      <c r="D101" s="135" t="s">
        <v>411</v>
      </c>
      <c r="E101" s="135">
        <v>1</v>
      </c>
      <c r="F101" s="398">
        <f>G94</f>
        <v>215000</v>
      </c>
      <c r="G101" s="393">
        <f>E101*F101</f>
        <v>215000</v>
      </c>
    </row>
    <row r="102" spans="2:10" ht="15" customHeight="1" x14ac:dyDescent="0.25">
      <c r="B102" s="1667" t="s">
        <v>44</v>
      </c>
      <c r="C102" s="1668"/>
      <c r="D102" s="1668"/>
      <c r="E102" s="1668"/>
      <c r="F102" s="1669"/>
      <c r="G102" s="400">
        <f>SUM(G99:G101)</f>
        <v>348550</v>
      </c>
    </row>
    <row r="103" spans="2:10" ht="15" customHeight="1" x14ac:dyDescent="0.25">
      <c r="C103" s="390"/>
      <c r="D103" s="390"/>
      <c r="E103" s="390"/>
      <c r="F103" s="390"/>
      <c r="G103" s="397"/>
    </row>
    <row r="106" spans="2:10" ht="28.5" customHeight="1" x14ac:dyDescent="0.25">
      <c r="B106" s="401">
        <v>2.2999999999999998</v>
      </c>
      <c r="C106" s="1662" t="s">
        <v>1600</v>
      </c>
      <c r="D106" s="1662"/>
      <c r="E106" s="1662"/>
      <c r="F106" s="1662"/>
      <c r="G106" s="1662"/>
      <c r="H106" s="1662"/>
      <c r="I106" s="1662"/>
      <c r="J106" s="1662"/>
    </row>
    <row r="108" spans="2:10" ht="15.75" customHeight="1" x14ac:dyDescent="0.25">
      <c r="B108" s="236" t="s">
        <v>407</v>
      </c>
      <c r="C108" s="1225" t="s">
        <v>1601</v>
      </c>
      <c r="D108" s="264"/>
      <c r="E108" s="264"/>
      <c r="F108" s="264"/>
      <c r="G108" s="264"/>
    </row>
    <row r="110" spans="2:10" x14ac:dyDescent="0.25">
      <c r="C110" s="264" t="s">
        <v>692</v>
      </c>
    </row>
    <row r="112" spans="2:10" ht="25.5" x14ac:dyDescent="0.25">
      <c r="B112" s="395" t="s">
        <v>398</v>
      </c>
      <c r="C112" s="395" t="s">
        <v>682</v>
      </c>
      <c r="D112" s="395" t="s">
        <v>397</v>
      </c>
      <c r="E112" s="395" t="s">
        <v>650</v>
      </c>
      <c r="F112" s="395" t="s">
        <v>684</v>
      </c>
      <c r="G112" s="395" t="s">
        <v>685</v>
      </c>
    </row>
    <row r="113" spans="2:7" x14ac:dyDescent="0.2">
      <c r="B113" s="135">
        <v>1</v>
      </c>
      <c r="C113" s="55" t="s">
        <v>469</v>
      </c>
      <c r="D113" s="135" t="s">
        <v>402</v>
      </c>
      <c r="E113" s="55">
        <v>2</v>
      </c>
      <c r="F113" s="393">
        <v>200</v>
      </c>
      <c r="G113" s="393">
        <f>E113*F113</f>
        <v>400</v>
      </c>
    </row>
    <row r="114" spans="2:7" x14ac:dyDescent="0.2">
      <c r="B114" s="135">
        <v>2</v>
      </c>
      <c r="C114" s="55" t="s">
        <v>693</v>
      </c>
      <c r="D114" s="135" t="s">
        <v>402</v>
      </c>
      <c r="E114" s="55">
        <v>1</v>
      </c>
      <c r="F114" s="393">
        <v>5000</v>
      </c>
      <c r="G114" s="393">
        <f>E114*F114</f>
        <v>5000</v>
      </c>
    </row>
    <row r="115" spans="2:7" x14ac:dyDescent="0.2">
      <c r="B115" s="135">
        <v>3</v>
      </c>
      <c r="C115" s="55" t="s">
        <v>471</v>
      </c>
      <c r="D115" s="135" t="s">
        <v>402</v>
      </c>
      <c r="E115" s="55">
        <v>1</v>
      </c>
      <c r="F115" s="393">
        <v>300</v>
      </c>
      <c r="G115" s="393">
        <f>E115*F115</f>
        <v>300</v>
      </c>
    </row>
    <row r="116" spans="2:7" x14ac:dyDescent="0.2">
      <c r="B116" s="135">
        <v>4</v>
      </c>
      <c r="C116" s="55" t="s">
        <v>472</v>
      </c>
      <c r="D116" s="135" t="s">
        <v>402</v>
      </c>
      <c r="E116" s="55">
        <v>1</v>
      </c>
      <c r="F116" s="393">
        <v>1000</v>
      </c>
      <c r="G116" s="393">
        <f>E116*F116</f>
        <v>1000</v>
      </c>
    </row>
    <row r="117" spans="2:7" x14ac:dyDescent="0.2">
      <c r="B117" s="135">
        <v>5</v>
      </c>
      <c r="C117" s="55" t="s">
        <v>473</v>
      </c>
      <c r="D117" s="135" t="s">
        <v>402</v>
      </c>
      <c r="E117" s="55">
        <v>2</v>
      </c>
      <c r="F117" s="393">
        <v>25</v>
      </c>
      <c r="G117" s="393">
        <f>E117*F117</f>
        <v>50</v>
      </c>
    </row>
    <row r="118" spans="2:7" ht="15" customHeight="1" x14ac:dyDescent="0.2">
      <c r="B118" s="1671" t="s">
        <v>44</v>
      </c>
      <c r="C118" s="1671"/>
      <c r="D118" s="1671"/>
      <c r="E118" s="1671"/>
      <c r="F118" s="1671"/>
      <c r="G118" s="392">
        <f>SUM(G113:G117)</f>
        <v>6750</v>
      </c>
    </row>
    <row r="120" spans="2:7" x14ac:dyDescent="0.25">
      <c r="C120" s="264" t="s">
        <v>694</v>
      </c>
    </row>
    <row r="122" spans="2:7" ht="25.5" x14ac:dyDescent="0.25">
      <c r="B122" s="395" t="s">
        <v>398</v>
      </c>
      <c r="C122" s="395" t="s">
        <v>682</v>
      </c>
      <c r="D122" s="395" t="s">
        <v>397</v>
      </c>
      <c r="E122" s="395" t="s">
        <v>650</v>
      </c>
      <c r="F122" s="395" t="s">
        <v>684</v>
      </c>
      <c r="G122" s="395" t="s">
        <v>685</v>
      </c>
    </row>
    <row r="123" spans="2:7" x14ac:dyDescent="0.2">
      <c r="B123" s="135">
        <v>1</v>
      </c>
      <c r="C123" s="55" t="s">
        <v>474</v>
      </c>
      <c r="D123" s="135" t="s">
        <v>402</v>
      </c>
      <c r="E123" s="202">
        <v>1</v>
      </c>
      <c r="F123" s="393">
        <v>1000</v>
      </c>
      <c r="G123" s="393">
        <f>E123*F123</f>
        <v>1000</v>
      </c>
    </row>
    <row r="124" spans="2:7" x14ac:dyDescent="0.2">
      <c r="B124" s="135">
        <v>2</v>
      </c>
      <c r="C124" s="55" t="s">
        <v>475</v>
      </c>
      <c r="D124" s="135" t="s">
        <v>402</v>
      </c>
      <c r="E124" s="202">
        <v>1</v>
      </c>
      <c r="F124" s="393">
        <v>20000</v>
      </c>
      <c r="G124" s="393">
        <f t="shared" ref="G124:G138" si="4">E124*F124</f>
        <v>20000</v>
      </c>
    </row>
    <row r="125" spans="2:7" x14ac:dyDescent="0.2">
      <c r="B125" s="135">
        <v>3</v>
      </c>
      <c r="C125" s="55" t="s">
        <v>476</v>
      </c>
      <c r="D125" s="135" t="s">
        <v>402</v>
      </c>
      <c r="E125" s="202">
        <v>1</v>
      </c>
      <c r="F125" s="393">
        <v>220000</v>
      </c>
      <c r="G125" s="393">
        <f t="shared" si="4"/>
        <v>220000</v>
      </c>
    </row>
    <row r="126" spans="2:7" x14ac:dyDescent="0.2">
      <c r="B126" s="135">
        <v>4</v>
      </c>
      <c r="C126" s="55" t="s">
        <v>477</v>
      </c>
      <c r="D126" s="135" t="s">
        <v>402</v>
      </c>
      <c r="E126" s="202">
        <v>1</v>
      </c>
      <c r="F126" s="393">
        <v>550000</v>
      </c>
      <c r="G126" s="393">
        <f t="shared" si="4"/>
        <v>550000</v>
      </c>
    </row>
    <row r="127" spans="2:7" x14ac:dyDescent="0.2">
      <c r="B127" s="135">
        <v>5</v>
      </c>
      <c r="C127" s="55" t="s">
        <v>478</v>
      </c>
      <c r="D127" s="135" t="s">
        <v>402</v>
      </c>
      <c r="E127" s="202">
        <v>2</v>
      </c>
      <c r="F127" s="393">
        <v>3500</v>
      </c>
      <c r="G127" s="393">
        <f t="shared" si="4"/>
        <v>7000</v>
      </c>
    </row>
    <row r="128" spans="2:7" x14ac:dyDescent="0.2">
      <c r="B128" s="135">
        <v>6</v>
      </c>
      <c r="C128" s="55" t="s">
        <v>461</v>
      </c>
      <c r="D128" s="135" t="s">
        <v>402</v>
      </c>
      <c r="E128" s="202">
        <v>3</v>
      </c>
      <c r="F128" s="393">
        <v>1200</v>
      </c>
      <c r="G128" s="393">
        <f t="shared" si="4"/>
        <v>3600</v>
      </c>
    </row>
    <row r="129" spans="2:7" x14ac:dyDescent="0.2">
      <c r="B129" s="135">
        <v>7</v>
      </c>
      <c r="C129" s="55" t="s">
        <v>531</v>
      </c>
      <c r="D129" s="135" t="s">
        <v>402</v>
      </c>
      <c r="E129" s="202">
        <v>3</v>
      </c>
      <c r="F129" s="393">
        <v>200</v>
      </c>
      <c r="G129" s="393">
        <f t="shared" si="4"/>
        <v>600</v>
      </c>
    </row>
    <row r="130" spans="2:7" x14ac:dyDescent="0.2">
      <c r="B130" s="135">
        <v>8</v>
      </c>
      <c r="C130" s="55" t="s">
        <v>479</v>
      </c>
      <c r="D130" s="135" t="s">
        <v>402</v>
      </c>
      <c r="E130" s="202">
        <v>3</v>
      </c>
      <c r="F130" s="393">
        <v>250</v>
      </c>
      <c r="G130" s="393">
        <f t="shared" si="4"/>
        <v>750</v>
      </c>
    </row>
    <row r="131" spans="2:7" x14ac:dyDescent="0.2">
      <c r="B131" s="135">
        <v>9</v>
      </c>
      <c r="C131" s="55" t="s">
        <v>463</v>
      </c>
      <c r="D131" s="135" t="s">
        <v>402</v>
      </c>
      <c r="E131" s="202">
        <v>3</v>
      </c>
      <c r="F131" s="393">
        <v>50</v>
      </c>
      <c r="G131" s="393">
        <f t="shared" si="4"/>
        <v>150</v>
      </c>
    </row>
    <row r="132" spans="2:7" x14ac:dyDescent="0.2">
      <c r="B132" s="135">
        <v>10</v>
      </c>
      <c r="C132" s="55" t="s">
        <v>480</v>
      </c>
      <c r="D132" s="135" t="s">
        <v>402</v>
      </c>
      <c r="E132" s="202">
        <v>2</v>
      </c>
      <c r="F132" s="393">
        <v>350</v>
      </c>
      <c r="G132" s="393">
        <f t="shared" si="4"/>
        <v>700</v>
      </c>
    </row>
    <row r="133" spans="2:7" x14ac:dyDescent="0.2">
      <c r="B133" s="135">
        <v>11</v>
      </c>
      <c r="C133" s="55" t="s">
        <v>465</v>
      </c>
      <c r="D133" s="135" t="s">
        <v>402</v>
      </c>
      <c r="E133" s="202">
        <v>5</v>
      </c>
      <c r="F133" s="393">
        <v>50</v>
      </c>
      <c r="G133" s="393">
        <f t="shared" si="4"/>
        <v>250</v>
      </c>
    </row>
    <row r="134" spans="2:7" x14ac:dyDescent="0.2">
      <c r="B134" s="135">
        <v>12</v>
      </c>
      <c r="C134" s="55" t="s">
        <v>466</v>
      </c>
      <c r="D134" s="135" t="s">
        <v>402</v>
      </c>
      <c r="E134" s="202">
        <v>2</v>
      </c>
      <c r="F134" s="393">
        <v>100</v>
      </c>
      <c r="G134" s="393">
        <f t="shared" si="4"/>
        <v>200</v>
      </c>
    </row>
    <row r="135" spans="2:7" x14ac:dyDescent="0.2">
      <c r="B135" s="135">
        <v>13</v>
      </c>
      <c r="C135" s="55" t="s">
        <v>481</v>
      </c>
      <c r="D135" s="135" t="s">
        <v>402</v>
      </c>
      <c r="E135" s="202">
        <v>2</v>
      </c>
      <c r="F135" s="393">
        <v>100</v>
      </c>
      <c r="G135" s="393">
        <f t="shared" si="4"/>
        <v>200</v>
      </c>
    </row>
    <row r="136" spans="2:7" x14ac:dyDescent="0.2">
      <c r="B136" s="135">
        <v>14</v>
      </c>
      <c r="C136" s="55" t="s">
        <v>482</v>
      </c>
      <c r="D136" s="135" t="s">
        <v>402</v>
      </c>
      <c r="E136" s="202">
        <v>10</v>
      </c>
      <c r="F136" s="393">
        <v>20</v>
      </c>
      <c r="G136" s="393">
        <f t="shared" si="4"/>
        <v>200</v>
      </c>
    </row>
    <row r="137" spans="2:7" x14ac:dyDescent="0.2">
      <c r="B137" s="135">
        <v>15</v>
      </c>
      <c r="C137" s="55" t="s">
        <v>483</v>
      </c>
      <c r="D137" s="135" t="s">
        <v>402</v>
      </c>
      <c r="E137" s="202">
        <v>10</v>
      </c>
      <c r="F137" s="393">
        <v>25</v>
      </c>
      <c r="G137" s="393">
        <f t="shared" si="4"/>
        <v>250</v>
      </c>
    </row>
    <row r="138" spans="2:7" x14ac:dyDescent="0.2">
      <c r="B138" s="135">
        <v>16</v>
      </c>
      <c r="C138" s="55" t="s">
        <v>484</v>
      </c>
      <c r="D138" s="135" t="s">
        <v>402</v>
      </c>
      <c r="E138" s="202">
        <v>2</v>
      </c>
      <c r="F138" s="393">
        <v>1200</v>
      </c>
      <c r="G138" s="393">
        <f t="shared" si="4"/>
        <v>2400</v>
      </c>
    </row>
    <row r="139" spans="2:7" ht="15" customHeight="1" x14ac:dyDescent="0.2">
      <c r="B139" s="1671" t="s">
        <v>44</v>
      </c>
      <c r="C139" s="1671"/>
      <c r="D139" s="1671"/>
      <c r="E139" s="1671"/>
      <c r="F139" s="1671"/>
      <c r="G139" s="394">
        <f>SUM(G123:G138)</f>
        <v>807300</v>
      </c>
    </row>
    <row r="141" spans="2:7" x14ac:dyDescent="0.25">
      <c r="C141" s="264" t="s">
        <v>485</v>
      </c>
    </row>
    <row r="143" spans="2:7" ht="25.5" x14ac:dyDescent="0.25">
      <c r="B143" s="395" t="s">
        <v>398</v>
      </c>
      <c r="C143" s="395" t="s">
        <v>682</v>
      </c>
      <c r="D143" s="395" t="s">
        <v>397</v>
      </c>
      <c r="E143" s="395" t="s">
        <v>650</v>
      </c>
      <c r="F143" s="395" t="s">
        <v>684</v>
      </c>
      <c r="G143" s="395" t="s">
        <v>685</v>
      </c>
    </row>
    <row r="144" spans="2:7" x14ac:dyDescent="0.2">
      <c r="B144" s="135">
        <v>1</v>
      </c>
      <c r="C144" s="55" t="s">
        <v>486</v>
      </c>
      <c r="D144" s="135" t="s">
        <v>402</v>
      </c>
      <c r="E144" s="202">
        <v>1</v>
      </c>
      <c r="F144" s="393">
        <v>15000</v>
      </c>
      <c r="G144" s="393">
        <f>E144*F144</f>
        <v>15000</v>
      </c>
    </row>
    <row r="145" spans="2:7" x14ac:dyDescent="0.2">
      <c r="B145" s="135">
        <v>2</v>
      </c>
      <c r="C145" s="55" t="s">
        <v>487</v>
      </c>
      <c r="D145" s="135" t="s">
        <v>402</v>
      </c>
      <c r="E145" s="202">
        <v>1</v>
      </c>
      <c r="F145" s="393">
        <v>18000</v>
      </c>
      <c r="G145" s="393">
        <f t="shared" ref="G145:G156" si="5">E145*F145</f>
        <v>18000</v>
      </c>
    </row>
    <row r="146" spans="2:7" x14ac:dyDescent="0.2">
      <c r="B146" s="135">
        <v>3</v>
      </c>
      <c r="C146" s="55" t="s">
        <v>438</v>
      </c>
      <c r="D146" s="135" t="s">
        <v>402</v>
      </c>
      <c r="E146" s="202">
        <v>1</v>
      </c>
      <c r="F146" s="393">
        <v>2500</v>
      </c>
      <c r="G146" s="393">
        <f t="shared" si="5"/>
        <v>2500</v>
      </c>
    </row>
    <row r="147" spans="2:7" x14ac:dyDescent="0.2">
      <c r="B147" s="135">
        <v>4</v>
      </c>
      <c r="C147" s="55" t="s">
        <v>488</v>
      </c>
      <c r="D147" s="135" t="s">
        <v>402</v>
      </c>
      <c r="E147" s="202">
        <v>2</v>
      </c>
      <c r="F147" s="393">
        <v>2500</v>
      </c>
      <c r="G147" s="393">
        <f t="shared" si="5"/>
        <v>5000</v>
      </c>
    </row>
    <row r="148" spans="2:7" x14ac:dyDescent="0.2">
      <c r="B148" s="135">
        <v>5</v>
      </c>
      <c r="C148" s="55" t="s">
        <v>489</v>
      </c>
      <c r="D148" s="135" t="s">
        <v>402</v>
      </c>
      <c r="E148" s="202">
        <v>1</v>
      </c>
      <c r="F148" s="393">
        <v>800</v>
      </c>
      <c r="G148" s="393">
        <f t="shared" si="5"/>
        <v>800</v>
      </c>
    </row>
    <row r="149" spans="2:7" x14ac:dyDescent="0.2">
      <c r="B149" s="135">
        <v>6</v>
      </c>
      <c r="C149" s="55" t="s">
        <v>490</v>
      </c>
      <c r="D149" s="135" t="s">
        <v>402</v>
      </c>
      <c r="E149" s="202">
        <v>1</v>
      </c>
      <c r="F149" s="393">
        <v>800</v>
      </c>
      <c r="G149" s="393">
        <f t="shared" si="5"/>
        <v>800</v>
      </c>
    </row>
    <row r="150" spans="2:7" x14ac:dyDescent="0.2">
      <c r="B150" s="135">
        <v>7</v>
      </c>
      <c r="C150" s="55" t="s">
        <v>491</v>
      </c>
      <c r="D150" s="135" t="s">
        <v>402</v>
      </c>
      <c r="E150" s="202">
        <v>1</v>
      </c>
      <c r="F150" s="393">
        <v>500</v>
      </c>
      <c r="G150" s="393">
        <f t="shared" si="5"/>
        <v>500</v>
      </c>
    </row>
    <row r="151" spans="2:7" x14ac:dyDescent="0.2">
      <c r="B151" s="135">
        <v>8</v>
      </c>
      <c r="C151" s="55" t="s">
        <v>492</v>
      </c>
      <c r="D151" s="135" t="s">
        <v>402</v>
      </c>
      <c r="E151" s="202">
        <v>6</v>
      </c>
      <c r="F151" s="393">
        <v>150</v>
      </c>
      <c r="G151" s="393">
        <f t="shared" si="5"/>
        <v>900</v>
      </c>
    </row>
    <row r="152" spans="2:7" x14ac:dyDescent="0.2">
      <c r="B152" s="135">
        <v>9</v>
      </c>
      <c r="C152" s="55" t="s">
        <v>493</v>
      </c>
      <c r="D152" s="135" t="s">
        <v>402</v>
      </c>
      <c r="E152" s="202">
        <v>1</v>
      </c>
      <c r="F152" s="393">
        <v>600</v>
      </c>
      <c r="G152" s="393">
        <f t="shared" si="5"/>
        <v>600</v>
      </c>
    </row>
    <row r="153" spans="2:7" x14ac:dyDescent="0.2">
      <c r="B153" s="135">
        <v>10</v>
      </c>
      <c r="C153" s="55" t="s">
        <v>494</v>
      </c>
      <c r="D153" s="135" t="s">
        <v>402</v>
      </c>
      <c r="E153" s="202">
        <v>10</v>
      </c>
      <c r="F153" s="393">
        <v>20</v>
      </c>
      <c r="G153" s="393">
        <f t="shared" si="5"/>
        <v>200</v>
      </c>
    </row>
    <row r="154" spans="2:7" x14ac:dyDescent="0.2">
      <c r="B154" s="135">
        <v>11</v>
      </c>
      <c r="C154" s="55" t="s">
        <v>495</v>
      </c>
      <c r="D154" s="135" t="s">
        <v>402</v>
      </c>
      <c r="E154" s="202">
        <v>1</v>
      </c>
      <c r="F154" s="393">
        <v>1200</v>
      </c>
      <c r="G154" s="393">
        <f t="shared" si="5"/>
        <v>1200</v>
      </c>
    </row>
    <row r="155" spans="2:7" x14ac:dyDescent="0.2">
      <c r="B155" s="135">
        <v>12</v>
      </c>
      <c r="C155" s="55" t="s">
        <v>496</v>
      </c>
      <c r="D155" s="135" t="s">
        <v>411</v>
      </c>
      <c r="E155" s="202">
        <v>1</v>
      </c>
      <c r="F155" s="393">
        <v>2500</v>
      </c>
      <c r="G155" s="393">
        <f t="shared" si="5"/>
        <v>2500</v>
      </c>
    </row>
    <row r="156" spans="2:7" x14ac:dyDescent="0.2">
      <c r="B156" s="135">
        <v>13</v>
      </c>
      <c r="C156" s="55" t="s">
        <v>497</v>
      </c>
      <c r="D156" s="135" t="s">
        <v>411</v>
      </c>
      <c r="E156" s="202">
        <v>1</v>
      </c>
      <c r="F156" s="393">
        <v>10000</v>
      </c>
      <c r="G156" s="393">
        <f t="shared" si="5"/>
        <v>10000</v>
      </c>
    </row>
    <row r="157" spans="2:7" ht="15" customHeight="1" x14ac:dyDescent="0.2">
      <c r="B157" s="1671" t="s">
        <v>44</v>
      </c>
      <c r="C157" s="1671"/>
      <c r="D157" s="1671"/>
      <c r="E157" s="1671"/>
      <c r="F157" s="1671"/>
      <c r="G157" s="394">
        <f>SUM(G144:G156)</f>
        <v>58000</v>
      </c>
    </row>
    <row r="159" spans="2:7" x14ac:dyDescent="0.25">
      <c r="C159" s="264" t="s">
        <v>695</v>
      </c>
    </row>
    <row r="161" spans="2:7" ht="25.5" x14ac:dyDescent="0.25">
      <c r="B161" s="395" t="s">
        <v>398</v>
      </c>
      <c r="C161" s="395" t="s">
        <v>682</v>
      </c>
      <c r="D161" s="395" t="s">
        <v>397</v>
      </c>
      <c r="E161" s="395" t="s">
        <v>650</v>
      </c>
      <c r="F161" s="395" t="s">
        <v>684</v>
      </c>
      <c r="G161" s="395" t="s">
        <v>685</v>
      </c>
    </row>
    <row r="162" spans="2:7" x14ac:dyDescent="0.2">
      <c r="B162" s="135">
        <v>1</v>
      </c>
      <c r="C162" s="55" t="s">
        <v>499</v>
      </c>
      <c r="D162" s="135" t="s">
        <v>402</v>
      </c>
      <c r="E162" s="202">
        <v>1</v>
      </c>
      <c r="F162" s="393">
        <v>120000</v>
      </c>
      <c r="G162" s="393">
        <f>E162*F162</f>
        <v>120000</v>
      </c>
    </row>
    <row r="163" spans="2:7" x14ac:dyDescent="0.2">
      <c r="B163" s="135">
        <v>2</v>
      </c>
      <c r="C163" s="55" t="s">
        <v>696</v>
      </c>
      <c r="D163" s="135" t="s">
        <v>402</v>
      </c>
      <c r="E163" s="202">
        <v>1</v>
      </c>
      <c r="F163" s="393">
        <v>80000</v>
      </c>
      <c r="G163" s="393">
        <f>E163*F163</f>
        <v>80000</v>
      </c>
    </row>
    <row r="164" spans="2:7" x14ac:dyDescent="0.2">
      <c r="B164" s="135">
        <v>3</v>
      </c>
      <c r="C164" s="55" t="s">
        <v>501</v>
      </c>
      <c r="D164" s="135" t="s">
        <v>402</v>
      </c>
      <c r="E164" s="202">
        <v>2</v>
      </c>
      <c r="F164" s="393">
        <v>2500</v>
      </c>
      <c r="G164" s="393">
        <f>E164*F164</f>
        <v>5000</v>
      </c>
    </row>
    <row r="165" spans="2:7" x14ac:dyDescent="0.2">
      <c r="B165" s="135">
        <v>4</v>
      </c>
      <c r="C165" s="55" t="s">
        <v>502</v>
      </c>
      <c r="D165" s="135" t="s">
        <v>402</v>
      </c>
      <c r="E165" s="202">
        <v>1</v>
      </c>
      <c r="F165" s="393">
        <v>700</v>
      </c>
      <c r="G165" s="393">
        <f>E165*F165</f>
        <v>700</v>
      </c>
    </row>
    <row r="166" spans="2:7" x14ac:dyDescent="0.2">
      <c r="B166" s="135">
        <v>5</v>
      </c>
      <c r="C166" s="55" t="s">
        <v>681</v>
      </c>
      <c r="D166" s="135" t="s">
        <v>402</v>
      </c>
      <c r="E166" s="202">
        <v>1</v>
      </c>
      <c r="F166" s="393">
        <v>1000</v>
      </c>
      <c r="G166" s="393">
        <f>E166*F166</f>
        <v>1000</v>
      </c>
    </row>
    <row r="167" spans="2:7" ht="15" customHeight="1" x14ac:dyDescent="0.2">
      <c r="B167" s="1671" t="s">
        <v>44</v>
      </c>
      <c r="C167" s="1671"/>
      <c r="D167" s="1671"/>
      <c r="E167" s="1671"/>
      <c r="F167" s="1671"/>
      <c r="G167" s="392">
        <f>SUM(G162:G166)</f>
        <v>206700</v>
      </c>
    </row>
    <row r="171" spans="2:7" x14ac:dyDescent="0.25">
      <c r="C171" s="264" t="s">
        <v>697</v>
      </c>
    </row>
    <row r="173" spans="2:7" ht="25.5" x14ac:dyDescent="0.25">
      <c r="B173" s="395" t="s">
        <v>398</v>
      </c>
      <c r="C173" s="395" t="s">
        <v>682</v>
      </c>
      <c r="D173" s="395" t="s">
        <v>397</v>
      </c>
      <c r="E173" s="395" t="s">
        <v>650</v>
      </c>
      <c r="F173" s="395" t="s">
        <v>684</v>
      </c>
      <c r="G173" s="395" t="s">
        <v>685</v>
      </c>
    </row>
    <row r="174" spans="2:7" x14ac:dyDescent="0.2">
      <c r="B174" s="135">
        <v>1</v>
      </c>
      <c r="C174" s="55" t="s">
        <v>680</v>
      </c>
      <c r="D174" s="135" t="s">
        <v>402</v>
      </c>
      <c r="E174" s="202">
        <v>6</v>
      </c>
      <c r="F174" s="393">
        <v>200</v>
      </c>
      <c r="G174" s="393">
        <f>E174*F174</f>
        <v>1200</v>
      </c>
    </row>
    <row r="175" spans="2:7" x14ac:dyDescent="0.2">
      <c r="B175" s="135">
        <v>2</v>
      </c>
      <c r="C175" s="55" t="s">
        <v>506</v>
      </c>
      <c r="D175" s="135" t="s">
        <v>402</v>
      </c>
      <c r="E175" s="202">
        <v>2</v>
      </c>
      <c r="F175" s="393">
        <v>700</v>
      </c>
      <c r="G175" s="393">
        <f>E175*F175</f>
        <v>1400</v>
      </c>
    </row>
    <row r="176" spans="2:7" x14ac:dyDescent="0.2">
      <c r="B176" s="135">
        <v>3</v>
      </c>
      <c r="C176" s="55" t="s">
        <v>507</v>
      </c>
      <c r="D176" s="135" t="s">
        <v>402</v>
      </c>
      <c r="E176" s="202">
        <v>1</v>
      </c>
      <c r="F176" s="393">
        <v>1000</v>
      </c>
      <c r="G176" s="393">
        <f>E176*F176</f>
        <v>1000</v>
      </c>
    </row>
    <row r="177" spans="2:7" ht="15" customHeight="1" x14ac:dyDescent="0.2">
      <c r="B177" s="1671" t="s">
        <v>44</v>
      </c>
      <c r="C177" s="1671"/>
      <c r="D177" s="1671"/>
      <c r="E177" s="1671"/>
      <c r="F177" s="1671"/>
      <c r="G177" s="392">
        <f>SUM(G174:G176)</f>
        <v>3600</v>
      </c>
    </row>
    <row r="179" spans="2:7" x14ac:dyDescent="0.25">
      <c r="C179" s="264" t="s">
        <v>698</v>
      </c>
    </row>
    <row r="181" spans="2:7" ht="25.5" x14ac:dyDescent="0.25">
      <c r="B181" s="395" t="s">
        <v>398</v>
      </c>
      <c r="C181" s="395" t="s">
        <v>682</v>
      </c>
      <c r="D181" s="395" t="s">
        <v>397</v>
      </c>
      <c r="E181" s="395" t="s">
        <v>650</v>
      </c>
      <c r="F181" s="395" t="s">
        <v>684</v>
      </c>
      <c r="G181" s="395" t="s">
        <v>685</v>
      </c>
    </row>
    <row r="182" spans="2:7" x14ac:dyDescent="0.2">
      <c r="B182" s="135">
        <v>1</v>
      </c>
      <c r="C182" s="55" t="s">
        <v>680</v>
      </c>
      <c r="D182" s="135" t="s">
        <v>402</v>
      </c>
      <c r="E182" s="202">
        <v>4</v>
      </c>
      <c r="F182" s="393">
        <v>200</v>
      </c>
      <c r="G182" s="393">
        <f>E182*F182</f>
        <v>800</v>
      </c>
    </row>
    <row r="183" spans="2:7" x14ac:dyDescent="0.2">
      <c r="B183" s="135">
        <v>2</v>
      </c>
      <c r="C183" s="55" t="s">
        <v>506</v>
      </c>
      <c r="D183" s="135" t="s">
        <v>402</v>
      </c>
      <c r="E183" s="202">
        <v>1</v>
      </c>
      <c r="F183" s="393">
        <v>700</v>
      </c>
      <c r="G183" s="393">
        <f>E183*F183</f>
        <v>700</v>
      </c>
    </row>
    <row r="184" spans="2:7" x14ac:dyDescent="0.2">
      <c r="B184" s="135">
        <v>3</v>
      </c>
      <c r="C184" s="55" t="s">
        <v>681</v>
      </c>
      <c r="D184" s="135" t="s">
        <v>402</v>
      </c>
      <c r="E184" s="202">
        <v>1</v>
      </c>
      <c r="F184" s="393">
        <v>1000</v>
      </c>
      <c r="G184" s="393">
        <f>E184*F184</f>
        <v>1000</v>
      </c>
    </row>
    <row r="185" spans="2:7" ht="15" customHeight="1" x14ac:dyDescent="0.2">
      <c r="B185" s="1670" t="s">
        <v>699</v>
      </c>
      <c r="C185" s="1670"/>
      <c r="D185" s="1670"/>
      <c r="E185" s="1670"/>
      <c r="F185" s="1670"/>
      <c r="G185" s="394">
        <f>SUM(G182:G184)</f>
        <v>2500</v>
      </c>
    </row>
    <row r="187" spans="2:7" ht="15.75" customHeight="1" x14ac:dyDescent="0.25">
      <c r="B187" s="236" t="s">
        <v>408</v>
      </c>
      <c r="C187" s="1225" t="s">
        <v>1602</v>
      </c>
      <c r="D187" s="264"/>
      <c r="E187" s="264"/>
      <c r="F187" s="264"/>
      <c r="G187" s="264"/>
    </row>
    <row r="189" spans="2:7" x14ac:dyDescent="0.25">
      <c r="C189" s="264" t="s">
        <v>677</v>
      </c>
    </row>
    <row r="191" spans="2:7" ht="25.5" x14ac:dyDescent="0.25">
      <c r="B191" s="395" t="s">
        <v>398</v>
      </c>
      <c r="C191" s="391" t="s">
        <v>682</v>
      </c>
      <c r="D191" s="395" t="s">
        <v>397</v>
      </c>
      <c r="E191" s="391" t="s">
        <v>650</v>
      </c>
      <c r="F191" s="391" t="s">
        <v>684</v>
      </c>
      <c r="G191" s="391" t="s">
        <v>685</v>
      </c>
    </row>
    <row r="192" spans="2:7" x14ac:dyDescent="0.2">
      <c r="B192" s="135">
        <v>1</v>
      </c>
      <c r="C192" s="55" t="s">
        <v>531</v>
      </c>
      <c r="D192" s="135" t="s">
        <v>402</v>
      </c>
      <c r="E192" s="202">
        <v>2</v>
      </c>
      <c r="F192" s="393">
        <v>200</v>
      </c>
      <c r="G192" s="393">
        <f>E192*F192</f>
        <v>400</v>
      </c>
    </row>
    <row r="193" spans="2:7" x14ac:dyDescent="0.2">
      <c r="B193" s="135">
        <v>2</v>
      </c>
      <c r="C193" s="55" t="s">
        <v>479</v>
      </c>
      <c r="D193" s="135" t="s">
        <v>402</v>
      </c>
      <c r="E193" s="202">
        <v>2</v>
      </c>
      <c r="F193" s="393">
        <v>250</v>
      </c>
      <c r="G193" s="393">
        <f>E193*F193</f>
        <v>500</v>
      </c>
    </row>
    <row r="194" spans="2:7" x14ac:dyDescent="0.2">
      <c r="B194" s="135">
        <v>3</v>
      </c>
      <c r="C194" s="55" t="s">
        <v>463</v>
      </c>
      <c r="D194" s="135" t="s">
        <v>402</v>
      </c>
      <c r="E194" s="202">
        <v>2</v>
      </c>
      <c r="F194" s="393">
        <v>50</v>
      </c>
      <c r="G194" s="393">
        <f>E194*F194</f>
        <v>100</v>
      </c>
    </row>
    <row r="195" spans="2:7" x14ac:dyDescent="0.2">
      <c r="B195" s="135">
        <v>4</v>
      </c>
      <c r="C195" s="55" t="s">
        <v>466</v>
      </c>
      <c r="D195" s="135" t="s">
        <v>402</v>
      </c>
      <c r="E195" s="202">
        <v>2</v>
      </c>
      <c r="F195" s="393">
        <v>100</v>
      </c>
      <c r="G195" s="393">
        <f>E195*F195</f>
        <v>200</v>
      </c>
    </row>
    <row r="196" spans="2:7" ht="15" customHeight="1" x14ac:dyDescent="0.2">
      <c r="B196" s="1671" t="s">
        <v>44</v>
      </c>
      <c r="C196" s="1671"/>
      <c r="D196" s="1671"/>
      <c r="E196" s="1671"/>
      <c r="F196" s="1671"/>
      <c r="G196" s="394">
        <f>SUM(G192:G195)</f>
        <v>1200</v>
      </c>
    </row>
    <row r="198" spans="2:7" x14ac:dyDescent="0.25">
      <c r="C198" s="264" t="s">
        <v>509</v>
      </c>
    </row>
    <row r="200" spans="2:7" ht="25.5" x14ac:dyDescent="0.25">
      <c r="B200" s="395" t="s">
        <v>398</v>
      </c>
      <c r="C200" s="395" t="s">
        <v>682</v>
      </c>
      <c r="D200" s="395" t="s">
        <v>397</v>
      </c>
      <c r="E200" s="395" t="s">
        <v>650</v>
      </c>
      <c r="F200" s="395" t="s">
        <v>684</v>
      </c>
      <c r="G200" s="395" t="s">
        <v>685</v>
      </c>
    </row>
    <row r="201" spans="2:7" x14ac:dyDescent="0.2">
      <c r="B201" s="135">
        <v>1</v>
      </c>
      <c r="C201" s="55" t="s">
        <v>510</v>
      </c>
      <c r="D201" s="135" t="s">
        <v>402</v>
      </c>
      <c r="E201" s="202">
        <v>1</v>
      </c>
      <c r="F201" s="393">
        <v>1200</v>
      </c>
      <c r="G201" s="393">
        <f t="shared" ref="G201:G206" si="6">E201*F201</f>
        <v>1200</v>
      </c>
    </row>
    <row r="202" spans="2:7" x14ac:dyDescent="0.2">
      <c r="B202" s="135">
        <v>2</v>
      </c>
      <c r="C202" s="55" t="s">
        <v>511</v>
      </c>
      <c r="D202" s="135" t="s">
        <v>402</v>
      </c>
      <c r="E202" s="202">
        <v>2</v>
      </c>
      <c r="F202" s="393">
        <v>850</v>
      </c>
      <c r="G202" s="393">
        <f t="shared" si="6"/>
        <v>1700</v>
      </c>
    </row>
    <row r="203" spans="2:7" x14ac:dyDescent="0.2">
      <c r="B203" s="135">
        <v>3</v>
      </c>
      <c r="C203" s="55" t="s">
        <v>531</v>
      </c>
      <c r="D203" s="135" t="s">
        <v>402</v>
      </c>
      <c r="E203" s="202">
        <v>2</v>
      </c>
      <c r="F203" s="393">
        <v>200</v>
      </c>
      <c r="G203" s="393">
        <f t="shared" si="6"/>
        <v>400</v>
      </c>
    </row>
    <row r="204" spans="2:7" x14ac:dyDescent="0.2">
      <c r="B204" s="135">
        <v>4</v>
      </c>
      <c r="C204" s="55" t="s">
        <v>479</v>
      </c>
      <c r="D204" s="135" t="s">
        <v>402</v>
      </c>
      <c r="E204" s="202">
        <v>2</v>
      </c>
      <c r="F204" s="393">
        <v>250</v>
      </c>
      <c r="G204" s="393">
        <f t="shared" si="6"/>
        <v>500</v>
      </c>
    </row>
    <row r="205" spans="2:7" x14ac:dyDescent="0.2">
      <c r="B205" s="135">
        <v>5</v>
      </c>
      <c r="C205" s="55" t="s">
        <v>463</v>
      </c>
      <c r="D205" s="135" t="s">
        <v>402</v>
      </c>
      <c r="E205" s="202">
        <v>2</v>
      </c>
      <c r="F205" s="393">
        <v>50</v>
      </c>
      <c r="G205" s="393">
        <f t="shared" si="6"/>
        <v>100</v>
      </c>
    </row>
    <row r="206" spans="2:7" x14ac:dyDescent="0.2">
      <c r="B206" s="135">
        <v>6</v>
      </c>
      <c r="C206" s="55" t="s">
        <v>466</v>
      </c>
      <c r="D206" s="135" t="s">
        <v>402</v>
      </c>
      <c r="E206" s="202">
        <v>4</v>
      </c>
      <c r="F206" s="393">
        <v>100</v>
      </c>
      <c r="G206" s="393">
        <f t="shared" si="6"/>
        <v>400</v>
      </c>
    </row>
    <row r="207" spans="2:7" ht="15" customHeight="1" x14ac:dyDescent="0.2">
      <c r="B207" s="1671" t="s">
        <v>44</v>
      </c>
      <c r="C207" s="1671"/>
      <c r="D207" s="1671"/>
      <c r="E207" s="1671"/>
      <c r="F207" s="1671"/>
      <c r="G207" s="394">
        <f>SUM(G201:G206)</f>
        <v>4300</v>
      </c>
    </row>
    <row r="209" spans="2:7" ht="15.75" customHeight="1" x14ac:dyDescent="0.25">
      <c r="B209" s="236" t="s">
        <v>409</v>
      </c>
      <c r="C209" s="1225" t="s">
        <v>1603</v>
      </c>
      <c r="D209" s="264"/>
      <c r="E209" s="264"/>
      <c r="F209" s="264"/>
      <c r="G209" s="264"/>
    </row>
    <row r="211" spans="2:7" x14ac:dyDescent="0.25">
      <c r="C211" s="264" t="s">
        <v>702</v>
      </c>
    </row>
    <row r="213" spans="2:7" ht="25.5" x14ac:dyDescent="0.25">
      <c r="B213" s="395" t="s">
        <v>398</v>
      </c>
      <c r="C213" s="395" t="s">
        <v>682</v>
      </c>
      <c r="D213" s="395" t="s">
        <v>397</v>
      </c>
      <c r="E213" s="395" t="s">
        <v>650</v>
      </c>
      <c r="F213" s="395" t="s">
        <v>684</v>
      </c>
      <c r="G213" s="395" t="s">
        <v>685</v>
      </c>
    </row>
    <row r="214" spans="2:7" x14ac:dyDescent="0.2">
      <c r="B214" s="135">
        <v>1</v>
      </c>
      <c r="C214" s="55" t="s">
        <v>513</v>
      </c>
      <c r="D214" s="135" t="s">
        <v>402</v>
      </c>
      <c r="E214" s="202">
        <v>2</v>
      </c>
      <c r="F214" s="393">
        <v>2500</v>
      </c>
      <c r="G214" s="393">
        <f>E214*F214</f>
        <v>5000</v>
      </c>
    </row>
    <row r="215" spans="2:7" x14ac:dyDescent="0.2">
      <c r="B215" s="135">
        <v>2</v>
      </c>
      <c r="C215" s="55" t="s">
        <v>514</v>
      </c>
      <c r="D215" s="135" t="s">
        <v>402</v>
      </c>
      <c r="E215" s="202">
        <v>2</v>
      </c>
      <c r="F215" s="393">
        <v>550</v>
      </c>
      <c r="G215" s="393">
        <f t="shared" ref="G215:G220" si="7">E215*F215</f>
        <v>1100</v>
      </c>
    </row>
    <row r="216" spans="2:7" x14ac:dyDescent="0.2">
      <c r="B216" s="135">
        <v>3</v>
      </c>
      <c r="C216" s="55" t="s">
        <v>492</v>
      </c>
      <c r="D216" s="135" t="s">
        <v>402</v>
      </c>
      <c r="E216" s="202">
        <v>8</v>
      </c>
      <c r="F216" s="393">
        <v>150</v>
      </c>
      <c r="G216" s="393">
        <f t="shared" si="7"/>
        <v>1200</v>
      </c>
    </row>
    <row r="217" spans="2:7" x14ac:dyDescent="0.2">
      <c r="B217" s="135">
        <v>4</v>
      </c>
      <c r="C217" s="55" t="s">
        <v>490</v>
      </c>
      <c r="D217" s="135" t="s">
        <v>402</v>
      </c>
      <c r="E217" s="202">
        <v>3</v>
      </c>
      <c r="F217" s="393">
        <v>800</v>
      </c>
      <c r="G217" s="393">
        <f t="shared" si="7"/>
        <v>2400</v>
      </c>
    </row>
    <row r="218" spans="2:7" x14ac:dyDescent="0.2">
      <c r="B218" s="135">
        <v>5</v>
      </c>
      <c r="C218" s="55" t="s">
        <v>515</v>
      </c>
      <c r="D218" s="135" t="s">
        <v>402</v>
      </c>
      <c r="E218" s="202">
        <v>1</v>
      </c>
      <c r="F218" s="393">
        <v>250</v>
      </c>
      <c r="G218" s="393">
        <f t="shared" si="7"/>
        <v>250</v>
      </c>
    </row>
    <row r="219" spans="2:7" x14ac:dyDescent="0.2">
      <c r="B219" s="135">
        <v>6</v>
      </c>
      <c r="C219" s="55" t="s">
        <v>516</v>
      </c>
      <c r="D219" s="135" t="s">
        <v>402</v>
      </c>
      <c r="E219" s="202">
        <v>1</v>
      </c>
      <c r="F219" s="393">
        <v>800</v>
      </c>
      <c r="G219" s="393">
        <f t="shared" si="7"/>
        <v>800</v>
      </c>
    </row>
    <row r="220" spans="2:7" x14ac:dyDescent="0.2">
      <c r="B220" s="135">
        <v>7</v>
      </c>
      <c r="C220" s="55" t="s">
        <v>517</v>
      </c>
      <c r="D220" s="202" t="s">
        <v>411</v>
      </c>
      <c r="E220" s="202">
        <v>1</v>
      </c>
      <c r="F220" s="393">
        <v>1200</v>
      </c>
      <c r="G220" s="393">
        <f t="shared" si="7"/>
        <v>1200</v>
      </c>
    </row>
    <row r="221" spans="2:7" ht="15" customHeight="1" x14ac:dyDescent="0.2">
      <c r="B221" s="1671" t="s">
        <v>44</v>
      </c>
      <c r="C221" s="1671"/>
      <c r="D221" s="1671"/>
      <c r="E221" s="1671"/>
      <c r="F221" s="1671"/>
      <c r="G221" s="394">
        <f>SUM(G214:G220)</f>
        <v>11950</v>
      </c>
    </row>
    <row r="223" spans="2:7" x14ac:dyDescent="0.25">
      <c r="C223" s="222" t="s">
        <v>518</v>
      </c>
    </row>
    <row r="225" spans="2:7" ht="25.5" x14ac:dyDescent="0.25">
      <c r="B225" s="395" t="s">
        <v>398</v>
      </c>
      <c r="C225" s="395" t="s">
        <v>682</v>
      </c>
      <c r="D225" s="395" t="s">
        <v>397</v>
      </c>
      <c r="E225" s="395" t="s">
        <v>650</v>
      </c>
      <c r="F225" s="395" t="s">
        <v>684</v>
      </c>
      <c r="G225" s="395" t="s">
        <v>685</v>
      </c>
    </row>
    <row r="226" spans="2:7" x14ac:dyDescent="0.2">
      <c r="B226" s="135">
        <v>1</v>
      </c>
      <c r="C226" s="55" t="s">
        <v>513</v>
      </c>
      <c r="D226" s="135" t="s">
        <v>402</v>
      </c>
      <c r="E226" s="202">
        <v>3</v>
      </c>
      <c r="F226" s="393">
        <v>2500</v>
      </c>
      <c r="G226" s="393">
        <f t="shared" ref="G226:G231" si="8">E226*F226</f>
        <v>7500</v>
      </c>
    </row>
    <row r="227" spans="2:7" x14ac:dyDescent="0.2">
      <c r="B227" s="135">
        <v>2</v>
      </c>
      <c r="C227" s="55" t="s">
        <v>514</v>
      </c>
      <c r="D227" s="135" t="s">
        <v>402</v>
      </c>
      <c r="E227" s="202">
        <v>3</v>
      </c>
      <c r="F227" s="393">
        <v>550</v>
      </c>
      <c r="G227" s="393">
        <f t="shared" si="8"/>
        <v>1650</v>
      </c>
    </row>
    <row r="228" spans="2:7" x14ac:dyDescent="0.2">
      <c r="B228" s="135">
        <v>3</v>
      </c>
      <c r="C228" s="55" t="s">
        <v>492</v>
      </c>
      <c r="D228" s="135" t="s">
        <v>402</v>
      </c>
      <c r="E228" s="202">
        <v>10</v>
      </c>
      <c r="F228" s="393">
        <v>150</v>
      </c>
      <c r="G228" s="393">
        <f t="shared" si="8"/>
        <v>1500</v>
      </c>
    </row>
    <row r="229" spans="2:7" x14ac:dyDescent="0.2">
      <c r="B229" s="135">
        <v>4</v>
      </c>
      <c r="C229" s="55" t="s">
        <v>490</v>
      </c>
      <c r="D229" s="135" t="s">
        <v>402</v>
      </c>
      <c r="E229" s="202">
        <v>3</v>
      </c>
      <c r="F229" s="393">
        <v>800</v>
      </c>
      <c r="G229" s="393">
        <f t="shared" si="8"/>
        <v>2400</v>
      </c>
    </row>
    <row r="230" spans="2:7" x14ac:dyDescent="0.2">
      <c r="B230" s="135">
        <v>5</v>
      </c>
      <c r="C230" s="55" t="s">
        <v>516</v>
      </c>
      <c r="D230" s="135" t="s">
        <v>402</v>
      </c>
      <c r="E230" s="202">
        <v>1</v>
      </c>
      <c r="F230" s="393">
        <v>800</v>
      </c>
      <c r="G230" s="393">
        <f t="shared" si="8"/>
        <v>800</v>
      </c>
    </row>
    <row r="231" spans="2:7" x14ac:dyDescent="0.2">
      <c r="B231" s="135">
        <v>6</v>
      </c>
      <c r="C231" s="55" t="s">
        <v>517</v>
      </c>
      <c r="D231" s="202" t="s">
        <v>411</v>
      </c>
      <c r="E231" s="202">
        <v>1</v>
      </c>
      <c r="F231" s="393">
        <v>1200</v>
      </c>
      <c r="G231" s="393">
        <f t="shared" si="8"/>
        <v>1200</v>
      </c>
    </row>
    <row r="232" spans="2:7" ht="15" customHeight="1" x14ac:dyDescent="0.2">
      <c r="B232" s="1671" t="s">
        <v>44</v>
      </c>
      <c r="C232" s="1671"/>
      <c r="D232" s="1671"/>
      <c r="E232" s="1671"/>
      <c r="F232" s="1671"/>
      <c r="G232" s="392">
        <f>SUM(G226:G231)</f>
        <v>15050</v>
      </c>
    </row>
    <row r="235" spans="2:7" x14ac:dyDescent="0.25">
      <c r="C235" s="222" t="s">
        <v>519</v>
      </c>
    </row>
    <row r="237" spans="2:7" ht="25.5" x14ac:dyDescent="0.25">
      <c r="B237" s="395" t="s">
        <v>398</v>
      </c>
      <c r="C237" s="395" t="s">
        <v>682</v>
      </c>
      <c r="D237" s="395" t="s">
        <v>397</v>
      </c>
      <c r="E237" s="395" t="s">
        <v>650</v>
      </c>
      <c r="F237" s="395" t="s">
        <v>684</v>
      </c>
      <c r="G237" s="395" t="s">
        <v>685</v>
      </c>
    </row>
    <row r="238" spans="2:7" x14ac:dyDescent="0.2">
      <c r="B238" s="135">
        <v>1</v>
      </c>
      <c r="C238" s="55" t="s">
        <v>520</v>
      </c>
      <c r="D238" s="202" t="s">
        <v>411</v>
      </c>
      <c r="E238" s="202">
        <v>1</v>
      </c>
      <c r="F238" s="393">
        <v>1500</v>
      </c>
      <c r="G238" s="393">
        <f t="shared" ref="G238:G243" si="9">E238*F238</f>
        <v>1500</v>
      </c>
    </row>
    <row r="239" spans="2:7" x14ac:dyDescent="0.2">
      <c r="B239" s="135">
        <v>2</v>
      </c>
      <c r="C239" s="55" t="s">
        <v>521</v>
      </c>
      <c r="D239" s="135" t="s">
        <v>402</v>
      </c>
      <c r="E239" s="202">
        <v>1</v>
      </c>
      <c r="F239" s="393">
        <v>2500</v>
      </c>
      <c r="G239" s="393">
        <f t="shared" si="9"/>
        <v>2500</v>
      </c>
    </row>
    <row r="240" spans="2:7" x14ac:dyDescent="0.2">
      <c r="B240" s="135">
        <v>3</v>
      </c>
      <c r="C240" s="55" t="s">
        <v>522</v>
      </c>
      <c r="D240" s="135" t="s">
        <v>402</v>
      </c>
      <c r="E240" s="202">
        <v>25</v>
      </c>
      <c r="F240" s="393">
        <v>150</v>
      </c>
      <c r="G240" s="393">
        <f t="shared" si="9"/>
        <v>3750</v>
      </c>
    </row>
    <row r="241" spans="2:7" x14ac:dyDescent="0.2">
      <c r="B241" s="135">
        <v>4</v>
      </c>
      <c r="C241" s="55" t="s">
        <v>523</v>
      </c>
      <c r="D241" s="135" t="s">
        <v>402</v>
      </c>
      <c r="E241" s="202">
        <v>1</v>
      </c>
      <c r="F241" s="393">
        <v>200</v>
      </c>
      <c r="G241" s="393">
        <f t="shared" si="9"/>
        <v>200</v>
      </c>
    </row>
    <row r="242" spans="2:7" x14ac:dyDescent="0.2">
      <c r="B242" s="135">
        <v>5</v>
      </c>
      <c r="C242" s="55" t="s">
        <v>524</v>
      </c>
      <c r="D242" s="202" t="s">
        <v>525</v>
      </c>
      <c r="E242" s="202">
        <v>1</v>
      </c>
      <c r="F242" s="393">
        <v>500</v>
      </c>
      <c r="G242" s="393">
        <f t="shared" si="9"/>
        <v>500</v>
      </c>
    </row>
    <row r="243" spans="2:7" x14ac:dyDescent="0.2">
      <c r="B243" s="135">
        <v>6</v>
      </c>
      <c r="C243" s="55" t="s">
        <v>513</v>
      </c>
      <c r="D243" s="135" t="s">
        <v>402</v>
      </c>
      <c r="E243" s="202">
        <v>1</v>
      </c>
      <c r="F243" s="393">
        <v>1500</v>
      </c>
      <c r="G243" s="393">
        <f t="shared" si="9"/>
        <v>1500</v>
      </c>
    </row>
    <row r="244" spans="2:7" ht="15" customHeight="1" x14ac:dyDescent="0.2">
      <c r="B244" s="1671" t="s">
        <v>44</v>
      </c>
      <c r="C244" s="1671"/>
      <c r="D244" s="1671"/>
      <c r="E244" s="1671"/>
      <c r="F244" s="1671"/>
      <c r="G244" s="392">
        <f>SUM(G238:G243)</f>
        <v>9950</v>
      </c>
    </row>
    <row r="246" spans="2:7" x14ac:dyDescent="0.25">
      <c r="C246" s="222" t="s">
        <v>679</v>
      </c>
    </row>
    <row r="248" spans="2:7" ht="25.5" x14ac:dyDescent="0.25">
      <c r="B248" s="395" t="s">
        <v>398</v>
      </c>
      <c r="C248" s="395" t="s">
        <v>682</v>
      </c>
      <c r="D248" s="395" t="s">
        <v>683</v>
      </c>
      <c r="E248" s="395" t="s">
        <v>650</v>
      </c>
      <c r="F248" s="395" t="s">
        <v>684</v>
      </c>
      <c r="G248" s="395" t="s">
        <v>685</v>
      </c>
    </row>
    <row r="249" spans="2:7" x14ac:dyDescent="0.2">
      <c r="B249" s="135">
        <v>1</v>
      </c>
      <c r="C249" s="55" t="s">
        <v>680</v>
      </c>
      <c r="D249" s="135" t="s">
        <v>402</v>
      </c>
      <c r="E249" s="202">
        <v>6</v>
      </c>
      <c r="F249" s="393">
        <v>200</v>
      </c>
      <c r="G249" s="393">
        <f>E249*F249</f>
        <v>1200</v>
      </c>
    </row>
    <row r="250" spans="2:7" x14ac:dyDescent="0.2">
      <c r="B250" s="135">
        <v>2</v>
      </c>
      <c r="C250" s="55" t="s">
        <v>506</v>
      </c>
      <c r="D250" s="135" t="s">
        <v>402</v>
      </c>
      <c r="E250" s="202">
        <v>1</v>
      </c>
      <c r="F250" s="393">
        <v>700</v>
      </c>
      <c r="G250" s="393">
        <f>E250*F250</f>
        <v>700</v>
      </c>
    </row>
    <row r="251" spans="2:7" x14ac:dyDescent="0.2">
      <c r="B251" s="135">
        <v>3</v>
      </c>
      <c r="C251" s="55" t="s">
        <v>681</v>
      </c>
      <c r="D251" s="135" t="s">
        <v>402</v>
      </c>
      <c r="E251" s="202">
        <v>2</v>
      </c>
      <c r="F251" s="393">
        <v>1000</v>
      </c>
      <c r="G251" s="393">
        <f>E251*F251</f>
        <v>2000</v>
      </c>
    </row>
    <row r="252" spans="2:7" ht="15" customHeight="1" x14ac:dyDescent="0.2">
      <c r="B252" s="1671" t="s">
        <v>699</v>
      </c>
      <c r="C252" s="1671"/>
      <c r="D252" s="1671"/>
      <c r="E252" s="1671"/>
      <c r="F252" s="1671"/>
      <c r="G252" s="392">
        <f>SUM(G249:G251)</f>
        <v>3900</v>
      </c>
    </row>
    <row r="254" spans="2:7" x14ac:dyDescent="0.25">
      <c r="C254" s="222" t="s">
        <v>526</v>
      </c>
    </row>
    <row r="256" spans="2:7" ht="25.5" x14ac:dyDescent="0.25">
      <c r="B256" s="395" t="s">
        <v>398</v>
      </c>
      <c r="C256" s="395" t="s">
        <v>682</v>
      </c>
      <c r="D256" s="395" t="s">
        <v>397</v>
      </c>
      <c r="E256" s="395" t="s">
        <v>650</v>
      </c>
      <c r="F256" s="395" t="s">
        <v>684</v>
      </c>
      <c r="G256" s="395" t="s">
        <v>685</v>
      </c>
    </row>
    <row r="257" spans="2:10" x14ac:dyDescent="0.2">
      <c r="B257" s="135">
        <v>1</v>
      </c>
      <c r="C257" s="55" t="s">
        <v>527</v>
      </c>
      <c r="D257" s="135" t="s">
        <v>402</v>
      </c>
      <c r="E257" s="202">
        <v>1</v>
      </c>
      <c r="F257" s="393">
        <v>1200</v>
      </c>
      <c r="G257" s="393">
        <f>E257*F257</f>
        <v>1200</v>
      </c>
    </row>
    <row r="258" spans="2:10" x14ac:dyDescent="0.2">
      <c r="B258" s="135">
        <v>2</v>
      </c>
      <c r="C258" s="55" t="s">
        <v>490</v>
      </c>
      <c r="D258" s="135" t="s">
        <v>402</v>
      </c>
      <c r="E258" s="202">
        <v>1</v>
      </c>
      <c r="F258" s="393">
        <v>1200</v>
      </c>
      <c r="G258" s="393">
        <f>E258*F258</f>
        <v>1200</v>
      </c>
    </row>
    <row r="259" spans="2:10" x14ac:dyDescent="0.2">
      <c r="B259" s="135">
        <v>3</v>
      </c>
      <c r="C259" s="55" t="s">
        <v>528</v>
      </c>
      <c r="D259" s="135" t="s">
        <v>402</v>
      </c>
      <c r="E259" s="202">
        <v>1</v>
      </c>
      <c r="F259" s="393">
        <v>250</v>
      </c>
      <c r="G259" s="393">
        <f>E259*F259</f>
        <v>250</v>
      </c>
    </row>
    <row r="260" spans="2:10" x14ac:dyDescent="0.2">
      <c r="B260" s="135">
        <v>4</v>
      </c>
      <c r="C260" s="55" t="s">
        <v>492</v>
      </c>
      <c r="D260" s="135" t="s">
        <v>402</v>
      </c>
      <c r="E260" s="202">
        <v>3</v>
      </c>
      <c r="F260" s="393">
        <v>150</v>
      </c>
      <c r="G260" s="393">
        <f>E260*F260</f>
        <v>450</v>
      </c>
    </row>
    <row r="261" spans="2:10" ht="15" customHeight="1" x14ac:dyDescent="0.2">
      <c r="B261" s="1671" t="s">
        <v>699</v>
      </c>
      <c r="C261" s="1671"/>
      <c r="D261" s="1671"/>
      <c r="E261" s="1671"/>
      <c r="F261" s="1671"/>
      <c r="G261" s="394">
        <f>SUM(G257:G260)</f>
        <v>3100</v>
      </c>
    </row>
    <row r="263" spans="2:10" x14ac:dyDescent="0.25">
      <c r="C263" s="222" t="s">
        <v>529</v>
      </c>
    </row>
    <row r="265" spans="2:10" ht="25.5" x14ac:dyDescent="0.25">
      <c r="B265" s="395" t="s">
        <v>398</v>
      </c>
      <c r="C265" s="395" t="s">
        <v>682</v>
      </c>
      <c r="D265" s="395" t="s">
        <v>397</v>
      </c>
      <c r="E265" s="395" t="s">
        <v>650</v>
      </c>
      <c r="F265" s="395" t="s">
        <v>684</v>
      </c>
      <c r="G265" s="395" t="s">
        <v>685</v>
      </c>
    </row>
    <row r="266" spans="2:10" x14ac:dyDescent="0.2">
      <c r="B266" s="135">
        <v>1</v>
      </c>
      <c r="C266" s="55" t="s">
        <v>703</v>
      </c>
      <c r="D266" s="135" t="s">
        <v>402</v>
      </c>
      <c r="E266" s="202">
        <v>1</v>
      </c>
      <c r="F266" s="393">
        <v>750</v>
      </c>
      <c r="G266" s="393">
        <f>E266*F266</f>
        <v>750</v>
      </c>
    </row>
    <row r="267" spans="2:10" x14ac:dyDescent="0.2">
      <c r="B267" s="135">
        <v>2</v>
      </c>
      <c r="C267" s="55" t="s">
        <v>528</v>
      </c>
      <c r="D267" s="135" t="s">
        <v>402</v>
      </c>
      <c r="E267" s="202">
        <v>1</v>
      </c>
      <c r="F267" s="393">
        <v>250</v>
      </c>
      <c r="G267" s="393">
        <f>E267*F267</f>
        <v>250</v>
      </c>
    </row>
    <row r="268" spans="2:10" x14ac:dyDescent="0.2">
      <c r="B268" s="135">
        <v>3</v>
      </c>
      <c r="C268" s="55" t="s">
        <v>492</v>
      </c>
      <c r="D268" s="135" t="s">
        <v>402</v>
      </c>
      <c r="E268" s="202">
        <v>2</v>
      </c>
      <c r="F268" s="393">
        <v>150</v>
      </c>
      <c r="G268" s="393">
        <f>E268*F268</f>
        <v>300</v>
      </c>
    </row>
    <row r="269" spans="2:10" ht="15" customHeight="1" x14ac:dyDescent="0.2">
      <c r="B269" s="1671" t="s">
        <v>699</v>
      </c>
      <c r="C269" s="1671"/>
      <c r="D269" s="1671"/>
      <c r="E269" s="1671"/>
      <c r="F269" s="1671"/>
      <c r="G269" s="394">
        <f>SUM(G266:G268)</f>
        <v>1300</v>
      </c>
    </row>
    <row r="272" spans="2:10" ht="27" customHeight="1" x14ac:dyDescent="0.25">
      <c r="B272" s="1666" t="s">
        <v>705</v>
      </c>
      <c r="C272" s="1666"/>
      <c r="D272" s="1666"/>
      <c r="E272" s="1666"/>
      <c r="F272" s="1666"/>
      <c r="G272" s="1666"/>
      <c r="H272" s="1666"/>
      <c r="I272" s="1666"/>
      <c r="J272" s="1666"/>
    </row>
    <row r="273" spans="2:10" x14ac:dyDescent="0.25">
      <c r="C273" s="390"/>
      <c r="D273" s="390"/>
      <c r="E273" s="390"/>
      <c r="F273" s="390"/>
      <c r="G273" s="397"/>
    </row>
    <row r="274" spans="2:10" ht="25.5" x14ac:dyDescent="0.25">
      <c r="B274" s="399" t="s">
        <v>398</v>
      </c>
      <c r="C274" s="399" t="s">
        <v>682</v>
      </c>
      <c r="D274" s="399" t="s">
        <v>397</v>
      </c>
      <c r="E274" s="399" t="s">
        <v>650</v>
      </c>
      <c r="F274" s="399" t="s">
        <v>684</v>
      </c>
      <c r="G274" s="399" t="s">
        <v>685</v>
      </c>
    </row>
    <row r="275" spans="2:10" ht="38.25" x14ac:dyDescent="0.25">
      <c r="B275" s="135" t="str">
        <f>+B108</f>
        <v>2.2.1</v>
      </c>
      <c r="C275" s="396" t="str">
        <f>C108</f>
        <v>Implementación de equipamiento  del área de procesamiento de microalgas Espirulina en polvo.</v>
      </c>
      <c r="D275" s="135" t="s">
        <v>411</v>
      </c>
      <c r="E275" s="135">
        <v>1</v>
      </c>
      <c r="F275" s="398">
        <f>G118+G139+G157+G167+G177+G185</f>
        <v>1084850</v>
      </c>
      <c r="G275" s="393">
        <f>E275*F275</f>
        <v>1084850</v>
      </c>
    </row>
    <row r="276" spans="2:10" ht="38.25" x14ac:dyDescent="0.25">
      <c r="B276" s="135" t="str">
        <f>+B187</f>
        <v>2.2.2</v>
      </c>
      <c r="C276" s="396" t="str">
        <f>C187</f>
        <v>Implementación de equipamiento  del  área de higienización de la planta modelo de procesamiento.</v>
      </c>
      <c r="D276" s="135" t="s">
        <v>411</v>
      </c>
      <c r="E276" s="135">
        <v>1</v>
      </c>
      <c r="F276" s="398">
        <f>G196+G207</f>
        <v>5500</v>
      </c>
      <c r="G276" s="393">
        <f>E276*F276</f>
        <v>5500</v>
      </c>
    </row>
    <row r="277" spans="2:10" ht="38.25" x14ac:dyDescent="0.25">
      <c r="B277" s="135" t="str">
        <f>+B209</f>
        <v>2.2.3</v>
      </c>
      <c r="C277" s="396" t="str">
        <f>C209</f>
        <v>Implementación de equipamiento  del área de servicios de la planta modelo de procesamiento</v>
      </c>
      <c r="D277" s="135" t="s">
        <v>411</v>
      </c>
      <c r="E277" s="135">
        <v>1</v>
      </c>
      <c r="F277" s="398">
        <f>G221+G232+G244+G252+G261+G269</f>
        <v>45250</v>
      </c>
      <c r="G277" s="393">
        <f>E277*F277</f>
        <v>45250</v>
      </c>
    </row>
    <row r="278" spans="2:10" ht="15" customHeight="1" x14ac:dyDescent="0.25">
      <c r="B278" s="1677" t="s">
        <v>44</v>
      </c>
      <c r="C278" s="1677"/>
      <c r="D278" s="1677"/>
      <c r="E278" s="1677"/>
      <c r="F278" s="1677"/>
      <c r="G278" s="400">
        <f>SUM(G275:G277)</f>
        <v>1135600</v>
      </c>
    </row>
    <row r="281" spans="2:10" ht="12.75" customHeight="1" x14ac:dyDescent="0.25">
      <c r="B281" s="401">
        <v>2.4</v>
      </c>
      <c r="C281" s="1662" t="s">
        <v>1604</v>
      </c>
      <c r="D281" s="1662"/>
      <c r="E281" s="1662"/>
      <c r="F281" s="1662"/>
      <c r="G281" s="1662"/>
      <c r="H281" s="1662"/>
      <c r="I281" s="1662"/>
      <c r="J281" s="1662"/>
    </row>
    <row r="284" spans="2:10" x14ac:dyDescent="0.25">
      <c r="B284" s="236" t="s">
        <v>410</v>
      </c>
      <c r="C284" s="222" t="s">
        <v>1556</v>
      </c>
    </row>
    <row r="286" spans="2:10" ht="25.5" x14ac:dyDescent="0.25">
      <c r="B286" s="1119" t="s">
        <v>398</v>
      </c>
      <c r="C286" s="1077" t="s">
        <v>1463</v>
      </c>
      <c r="D286" s="1077" t="s">
        <v>536</v>
      </c>
      <c r="E286" s="1077" t="s">
        <v>1559</v>
      </c>
      <c r="F286" s="1077" t="s">
        <v>1464</v>
      </c>
      <c r="G286" s="1077" t="s">
        <v>1465</v>
      </c>
    </row>
    <row r="287" spans="2:10" x14ac:dyDescent="0.25">
      <c r="B287" s="1061">
        <v>1</v>
      </c>
      <c r="C287" s="1072" t="s">
        <v>1495</v>
      </c>
      <c r="D287" s="1120" t="s">
        <v>1191</v>
      </c>
      <c r="E287" s="1121">
        <v>11</v>
      </c>
      <c r="F287" s="1122">
        <v>75</v>
      </c>
      <c r="G287" s="1122">
        <f t="shared" ref="G287:G295" si="10">F287*E287</f>
        <v>825</v>
      </c>
    </row>
    <row r="288" spans="2:10" x14ac:dyDescent="0.25">
      <c r="B288" s="1061">
        <v>2</v>
      </c>
      <c r="C288" s="1072" t="s">
        <v>1496</v>
      </c>
      <c r="D288" s="1120" t="s">
        <v>1191</v>
      </c>
      <c r="E288" s="1121">
        <v>11</v>
      </c>
      <c r="F288" s="1122">
        <v>150</v>
      </c>
      <c r="G288" s="1122">
        <f t="shared" si="10"/>
        <v>1650</v>
      </c>
    </row>
    <row r="289" spans="2:7" x14ac:dyDescent="0.25">
      <c r="B289" s="1061">
        <v>3</v>
      </c>
      <c r="C289" s="1072" t="s">
        <v>1497</v>
      </c>
      <c r="D289" s="1120" t="s">
        <v>1478</v>
      </c>
      <c r="E289" s="1121">
        <v>11</v>
      </c>
      <c r="F289" s="1122">
        <v>80</v>
      </c>
      <c r="G289" s="1122">
        <f t="shared" si="10"/>
        <v>880</v>
      </c>
    </row>
    <row r="290" spans="2:7" x14ac:dyDescent="0.25">
      <c r="B290" s="1061">
        <v>4</v>
      </c>
      <c r="C290" s="1072" t="s">
        <v>1498</v>
      </c>
      <c r="D290" s="1120" t="s">
        <v>1191</v>
      </c>
      <c r="E290" s="1121">
        <v>11</v>
      </c>
      <c r="F290" s="1122">
        <v>28</v>
      </c>
      <c r="G290" s="1122">
        <f t="shared" si="10"/>
        <v>308</v>
      </c>
    </row>
    <row r="291" spans="2:7" x14ac:dyDescent="0.25">
      <c r="B291" s="1061">
        <v>5</v>
      </c>
      <c r="C291" s="1089" t="s">
        <v>1499</v>
      </c>
      <c r="D291" s="1120" t="s">
        <v>1191</v>
      </c>
      <c r="E291" s="1121">
        <v>11</v>
      </c>
      <c r="F291" s="1122">
        <v>18</v>
      </c>
      <c r="G291" s="1123">
        <f t="shared" si="10"/>
        <v>198</v>
      </c>
    </row>
    <row r="292" spans="2:7" x14ac:dyDescent="0.25">
      <c r="B292" s="1061">
        <v>6</v>
      </c>
      <c r="C292" s="1098" t="s">
        <v>1500</v>
      </c>
      <c r="D292" s="1120" t="s">
        <v>1191</v>
      </c>
      <c r="E292" s="1121">
        <v>11</v>
      </c>
      <c r="F292" s="1122">
        <v>25</v>
      </c>
      <c r="G292" s="1123">
        <f t="shared" si="10"/>
        <v>275</v>
      </c>
    </row>
    <row r="293" spans="2:7" x14ac:dyDescent="0.25">
      <c r="B293" s="1061">
        <v>7</v>
      </c>
      <c r="C293" s="1072" t="s">
        <v>1501</v>
      </c>
      <c r="D293" s="1120" t="s">
        <v>1191</v>
      </c>
      <c r="E293" s="1121">
        <v>11</v>
      </c>
      <c r="F293" s="1122">
        <v>20</v>
      </c>
      <c r="G293" s="1122">
        <f t="shared" si="10"/>
        <v>220</v>
      </c>
    </row>
    <row r="294" spans="2:7" ht="25.5" x14ac:dyDescent="0.25">
      <c r="B294" s="1061">
        <v>8</v>
      </c>
      <c r="C294" s="1072" t="s">
        <v>1502</v>
      </c>
      <c r="D294" s="1120" t="s">
        <v>1478</v>
      </c>
      <c r="E294" s="1121">
        <v>11</v>
      </c>
      <c r="F294" s="1122">
        <v>500</v>
      </c>
      <c r="G294" s="1122">
        <f t="shared" si="10"/>
        <v>5500</v>
      </c>
    </row>
    <row r="295" spans="2:7" x14ac:dyDescent="0.25">
      <c r="B295" s="1061">
        <v>9</v>
      </c>
      <c r="C295" s="1072" t="s">
        <v>1503</v>
      </c>
      <c r="D295" s="1120" t="s">
        <v>1191</v>
      </c>
      <c r="E295" s="1121">
        <v>11</v>
      </c>
      <c r="F295" s="1122">
        <v>60</v>
      </c>
      <c r="G295" s="1122">
        <f t="shared" si="10"/>
        <v>660</v>
      </c>
    </row>
    <row r="296" spans="2:7" ht="15" customHeight="1" x14ac:dyDescent="0.25">
      <c r="B296" s="1680" t="s">
        <v>252</v>
      </c>
      <c r="C296" s="1681"/>
      <c r="D296" s="1681"/>
      <c r="E296" s="1681"/>
      <c r="F296" s="1682"/>
      <c r="G296" s="1124">
        <f>SUM(G287:G295)</f>
        <v>10516</v>
      </c>
    </row>
    <row r="297" spans="2:7" s="264" customFormat="1" x14ac:dyDescent="0.25">
      <c r="B297" s="291"/>
      <c r="C297" s="1125"/>
      <c r="D297" s="1125"/>
      <c r="E297" s="1125"/>
      <c r="F297" s="1125"/>
      <c r="G297" s="1126"/>
    </row>
    <row r="298" spans="2:7" s="264" customFormat="1" x14ac:dyDescent="0.25">
      <c r="B298" s="291"/>
      <c r="C298" s="1125"/>
      <c r="D298" s="1125"/>
      <c r="E298" s="1125"/>
      <c r="F298" s="1125"/>
      <c r="G298" s="1126"/>
    </row>
    <row r="299" spans="2:7" s="264" customFormat="1" x14ac:dyDescent="0.25">
      <c r="B299" s="291" t="s">
        <v>1621</v>
      </c>
      <c r="C299" s="222" t="s">
        <v>1504</v>
      </c>
      <c r="D299" s="1125"/>
      <c r="E299" s="1125"/>
      <c r="F299" s="1125"/>
      <c r="G299" s="1126"/>
    </row>
    <row r="300" spans="2:7" ht="25.5" x14ac:dyDescent="0.25">
      <c r="B300" s="1119" t="s">
        <v>398</v>
      </c>
      <c r="C300" s="1119" t="s">
        <v>1463</v>
      </c>
      <c r="D300" s="1077" t="s">
        <v>536</v>
      </c>
      <c r="E300" s="1077" t="s">
        <v>1559</v>
      </c>
      <c r="F300" s="1077" t="s">
        <v>1464</v>
      </c>
      <c r="G300" s="1077" t="s">
        <v>1465</v>
      </c>
    </row>
    <row r="301" spans="2:7" x14ac:dyDescent="0.25">
      <c r="B301" s="1061">
        <v>1</v>
      </c>
      <c r="C301" s="1072" t="s">
        <v>1505</v>
      </c>
      <c r="D301" s="1117" t="s">
        <v>1191</v>
      </c>
      <c r="E301" s="1121">
        <v>11</v>
      </c>
      <c r="F301" s="1117">
        <v>18</v>
      </c>
      <c r="G301" s="1118">
        <f t="shared" ref="G301:G312" si="11">F301*E301</f>
        <v>198</v>
      </c>
    </row>
    <row r="302" spans="2:7" x14ac:dyDescent="0.25">
      <c r="B302" s="1061">
        <v>2</v>
      </c>
      <c r="C302" s="1072" t="s">
        <v>1506</v>
      </c>
      <c r="D302" s="1117" t="s">
        <v>1191</v>
      </c>
      <c r="E302" s="1121">
        <v>11</v>
      </c>
      <c r="F302" s="1117">
        <v>5</v>
      </c>
      <c r="G302" s="1118">
        <f t="shared" si="11"/>
        <v>55</v>
      </c>
    </row>
    <row r="303" spans="2:7" x14ac:dyDescent="0.25">
      <c r="B303" s="1061">
        <v>3</v>
      </c>
      <c r="C303" s="1072" t="s">
        <v>1507</v>
      </c>
      <c r="D303" s="1117" t="s">
        <v>1191</v>
      </c>
      <c r="E303" s="1121">
        <v>11</v>
      </c>
      <c r="F303" s="1117">
        <v>23</v>
      </c>
      <c r="G303" s="1118">
        <f t="shared" si="11"/>
        <v>253</v>
      </c>
    </row>
    <row r="304" spans="2:7" x14ac:dyDescent="0.25">
      <c r="B304" s="1061">
        <v>4</v>
      </c>
      <c r="C304" s="1072" t="s">
        <v>1508</v>
      </c>
      <c r="D304" s="1117" t="s">
        <v>1509</v>
      </c>
      <c r="E304" s="1121">
        <v>11</v>
      </c>
      <c r="F304" s="1117">
        <v>400</v>
      </c>
      <c r="G304" s="1118">
        <f t="shared" si="11"/>
        <v>4400</v>
      </c>
    </row>
    <row r="305" spans="2:7" x14ac:dyDescent="0.25">
      <c r="B305" s="1061">
        <v>5</v>
      </c>
      <c r="C305" s="1072" t="s">
        <v>1510</v>
      </c>
      <c r="D305" s="1117" t="s">
        <v>1191</v>
      </c>
      <c r="E305" s="1121">
        <v>11</v>
      </c>
      <c r="F305" s="1117">
        <v>70</v>
      </c>
      <c r="G305" s="1118">
        <f t="shared" si="11"/>
        <v>770</v>
      </c>
    </row>
    <row r="306" spans="2:7" ht="25.5" x14ac:dyDescent="0.25">
      <c r="B306" s="1061">
        <v>6</v>
      </c>
      <c r="C306" s="1072" t="s">
        <v>1511</v>
      </c>
      <c r="D306" s="1117" t="s">
        <v>1191</v>
      </c>
      <c r="E306" s="1121">
        <v>11</v>
      </c>
      <c r="F306" s="1117">
        <v>23</v>
      </c>
      <c r="G306" s="1118">
        <f t="shared" si="11"/>
        <v>253</v>
      </c>
    </row>
    <row r="307" spans="2:7" x14ac:dyDescent="0.25">
      <c r="B307" s="1061">
        <v>7</v>
      </c>
      <c r="C307" s="1072" t="s">
        <v>1512</v>
      </c>
      <c r="D307" s="1117" t="s">
        <v>1191</v>
      </c>
      <c r="E307" s="1121">
        <v>11</v>
      </c>
      <c r="F307" s="1117">
        <v>500</v>
      </c>
      <c r="G307" s="1118">
        <f t="shared" si="11"/>
        <v>5500</v>
      </c>
    </row>
    <row r="308" spans="2:7" x14ac:dyDescent="0.25">
      <c r="B308" s="1061">
        <v>8</v>
      </c>
      <c r="C308" s="1072" t="s">
        <v>1513</v>
      </c>
      <c r="D308" s="1117" t="s">
        <v>1191</v>
      </c>
      <c r="E308" s="1121">
        <v>11</v>
      </c>
      <c r="F308" s="1117">
        <v>850</v>
      </c>
      <c r="G308" s="1118">
        <f t="shared" si="11"/>
        <v>9350</v>
      </c>
    </row>
    <row r="309" spans="2:7" x14ac:dyDescent="0.25">
      <c r="B309" s="1061">
        <v>9</v>
      </c>
      <c r="C309" s="1072" t="s">
        <v>1514</v>
      </c>
      <c r="D309" s="1117" t="s">
        <v>1191</v>
      </c>
      <c r="E309" s="1121">
        <v>11</v>
      </c>
      <c r="F309" s="1117">
        <v>85</v>
      </c>
      <c r="G309" s="1118">
        <f t="shared" si="11"/>
        <v>935</v>
      </c>
    </row>
    <row r="310" spans="2:7" ht="25.5" x14ac:dyDescent="0.25">
      <c r="B310" s="1061">
        <v>10</v>
      </c>
      <c r="C310" s="1072" t="s">
        <v>1515</v>
      </c>
      <c r="D310" s="1117" t="s">
        <v>1509</v>
      </c>
      <c r="E310" s="1121">
        <v>11</v>
      </c>
      <c r="F310" s="1117">
        <v>900</v>
      </c>
      <c r="G310" s="1118">
        <f t="shared" si="11"/>
        <v>9900</v>
      </c>
    </row>
    <row r="311" spans="2:7" x14ac:dyDescent="0.25">
      <c r="B311" s="1061">
        <v>11</v>
      </c>
      <c r="C311" s="1072" t="s">
        <v>1516</v>
      </c>
      <c r="D311" s="1117" t="s">
        <v>1191</v>
      </c>
      <c r="E311" s="1121">
        <v>11</v>
      </c>
      <c r="F311" s="1117">
        <v>3.5</v>
      </c>
      <c r="G311" s="1118">
        <f t="shared" si="11"/>
        <v>38.5</v>
      </c>
    </row>
    <row r="312" spans="2:7" x14ac:dyDescent="0.25">
      <c r="B312" s="1061">
        <v>12</v>
      </c>
      <c r="C312" s="1072" t="s">
        <v>1517</v>
      </c>
      <c r="D312" s="1117" t="s">
        <v>1191</v>
      </c>
      <c r="E312" s="1121">
        <v>11</v>
      </c>
      <c r="F312" s="1117">
        <v>11.5</v>
      </c>
      <c r="G312" s="1118">
        <f t="shared" si="11"/>
        <v>126.5</v>
      </c>
    </row>
    <row r="313" spans="2:7" ht="15" customHeight="1" x14ac:dyDescent="0.25">
      <c r="B313" s="1685" t="s">
        <v>252</v>
      </c>
      <c r="C313" s="1686"/>
      <c r="D313" s="1686"/>
      <c r="E313" s="1686"/>
      <c r="F313" s="1687"/>
      <c r="G313" s="1135">
        <f>SUM(G301:G312)</f>
        <v>31779</v>
      </c>
    </row>
    <row r="314" spans="2:7" s="264" customFormat="1" x14ac:dyDescent="0.25">
      <c r="B314" s="291"/>
      <c r="C314" s="1133"/>
      <c r="D314" s="1133"/>
      <c r="E314" s="1133"/>
      <c r="F314" s="1133"/>
      <c r="G314" s="1134"/>
    </row>
    <row r="315" spans="2:7" s="264" customFormat="1" x14ac:dyDescent="0.25">
      <c r="B315" s="291"/>
      <c r="C315" s="1133"/>
      <c r="D315" s="1133"/>
      <c r="E315" s="1133"/>
      <c r="F315" s="1133"/>
      <c r="G315" s="1134"/>
    </row>
    <row r="316" spans="2:7" s="264" customFormat="1" x14ac:dyDescent="0.25">
      <c r="B316" s="291" t="s">
        <v>1622</v>
      </c>
      <c r="C316" s="222" t="s">
        <v>1518</v>
      </c>
      <c r="D316" s="1133"/>
      <c r="E316" s="1133"/>
      <c r="F316" s="1133"/>
      <c r="G316" s="1134"/>
    </row>
    <row r="317" spans="2:7" ht="25.5" x14ac:dyDescent="0.25">
      <c r="B317" s="1119" t="s">
        <v>398</v>
      </c>
      <c r="C317" s="1077" t="s">
        <v>792</v>
      </c>
      <c r="D317" s="1077" t="s">
        <v>536</v>
      </c>
      <c r="E317" s="1077" t="s">
        <v>1559</v>
      </c>
      <c r="F317" s="1077" t="s">
        <v>1464</v>
      </c>
      <c r="G317" s="1077" t="s">
        <v>1465</v>
      </c>
    </row>
    <row r="318" spans="2:7" x14ac:dyDescent="0.25">
      <c r="B318" s="1139">
        <v>1</v>
      </c>
      <c r="C318" s="1127" t="s">
        <v>1519</v>
      </c>
      <c r="D318" s="1127"/>
      <c r="E318" s="1128"/>
      <c r="F318" s="1127"/>
      <c r="G318" s="1127">
        <f>SUM(G319:G323)</f>
        <v>7755</v>
      </c>
    </row>
    <row r="319" spans="2:7" x14ac:dyDescent="0.25">
      <c r="B319" s="1061" t="s">
        <v>401</v>
      </c>
      <c r="C319" s="1072" t="s">
        <v>1520</v>
      </c>
      <c r="D319" s="1129" t="s">
        <v>1521</v>
      </c>
      <c r="E319" s="1141">
        <f>3*11</f>
        <v>33</v>
      </c>
      <c r="F319" s="1130">
        <f>3*20</f>
        <v>60</v>
      </c>
      <c r="G319" s="1129">
        <f>ROUND(F319*E319,4)</f>
        <v>1980</v>
      </c>
    </row>
    <row r="320" spans="2:7" x14ac:dyDescent="0.25">
      <c r="B320" s="1061" t="s">
        <v>400</v>
      </c>
      <c r="C320" s="1072" t="s">
        <v>1522</v>
      </c>
      <c r="D320" s="1129" t="s">
        <v>1521</v>
      </c>
      <c r="E320" s="1141">
        <f>3*11</f>
        <v>33</v>
      </c>
      <c r="F320" s="1130">
        <f>5*20</f>
        <v>100</v>
      </c>
      <c r="G320" s="1129">
        <f>ROUND(F320*E320,4)</f>
        <v>3300</v>
      </c>
    </row>
    <row r="321" spans="2:7" x14ac:dyDescent="0.25">
      <c r="B321" s="1061" t="s">
        <v>595</v>
      </c>
      <c r="C321" s="1072" t="s">
        <v>1523</v>
      </c>
      <c r="D321" s="1129" t="s">
        <v>1524</v>
      </c>
      <c r="E321" s="1141">
        <v>11</v>
      </c>
      <c r="F321" s="1130">
        <v>20</v>
      </c>
      <c r="G321" s="1129">
        <f>ROUND(F321*E321,4)</f>
        <v>220</v>
      </c>
    </row>
    <row r="322" spans="2:7" x14ac:dyDescent="0.25">
      <c r="B322" s="1061" t="s">
        <v>605</v>
      </c>
      <c r="C322" s="1072" t="s">
        <v>1525</v>
      </c>
      <c r="D322" s="1129" t="s">
        <v>666</v>
      </c>
      <c r="E322" s="1141">
        <f>50*11</f>
        <v>550</v>
      </c>
      <c r="F322" s="1130">
        <v>2</v>
      </c>
      <c r="G322" s="1129">
        <f>ROUND(F322*E322,4)</f>
        <v>1100</v>
      </c>
    </row>
    <row r="323" spans="2:7" x14ac:dyDescent="0.25">
      <c r="B323" s="1061" t="s">
        <v>620</v>
      </c>
      <c r="C323" s="1072" t="s">
        <v>1526</v>
      </c>
      <c r="D323" s="1129" t="s">
        <v>1527</v>
      </c>
      <c r="E323" s="1141">
        <f>5*11</f>
        <v>55</v>
      </c>
      <c r="F323" s="1130">
        <v>21</v>
      </c>
      <c r="G323" s="1129">
        <f>ROUND(F323*E323,4)</f>
        <v>1155</v>
      </c>
    </row>
    <row r="324" spans="2:7" x14ac:dyDescent="0.25">
      <c r="B324" s="1139">
        <v>2</v>
      </c>
      <c r="C324" s="1127" t="s">
        <v>1528</v>
      </c>
      <c r="D324" s="1127"/>
      <c r="E324" s="1128"/>
      <c r="F324" s="1127"/>
      <c r="G324" s="1127">
        <f>SUM(G325:G329)</f>
        <v>3751</v>
      </c>
    </row>
    <row r="325" spans="2:7" x14ac:dyDescent="0.25">
      <c r="B325" s="1061" t="s">
        <v>691</v>
      </c>
      <c r="C325" s="1059" t="s">
        <v>1498</v>
      </c>
      <c r="D325" s="1130" t="s">
        <v>1191</v>
      </c>
      <c r="E325" s="1141">
        <v>11</v>
      </c>
      <c r="F325" s="1130">
        <v>23</v>
      </c>
      <c r="G325" s="1129">
        <f>F325*E325</f>
        <v>253</v>
      </c>
    </row>
    <row r="326" spans="2:7" x14ac:dyDescent="0.25">
      <c r="B326" s="1061" t="s">
        <v>700</v>
      </c>
      <c r="C326" s="1072" t="s">
        <v>1529</v>
      </c>
      <c r="D326" s="1130" t="s">
        <v>1191</v>
      </c>
      <c r="E326" s="1141">
        <v>11</v>
      </c>
      <c r="F326" s="1130">
        <v>120</v>
      </c>
      <c r="G326" s="1129">
        <f>F326*E326</f>
        <v>1320</v>
      </c>
    </row>
    <row r="327" spans="2:7" x14ac:dyDescent="0.25">
      <c r="B327" s="1061" t="s">
        <v>701</v>
      </c>
      <c r="C327" s="1072" t="s">
        <v>1530</v>
      </c>
      <c r="D327" s="1130" t="s">
        <v>1191</v>
      </c>
      <c r="E327" s="1141">
        <v>11</v>
      </c>
      <c r="F327" s="1130">
        <v>28</v>
      </c>
      <c r="G327" s="1129">
        <f>F327*E327</f>
        <v>308</v>
      </c>
    </row>
    <row r="328" spans="2:7" ht="25.5" x14ac:dyDescent="0.25">
      <c r="B328" s="1061" t="s">
        <v>1557</v>
      </c>
      <c r="C328" s="1072" t="s">
        <v>1531</v>
      </c>
      <c r="D328" s="1130" t="s">
        <v>1191</v>
      </c>
      <c r="E328" s="1141">
        <v>11</v>
      </c>
      <c r="F328" s="1130">
        <v>150</v>
      </c>
      <c r="G328" s="1129">
        <f>F328*E328</f>
        <v>1650</v>
      </c>
    </row>
    <row r="329" spans="2:7" x14ac:dyDescent="0.25">
      <c r="B329" s="1061" t="s">
        <v>1558</v>
      </c>
      <c r="C329" s="1072" t="s">
        <v>1532</v>
      </c>
      <c r="D329" s="1130" t="s">
        <v>1191</v>
      </c>
      <c r="E329" s="1141">
        <v>11</v>
      </c>
      <c r="F329" s="1130">
        <v>20</v>
      </c>
      <c r="G329" s="1129">
        <f>F329*E329</f>
        <v>220</v>
      </c>
    </row>
    <row r="330" spans="2:7" x14ac:dyDescent="0.25">
      <c r="B330" s="1139">
        <v>3</v>
      </c>
      <c r="C330" s="1127" t="s">
        <v>1533</v>
      </c>
      <c r="D330" s="1127"/>
      <c r="E330" s="1142"/>
      <c r="F330" s="1127"/>
      <c r="G330" s="1127">
        <f>SUM(G331)</f>
        <v>1386</v>
      </c>
    </row>
    <row r="331" spans="2:7" x14ac:dyDescent="0.25">
      <c r="B331" s="1061" t="s">
        <v>714</v>
      </c>
      <c r="C331" s="1129" t="s">
        <v>1533</v>
      </c>
      <c r="D331" s="1129" t="s">
        <v>1534</v>
      </c>
      <c r="E331" s="1141">
        <f>0.7*11</f>
        <v>7.6999999999999993</v>
      </c>
      <c r="F331" s="1130">
        <v>180</v>
      </c>
      <c r="G331" s="1129">
        <f>ROUND(F331*E331,4)</f>
        <v>1386</v>
      </c>
    </row>
    <row r="332" spans="2:7" ht="15" customHeight="1" x14ac:dyDescent="0.25">
      <c r="B332" s="1657" t="s">
        <v>252</v>
      </c>
      <c r="C332" s="1657"/>
      <c r="D332" s="1657"/>
      <c r="E332" s="1657"/>
      <c r="F332" s="1657"/>
      <c r="G332" s="1138">
        <f>G330+G324+G318</f>
        <v>12892</v>
      </c>
    </row>
    <row r="333" spans="2:7" s="264" customFormat="1" x14ac:dyDescent="0.25">
      <c r="B333" s="291"/>
      <c r="C333" s="1136"/>
      <c r="D333" s="1136"/>
      <c r="E333" s="1137"/>
      <c r="F333" s="1136"/>
      <c r="G333" s="1136"/>
    </row>
    <row r="334" spans="2:7" s="264" customFormat="1" x14ac:dyDescent="0.25">
      <c r="B334" s="291"/>
      <c r="C334" s="1136"/>
      <c r="D334" s="1136"/>
      <c r="E334" s="1137"/>
      <c r="F334" s="1136"/>
      <c r="G334" s="1136"/>
    </row>
    <row r="335" spans="2:7" s="264" customFormat="1" x14ac:dyDescent="0.25">
      <c r="B335" s="291" t="s">
        <v>1411</v>
      </c>
      <c r="C335" s="222" t="s">
        <v>1623</v>
      </c>
      <c r="D335" s="1136"/>
      <c r="E335" s="1137"/>
      <c r="F335" s="1136"/>
      <c r="G335" s="1136"/>
    </row>
    <row r="336" spans="2:7" ht="25.5" x14ac:dyDescent="0.25">
      <c r="B336" s="1119" t="s">
        <v>398</v>
      </c>
      <c r="C336" s="1077" t="s">
        <v>792</v>
      </c>
      <c r="D336" s="1077" t="s">
        <v>536</v>
      </c>
      <c r="E336" s="1077" t="s">
        <v>1088</v>
      </c>
      <c r="F336" s="1077" t="s">
        <v>1464</v>
      </c>
      <c r="G336" s="1077" t="s">
        <v>1465</v>
      </c>
    </row>
    <row r="337" spans="2:7" x14ac:dyDescent="0.25">
      <c r="B337" s="1061">
        <v>1</v>
      </c>
      <c r="C337" s="1072" t="s">
        <v>1535</v>
      </c>
      <c r="D337" s="1122" t="s">
        <v>1536</v>
      </c>
      <c r="E337" s="1131">
        <v>11</v>
      </c>
      <c r="F337" s="1122">
        <v>45</v>
      </c>
      <c r="G337" s="1122">
        <f t="shared" ref="G337:G344" si="12">F337*E337</f>
        <v>495</v>
      </c>
    </row>
    <row r="338" spans="2:7" x14ac:dyDescent="0.25">
      <c r="B338" s="1061">
        <v>2</v>
      </c>
      <c r="C338" s="1072" t="s">
        <v>1537</v>
      </c>
      <c r="D338" s="1122" t="s">
        <v>1536</v>
      </c>
      <c r="E338" s="1131">
        <v>11</v>
      </c>
      <c r="F338" s="1122">
        <v>75</v>
      </c>
      <c r="G338" s="1122">
        <f t="shared" si="12"/>
        <v>825</v>
      </c>
    </row>
    <row r="339" spans="2:7" x14ac:dyDescent="0.25">
      <c r="B339" s="1061">
        <v>3</v>
      </c>
      <c r="C339" s="1072" t="s">
        <v>1538</v>
      </c>
      <c r="D339" s="1122" t="s">
        <v>1536</v>
      </c>
      <c r="E339" s="1131">
        <v>11</v>
      </c>
      <c r="F339" s="1122">
        <v>35</v>
      </c>
      <c r="G339" s="1122">
        <f t="shared" si="12"/>
        <v>385</v>
      </c>
    </row>
    <row r="340" spans="2:7" x14ac:dyDescent="0.25">
      <c r="B340" s="1061">
        <v>4</v>
      </c>
      <c r="C340" s="1072" t="s">
        <v>1539</v>
      </c>
      <c r="D340" s="1122" t="s">
        <v>1536</v>
      </c>
      <c r="E340" s="1131">
        <v>11</v>
      </c>
      <c r="F340" s="1122">
        <v>75</v>
      </c>
      <c r="G340" s="1122">
        <f t="shared" si="12"/>
        <v>825</v>
      </c>
    </row>
    <row r="341" spans="2:7" x14ac:dyDescent="0.25">
      <c r="B341" s="1061">
        <v>5</v>
      </c>
      <c r="C341" s="1072" t="s">
        <v>1538</v>
      </c>
      <c r="D341" s="1122" t="s">
        <v>1536</v>
      </c>
      <c r="E341" s="1131">
        <v>11</v>
      </c>
      <c r="F341" s="1122">
        <v>35</v>
      </c>
      <c r="G341" s="1122">
        <f t="shared" si="12"/>
        <v>385</v>
      </c>
    </row>
    <row r="342" spans="2:7" x14ac:dyDescent="0.25">
      <c r="B342" s="1061">
        <v>6</v>
      </c>
      <c r="C342" s="1072" t="s">
        <v>1540</v>
      </c>
      <c r="D342" s="1122" t="s">
        <v>1536</v>
      </c>
      <c r="E342" s="1131">
        <v>11</v>
      </c>
      <c r="F342" s="1122">
        <v>85</v>
      </c>
      <c r="G342" s="1122">
        <f t="shared" si="12"/>
        <v>935</v>
      </c>
    </row>
    <row r="343" spans="2:7" x14ac:dyDescent="0.25">
      <c r="B343" s="1061">
        <v>7</v>
      </c>
      <c r="C343" s="1072" t="s">
        <v>1541</v>
      </c>
      <c r="D343" s="1122" t="s">
        <v>1536</v>
      </c>
      <c r="E343" s="1131">
        <v>11</v>
      </c>
      <c r="F343" s="1122">
        <v>95</v>
      </c>
      <c r="G343" s="1122">
        <f t="shared" si="12"/>
        <v>1045</v>
      </c>
    </row>
    <row r="344" spans="2:7" x14ac:dyDescent="0.25">
      <c r="B344" s="1061">
        <v>8</v>
      </c>
      <c r="C344" s="1072" t="s">
        <v>1542</v>
      </c>
      <c r="D344" s="1122" t="s">
        <v>1536</v>
      </c>
      <c r="E344" s="1131">
        <v>11</v>
      </c>
      <c r="F344" s="1122">
        <v>75</v>
      </c>
      <c r="G344" s="1122">
        <f t="shared" si="12"/>
        <v>825</v>
      </c>
    </row>
    <row r="345" spans="2:7" ht="15" customHeight="1" x14ac:dyDescent="0.25">
      <c r="B345" s="1675" t="s">
        <v>252</v>
      </c>
      <c r="C345" s="1675"/>
      <c r="D345" s="1675"/>
      <c r="E345" s="1675"/>
      <c r="F345" s="1675"/>
      <c r="G345" s="1138">
        <f>SUM(G338:G342)</f>
        <v>3355</v>
      </c>
    </row>
    <row r="346" spans="2:7" s="264" customFormat="1" x14ac:dyDescent="0.25">
      <c r="B346" s="291"/>
      <c r="C346" s="1133"/>
      <c r="D346" s="1133"/>
      <c r="E346" s="1133"/>
      <c r="F346" s="1133"/>
      <c r="G346" s="1140"/>
    </row>
    <row r="347" spans="2:7" s="264" customFormat="1" x14ac:dyDescent="0.25">
      <c r="B347" s="291"/>
      <c r="C347" s="1133"/>
      <c r="D347" s="1133"/>
      <c r="E347" s="1133"/>
      <c r="F347" s="1133"/>
      <c r="G347" s="1140"/>
    </row>
    <row r="348" spans="2:7" s="264" customFormat="1" x14ac:dyDescent="0.25">
      <c r="B348" s="291" t="s">
        <v>1624</v>
      </c>
      <c r="C348" s="222" t="s">
        <v>1543</v>
      </c>
      <c r="D348" s="1133"/>
      <c r="E348" s="1133"/>
      <c r="F348" s="1133"/>
      <c r="G348" s="1140"/>
    </row>
    <row r="349" spans="2:7" ht="25.5" x14ac:dyDescent="0.25">
      <c r="B349" s="1119" t="s">
        <v>398</v>
      </c>
      <c r="C349" s="1077" t="s">
        <v>1463</v>
      </c>
      <c r="D349" s="1077" t="s">
        <v>536</v>
      </c>
      <c r="E349" s="1077" t="s">
        <v>1088</v>
      </c>
      <c r="F349" s="1077" t="s">
        <v>1464</v>
      </c>
      <c r="G349" s="1077" t="s">
        <v>1465</v>
      </c>
    </row>
    <row r="350" spans="2:7" x14ac:dyDescent="0.25">
      <c r="B350" s="1061">
        <v>1</v>
      </c>
      <c r="C350" s="1072" t="s">
        <v>1498</v>
      </c>
      <c r="D350" s="1122" t="s">
        <v>1191</v>
      </c>
      <c r="E350" s="1131">
        <v>11</v>
      </c>
      <c r="F350" s="1122">
        <v>23</v>
      </c>
      <c r="G350" s="1122">
        <f>F350*E350</f>
        <v>253</v>
      </c>
    </row>
    <row r="351" spans="2:7" x14ac:dyDescent="0.25">
      <c r="B351" s="1061">
        <v>2</v>
      </c>
      <c r="C351" s="1072" t="s">
        <v>1499</v>
      </c>
      <c r="D351" s="1122" t="s">
        <v>1191</v>
      </c>
      <c r="E351" s="1131">
        <v>11</v>
      </c>
      <c r="F351" s="1122">
        <v>18</v>
      </c>
      <c r="G351" s="1122">
        <f t="shared" ref="G351:G356" si="13">F351*E351</f>
        <v>198</v>
      </c>
    </row>
    <row r="352" spans="2:7" x14ac:dyDescent="0.25">
      <c r="B352" s="1061">
        <v>3</v>
      </c>
      <c r="C352" s="1072" t="s">
        <v>1501</v>
      </c>
      <c r="D352" s="1122" t="s">
        <v>1191</v>
      </c>
      <c r="E352" s="1131">
        <v>11</v>
      </c>
      <c r="F352" s="1122">
        <v>20</v>
      </c>
      <c r="G352" s="1122">
        <f t="shared" si="13"/>
        <v>220</v>
      </c>
    </row>
    <row r="353" spans="2:7" x14ac:dyDescent="0.25">
      <c r="B353" s="1061">
        <v>4</v>
      </c>
      <c r="C353" s="1072" t="s">
        <v>1544</v>
      </c>
      <c r="D353" s="1122" t="s">
        <v>1191</v>
      </c>
      <c r="E353" s="1131">
        <v>11</v>
      </c>
      <c r="F353" s="1123">
        <v>150</v>
      </c>
      <c r="G353" s="1122">
        <f t="shared" si="13"/>
        <v>1650</v>
      </c>
    </row>
    <row r="354" spans="2:7" x14ac:dyDescent="0.25">
      <c r="B354" s="1061">
        <v>5</v>
      </c>
      <c r="C354" s="1072" t="s">
        <v>1545</v>
      </c>
      <c r="D354" s="1122" t="s">
        <v>1191</v>
      </c>
      <c r="E354" s="1131">
        <v>11</v>
      </c>
      <c r="F354" s="1123">
        <v>15</v>
      </c>
      <c r="G354" s="1122">
        <f t="shared" si="13"/>
        <v>165</v>
      </c>
    </row>
    <row r="355" spans="2:7" x14ac:dyDescent="0.25">
      <c r="B355" s="1061">
        <v>6</v>
      </c>
      <c r="C355" s="1072" t="s">
        <v>1546</v>
      </c>
      <c r="D355" s="1122" t="s">
        <v>1191</v>
      </c>
      <c r="E355" s="1131">
        <v>11</v>
      </c>
      <c r="F355" s="1123">
        <v>15</v>
      </c>
      <c r="G355" s="1122">
        <f t="shared" si="13"/>
        <v>165</v>
      </c>
    </row>
    <row r="356" spans="2:7" x14ac:dyDescent="0.25">
      <c r="B356" s="1061">
        <v>7</v>
      </c>
      <c r="C356" s="1072" t="s">
        <v>1547</v>
      </c>
      <c r="D356" s="1122" t="s">
        <v>1191</v>
      </c>
      <c r="E356" s="1131">
        <v>11</v>
      </c>
      <c r="F356" s="1123">
        <v>30</v>
      </c>
      <c r="G356" s="1122">
        <f t="shared" si="13"/>
        <v>330</v>
      </c>
    </row>
    <row r="357" spans="2:7" ht="15" customHeight="1" x14ac:dyDescent="0.25">
      <c r="B357" s="1675" t="s">
        <v>252</v>
      </c>
      <c r="C357" s="1675"/>
      <c r="D357" s="1675"/>
      <c r="E357" s="1675"/>
      <c r="F357" s="1675"/>
      <c r="G357" s="1138">
        <f>SUM(G350:G356)</f>
        <v>2981</v>
      </c>
    </row>
    <row r="358" spans="2:7" s="264" customFormat="1" x14ac:dyDescent="0.25">
      <c r="B358" s="291"/>
      <c r="C358" s="1133"/>
      <c r="D358" s="1133"/>
      <c r="E358" s="1133"/>
      <c r="F358" s="1133"/>
      <c r="G358" s="1140"/>
    </row>
    <row r="359" spans="2:7" s="264" customFormat="1" x14ac:dyDescent="0.25">
      <c r="B359" s="291"/>
      <c r="C359" s="1133"/>
      <c r="D359" s="1133"/>
      <c r="E359" s="1133"/>
      <c r="F359" s="1133"/>
      <c r="G359" s="1140"/>
    </row>
    <row r="360" spans="2:7" s="264" customFormat="1" x14ac:dyDescent="0.25">
      <c r="B360" s="291" t="s">
        <v>1412</v>
      </c>
      <c r="C360" s="222" t="s">
        <v>1625</v>
      </c>
      <c r="D360" s="1133"/>
      <c r="E360" s="1133"/>
      <c r="F360" s="1133"/>
      <c r="G360" s="1140"/>
    </row>
    <row r="361" spans="2:7" ht="25.5" x14ac:dyDescent="0.25">
      <c r="B361" s="1119" t="s">
        <v>398</v>
      </c>
      <c r="C361" s="1077" t="s">
        <v>1463</v>
      </c>
      <c r="D361" s="1077" t="s">
        <v>536</v>
      </c>
      <c r="E361" s="1077" t="s">
        <v>1088</v>
      </c>
      <c r="F361" s="1077" t="s">
        <v>1464</v>
      </c>
      <c r="G361" s="1077" t="s">
        <v>1465</v>
      </c>
    </row>
    <row r="362" spans="2:7" x14ac:dyDescent="0.25">
      <c r="B362" s="1061">
        <v>1</v>
      </c>
      <c r="C362" s="1072" t="s">
        <v>1498</v>
      </c>
      <c r="D362" s="1122" t="s">
        <v>1191</v>
      </c>
      <c r="E362" s="1131">
        <v>11</v>
      </c>
      <c r="F362" s="1122">
        <v>23</v>
      </c>
      <c r="G362" s="1122">
        <f>F362*E362</f>
        <v>253</v>
      </c>
    </row>
    <row r="363" spans="2:7" x14ac:dyDescent="0.25">
      <c r="B363" s="1061">
        <v>2</v>
      </c>
      <c r="C363" s="1072" t="s">
        <v>1499</v>
      </c>
      <c r="D363" s="1122" t="s">
        <v>1191</v>
      </c>
      <c r="E363" s="1131">
        <v>11</v>
      </c>
      <c r="F363" s="1122">
        <v>18</v>
      </c>
      <c r="G363" s="1122">
        <f t="shared" ref="G363:G372" si="14">F363*E363</f>
        <v>198</v>
      </c>
    </row>
    <row r="364" spans="2:7" x14ac:dyDescent="0.25">
      <c r="B364" s="1061">
        <v>3</v>
      </c>
      <c r="C364" s="1072" t="s">
        <v>1501</v>
      </c>
      <c r="D364" s="1122" t="s">
        <v>1191</v>
      </c>
      <c r="E364" s="1131">
        <v>11</v>
      </c>
      <c r="F364" s="1122">
        <v>35</v>
      </c>
      <c r="G364" s="1122">
        <f t="shared" si="14"/>
        <v>385</v>
      </c>
    </row>
    <row r="365" spans="2:7" x14ac:dyDescent="0.25">
      <c r="B365" s="1061">
        <v>4</v>
      </c>
      <c r="C365" s="1072" t="s">
        <v>1548</v>
      </c>
      <c r="D365" s="1122" t="s">
        <v>1191</v>
      </c>
      <c r="E365" s="1131">
        <v>11</v>
      </c>
      <c r="F365" s="1123">
        <v>290</v>
      </c>
      <c r="G365" s="1122">
        <f t="shared" si="14"/>
        <v>3190</v>
      </c>
    </row>
    <row r="366" spans="2:7" ht="25.5" x14ac:dyDescent="0.25">
      <c r="B366" s="1061">
        <v>5</v>
      </c>
      <c r="C366" s="1072" t="s">
        <v>1549</v>
      </c>
      <c r="D366" s="1122" t="s">
        <v>1191</v>
      </c>
      <c r="E366" s="1131">
        <v>11</v>
      </c>
      <c r="F366" s="1123">
        <v>60</v>
      </c>
      <c r="G366" s="1122">
        <f t="shared" si="14"/>
        <v>660</v>
      </c>
    </row>
    <row r="367" spans="2:7" x14ac:dyDescent="0.25">
      <c r="B367" s="1061">
        <v>6</v>
      </c>
      <c r="C367" s="1072" t="s">
        <v>1550</v>
      </c>
      <c r="D367" s="1122" t="s">
        <v>1191</v>
      </c>
      <c r="E367" s="1131">
        <v>11</v>
      </c>
      <c r="F367" s="1123">
        <v>35</v>
      </c>
      <c r="G367" s="1122">
        <f t="shared" si="14"/>
        <v>385</v>
      </c>
    </row>
    <row r="368" spans="2:7" x14ac:dyDescent="0.25">
      <c r="B368" s="1061">
        <v>7</v>
      </c>
      <c r="C368" s="1072" t="s">
        <v>1551</v>
      </c>
      <c r="D368" s="1122" t="s">
        <v>1191</v>
      </c>
      <c r="E368" s="1131">
        <v>11</v>
      </c>
      <c r="F368" s="1123">
        <v>35</v>
      </c>
      <c r="G368" s="1122">
        <f t="shared" si="14"/>
        <v>385</v>
      </c>
    </row>
    <row r="369" spans="2:10" ht="25.5" x14ac:dyDescent="0.25">
      <c r="B369" s="1061">
        <v>8</v>
      </c>
      <c r="C369" s="1072" t="s">
        <v>1552</v>
      </c>
      <c r="D369" s="1122" t="s">
        <v>1191</v>
      </c>
      <c r="E369" s="1132">
        <f>3*11</f>
        <v>33</v>
      </c>
      <c r="F369" s="1123">
        <v>15</v>
      </c>
      <c r="G369" s="1122">
        <f t="shared" si="14"/>
        <v>495</v>
      </c>
    </row>
    <row r="370" spans="2:10" x14ac:dyDescent="0.25">
      <c r="B370" s="1061">
        <v>9</v>
      </c>
      <c r="C370" s="1072" t="s">
        <v>1553</v>
      </c>
      <c r="D370" s="1122" t="s">
        <v>1191</v>
      </c>
      <c r="E370" s="1132">
        <v>11</v>
      </c>
      <c r="F370" s="1123">
        <v>15</v>
      </c>
      <c r="G370" s="1122">
        <f t="shared" si="14"/>
        <v>165</v>
      </c>
    </row>
    <row r="371" spans="2:10" x14ac:dyDescent="0.25">
      <c r="B371" s="1061">
        <v>10</v>
      </c>
      <c r="C371" s="1072" t="s">
        <v>1554</v>
      </c>
      <c r="D371" s="1122" t="s">
        <v>1191</v>
      </c>
      <c r="E371" s="1132">
        <v>11</v>
      </c>
      <c r="F371" s="1123">
        <v>30</v>
      </c>
      <c r="G371" s="1122">
        <f t="shared" si="14"/>
        <v>330</v>
      </c>
    </row>
    <row r="372" spans="2:10" x14ac:dyDescent="0.25">
      <c r="B372" s="1061">
        <v>11</v>
      </c>
      <c r="C372" s="1072" t="s">
        <v>1555</v>
      </c>
      <c r="D372" s="1122" t="s">
        <v>1191</v>
      </c>
      <c r="E372" s="1132">
        <v>11</v>
      </c>
      <c r="F372" s="1123">
        <v>120</v>
      </c>
      <c r="G372" s="1122">
        <f t="shared" si="14"/>
        <v>1320</v>
      </c>
    </row>
    <row r="373" spans="2:10" ht="15" customHeight="1" x14ac:dyDescent="0.25">
      <c r="B373" s="1675" t="s">
        <v>252</v>
      </c>
      <c r="C373" s="1675"/>
      <c r="D373" s="1675"/>
      <c r="E373" s="1675"/>
      <c r="F373" s="1675"/>
      <c r="G373" s="1138">
        <f>SUM(G362:G372)</f>
        <v>7766</v>
      </c>
    </row>
    <row r="375" spans="2:10" x14ac:dyDescent="0.25">
      <c r="C375" s="222" t="s">
        <v>1560</v>
      </c>
    </row>
    <row r="378" spans="2:10" ht="27.75" customHeight="1" x14ac:dyDescent="0.25">
      <c r="B378" s="1666" t="s">
        <v>706</v>
      </c>
      <c r="C378" s="1666"/>
      <c r="D378" s="1666"/>
      <c r="E378" s="1666"/>
      <c r="F378" s="1666"/>
      <c r="G378" s="1666"/>
      <c r="H378" s="1666"/>
      <c r="I378" s="1666"/>
      <c r="J378" s="1666"/>
    </row>
    <row r="379" spans="2:10" x14ac:dyDescent="0.25">
      <c r="C379" s="390"/>
      <c r="D379" s="390"/>
      <c r="E379" s="390"/>
      <c r="F379" s="390"/>
      <c r="G379" s="397"/>
    </row>
    <row r="380" spans="2:10" ht="25.5" x14ac:dyDescent="0.25">
      <c r="B380" s="399" t="s">
        <v>398</v>
      </c>
      <c r="C380" s="399" t="s">
        <v>682</v>
      </c>
      <c r="D380" s="399" t="s">
        <v>397</v>
      </c>
      <c r="E380" s="399" t="s">
        <v>650</v>
      </c>
      <c r="F380" s="399" t="s">
        <v>684</v>
      </c>
      <c r="G380" s="399" t="s">
        <v>685</v>
      </c>
    </row>
    <row r="381" spans="2:10" ht="51" x14ac:dyDescent="0.25">
      <c r="B381" s="245" t="str">
        <f>+B284</f>
        <v>2.3.1</v>
      </c>
      <c r="C381" s="250" t="str">
        <f>C284</f>
        <v xml:space="preserve"> Implementacion de  herramientas  e insumos del modulo del invernadero  o fitotoldo para la producion de hortalizas.</v>
      </c>
      <c r="D381" s="245" t="s">
        <v>411</v>
      </c>
      <c r="E381" s="245">
        <v>1</v>
      </c>
      <c r="F381" s="1060">
        <f>G296</f>
        <v>10516</v>
      </c>
      <c r="G381" s="393">
        <f>E381*F381</f>
        <v>10516</v>
      </c>
    </row>
    <row r="382" spans="2:10" ht="38.25" x14ac:dyDescent="0.25">
      <c r="B382" s="245" t="str">
        <f>+B299</f>
        <v>2.3.2</v>
      </c>
      <c r="C382" s="250" t="str">
        <f>C299</f>
        <v>Implementación  de equipos  de modulos de sistemas  de riego por goteo</v>
      </c>
      <c r="D382" s="245" t="s">
        <v>411</v>
      </c>
      <c r="E382" s="245">
        <v>1</v>
      </c>
      <c r="F382" s="1060">
        <f>G313</f>
        <v>31779</v>
      </c>
      <c r="G382" s="393">
        <f>E382*F382</f>
        <v>31779</v>
      </c>
    </row>
    <row r="383" spans="2:10" ht="51" x14ac:dyDescent="0.25">
      <c r="B383" s="245" t="str">
        <f>+B316</f>
        <v>2.3.3</v>
      </c>
      <c r="C383" s="250" t="str">
        <f>C316</f>
        <v xml:space="preserve">Implementación  de  kit de herramientas  e insumos  de modulos  de produccion de abonos organicos </v>
      </c>
      <c r="D383" s="245" t="s">
        <v>411</v>
      </c>
      <c r="E383" s="245">
        <v>1</v>
      </c>
      <c r="F383" s="1060">
        <f>G332</f>
        <v>12892</v>
      </c>
      <c r="G383" s="393">
        <f>E383*F383</f>
        <v>12892</v>
      </c>
    </row>
    <row r="384" spans="2:10" ht="25.5" x14ac:dyDescent="0.25">
      <c r="B384" s="245" t="str">
        <f>+B335</f>
        <v>2.3.4</v>
      </c>
      <c r="C384" s="250" t="str">
        <f>C335</f>
        <v>Implementacion de kit de semillas  de hortalizas (8 variedades)</v>
      </c>
      <c r="D384" s="245" t="s">
        <v>411</v>
      </c>
      <c r="E384" s="245">
        <v>1</v>
      </c>
      <c r="F384" s="1060">
        <f>G345</f>
        <v>3355</v>
      </c>
      <c r="G384" s="393">
        <f t="shared" ref="G384:G386" si="15">E384*F384</f>
        <v>3355</v>
      </c>
    </row>
    <row r="385" spans="2:10" ht="51" x14ac:dyDescent="0.25">
      <c r="B385" s="245" t="str">
        <f>+B348</f>
        <v>2.3.5</v>
      </c>
      <c r="C385" s="250" t="str">
        <f>C348</f>
        <v xml:space="preserve">Implementación  de  kit de heramientas  e insumos de modulos  de produccion de almacigos  de hortalizas </v>
      </c>
      <c r="D385" s="245" t="s">
        <v>411</v>
      </c>
      <c r="E385" s="245">
        <v>1</v>
      </c>
      <c r="F385" s="1060">
        <f>G357</f>
        <v>2981</v>
      </c>
      <c r="G385" s="393">
        <f t="shared" si="15"/>
        <v>2981</v>
      </c>
    </row>
    <row r="386" spans="2:10" ht="51" x14ac:dyDescent="0.25">
      <c r="B386" s="245" t="str">
        <f>+B360</f>
        <v>2.3.6</v>
      </c>
      <c r="C386" s="250" t="str">
        <f>C360</f>
        <v xml:space="preserve">Implementacion de kit de heramientas e insumos del modulo  de producion de hortalizas en fitotoldo </v>
      </c>
      <c r="D386" s="245" t="s">
        <v>411</v>
      </c>
      <c r="E386" s="245">
        <v>1</v>
      </c>
      <c r="F386" s="1060">
        <f>G373</f>
        <v>7766</v>
      </c>
      <c r="G386" s="393">
        <f t="shared" si="15"/>
        <v>7766</v>
      </c>
    </row>
    <row r="387" spans="2:10" ht="15" customHeight="1" x14ac:dyDescent="0.25">
      <c r="B387" s="1678" t="s">
        <v>44</v>
      </c>
      <c r="C387" s="1678"/>
      <c r="D387" s="1678"/>
      <c r="E387" s="1678"/>
      <c r="F387" s="1678"/>
      <c r="G387" s="400">
        <f>SUM(G381:G386)</f>
        <v>69289</v>
      </c>
    </row>
    <row r="391" spans="2:10" x14ac:dyDescent="0.25">
      <c r="B391" s="1684"/>
      <c r="C391" s="1684"/>
      <c r="D391" s="1684"/>
      <c r="E391" s="1684"/>
      <c r="F391" s="1684"/>
      <c r="G391" s="1684"/>
      <c r="H391" s="1684"/>
      <c r="I391" s="1684"/>
      <c r="J391" s="1684"/>
    </row>
    <row r="393" spans="2:10" x14ac:dyDescent="0.25">
      <c r="C393" s="204" t="s">
        <v>707</v>
      </c>
    </row>
    <row r="395" spans="2:10" ht="25.5" x14ac:dyDescent="0.25">
      <c r="B395" s="399" t="s">
        <v>398</v>
      </c>
      <c r="C395" s="399" t="s">
        <v>682</v>
      </c>
      <c r="D395" s="399" t="s">
        <v>397</v>
      </c>
      <c r="E395" s="399" t="s">
        <v>650</v>
      </c>
      <c r="F395" s="399" t="s">
        <v>684</v>
      </c>
      <c r="G395" s="399" t="s">
        <v>685</v>
      </c>
    </row>
    <row r="396" spans="2:10" ht="65.25" customHeight="1" x14ac:dyDescent="0.25">
      <c r="B396" s="1271">
        <v>1</v>
      </c>
      <c r="C396" s="1267" t="str">
        <f>B34</f>
        <v>RESUMEN DE COSTOS DE IMPLEMENTACIÓN DE LA DIRECCIÓN DE INDUSTRIA</v>
      </c>
      <c r="D396" s="1271" t="s">
        <v>411</v>
      </c>
      <c r="E396" s="1271">
        <v>1</v>
      </c>
      <c r="F396" s="398">
        <f>G39</f>
        <v>207772.995</v>
      </c>
      <c r="G396" s="393">
        <f>E396*F396</f>
        <v>207772.995</v>
      </c>
    </row>
    <row r="397" spans="2:10" ht="81.75" customHeight="1" x14ac:dyDescent="0.25">
      <c r="B397" s="135">
        <v>2</v>
      </c>
      <c r="C397" s="396" t="str">
        <f>B96</f>
        <v>RESUMEN DE COSTOS DE IMPLEMENTACIÓN DE EQUIPAMIENTO PARA EL SISTEMA CONTROLADO DE PRODUCCION DEL ALGA ESPIRULINA</v>
      </c>
      <c r="D397" s="135" t="s">
        <v>411</v>
      </c>
      <c r="E397" s="135">
        <v>1</v>
      </c>
      <c r="F397" s="398">
        <f>G102</f>
        <v>348550</v>
      </c>
      <c r="G397" s="393">
        <f>E397*F397</f>
        <v>348550</v>
      </c>
    </row>
    <row r="398" spans="2:10" ht="90.75" customHeight="1" x14ac:dyDescent="0.25">
      <c r="B398" s="135">
        <v>3</v>
      </c>
      <c r="C398" s="396" t="str">
        <f>B272</f>
        <v>RESUMEN DE COSTOS DE IMPLEMENTACIÓN DE EQUIPAMIENTO PARA LA PLANTA MODELO DE PROCESAMIENTO DE  ESPIRULINA   EN POLVO</v>
      </c>
      <c r="D398" s="135" t="s">
        <v>411</v>
      </c>
      <c r="E398" s="135">
        <v>1</v>
      </c>
      <c r="F398" s="398">
        <f>G278</f>
        <v>1135600</v>
      </c>
      <c r="G398" s="393">
        <f>E398*F398</f>
        <v>1135600</v>
      </c>
    </row>
    <row r="399" spans="2:10" ht="83.25" customHeight="1" x14ac:dyDescent="0.25">
      <c r="B399" s="245">
        <v>4</v>
      </c>
      <c r="C399" s="250" t="str">
        <f>B378</f>
        <v>RESUMEN DE COSTOS DE DE HERRAMIENTAS E INSUMOS DE LOS MODULOS DE PRODUCCION  DE ALIMENTOS AGROPECUARIOS</v>
      </c>
      <c r="D399" s="245" t="s">
        <v>411</v>
      </c>
      <c r="E399" s="245">
        <v>1</v>
      </c>
      <c r="F399" s="1060">
        <f>G387</f>
        <v>69289</v>
      </c>
      <c r="G399" s="393">
        <f>E399*F399</f>
        <v>69289</v>
      </c>
    </row>
    <row r="400" spans="2:10" ht="15" customHeight="1" x14ac:dyDescent="0.25">
      <c r="B400" s="1679" t="s">
        <v>709</v>
      </c>
      <c r="C400" s="1679"/>
      <c r="D400" s="1679"/>
      <c r="E400" s="1679"/>
      <c r="F400" s="1679"/>
      <c r="G400" s="407">
        <f>SUM(G396:G399)</f>
        <v>1761211.9950000001</v>
      </c>
    </row>
    <row r="401" spans="2:9" ht="15" customHeight="1" x14ac:dyDescent="0.25">
      <c r="B401" s="1627" t="s">
        <v>711</v>
      </c>
      <c r="C401" s="1627"/>
      <c r="D401" s="1627"/>
      <c r="E401" s="1627"/>
      <c r="F401" s="403">
        <v>0.03</v>
      </c>
      <c r="G401" s="404">
        <f>G400*F401</f>
        <v>52836.359850000001</v>
      </c>
    </row>
    <row r="402" spans="2:9" ht="15" customHeight="1" x14ac:dyDescent="0.25">
      <c r="B402" s="1677" t="s">
        <v>710</v>
      </c>
      <c r="C402" s="1677"/>
      <c r="D402" s="1677"/>
      <c r="E402" s="1677"/>
      <c r="F402" s="1677"/>
      <c r="G402" s="406">
        <f>SUM(G400:G401)</f>
        <v>1814048.35485</v>
      </c>
      <c r="I402" s="251">
        <f>+G401+G403+G404</f>
        <v>234241.195335</v>
      </c>
    </row>
    <row r="403" spans="2:9" ht="12.75" customHeight="1" x14ac:dyDescent="0.25">
      <c r="B403" s="1683" t="s">
        <v>712</v>
      </c>
      <c r="C403" s="1683"/>
      <c r="D403" s="1683"/>
      <c r="E403" s="1683"/>
      <c r="F403" s="403">
        <v>0.05</v>
      </c>
      <c r="G403" s="404">
        <f>G402*F403</f>
        <v>90702.417742500009</v>
      </c>
    </row>
    <row r="404" spans="2:9" ht="12.75" customHeight="1" x14ac:dyDescent="0.25">
      <c r="B404" s="1676" t="s">
        <v>713</v>
      </c>
      <c r="C404" s="1676"/>
      <c r="D404" s="1676"/>
      <c r="E404" s="1676"/>
      <c r="F404" s="403">
        <v>0.05</v>
      </c>
      <c r="G404" s="404">
        <f>G402*F404</f>
        <v>90702.417742500009</v>
      </c>
    </row>
    <row r="405" spans="2:9" ht="12.75" customHeight="1" x14ac:dyDescent="0.25">
      <c r="B405" s="1677" t="s">
        <v>790</v>
      </c>
      <c r="C405" s="1677"/>
      <c r="D405" s="1677"/>
      <c r="E405" s="1677"/>
      <c r="F405" s="1677"/>
      <c r="G405" s="406">
        <f>SUM(G402:G404)</f>
        <v>1995453.1903350002</v>
      </c>
    </row>
  </sheetData>
  <mergeCells count="45">
    <mergeCell ref="B31:F31"/>
    <mergeCell ref="B404:E404"/>
    <mergeCell ref="B405:F405"/>
    <mergeCell ref="B278:F278"/>
    <mergeCell ref="B387:F387"/>
    <mergeCell ref="B400:F400"/>
    <mergeCell ref="B401:E401"/>
    <mergeCell ref="B378:J378"/>
    <mergeCell ref="B296:F296"/>
    <mergeCell ref="B402:F402"/>
    <mergeCell ref="B403:E403"/>
    <mergeCell ref="B272:J272"/>
    <mergeCell ref="C281:J281"/>
    <mergeCell ref="B391:J391"/>
    <mergeCell ref="B313:F313"/>
    <mergeCell ref="B332:F332"/>
    <mergeCell ref="B345:F345"/>
    <mergeCell ref="B357:F357"/>
    <mergeCell ref="B373:F373"/>
    <mergeCell ref="B232:F232"/>
    <mergeCell ref="B244:F244"/>
    <mergeCell ref="B252:F252"/>
    <mergeCell ref="B261:F261"/>
    <mergeCell ref="B269:F269"/>
    <mergeCell ref="B102:F102"/>
    <mergeCell ref="C44:J44"/>
    <mergeCell ref="B196:F196"/>
    <mergeCell ref="B207:F207"/>
    <mergeCell ref="B221:F221"/>
    <mergeCell ref="C8:J8"/>
    <mergeCell ref="B23:F23"/>
    <mergeCell ref="B34:J34"/>
    <mergeCell ref="B39:F39"/>
    <mergeCell ref="B185:F185"/>
    <mergeCell ref="B118:F118"/>
    <mergeCell ref="B139:F139"/>
    <mergeCell ref="B157:F157"/>
    <mergeCell ref="B167:F167"/>
    <mergeCell ref="B177:F177"/>
    <mergeCell ref="C42:J42"/>
    <mergeCell ref="B51:F51"/>
    <mergeCell ref="B70:F70"/>
    <mergeCell ref="B94:F94"/>
    <mergeCell ref="C106:J106"/>
    <mergeCell ref="B96:J96"/>
  </mergeCells>
  <pageMargins left="0.7" right="0.7" top="0.75" bottom="0.75" header="0.3" footer="0.3"/>
  <pageSetup paperSize="9" scale="65" orientation="portrait" r:id="rId1"/>
  <rowBreaks count="5" manualBreakCount="5">
    <brk id="103" min="1" max="9" man="1"/>
    <brk id="169" min="1" max="9" man="1"/>
    <brk id="233" min="1" max="9" man="1"/>
    <brk id="298" min="1" max="9" man="1"/>
    <brk id="376" min="1" max="9" man="1"/>
  </rowBreaks>
  <ignoredErrors>
    <ignoredError sqref="G402"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26C2-D7C3-4DB1-BB41-3BBC2888C784}">
  <sheetPr>
    <tabColor rgb="FFFF66CC"/>
  </sheetPr>
  <dimension ref="B3:AB93"/>
  <sheetViews>
    <sheetView view="pageBreakPreview" topLeftCell="A58" zoomScale="90" zoomScaleNormal="100" zoomScaleSheetLayoutView="90" workbookViewId="0">
      <selection activeCell="G88" sqref="G88"/>
    </sheetView>
  </sheetViews>
  <sheetFormatPr baseColWidth="10" defaultRowHeight="15" x14ac:dyDescent="0.25"/>
  <cols>
    <col min="1" max="4" width="11.42578125" style="276"/>
    <col min="5" max="5" width="15.7109375" style="276" bestFit="1" customWidth="1"/>
    <col min="6" max="6" width="12.140625" style="276" bestFit="1" customWidth="1"/>
    <col min="7" max="21" width="11.42578125" style="276"/>
    <col min="22" max="22" width="32" style="276" customWidth="1"/>
    <col min="23" max="16384" width="11.42578125" style="276"/>
  </cols>
  <sheetData>
    <row r="3" spans="2:28" x14ac:dyDescent="0.25">
      <c r="B3" s="1707" t="s">
        <v>1985</v>
      </c>
      <c r="C3" s="1707"/>
      <c r="D3" s="1707"/>
      <c r="E3" s="1707"/>
      <c r="F3" s="1707"/>
      <c r="G3" s="1707"/>
      <c r="H3" s="1707"/>
      <c r="I3" s="1707"/>
      <c r="J3" s="1707"/>
      <c r="K3" s="1709" t="s">
        <v>2039</v>
      </c>
      <c r="L3" s="1709"/>
      <c r="M3" s="1709"/>
      <c r="N3" s="1709"/>
      <c r="O3" s="1709"/>
      <c r="P3" s="1709"/>
      <c r="Q3" s="1709"/>
      <c r="R3" s="1709"/>
      <c r="S3" s="1709"/>
      <c r="T3" s="1689" t="s">
        <v>2057</v>
      </c>
      <c r="U3" s="1689"/>
      <c r="V3" s="1689"/>
      <c r="W3" s="1689"/>
      <c r="X3" s="1689"/>
      <c r="Y3" s="1689"/>
      <c r="Z3" s="1689"/>
      <c r="AA3" s="1689"/>
      <c r="AB3" s="1689"/>
    </row>
    <row r="5" spans="2:28" x14ac:dyDescent="0.25">
      <c r="B5" s="1724" t="s">
        <v>1920</v>
      </c>
      <c r="C5" s="1724"/>
      <c r="D5" s="1724"/>
      <c r="E5" s="1724"/>
      <c r="F5" s="1724"/>
      <c r="G5" s="1724"/>
      <c r="H5" s="1724"/>
      <c r="I5" s="1478"/>
      <c r="L5" s="1695" t="s">
        <v>1986</v>
      </c>
      <c r="M5" s="1695"/>
      <c r="N5" s="1695"/>
      <c r="O5" s="1695"/>
      <c r="P5" s="1695"/>
      <c r="Q5" s="1695"/>
      <c r="R5" s="1486"/>
      <c r="U5" s="13" t="s">
        <v>2040</v>
      </c>
      <c r="V5" s="5"/>
      <c r="W5" s="5"/>
      <c r="X5" s="5"/>
      <c r="Y5" s="5"/>
      <c r="Z5" s="5"/>
    </row>
    <row r="6" spans="2:28" x14ac:dyDescent="0.25">
      <c r="B6" s="1478"/>
      <c r="C6" s="1478"/>
      <c r="D6" s="1478"/>
      <c r="E6" s="1478"/>
      <c r="F6" s="1478"/>
      <c r="G6" s="1478"/>
      <c r="H6" s="1478"/>
      <c r="I6" s="1478"/>
      <c r="L6" s="1486"/>
      <c r="M6" s="1486"/>
      <c r="N6" s="1486"/>
      <c r="O6" s="1486"/>
      <c r="P6" s="1486"/>
      <c r="Q6" s="1486"/>
      <c r="R6" s="1486"/>
      <c r="U6" s="5"/>
      <c r="V6" s="5"/>
      <c r="W6" s="5"/>
      <c r="X6" s="5"/>
      <c r="Y6" s="5"/>
      <c r="Z6" s="5"/>
    </row>
    <row r="7" spans="2:28" ht="30" x14ac:dyDescent="0.25">
      <c r="B7" s="1479" t="s">
        <v>1921</v>
      </c>
      <c r="C7" s="1478"/>
      <c r="D7" s="1478"/>
      <c r="E7" s="1478"/>
      <c r="F7" s="1478"/>
      <c r="G7" s="1478"/>
      <c r="H7" s="1478"/>
      <c r="I7" s="1478"/>
      <c r="L7" s="1487" t="s">
        <v>1987</v>
      </c>
      <c r="M7" s="1486"/>
      <c r="N7" s="1486"/>
      <c r="O7" s="1486"/>
      <c r="P7" s="1486"/>
      <c r="Q7" s="1486"/>
      <c r="R7" s="1486"/>
      <c r="U7" s="1477" t="s">
        <v>2041</v>
      </c>
      <c r="V7" s="1477" t="s">
        <v>1817</v>
      </c>
      <c r="W7" s="1477" t="s">
        <v>1087</v>
      </c>
      <c r="X7" s="1477" t="s">
        <v>1088</v>
      </c>
      <c r="Y7" s="1477" t="s">
        <v>1089</v>
      </c>
      <c r="Z7" s="1477" t="s">
        <v>2042</v>
      </c>
    </row>
    <row r="8" spans="2:28" x14ac:dyDescent="0.25">
      <c r="B8" s="1478" t="s">
        <v>1922</v>
      </c>
      <c r="C8" s="1479" t="s">
        <v>1923</v>
      </c>
      <c r="D8" s="1478"/>
      <c r="E8" s="1478"/>
      <c r="F8" s="1478"/>
      <c r="G8" s="1478"/>
      <c r="H8" s="1478"/>
      <c r="I8" s="1478"/>
      <c r="L8" s="1486"/>
      <c r="M8" s="1486"/>
      <c r="N8" s="1486"/>
      <c r="O8" s="1486"/>
      <c r="P8" s="1486"/>
      <c r="Q8" s="1486"/>
      <c r="R8" s="1486"/>
      <c r="U8" s="1505">
        <v>1</v>
      </c>
      <c r="V8" s="1506" t="s">
        <v>2043</v>
      </c>
      <c r="W8" s="1505" t="s">
        <v>1103</v>
      </c>
      <c r="X8" s="1505">
        <v>2</v>
      </c>
      <c r="Y8" s="1505">
        <v>2500</v>
      </c>
      <c r="Z8" s="1505">
        <f>+Y8*X8</f>
        <v>5000</v>
      </c>
    </row>
    <row r="9" spans="2:28" ht="30" x14ac:dyDescent="0.25">
      <c r="B9" s="1478"/>
      <c r="C9" s="1478"/>
      <c r="D9" s="1478"/>
      <c r="E9" s="1478"/>
      <c r="F9" s="1478"/>
      <c r="G9" s="1478"/>
      <c r="H9" s="1478"/>
      <c r="I9" s="1478"/>
      <c r="L9" s="1708" t="s">
        <v>1924</v>
      </c>
      <c r="M9" s="1708"/>
      <c r="N9" s="1708"/>
      <c r="O9" s="1488" t="s">
        <v>650</v>
      </c>
      <c r="P9" s="1489" t="s">
        <v>684</v>
      </c>
      <c r="Q9" s="1489" t="s">
        <v>1988</v>
      </c>
      <c r="R9" s="1492"/>
      <c r="U9" s="1505">
        <v>2</v>
      </c>
      <c r="V9" s="1506" t="s">
        <v>2044</v>
      </c>
      <c r="W9" s="1505" t="s">
        <v>1103</v>
      </c>
      <c r="X9" s="1505">
        <v>2</v>
      </c>
      <c r="Y9" s="1505">
        <v>2500</v>
      </c>
      <c r="Z9" s="1505">
        <f t="shared" ref="Z9:Z20" si="0">+Y9*X9</f>
        <v>5000</v>
      </c>
    </row>
    <row r="10" spans="2:28" ht="25.5" x14ac:dyDescent="0.25">
      <c r="B10" s="1478"/>
      <c r="C10" s="1721" t="s">
        <v>1924</v>
      </c>
      <c r="D10" s="1722"/>
      <c r="E10" s="1723"/>
      <c r="F10" s="1480" t="s">
        <v>650</v>
      </c>
      <c r="G10" s="1481" t="s">
        <v>733</v>
      </c>
      <c r="H10" s="1481" t="s">
        <v>1106</v>
      </c>
      <c r="I10" s="1478"/>
      <c r="L10" s="1698" t="s">
        <v>1989</v>
      </c>
      <c r="M10" s="1698"/>
      <c r="N10" s="1698"/>
      <c r="O10" s="1490">
        <v>1</v>
      </c>
      <c r="P10" s="1491">
        <v>6930.0000000000009</v>
      </c>
      <c r="Q10" s="1491">
        <f>P10</f>
        <v>6930.0000000000009</v>
      </c>
      <c r="R10" s="1492"/>
      <c r="U10" s="1505">
        <v>3</v>
      </c>
      <c r="V10" s="1506" t="s">
        <v>2045</v>
      </c>
      <c r="W10" s="1505" t="s">
        <v>1103</v>
      </c>
      <c r="X10" s="1505">
        <v>2</v>
      </c>
      <c r="Y10" s="1505">
        <v>1500</v>
      </c>
      <c r="Z10" s="1505">
        <f t="shared" si="0"/>
        <v>3000</v>
      </c>
    </row>
    <row r="11" spans="2:28" x14ac:dyDescent="0.25">
      <c r="B11" s="1478"/>
      <c r="C11" s="1718" t="s">
        <v>1925</v>
      </c>
      <c r="D11" s="1719"/>
      <c r="E11" s="1720"/>
      <c r="F11" s="1482">
        <v>1</v>
      </c>
      <c r="G11" s="1482">
        <v>18282</v>
      </c>
      <c r="H11" s="1482">
        <f>G11*F11</f>
        <v>18282</v>
      </c>
      <c r="I11" s="1478"/>
      <c r="L11" s="1698" t="s">
        <v>1990</v>
      </c>
      <c r="M11" s="1698"/>
      <c r="N11" s="1698"/>
      <c r="O11" s="1490">
        <v>1</v>
      </c>
      <c r="P11" s="1491">
        <v>184.8</v>
      </c>
      <c r="Q11" s="1491">
        <f t="shared" ref="Q11:Q22" si="1">P11</f>
        <v>184.8</v>
      </c>
      <c r="R11" s="1492"/>
      <c r="U11" s="1505">
        <v>4</v>
      </c>
      <c r="V11" s="1506" t="s">
        <v>2046</v>
      </c>
      <c r="W11" s="1505" t="s">
        <v>1103</v>
      </c>
      <c r="X11" s="1505">
        <v>2</v>
      </c>
      <c r="Y11" s="1505">
        <v>1500</v>
      </c>
      <c r="Z11" s="1505">
        <f t="shared" si="0"/>
        <v>3000</v>
      </c>
    </row>
    <row r="12" spans="2:28" ht="23.25" customHeight="1" x14ac:dyDescent="0.25">
      <c r="B12" s="1478"/>
      <c r="C12" s="1718" t="s">
        <v>1926</v>
      </c>
      <c r="D12" s="1719"/>
      <c r="E12" s="1720"/>
      <c r="F12" s="1482">
        <v>1</v>
      </c>
      <c r="G12" s="1482">
        <v>704</v>
      </c>
      <c r="H12" s="1482">
        <f t="shared" ref="H12:H16" si="2">G12*F12</f>
        <v>704</v>
      </c>
      <c r="I12" s="1478"/>
      <c r="L12" s="1698" t="s">
        <v>1991</v>
      </c>
      <c r="M12" s="1698"/>
      <c r="N12" s="1698"/>
      <c r="O12" s="1490">
        <v>1</v>
      </c>
      <c r="P12" s="1491">
        <v>3740.0000000000005</v>
      </c>
      <c r="Q12" s="1491">
        <f t="shared" si="1"/>
        <v>3740.0000000000005</v>
      </c>
      <c r="R12" s="1492"/>
      <c r="U12" s="1505">
        <v>5</v>
      </c>
      <c r="V12" s="1506" t="s">
        <v>2047</v>
      </c>
      <c r="W12" s="1505" t="s">
        <v>1103</v>
      </c>
      <c r="X12" s="1505">
        <v>1</v>
      </c>
      <c r="Y12" s="1505">
        <v>10000</v>
      </c>
      <c r="Z12" s="1505">
        <f t="shared" si="0"/>
        <v>10000</v>
      </c>
    </row>
    <row r="13" spans="2:28" x14ac:dyDescent="0.25">
      <c r="B13" s="1478"/>
      <c r="C13" s="1718" t="s">
        <v>1927</v>
      </c>
      <c r="D13" s="1719"/>
      <c r="E13" s="1720"/>
      <c r="F13" s="1482">
        <v>1</v>
      </c>
      <c r="G13" s="1482">
        <v>1081.5420000000001</v>
      </c>
      <c r="H13" s="1482">
        <f t="shared" si="2"/>
        <v>1081.5420000000001</v>
      </c>
      <c r="I13" s="1478"/>
      <c r="L13" s="1698" t="s">
        <v>487</v>
      </c>
      <c r="M13" s="1698"/>
      <c r="N13" s="1698"/>
      <c r="O13" s="1490">
        <v>1</v>
      </c>
      <c r="P13" s="1491">
        <v>3080.0000000000005</v>
      </c>
      <c r="Q13" s="1491">
        <f t="shared" si="1"/>
        <v>3080.0000000000005</v>
      </c>
      <c r="R13" s="1492"/>
      <c r="U13" s="1505">
        <v>6</v>
      </c>
      <c r="V13" s="1506" t="s">
        <v>2048</v>
      </c>
      <c r="W13" s="1505" t="s">
        <v>1103</v>
      </c>
      <c r="X13" s="1505">
        <v>1</v>
      </c>
      <c r="Y13" s="1505">
        <v>5000</v>
      </c>
      <c r="Z13" s="1505">
        <f t="shared" si="0"/>
        <v>5000</v>
      </c>
    </row>
    <row r="14" spans="2:28" x14ac:dyDescent="0.25">
      <c r="B14" s="1478"/>
      <c r="C14" s="1718" t="s">
        <v>1928</v>
      </c>
      <c r="D14" s="1719"/>
      <c r="E14" s="1720"/>
      <c r="F14" s="1482">
        <v>1</v>
      </c>
      <c r="G14" s="1482">
        <v>385.00000000000006</v>
      </c>
      <c r="H14" s="1482">
        <f t="shared" si="2"/>
        <v>385.00000000000006</v>
      </c>
      <c r="I14" s="1478"/>
      <c r="L14" s="1698" t="s">
        <v>1992</v>
      </c>
      <c r="M14" s="1698"/>
      <c r="N14" s="1698"/>
      <c r="O14" s="1490">
        <v>1</v>
      </c>
      <c r="P14" s="1491">
        <v>605</v>
      </c>
      <c r="Q14" s="1491">
        <f t="shared" si="1"/>
        <v>605</v>
      </c>
      <c r="R14" s="1492"/>
      <c r="U14" s="1505">
        <v>7</v>
      </c>
      <c r="V14" s="1506" t="s">
        <v>2049</v>
      </c>
      <c r="W14" s="1505" t="s">
        <v>1103</v>
      </c>
      <c r="X14" s="1505">
        <v>1</v>
      </c>
      <c r="Y14" s="1505">
        <v>2500</v>
      </c>
      <c r="Z14" s="1505">
        <f t="shared" si="0"/>
        <v>2500</v>
      </c>
    </row>
    <row r="15" spans="2:28" ht="25.5" customHeight="1" x14ac:dyDescent="0.25">
      <c r="B15" s="1478"/>
      <c r="C15" s="1718" t="s">
        <v>1929</v>
      </c>
      <c r="D15" s="1719"/>
      <c r="E15" s="1720"/>
      <c r="F15" s="1482">
        <v>1</v>
      </c>
      <c r="G15" s="1482">
        <v>6930.0000000000009</v>
      </c>
      <c r="H15" s="1482">
        <f t="shared" si="2"/>
        <v>6930.0000000000009</v>
      </c>
      <c r="I15" s="1478"/>
      <c r="L15" s="1698" t="s">
        <v>1993</v>
      </c>
      <c r="M15" s="1698"/>
      <c r="N15" s="1698"/>
      <c r="O15" s="1490">
        <v>1</v>
      </c>
      <c r="P15" s="1491">
        <v>15400.000000000002</v>
      </c>
      <c r="Q15" s="1491">
        <f t="shared" si="1"/>
        <v>15400.000000000002</v>
      </c>
      <c r="R15" s="1492"/>
      <c r="U15" s="1505">
        <v>8</v>
      </c>
      <c r="V15" s="1506" t="s">
        <v>2050</v>
      </c>
      <c r="W15" s="1505" t="s">
        <v>1103</v>
      </c>
      <c r="X15" s="1505">
        <v>1</v>
      </c>
      <c r="Y15" s="1505">
        <v>5000</v>
      </c>
      <c r="Z15" s="1505">
        <f t="shared" si="0"/>
        <v>5000</v>
      </c>
    </row>
    <row r="16" spans="2:28" x14ac:dyDescent="0.25">
      <c r="B16" s="1478"/>
      <c r="C16" s="1718" t="s">
        <v>1930</v>
      </c>
      <c r="D16" s="1719"/>
      <c r="E16" s="1720"/>
      <c r="F16" s="1482">
        <v>1</v>
      </c>
      <c r="G16" s="1482">
        <v>14146.363000000001</v>
      </c>
      <c r="H16" s="1482">
        <f t="shared" si="2"/>
        <v>14146.363000000001</v>
      </c>
      <c r="I16" s="1478"/>
      <c r="L16" s="1698" t="s">
        <v>476</v>
      </c>
      <c r="M16" s="1698"/>
      <c r="N16" s="1698"/>
      <c r="O16" s="1490">
        <v>1</v>
      </c>
      <c r="P16" s="1491">
        <v>6035</v>
      </c>
      <c r="Q16" s="1491">
        <f>P16</f>
        <v>6035</v>
      </c>
      <c r="R16" s="1492"/>
      <c r="U16" s="1505">
        <v>9</v>
      </c>
      <c r="V16" s="1506" t="s">
        <v>2051</v>
      </c>
      <c r="W16" s="1505" t="s">
        <v>1103</v>
      </c>
      <c r="X16" s="1505">
        <v>1</v>
      </c>
      <c r="Y16" s="1505">
        <v>5000</v>
      </c>
      <c r="Z16" s="1505">
        <f t="shared" si="0"/>
        <v>5000</v>
      </c>
    </row>
    <row r="17" spans="2:26" x14ac:dyDescent="0.25">
      <c r="B17" s="1478"/>
      <c r="C17" s="1721" t="s">
        <v>44</v>
      </c>
      <c r="D17" s="1722"/>
      <c r="E17" s="1723"/>
      <c r="F17" s="1482"/>
      <c r="G17" s="1482"/>
      <c r="H17" s="1482">
        <f>SUM(H11:H16)</f>
        <v>41528.904999999999</v>
      </c>
      <c r="I17" s="1478"/>
      <c r="L17" s="1698" t="s">
        <v>1994</v>
      </c>
      <c r="M17" s="1698"/>
      <c r="N17" s="1698"/>
      <c r="O17" s="1490">
        <v>1</v>
      </c>
      <c r="P17" s="1491">
        <v>3047.0000000000005</v>
      </c>
      <c r="Q17" s="1491">
        <f t="shared" si="1"/>
        <v>3047.0000000000005</v>
      </c>
      <c r="R17" s="1492"/>
      <c r="U17" s="1505">
        <v>10</v>
      </c>
      <c r="V17" s="1506" t="s">
        <v>2052</v>
      </c>
      <c r="W17" s="1505" t="s">
        <v>1103</v>
      </c>
      <c r="X17" s="1505">
        <v>4</v>
      </c>
      <c r="Y17" s="1505">
        <v>2500</v>
      </c>
      <c r="Z17" s="1505">
        <f t="shared" si="0"/>
        <v>10000</v>
      </c>
    </row>
    <row r="18" spans="2:26" x14ac:dyDescent="0.25">
      <c r="B18" s="1478"/>
      <c r="C18" s="1478"/>
      <c r="D18" s="1478"/>
      <c r="E18" s="1478"/>
      <c r="F18" s="1478"/>
      <c r="G18" s="1478"/>
      <c r="H18" s="1478"/>
      <c r="I18" s="1478"/>
      <c r="L18" s="1698" t="s">
        <v>1995</v>
      </c>
      <c r="M18" s="1698"/>
      <c r="N18" s="1698"/>
      <c r="O18" s="1490">
        <v>1</v>
      </c>
      <c r="P18" s="1491">
        <v>660</v>
      </c>
      <c r="Q18" s="1491">
        <f t="shared" si="1"/>
        <v>660</v>
      </c>
      <c r="R18" s="1492"/>
      <c r="U18" s="1505">
        <v>11</v>
      </c>
      <c r="V18" s="1506" t="s">
        <v>2053</v>
      </c>
      <c r="W18" s="1505" t="s">
        <v>1103</v>
      </c>
      <c r="X18" s="1505">
        <v>1</v>
      </c>
      <c r="Y18" s="1505">
        <v>5000</v>
      </c>
      <c r="Z18" s="1505">
        <f t="shared" si="0"/>
        <v>5000</v>
      </c>
    </row>
    <row r="19" spans="2:26" x14ac:dyDescent="0.25">
      <c r="B19" s="1478"/>
      <c r="C19" s="1478"/>
      <c r="D19" s="1478"/>
      <c r="E19" s="1478"/>
      <c r="F19" s="1478"/>
      <c r="G19" s="1478"/>
      <c r="H19" s="1478"/>
      <c r="I19" s="1478"/>
      <c r="L19" s="1698" t="s">
        <v>1996</v>
      </c>
      <c r="M19" s="1698"/>
      <c r="N19" s="1698"/>
      <c r="O19" s="1490">
        <v>1</v>
      </c>
      <c r="P19" s="1491">
        <v>220.00000000000003</v>
      </c>
      <c r="Q19" s="1491">
        <f t="shared" si="1"/>
        <v>220.00000000000003</v>
      </c>
      <c r="R19" s="1492"/>
      <c r="U19" s="1505">
        <v>12</v>
      </c>
      <c r="V19" s="1506" t="s">
        <v>2054</v>
      </c>
      <c r="W19" s="1505" t="s">
        <v>1103</v>
      </c>
      <c r="X19" s="1505">
        <v>2</v>
      </c>
      <c r="Y19" s="1505">
        <v>1500</v>
      </c>
      <c r="Z19" s="1505">
        <f t="shared" si="0"/>
        <v>3000</v>
      </c>
    </row>
    <row r="20" spans="2:26" x14ac:dyDescent="0.25">
      <c r="B20" s="1478" t="s">
        <v>1931</v>
      </c>
      <c r="C20" s="1479" t="s">
        <v>1932</v>
      </c>
      <c r="D20" s="1478"/>
      <c r="E20" s="1478"/>
      <c r="F20" s="1478"/>
      <c r="G20" s="1478"/>
      <c r="H20" s="1478"/>
      <c r="I20" s="1478"/>
      <c r="L20" s="1698" t="s">
        <v>1997</v>
      </c>
      <c r="M20" s="1698"/>
      <c r="N20" s="1698"/>
      <c r="O20" s="1490">
        <v>1</v>
      </c>
      <c r="P20" s="1491">
        <v>1051.6000000000001</v>
      </c>
      <c r="Q20" s="1491">
        <f t="shared" si="1"/>
        <v>1051.6000000000001</v>
      </c>
      <c r="R20" s="1492"/>
      <c r="U20" s="1505">
        <v>13</v>
      </c>
      <c r="V20" s="1506" t="s">
        <v>2055</v>
      </c>
      <c r="W20" s="1505"/>
      <c r="X20" s="1505">
        <v>1</v>
      </c>
      <c r="Y20" s="1505">
        <v>15000</v>
      </c>
      <c r="Z20" s="1505">
        <f t="shared" si="0"/>
        <v>15000</v>
      </c>
    </row>
    <row r="21" spans="2:26" x14ac:dyDescent="0.25">
      <c r="B21" s="1478"/>
      <c r="C21" s="1478"/>
      <c r="D21" s="1478"/>
      <c r="E21" s="1478"/>
      <c r="F21" s="1478"/>
      <c r="G21" s="1478"/>
      <c r="H21" s="1478"/>
      <c r="I21" s="1478"/>
      <c r="L21" s="1698" t="s">
        <v>1998</v>
      </c>
      <c r="M21" s="1698"/>
      <c r="N21" s="1698"/>
      <c r="O21" s="1490">
        <v>1</v>
      </c>
      <c r="P21" s="1491">
        <v>10133.200000000001</v>
      </c>
      <c r="Q21" s="1491">
        <f t="shared" si="1"/>
        <v>10133.200000000001</v>
      </c>
      <c r="R21" s="1492"/>
      <c r="U21" s="1505">
        <v>14</v>
      </c>
      <c r="V21" s="1506" t="s">
        <v>2056</v>
      </c>
      <c r="W21" s="1505"/>
      <c r="X21" s="1505">
        <v>1</v>
      </c>
      <c r="Y21" s="1505">
        <v>61500</v>
      </c>
      <c r="Z21" s="1505">
        <v>5500</v>
      </c>
    </row>
    <row r="22" spans="2:26" ht="25.5" x14ac:dyDescent="0.25">
      <c r="B22" s="1478"/>
      <c r="C22" s="1721" t="s">
        <v>1933</v>
      </c>
      <c r="D22" s="1722"/>
      <c r="E22" s="1723"/>
      <c r="F22" s="1480" t="s">
        <v>650</v>
      </c>
      <c r="G22" s="1481" t="s">
        <v>733</v>
      </c>
      <c r="H22" s="1481" t="s">
        <v>1106</v>
      </c>
      <c r="I22" s="1478"/>
      <c r="L22" s="1698" t="s">
        <v>1999</v>
      </c>
      <c r="M22" s="1698"/>
      <c r="N22" s="1698"/>
      <c r="O22" s="1490">
        <v>1</v>
      </c>
      <c r="P22" s="1491">
        <v>297</v>
      </c>
      <c r="Q22" s="1491">
        <f t="shared" si="1"/>
        <v>297</v>
      </c>
      <c r="R22" s="1493">
        <f>SUM(Q10:Q22)</f>
        <v>51383.600000000006</v>
      </c>
      <c r="U22" s="1505"/>
      <c r="V22" s="1688" t="s">
        <v>44</v>
      </c>
      <c r="W22" s="1688"/>
      <c r="X22" s="1688"/>
      <c r="Y22" s="1688"/>
      <c r="Z22" s="1507">
        <f>SUM(Z8:Z21)</f>
        <v>82000</v>
      </c>
    </row>
    <row r="23" spans="2:26" ht="56.25" customHeight="1" x14ac:dyDescent="0.25">
      <c r="B23" s="1478"/>
      <c r="C23" s="1718" t="s">
        <v>1934</v>
      </c>
      <c r="D23" s="1719"/>
      <c r="E23" s="1720"/>
      <c r="F23" s="1482">
        <v>2</v>
      </c>
      <c r="G23" s="1482">
        <v>40.700000000000003</v>
      </c>
      <c r="H23" s="1482">
        <f>G23*F23</f>
        <v>81.400000000000006</v>
      </c>
      <c r="I23" s="1478"/>
      <c r="L23" s="1703"/>
      <c r="M23" s="1704"/>
      <c r="N23" s="1705"/>
      <c r="O23" s="1490"/>
      <c r="P23" s="1491"/>
      <c r="Q23" s="1491"/>
      <c r="R23" s="1493"/>
      <c r="U23" s="1486"/>
      <c r="V23" s="1486"/>
      <c r="W23" s="1486"/>
      <c r="X23" s="1486"/>
      <c r="Y23" s="1486"/>
      <c r="Z23" s="1486"/>
    </row>
    <row r="24" spans="2:26" ht="54" customHeight="1" x14ac:dyDescent="0.25">
      <c r="B24" s="1478"/>
      <c r="C24" s="1718" t="s">
        <v>1935</v>
      </c>
      <c r="D24" s="1719"/>
      <c r="E24" s="1720"/>
      <c r="F24" s="1482">
        <v>4</v>
      </c>
      <c r="G24" s="1482">
        <v>29.260000000000005</v>
      </c>
      <c r="H24" s="1482">
        <f t="shared" ref="H24:H46" si="3">G24*F24</f>
        <v>117.04000000000002</v>
      </c>
      <c r="I24" s="1478"/>
      <c r="L24" s="1706" t="s">
        <v>2000</v>
      </c>
      <c r="M24" s="1706"/>
      <c r="N24" s="1706"/>
      <c r="O24" s="1489" t="s">
        <v>650</v>
      </c>
      <c r="P24" s="1489" t="s">
        <v>684</v>
      </c>
      <c r="Q24" s="1489" t="s">
        <v>1988</v>
      </c>
      <c r="R24" s="1492"/>
      <c r="U24" s="1690" t="s">
        <v>2058</v>
      </c>
      <c r="V24" s="1690"/>
      <c r="W24" s="1690"/>
      <c r="X24" s="1690"/>
      <c r="Y24" s="1690"/>
      <c r="Z24" s="1690"/>
    </row>
    <row r="25" spans="2:26" ht="33" customHeight="1" x14ac:dyDescent="0.25">
      <c r="B25" s="1478"/>
      <c r="C25" s="1718" t="s">
        <v>1936</v>
      </c>
      <c r="D25" s="1719"/>
      <c r="E25" s="1720"/>
      <c r="F25" s="1482">
        <v>4</v>
      </c>
      <c r="G25" s="1482">
        <v>24.42</v>
      </c>
      <c r="H25" s="1482">
        <f t="shared" si="3"/>
        <v>97.68</v>
      </c>
      <c r="I25" s="1478"/>
      <c r="L25" s="1698" t="s">
        <v>2001</v>
      </c>
      <c r="M25" s="1698"/>
      <c r="N25" s="1698"/>
      <c r="O25" s="1490">
        <v>15</v>
      </c>
      <c r="P25" s="1491">
        <v>16.5</v>
      </c>
      <c r="Q25" s="1491">
        <f>O25*P25</f>
        <v>247.5</v>
      </c>
      <c r="R25" s="1492"/>
      <c r="U25" s="1489" t="s">
        <v>2041</v>
      </c>
      <c r="V25" s="1489" t="s">
        <v>1817</v>
      </c>
      <c r="W25" s="1489" t="s">
        <v>1087</v>
      </c>
      <c r="X25" s="1489" t="s">
        <v>1088</v>
      </c>
      <c r="Y25" s="1489" t="s">
        <v>1089</v>
      </c>
      <c r="Z25" s="1489" t="s">
        <v>2042</v>
      </c>
    </row>
    <row r="26" spans="2:26" x14ac:dyDescent="0.25">
      <c r="B26" s="1478"/>
      <c r="C26" s="1718" t="s">
        <v>1937</v>
      </c>
      <c r="D26" s="1719"/>
      <c r="E26" s="1720"/>
      <c r="F26" s="1482">
        <v>5</v>
      </c>
      <c r="G26" s="1482">
        <v>14.3</v>
      </c>
      <c r="H26" s="1482">
        <f t="shared" si="3"/>
        <v>71.5</v>
      </c>
      <c r="I26" s="1478"/>
      <c r="L26" s="1698" t="s">
        <v>2002</v>
      </c>
      <c r="M26" s="1698"/>
      <c r="N26" s="1698"/>
      <c r="O26" s="1490">
        <v>2</v>
      </c>
      <c r="P26" s="1491">
        <v>27.500000000000004</v>
      </c>
      <c r="Q26" s="1491">
        <f t="shared" ref="Q26:Q59" si="4">O26*P26</f>
        <v>55.000000000000007</v>
      </c>
      <c r="R26" s="1492"/>
      <c r="U26" s="1508">
        <v>1</v>
      </c>
      <c r="V26" s="1508" t="s">
        <v>2059</v>
      </c>
      <c r="W26" s="1508" t="s">
        <v>1087</v>
      </c>
      <c r="X26" s="1508">
        <v>1</v>
      </c>
      <c r="Y26" s="1508">
        <v>17500</v>
      </c>
      <c r="Z26" s="1508">
        <f>+Y26*X26</f>
        <v>17500</v>
      </c>
    </row>
    <row r="27" spans="2:26" x14ac:dyDescent="0.25">
      <c r="B27" s="1478"/>
      <c r="C27" s="1718" t="s">
        <v>1938</v>
      </c>
      <c r="D27" s="1719"/>
      <c r="E27" s="1720"/>
      <c r="F27" s="1482">
        <v>5</v>
      </c>
      <c r="G27" s="1482">
        <v>14.3</v>
      </c>
      <c r="H27" s="1482">
        <f t="shared" si="3"/>
        <v>71.5</v>
      </c>
      <c r="I27" s="1478"/>
      <c r="L27" s="1698" t="s">
        <v>2003</v>
      </c>
      <c r="M27" s="1698"/>
      <c r="N27" s="1698"/>
      <c r="O27" s="1490">
        <v>2</v>
      </c>
      <c r="P27" s="1491">
        <v>27.500000000000004</v>
      </c>
      <c r="Q27" s="1491">
        <f t="shared" si="4"/>
        <v>55.000000000000007</v>
      </c>
      <c r="R27" s="1492"/>
      <c r="U27" s="1508">
        <v>2</v>
      </c>
      <c r="V27" s="1508" t="s">
        <v>2060</v>
      </c>
      <c r="W27" s="1508" t="s">
        <v>1087</v>
      </c>
      <c r="X27" s="1508">
        <v>1</v>
      </c>
      <c r="Y27" s="1508">
        <v>17500</v>
      </c>
      <c r="Z27" s="1508">
        <v>17500</v>
      </c>
    </row>
    <row r="28" spans="2:26" x14ac:dyDescent="0.25">
      <c r="B28" s="1478"/>
      <c r="C28" s="1718" t="s">
        <v>1939</v>
      </c>
      <c r="D28" s="1719"/>
      <c r="E28" s="1720"/>
      <c r="F28" s="1482">
        <v>5</v>
      </c>
      <c r="G28" s="1482">
        <v>14.850000000000001</v>
      </c>
      <c r="H28" s="1482">
        <f t="shared" si="3"/>
        <v>74.25</v>
      </c>
      <c r="I28" s="1478"/>
      <c r="L28" s="1698" t="s">
        <v>2004</v>
      </c>
      <c r="M28" s="1698"/>
      <c r="N28" s="1698"/>
      <c r="O28" s="1490">
        <v>10</v>
      </c>
      <c r="P28" s="1491">
        <v>19.8</v>
      </c>
      <c r="Q28" s="1491">
        <f t="shared" si="4"/>
        <v>198</v>
      </c>
      <c r="R28" s="1492"/>
      <c r="U28" s="1508"/>
      <c r="V28" s="1691" t="s">
        <v>44</v>
      </c>
      <c r="W28" s="1691"/>
      <c r="X28" s="1691"/>
      <c r="Y28" s="1691"/>
      <c r="Z28" s="1509">
        <v>35000</v>
      </c>
    </row>
    <row r="29" spans="2:26" x14ac:dyDescent="0.25">
      <c r="B29" s="1478"/>
      <c r="C29" s="1718" t="s">
        <v>1940</v>
      </c>
      <c r="D29" s="1719"/>
      <c r="E29" s="1720"/>
      <c r="F29" s="1482">
        <v>200</v>
      </c>
      <c r="G29" s="1482">
        <v>0.66</v>
      </c>
      <c r="H29" s="1482">
        <f t="shared" si="3"/>
        <v>132</v>
      </c>
      <c r="I29" s="1478"/>
      <c r="L29" s="1698" t="s">
        <v>2005</v>
      </c>
      <c r="M29" s="1698"/>
      <c r="N29" s="1698"/>
      <c r="O29" s="1490">
        <v>2</v>
      </c>
      <c r="P29" s="1491">
        <v>33</v>
      </c>
      <c r="Q29" s="1491">
        <f t="shared" si="4"/>
        <v>66</v>
      </c>
      <c r="R29" s="1492"/>
    </row>
    <row r="30" spans="2:26" x14ac:dyDescent="0.25">
      <c r="B30" s="1478"/>
      <c r="C30" s="1718" t="s">
        <v>1941</v>
      </c>
      <c r="D30" s="1719"/>
      <c r="E30" s="1720"/>
      <c r="F30" s="1482">
        <v>50</v>
      </c>
      <c r="G30" s="1482">
        <v>0.9900000000000001</v>
      </c>
      <c r="H30" s="1482">
        <f t="shared" si="3"/>
        <v>49.500000000000007</v>
      </c>
      <c r="I30" s="1478"/>
      <c r="L30" s="1698" t="s">
        <v>2006</v>
      </c>
      <c r="M30" s="1698"/>
      <c r="N30" s="1698"/>
      <c r="O30" s="1490">
        <v>2</v>
      </c>
      <c r="P30" s="1491">
        <v>46.2</v>
      </c>
      <c r="Q30" s="1491">
        <f t="shared" si="4"/>
        <v>92.4</v>
      </c>
      <c r="R30" s="1492"/>
    </row>
    <row r="31" spans="2:26" x14ac:dyDescent="0.25">
      <c r="B31" s="1478"/>
      <c r="C31" s="1718" t="s">
        <v>1942</v>
      </c>
      <c r="D31" s="1719"/>
      <c r="E31" s="1720"/>
      <c r="F31" s="1482">
        <v>200</v>
      </c>
      <c r="G31" s="1482">
        <v>0.33</v>
      </c>
      <c r="H31" s="1482">
        <f t="shared" si="3"/>
        <v>66</v>
      </c>
      <c r="I31" s="1478"/>
      <c r="L31" s="1698" t="s">
        <v>2007</v>
      </c>
      <c r="M31" s="1698"/>
      <c r="N31" s="1698"/>
      <c r="O31" s="1490">
        <v>2</v>
      </c>
      <c r="P31" s="1491">
        <v>55.000000000000007</v>
      </c>
      <c r="Q31" s="1491">
        <f t="shared" si="4"/>
        <v>110.00000000000001</v>
      </c>
      <c r="R31" s="1492"/>
    </row>
    <row r="32" spans="2:26" x14ac:dyDescent="0.25">
      <c r="B32" s="1478"/>
      <c r="C32" s="1718" t="s">
        <v>1943</v>
      </c>
      <c r="D32" s="1719"/>
      <c r="E32" s="1720"/>
      <c r="F32" s="1482">
        <v>5</v>
      </c>
      <c r="G32" s="1482">
        <v>11.880000000000003</v>
      </c>
      <c r="H32" s="1482">
        <f t="shared" si="3"/>
        <v>59.400000000000013</v>
      </c>
      <c r="I32" s="1478"/>
      <c r="L32" s="1698" t="s">
        <v>2008</v>
      </c>
      <c r="M32" s="1698"/>
      <c r="N32" s="1698"/>
      <c r="O32" s="1490">
        <v>1</v>
      </c>
      <c r="P32" s="1491">
        <v>25.3</v>
      </c>
      <c r="Q32" s="1491">
        <f t="shared" si="4"/>
        <v>25.3</v>
      </c>
      <c r="R32" s="1492"/>
    </row>
    <row r="33" spans="2:18" x14ac:dyDescent="0.25">
      <c r="B33" s="1478"/>
      <c r="C33" s="1718" t="s">
        <v>1944</v>
      </c>
      <c r="D33" s="1719"/>
      <c r="E33" s="1720"/>
      <c r="F33" s="1482">
        <v>1</v>
      </c>
      <c r="G33" s="1482">
        <v>3.9600000000000004</v>
      </c>
      <c r="H33" s="1482">
        <f t="shared" si="3"/>
        <v>3.9600000000000004</v>
      </c>
      <c r="I33" s="1478"/>
      <c r="L33" s="1698" t="s">
        <v>2009</v>
      </c>
      <c r="M33" s="1698"/>
      <c r="N33" s="1698"/>
      <c r="O33" s="1490">
        <v>1</v>
      </c>
      <c r="P33" s="1491">
        <v>44</v>
      </c>
      <c r="Q33" s="1491">
        <f t="shared" si="4"/>
        <v>44</v>
      </c>
      <c r="R33" s="1492"/>
    </row>
    <row r="34" spans="2:18" x14ac:dyDescent="0.25">
      <c r="B34" s="1478"/>
      <c r="C34" s="1718" t="s">
        <v>1945</v>
      </c>
      <c r="D34" s="1719"/>
      <c r="E34" s="1720"/>
      <c r="F34" s="1482">
        <v>5</v>
      </c>
      <c r="G34" s="1482">
        <v>5.83</v>
      </c>
      <c r="H34" s="1482">
        <f t="shared" si="3"/>
        <v>29.15</v>
      </c>
      <c r="I34" s="1478"/>
      <c r="L34" s="1698" t="s">
        <v>2010</v>
      </c>
      <c r="M34" s="1698"/>
      <c r="N34" s="1698"/>
      <c r="O34" s="1490">
        <v>2</v>
      </c>
      <c r="P34" s="1491">
        <v>6.6000000000000005</v>
      </c>
      <c r="Q34" s="1491">
        <f t="shared" si="4"/>
        <v>13.200000000000001</v>
      </c>
      <c r="R34" s="1492"/>
    </row>
    <row r="35" spans="2:18" x14ac:dyDescent="0.25">
      <c r="B35" s="1478"/>
      <c r="C35" s="1718" t="s">
        <v>1946</v>
      </c>
      <c r="D35" s="1719"/>
      <c r="E35" s="1720"/>
      <c r="F35" s="1482">
        <v>1</v>
      </c>
      <c r="G35" s="1482">
        <v>9.9</v>
      </c>
      <c r="H35" s="1482">
        <f t="shared" si="3"/>
        <v>9.9</v>
      </c>
      <c r="I35" s="1478"/>
      <c r="L35" s="1700" t="s">
        <v>2011</v>
      </c>
      <c r="M35" s="1701"/>
      <c r="N35" s="1702"/>
      <c r="O35" s="1490">
        <v>1</v>
      </c>
      <c r="P35" s="1491">
        <v>77</v>
      </c>
      <c r="Q35" s="1491">
        <f t="shared" si="4"/>
        <v>77</v>
      </c>
      <c r="R35" s="1492"/>
    </row>
    <row r="36" spans="2:18" x14ac:dyDescent="0.25">
      <c r="B36" s="1478"/>
      <c r="C36" s="1718" t="s">
        <v>1947</v>
      </c>
      <c r="D36" s="1719"/>
      <c r="E36" s="1720"/>
      <c r="F36" s="1482">
        <v>4</v>
      </c>
      <c r="G36" s="1482">
        <v>20.350000000000001</v>
      </c>
      <c r="H36" s="1482">
        <f t="shared" si="3"/>
        <v>81.400000000000006</v>
      </c>
      <c r="I36" s="1478"/>
      <c r="L36" s="1700" t="s">
        <v>2012</v>
      </c>
      <c r="M36" s="1701"/>
      <c r="N36" s="1702"/>
      <c r="O36" s="1490">
        <v>1</v>
      </c>
      <c r="P36" s="1491">
        <v>77</v>
      </c>
      <c r="Q36" s="1491">
        <f t="shared" si="4"/>
        <v>77</v>
      </c>
      <c r="R36" s="1492"/>
    </row>
    <row r="37" spans="2:18" x14ac:dyDescent="0.25">
      <c r="B37" s="1478"/>
      <c r="C37" s="1718" t="s">
        <v>1948</v>
      </c>
      <c r="D37" s="1719"/>
      <c r="E37" s="1720"/>
      <c r="F37" s="1482">
        <v>2</v>
      </c>
      <c r="G37" s="1482">
        <v>71.5</v>
      </c>
      <c r="H37" s="1482">
        <f t="shared" si="3"/>
        <v>143</v>
      </c>
      <c r="I37" s="1478"/>
      <c r="L37" s="1698" t="s">
        <v>2013</v>
      </c>
      <c r="M37" s="1698"/>
      <c r="N37" s="1698"/>
      <c r="O37" s="1490">
        <v>1</v>
      </c>
      <c r="P37" s="1491">
        <v>61.600000000000009</v>
      </c>
      <c r="Q37" s="1491">
        <f t="shared" si="4"/>
        <v>61.600000000000009</v>
      </c>
      <c r="R37" s="1492"/>
    </row>
    <row r="38" spans="2:18" x14ac:dyDescent="0.25">
      <c r="B38" s="1478"/>
      <c r="C38" s="1718" t="s">
        <v>1949</v>
      </c>
      <c r="D38" s="1719"/>
      <c r="E38" s="1720"/>
      <c r="F38" s="1482">
        <v>4</v>
      </c>
      <c r="G38" s="1482">
        <v>38.5</v>
      </c>
      <c r="H38" s="1482">
        <f t="shared" si="3"/>
        <v>154</v>
      </c>
      <c r="I38" s="1478"/>
      <c r="L38" s="1698" t="s">
        <v>2014</v>
      </c>
      <c r="M38" s="1698"/>
      <c r="N38" s="1698"/>
      <c r="O38" s="1490">
        <v>1</v>
      </c>
      <c r="P38" s="1491">
        <v>16.5</v>
      </c>
      <c r="Q38" s="1491">
        <f t="shared" si="4"/>
        <v>16.5</v>
      </c>
      <c r="R38" s="1492"/>
    </row>
    <row r="39" spans="2:18" x14ac:dyDescent="0.25">
      <c r="B39" s="1478"/>
      <c r="C39" s="1718" t="s">
        <v>1950</v>
      </c>
      <c r="D39" s="1719"/>
      <c r="E39" s="1720"/>
      <c r="F39" s="1482">
        <v>2</v>
      </c>
      <c r="G39" s="1482">
        <v>27.830000000000002</v>
      </c>
      <c r="H39" s="1482">
        <f t="shared" si="3"/>
        <v>55.660000000000004</v>
      </c>
      <c r="I39" s="1478"/>
      <c r="L39" s="1698" t="s">
        <v>2015</v>
      </c>
      <c r="M39" s="1698"/>
      <c r="N39" s="1698"/>
      <c r="O39" s="1490">
        <v>3</v>
      </c>
      <c r="P39" s="1491">
        <v>30.800000000000004</v>
      </c>
      <c r="Q39" s="1491">
        <f t="shared" si="4"/>
        <v>92.4</v>
      </c>
      <c r="R39" s="1492"/>
    </row>
    <row r="40" spans="2:18" x14ac:dyDescent="0.25">
      <c r="B40" s="1478"/>
      <c r="C40" s="1718" t="s">
        <v>1951</v>
      </c>
      <c r="D40" s="1719"/>
      <c r="E40" s="1720"/>
      <c r="F40" s="1482">
        <v>2</v>
      </c>
      <c r="G40" s="1482">
        <v>24.200000000000003</v>
      </c>
      <c r="H40" s="1482">
        <f t="shared" si="3"/>
        <v>48.400000000000006</v>
      </c>
      <c r="I40" s="1478"/>
      <c r="L40" s="1698" t="s">
        <v>2016</v>
      </c>
      <c r="M40" s="1698"/>
      <c r="N40" s="1698"/>
      <c r="O40" s="1490">
        <v>1</v>
      </c>
      <c r="P40" s="1491">
        <v>58.300000000000004</v>
      </c>
      <c r="Q40" s="1491">
        <f t="shared" si="4"/>
        <v>58.300000000000004</v>
      </c>
      <c r="R40" s="1492"/>
    </row>
    <row r="41" spans="2:18" x14ac:dyDescent="0.25">
      <c r="B41" s="1478"/>
      <c r="C41" s="1718" t="s">
        <v>1952</v>
      </c>
      <c r="D41" s="1719"/>
      <c r="E41" s="1720"/>
      <c r="F41" s="1482">
        <v>10</v>
      </c>
      <c r="G41" s="1482">
        <v>10.119999999999999</v>
      </c>
      <c r="H41" s="1482">
        <f t="shared" si="3"/>
        <v>101.19999999999999</v>
      </c>
      <c r="I41" s="1478"/>
      <c r="L41" s="1698" t="s">
        <v>2017</v>
      </c>
      <c r="M41" s="1698"/>
      <c r="N41" s="1698"/>
      <c r="O41" s="1490">
        <v>1</v>
      </c>
      <c r="P41" s="1491">
        <v>46.2</v>
      </c>
      <c r="Q41" s="1491">
        <f t="shared" si="4"/>
        <v>46.2</v>
      </c>
      <c r="R41" s="1492"/>
    </row>
    <row r="42" spans="2:18" x14ac:dyDescent="0.25">
      <c r="B42" s="1478"/>
      <c r="C42" s="1712" t="s">
        <v>1953</v>
      </c>
      <c r="D42" s="1712"/>
      <c r="E42" s="1712"/>
      <c r="F42" s="1482">
        <v>1</v>
      </c>
      <c r="G42" s="1482">
        <v>3.3000000000000003</v>
      </c>
      <c r="H42" s="1482">
        <f t="shared" si="3"/>
        <v>3.3000000000000003</v>
      </c>
      <c r="I42" s="1478"/>
      <c r="L42" s="1698" t="s">
        <v>2018</v>
      </c>
      <c r="M42" s="1698"/>
      <c r="N42" s="1698"/>
      <c r="O42" s="1490">
        <v>5</v>
      </c>
      <c r="P42" s="1491">
        <v>44</v>
      </c>
      <c r="Q42" s="1491">
        <f t="shared" si="4"/>
        <v>220</v>
      </c>
      <c r="R42" s="1492"/>
    </row>
    <row r="43" spans="2:18" x14ac:dyDescent="0.25">
      <c r="B43" s="1478"/>
      <c r="C43" s="1712" t="s">
        <v>1954</v>
      </c>
      <c r="D43" s="1712"/>
      <c r="E43" s="1712"/>
      <c r="F43" s="1482">
        <v>4</v>
      </c>
      <c r="G43" s="1482">
        <v>3.08</v>
      </c>
      <c r="H43" s="1482">
        <f t="shared" si="3"/>
        <v>12.32</v>
      </c>
      <c r="I43" s="1478"/>
      <c r="L43" s="1698" t="s">
        <v>2019</v>
      </c>
      <c r="M43" s="1698"/>
      <c r="N43" s="1698"/>
      <c r="O43" s="1490">
        <v>10</v>
      </c>
      <c r="P43" s="1491">
        <v>3.9600000000000004</v>
      </c>
      <c r="Q43" s="1491">
        <f t="shared" si="4"/>
        <v>39.6</v>
      </c>
      <c r="R43" s="1492"/>
    </row>
    <row r="44" spans="2:18" x14ac:dyDescent="0.25">
      <c r="B44" s="1478"/>
      <c r="C44" s="1712" t="s">
        <v>1955</v>
      </c>
      <c r="D44" s="1712"/>
      <c r="E44" s="1712"/>
      <c r="F44" s="1482">
        <v>2</v>
      </c>
      <c r="G44" s="1482">
        <v>5.5</v>
      </c>
      <c r="H44" s="1482">
        <f t="shared" si="3"/>
        <v>11</v>
      </c>
      <c r="I44" s="1478"/>
      <c r="L44" s="1698" t="s">
        <v>2020</v>
      </c>
      <c r="M44" s="1698"/>
      <c r="N44" s="1698"/>
      <c r="O44" s="1490">
        <v>1</v>
      </c>
      <c r="P44" s="1491">
        <v>99.000000000000014</v>
      </c>
      <c r="Q44" s="1491">
        <f t="shared" si="4"/>
        <v>99.000000000000014</v>
      </c>
      <c r="R44" s="1492"/>
    </row>
    <row r="45" spans="2:18" x14ac:dyDescent="0.25">
      <c r="B45" s="1478"/>
      <c r="C45" s="1713" t="s">
        <v>1956</v>
      </c>
      <c r="D45" s="1713"/>
      <c r="E45" s="1713"/>
      <c r="F45" s="1482">
        <v>5</v>
      </c>
      <c r="G45" s="1482">
        <v>1.1000000000000001</v>
      </c>
      <c r="H45" s="1482">
        <f t="shared" si="3"/>
        <v>5.5</v>
      </c>
      <c r="I45" s="1478"/>
      <c r="L45" s="1698" t="s">
        <v>2021</v>
      </c>
      <c r="M45" s="1698"/>
      <c r="N45" s="1698"/>
      <c r="O45" s="1490">
        <v>5</v>
      </c>
      <c r="P45" s="1491">
        <v>5.5</v>
      </c>
      <c r="Q45" s="1491">
        <f t="shared" si="4"/>
        <v>27.5</v>
      </c>
      <c r="R45" s="1492"/>
    </row>
    <row r="46" spans="2:18" x14ac:dyDescent="0.25">
      <c r="B46" s="1478"/>
      <c r="C46" s="1712" t="s">
        <v>1957</v>
      </c>
      <c r="D46" s="1712"/>
      <c r="E46" s="1712"/>
      <c r="F46" s="1482">
        <v>50</v>
      </c>
      <c r="G46" s="1482">
        <v>0.55000000000000004</v>
      </c>
      <c r="H46" s="1482">
        <f t="shared" si="3"/>
        <v>27.500000000000004</v>
      </c>
      <c r="I46" s="1478"/>
      <c r="L46" s="1698" t="s">
        <v>2022</v>
      </c>
      <c r="M46" s="1698"/>
      <c r="N46" s="1698"/>
      <c r="O46" s="1490">
        <v>1</v>
      </c>
      <c r="P46" s="1491">
        <v>5.5</v>
      </c>
      <c r="Q46" s="1491">
        <f t="shared" si="4"/>
        <v>5.5</v>
      </c>
      <c r="R46" s="1492"/>
    </row>
    <row r="47" spans="2:18" x14ac:dyDescent="0.25">
      <c r="B47" s="1478"/>
      <c r="C47" s="1714" t="s">
        <v>44</v>
      </c>
      <c r="D47" s="1715"/>
      <c r="E47" s="1716"/>
      <c r="F47" s="1482"/>
      <c r="G47" s="1482"/>
      <c r="H47" s="1482">
        <f>SUM(H23:H46)</f>
        <v>1506.56</v>
      </c>
      <c r="I47" s="1478"/>
      <c r="L47" s="1698" t="s">
        <v>2023</v>
      </c>
      <c r="M47" s="1698"/>
      <c r="N47" s="1698"/>
      <c r="O47" s="1490">
        <v>2</v>
      </c>
      <c r="P47" s="1491">
        <v>19.8</v>
      </c>
      <c r="Q47" s="1491">
        <f t="shared" si="4"/>
        <v>39.6</v>
      </c>
      <c r="R47" s="1492"/>
    </row>
    <row r="48" spans="2:18" x14ac:dyDescent="0.25">
      <c r="B48" s="1478"/>
      <c r="C48" s="1478"/>
      <c r="D48" s="1478"/>
      <c r="E48" s="1478"/>
      <c r="F48" s="1478"/>
      <c r="G48" s="1478"/>
      <c r="H48" s="1478"/>
      <c r="I48" s="1478"/>
      <c r="L48" s="1698" t="s">
        <v>2024</v>
      </c>
      <c r="M48" s="1698"/>
      <c r="N48" s="1698"/>
      <c r="O48" s="1490">
        <v>10</v>
      </c>
      <c r="P48" s="1491">
        <v>23.1</v>
      </c>
      <c r="Q48" s="1491">
        <f t="shared" si="4"/>
        <v>231</v>
      </c>
      <c r="R48" s="1492"/>
    </row>
    <row r="49" spans="2:18" x14ac:dyDescent="0.25">
      <c r="B49" s="1478"/>
      <c r="C49" s="1478"/>
      <c r="D49" s="1478"/>
      <c r="E49" s="1478"/>
      <c r="F49" s="1478"/>
      <c r="G49" s="1478"/>
      <c r="H49" s="1478"/>
      <c r="I49" s="1478"/>
      <c r="L49" s="1698" t="s">
        <v>2025</v>
      </c>
      <c r="M49" s="1698"/>
      <c r="N49" s="1698"/>
      <c r="O49" s="1490">
        <v>1</v>
      </c>
      <c r="P49" s="1491">
        <v>46.2</v>
      </c>
      <c r="Q49" s="1491">
        <f t="shared" si="4"/>
        <v>46.2</v>
      </c>
      <c r="R49" s="1492"/>
    </row>
    <row r="50" spans="2:18" x14ac:dyDescent="0.25">
      <c r="B50" s="1478" t="s">
        <v>1931</v>
      </c>
      <c r="C50" s="1479" t="s">
        <v>1958</v>
      </c>
      <c r="D50" s="1478"/>
      <c r="E50" s="1478"/>
      <c r="F50" s="1478"/>
      <c r="G50" s="1478"/>
      <c r="H50" s="1478"/>
      <c r="I50" s="1478"/>
      <c r="L50" s="1698" t="s">
        <v>2026</v>
      </c>
      <c r="M50" s="1698"/>
      <c r="N50" s="1698"/>
      <c r="O50" s="1490">
        <v>1</v>
      </c>
      <c r="P50" s="1491">
        <v>242.00000000000003</v>
      </c>
      <c r="Q50" s="1491">
        <f t="shared" si="4"/>
        <v>242.00000000000003</v>
      </c>
      <c r="R50" s="1492"/>
    </row>
    <row r="51" spans="2:18" x14ac:dyDescent="0.25">
      <c r="B51" s="1478"/>
      <c r="C51" s="1478"/>
      <c r="D51" s="1478"/>
      <c r="E51" s="1478"/>
      <c r="F51" s="1478"/>
      <c r="G51" s="1478"/>
      <c r="H51" s="1478"/>
      <c r="I51" s="1478"/>
      <c r="L51" s="1698" t="s">
        <v>2027</v>
      </c>
      <c r="M51" s="1698"/>
      <c r="N51" s="1698"/>
      <c r="O51" s="1490">
        <v>3</v>
      </c>
      <c r="P51" s="1491">
        <v>44</v>
      </c>
      <c r="Q51" s="1491">
        <f t="shared" si="4"/>
        <v>132</v>
      </c>
      <c r="R51" s="1492"/>
    </row>
    <row r="52" spans="2:18" x14ac:dyDescent="0.25">
      <c r="B52" s="1478"/>
      <c r="C52" s="1483" t="s">
        <v>1959</v>
      </c>
      <c r="D52" s="1480" t="s">
        <v>1960</v>
      </c>
      <c r="E52" s="1717" t="s">
        <v>1961</v>
      </c>
      <c r="F52" s="1717"/>
      <c r="G52" s="1480" t="s">
        <v>650</v>
      </c>
      <c r="H52" s="1480" t="s">
        <v>1962</v>
      </c>
      <c r="I52" s="1478"/>
      <c r="L52" s="1698" t="s">
        <v>2028</v>
      </c>
      <c r="M52" s="1698"/>
      <c r="N52" s="1698"/>
      <c r="O52" s="1490">
        <v>1</v>
      </c>
      <c r="P52" s="1491">
        <v>19.8</v>
      </c>
      <c r="Q52" s="1491">
        <f t="shared" si="4"/>
        <v>19.8</v>
      </c>
      <c r="R52" s="1492"/>
    </row>
    <row r="53" spans="2:18" x14ac:dyDescent="0.25">
      <c r="B53" s="1478"/>
      <c r="C53" s="1484" t="s">
        <v>1963</v>
      </c>
      <c r="D53" s="1484">
        <v>214010</v>
      </c>
      <c r="E53" s="1710" t="s">
        <v>1964</v>
      </c>
      <c r="F53" s="1710"/>
      <c r="G53" s="1482" t="s">
        <v>1965</v>
      </c>
      <c r="H53" s="1482">
        <v>548.46</v>
      </c>
      <c r="I53" s="1478"/>
      <c r="L53" s="1698" t="s">
        <v>2029</v>
      </c>
      <c r="M53" s="1698"/>
      <c r="N53" s="1698"/>
      <c r="O53" s="1490">
        <v>1</v>
      </c>
      <c r="P53" s="1491">
        <v>370.6</v>
      </c>
      <c r="Q53" s="1491">
        <f t="shared" si="4"/>
        <v>370.6</v>
      </c>
      <c r="R53" s="1492"/>
    </row>
    <row r="54" spans="2:18" x14ac:dyDescent="0.25">
      <c r="B54" s="1478"/>
      <c r="C54" s="1484" t="s">
        <v>1966</v>
      </c>
      <c r="D54" s="1484">
        <v>276840</v>
      </c>
      <c r="E54" s="1710" t="s">
        <v>1967</v>
      </c>
      <c r="F54" s="1710"/>
      <c r="G54" s="1482" t="s">
        <v>1968</v>
      </c>
      <c r="H54" s="1482">
        <v>698</v>
      </c>
      <c r="I54" s="1478"/>
      <c r="L54" s="1698" t="s">
        <v>2030</v>
      </c>
      <c r="M54" s="1698"/>
      <c r="N54" s="1698"/>
      <c r="O54" s="1490">
        <v>1</v>
      </c>
      <c r="P54" s="1491">
        <v>19.8</v>
      </c>
      <c r="Q54" s="1491">
        <f t="shared" si="4"/>
        <v>19.8</v>
      </c>
      <c r="R54" s="1492"/>
    </row>
    <row r="55" spans="2:18" x14ac:dyDescent="0.25">
      <c r="B55" s="1478"/>
      <c r="C55" s="1484" t="s">
        <v>1969</v>
      </c>
      <c r="D55" s="1484">
        <v>211059</v>
      </c>
      <c r="E55" s="1710" t="s">
        <v>1970</v>
      </c>
      <c r="F55" s="1710"/>
      <c r="G55" s="1482" t="s">
        <v>1968</v>
      </c>
      <c r="H55" s="1482">
        <v>322.5</v>
      </c>
      <c r="I55" s="1478"/>
      <c r="L55" s="1698" t="s">
        <v>2031</v>
      </c>
      <c r="M55" s="1698"/>
      <c r="N55" s="1698"/>
      <c r="O55" s="1490">
        <v>1</v>
      </c>
      <c r="P55" s="1491">
        <v>19.8</v>
      </c>
      <c r="Q55" s="1491">
        <f t="shared" si="4"/>
        <v>19.8</v>
      </c>
      <c r="R55" s="1492"/>
    </row>
    <row r="56" spans="2:18" x14ac:dyDescent="0.25">
      <c r="B56" s="1478"/>
      <c r="C56" s="1484" t="s">
        <v>1966</v>
      </c>
      <c r="D56" s="1484">
        <v>274000</v>
      </c>
      <c r="E56" s="1710" t="s">
        <v>1971</v>
      </c>
      <c r="F56" s="1710"/>
      <c r="G56" s="1482" t="s">
        <v>1968</v>
      </c>
      <c r="H56" s="1482">
        <v>301.3</v>
      </c>
      <c r="I56" s="1478"/>
      <c r="L56" s="1698" t="s">
        <v>2032</v>
      </c>
      <c r="M56" s="1698"/>
      <c r="N56" s="1698"/>
      <c r="O56" s="1490">
        <v>1</v>
      </c>
      <c r="P56" s="1491">
        <v>180.4</v>
      </c>
      <c r="Q56" s="1491">
        <f t="shared" si="4"/>
        <v>180.4</v>
      </c>
      <c r="R56" s="1492"/>
    </row>
    <row r="57" spans="2:18" x14ac:dyDescent="0.25">
      <c r="B57" s="1478"/>
      <c r="C57" s="1484" t="s">
        <v>1966</v>
      </c>
      <c r="D57" s="1484">
        <v>218091</v>
      </c>
      <c r="E57" s="1710" t="s">
        <v>1972</v>
      </c>
      <c r="F57" s="1710"/>
      <c r="G57" s="1482" t="s">
        <v>1968</v>
      </c>
      <c r="H57" s="1482">
        <v>227.6</v>
      </c>
      <c r="I57" s="1478"/>
      <c r="L57" s="1698" t="s">
        <v>2033</v>
      </c>
      <c r="M57" s="1698"/>
      <c r="N57" s="1698"/>
      <c r="O57" s="1490">
        <v>1</v>
      </c>
      <c r="P57" s="1491">
        <v>35.200000000000003</v>
      </c>
      <c r="Q57" s="1491">
        <f t="shared" si="4"/>
        <v>35.200000000000003</v>
      </c>
      <c r="R57" s="1492"/>
    </row>
    <row r="58" spans="2:18" x14ac:dyDescent="0.25">
      <c r="B58" s="1478"/>
      <c r="C58" s="1484" t="s">
        <v>1969</v>
      </c>
      <c r="D58" s="1484">
        <v>211338</v>
      </c>
      <c r="E58" s="1710" t="s">
        <v>1973</v>
      </c>
      <c r="F58" s="1710"/>
      <c r="G58" s="1482" t="s">
        <v>1968</v>
      </c>
      <c r="H58" s="1482">
        <v>248.3</v>
      </c>
      <c r="I58" s="1478"/>
      <c r="L58" s="1698" t="s">
        <v>2034</v>
      </c>
      <c r="M58" s="1698"/>
      <c r="N58" s="1698"/>
      <c r="O58" s="1490">
        <v>5</v>
      </c>
      <c r="P58" s="1491">
        <v>107.80000000000001</v>
      </c>
      <c r="Q58" s="1491">
        <f t="shared" si="4"/>
        <v>539</v>
      </c>
      <c r="R58" s="1492"/>
    </row>
    <row r="59" spans="2:18" x14ac:dyDescent="0.25">
      <c r="B59" s="1478"/>
      <c r="C59" s="1484" t="s">
        <v>1966</v>
      </c>
      <c r="D59" s="1484">
        <v>211835</v>
      </c>
      <c r="E59" s="1710" t="s">
        <v>1974</v>
      </c>
      <c r="F59" s="1710"/>
      <c r="G59" s="1482" t="s">
        <v>1968</v>
      </c>
      <c r="H59" s="1482">
        <v>209.6</v>
      </c>
      <c r="I59" s="1478"/>
      <c r="L59" s="1698" t="s">
        <v>2035</v>
      </c>
      <c r="M59" s="1698"/>
      <c r="N59" s="1698"/>
      <c r="O59" s="1490">
        <v>3</v>
      </c>
      <c r="P59" s="1491">
        <v>88</v>
      </c>
      <c r="Q59" s="1491">
        <f t="shared" si="4"/>
        <v>264</v>
      </c>
      <c r="R59" s="1493">
        <f>SUM(Q25:Q59)</f>
        <v>3866.4000000000005</v>
      </c>
    </row>
    <row r="60" spans="2:18" x14ac:dyDescent="0.25">
      <c r="B60" s="1478"/>
      <c r="C60" s="1484" t="s">
        <v>1966</v>
      </c>
      <c r="D60" s="1484">
        <v>212123</v>
      </c>
      <c r="E60" s="1710" t="s">
        <v>1975</v>
      </c>
      <c r="F60" s="1710"/>
      <c r="G60" s="1482" t="s">
        <v>1968</v>
      </c>
      <c r="H60" s="1482">
        <v>221.8</v>
      </c>
      <c r="I60" s="1478"/>
      <c r="L60" s="1698" t="s">
        <v>44</v>
      </c>
      <c r="M60" s="1698"/>
      <c r="N60" s="1698"/>
      <c r="O60" s="1490"/>
      <c r="P60" s="1491"/>
      <c r="Q60" s="1491">
        <f>R59+R22</f>
        <v>55250.000000000007</v>
      </c>
      <c r="R60" s="1492"/>
    </row>
    <row r="61" spans="2:18" x14ac:dyDescent="0.25">
      <c r="B61" s="1478"/>
      <c r="C61" s="1484" t="s">
        <v>1966</v>
      </c>
      <c r="D61" s="1484">
        <v>218071</v>
      </c>
      <c r="E61" s="1710" t="s">
        <v>1976</v>
      </c>
      <c r="F61" s="1710"/>
      <c r="G61" s="1482" t="s">
        <v>1968</v>
      </c>
      <c r="H61" s="1482">
        <v>205.37</v>
      </c>
      <c r="I61" s="1478"/>
      <c r="L61" s="1486"/>
      <c r="M61" s="1486"/>
      <c r="N61" s="1486"/>
      <c r="O61" s="1486"/>
      <c r="P61" s="1486"/>
      <c r="Q61" s="1486"/>
      <c r="R61" s="1486"/>
    </row>
    <row r="62" spans="2:18" x14ac:dyDescent="0.25">
      <c r="B62" s="1478"/>
      <c r="C62" s="1484" t="s">
        <v>1966</v>
      </c>
      <c r="D62" s="1484">
        <v>247940</v>
      </c>
      <c r="E62" s="1710" t="s">
        <v>1977</v>
      </c>
      <c r="F62" s="1710"/>
      <c r="G62" s="1482" t="s">
        <v>1968</v>
      </c>
      <c r="H62" s="1482">
        <v>257.10000000000002</v>
      </c>
      <c r="I62" s="1478"/>
      <c r="L62" s="1486"/>
      <c r="M62" s="1486"/>
      <c r="N62" s="1486"/>
      <c r="O62" s="1486"/>
      <c r="P62" s="1486"/>
      <c r="Q62" s="1486"/>
      <c r="R62" s="1486"/>
    </row>
    <row r="63" spans="2:18" x14ac:dyDescent="0.25">
      <c r="B63" s="1478"/>
      <c r="C63" s="1484" t="s">
        <v>1966</v>
      </c>
      <c r="D63" s="1484">
        <v>211695</v>
      </c>
      <c r="E63" s="1710" t="s">
        <v>1978</v>
      </c>
      <c r="F63" s="1710"/>
      <c r="G63" s="1482" t="s">
        <v>1968</v>
      </c>
      <c r="H63" s="1482">
        <v>253.5</v>
      </c>
      <c r="I63" s="1478"/>
      <c r="L63" s="1486"/>
      <c r="M63" s="1486"/>
      <c r="N63" s="1695" t="s">
        <v>2036</v>
      </c>
      <c r="O63" s="1695"/>
      <c r="P63" s="1486"/>
      <c r="Q63" s="1486"/>
      <c r="R63" s="1486"/>
    </row>
    <row r="64" spans="2:18" x14ac:dyDescent="0.25">
      <c r="B64" s="1478"/>
      <c r="C64" s="1484" t="s">
        <v>1969</v>
      </c>
      <c r="D64" s="1484">
        <v>211597</v>
      </c>
      <c r="E64" s="1710" t="s">
        <v>1979</v>
      </c>
      <c r="F64" s="1710"/>
      <c r="G64" s="1482" t="s">
        <v>1968</v>
      </c>
      <c r="H64" s="1482">
        <v>322</v>
      </c>
      <c r="I64" s="1478"/>
      <c r="L64" s="1486"/>
      <c r="M64" s="1486"/>
      <c r="N64" s="1486"/>
      <c r="O64" s="1486"/>
      <c r="P64" s="1486"/>
      <c r="Q64" s="1486"/>
      <c r="R64" s="1486"/>
    </row>
    <row r="65" spans="2:18" x14ac:dyDescent="0.25">
      <c r="B65" s="1478"/>
      <c r="C65" s="1484" t="s">
        <v>1966</v>
      </c>
      <c r="D65" s="1484">
        <v>218111</v>
      </c>
      <c r="E65" s="1710" t="s">
        <v>1980</v>
      </c>
      <c r="F65" s="1710"/>
      <c r="G65" s="1482" t="s">
        <v>1968</v>
      </c>
      <c r="H65" s="1482">
        <v>232</v>
      </c>
      <c r="I65" s="1478"/>
      <c r="L65" s="1486"/>
      <c r="M65" s="1696" t="s">
        <v>2037</v>
      </c>
      <c r="N65" s="1696"/>
      <c r="O65" s="1697"/>
      <c r="P65" s="1697"/>
      <c r="Q65" s="1486"/>
      <c r="R65" s="1486"/>
    </row>
    <row r="66" spans="2:18" x14ac:dyDescent="0.25">
      <c r="B66" s="1478"/>
      <c r="C66" s="1711" t="s">
        <v>44</v>
      </c>
      <c r="D66" s="1711"/>
      <c r="E66" s="1711"/>
      <c r="F66" s="1711"/>
      <c r="G66" s="1711"/>
      <c r="H66" s="1482">
        <f>SUM(H53:H65)</f>
        <v>4047.53</v>
      </c>
      <c r="I66" s="1478"/>
      <c r="L66" s="1486"/>
      <c r="M66" s="1698" t="s">
        <v>2038</v>
      </c>
      <c r="N66" s="1698"/>
      <c r="O66" s="1697">
        <f>Q60</f>
        <v>55250.000000000007</v>
      </c>
      <c r="P66" s="1697"/>
      <c r="Q66" s="1486"/>
      <c r="R66" s="1486"/>
    </row>
    <row r="67" spans="2:18" x14ac:dyDescent="0.25">
      <c r="B67" s="1478"/>
      <c r="C67" s="1478"/>
      <c r="D67" s="1478"/>
      <c r="E67" s="1478"/>
      <c r="F67" s="1478"/>
      <c r="G67" s="1478"/>
      <c r="H67" s="1478"/>
      <c r="I67" s="1478"/>
      <c r="L67" s="1486"/>
      <c r="M67" s="1696" t="s">
        <v>44</v>
      </c>
      <c r="N67" s="1696"/>
      <c r="O67" s="1699">
        <f>O66</f>
        <v>55250.000000000007</v>
      </c>
      <c r="P67" s="1699"/>
      <c r="Q67" s="1486"/>
      <c r="R67" s="1486"/>
    </row>
    <row r="68" spans="2:18" x14ac:dyDescent="0.25">
      <c r="B68" s="1478"/>
      <c r="C68" s="1478"/>
      <c r="D68" s="1478"/>
      <c r="E68" s="1478"/>
      <c r="F68" s="1478"/>
      <c r="G68" s="1478"/>
      <c r="H68" s="1478"/>
      <c r="I68" s="1478"/>
      <c r="L68" s="1486"/>
      <c r="M68" s="1486"/>
      <c r="N68" s="1486"/>
      <c r="O68" s="1486"/>
      <c r="P68" s="1486"/>
      <c r="Q68" s="1486"/>
      <c r="R68" s="1486"/>
    </row>
    <row r="69" spans="2:18" x14ac:dyDescent="0.25">
      <c r="B69" s="1478" t="s">
        <v>1931</v>
      </c>
      <c r="C69" s="1479" t="s">
        <v>1981</v>
      </c>
      <c r="D69" s="1478"/>
      <c r="E69" s="1478"/>
      <c r="F69" s="1478"/>
      <c r="G69" s="1478"/>
      <c r="H69" s="1478"/>
      <c r="I69" s="1478"/>
      <c r="L69" s="1486"/>
      <c r="M69" s="1486"/>
      <c r="N69" s="1486"/>
      <c r="O69" s="1486"/>
      <c r="P69" s="1486"/>
      <c r="Q69" s="1486"/>
      <c r="R69" s="1486"/>
    </row>
    <row r="70" spans="2:18" x14ac:dyDescent="0.25">
      <c r="B70" s="1478"/>
      <c r="C70" s="1478"/>
      <c r="D70" s="1478"/>
      <c r="E70" s="1478"/>
      <c r="F70" s="1478"/>
      <c r="G70" s="1478"/>
      <c r="H70" s="1478"/>
      <c r="I70" s="1478"/>
    </row>
    <row r="71" spans="2:18" x14ac:dyDescent="0.25">
      <c r="B71" s="1478"/>
      <c r="C71" s="1710" t="s">
        <v>1982</v>
      </c>
      <c r="D71" s="1710"/>
      <c r="E71" s="1710"/>
      <c r="F71" s="1710"/>
      <c r="G71" s="1710"/>
      <c r="H71" s="1482">
        <f>H17</f>
        <v>41528.904999999999</v>
      </c>
      <c r="I71" s="1478"/>
    </row>
    <row r="72" spans="2:18" x14ac:dyDescent="0.25">
      <c r="B72" s="1478"/>
      <c r="C72" s="1710" t="s">
        <v>1983</v>
      </c>
      <c r="D72" s="1710"/>
      <c r="E72" s="1710"/>
      <c r="F72" s="1710"/>
      <c r="G72" s="1710"/>
      <c r="H72" s="1482">
        <f>H47</f>
        <v>1506.56</v>
      </c>
      <c r="I72" s="1478"/>
    </row>
    <row r="73" spans="2:18" x14ac:dyDescent="0.25">
      <c r="B73" s="1478"/>
      <c r="C73" s="1710" t="s">
        <v>1984</v>
      </c>
      <c r="D73" s="1710"/>
      <c r="E73" s="1710"/>
      <c r="F73" s="1710"/>
      <c r="G73" s="1710"/>
      <c r="H73" s="1482">
        <f>H66</f>
        <v>4047.53</v>
      </c>
      <c r="I73" s="1478"/>
    </row>
    <row r="74" spans="2:18" x14ac:dyDescent="0.25">
      <c r="B74" s="1478"/>
      <c r="C74" s="1710" t="s">
        <v>44</v>
      </c>
      <c r="D74" s="1710"/>
      <c r="E74" s="1710"/>
      <c r="F74" s="1710"/>
      <c r="G74" s="1710"/>
      <c r="H74" s="1485">
        <f>SUM(H71:H73)</f>
        <v>47082.994999999995</v>
      </c>
      <c r="I74" s="1478"/>
    </row>
    <row r="75" spans="2:18" x14ac:dyDescent="0.25">
      <c r="B75" s="1478"/>
      <c r="C75" s="1478"/>
      <c r="D75" s="1478"/>
      <c r="E75" s="1478"/>
      <c r="F75" s="1478"/>
      <c r="G75" s="1478"/>
      <c r="H75" s="1478"/>
      <c r="I75" s="1478"/>
    </row>
    <row r="76" spans="2:18" x14ac:dyDescent="0.25">
      <c r="B76" s="1478"/>
      <c r="C76" s="1478"/>
      <c r="D76" s="1478"/>
      <c r="E76" s="1478"/>
      <c r="F76" s="1478"/>
      <c r="G76" s="1478"/>
      <c r="H76" s="1478"/>
      <c r="I76" s="1478"/>
    </row>
    <row r="77" spans="2:18" x14ac:dyDescent="0.25">
      <c r="B77" s="1478"/>
      <c r="C77" s="1478"/>
      <c r="D77" s="1478"/>
      <c r="E77" s="1478"/>
      <c r="F77" s="1478"/>
      <c r="G77" s="1478"/>
      <c r="H77" s="1478"/>
      <c r="I77" s="1478"/>
    </row>
    <row r="78" spans="2:18" x14ac:dyDescent="0.25">
      <c r="B78" s="1478"/>
      <c r="C78" s="1478"/>
      <c r="D78" s="1478"/>
      <c r="E78" s="1478"/>
      <c r="F78" s="1478"/>
      <c r="G78" s="1478"/>
      <c r="H78" s="1478"/>
      <c r="I78" s="1478"/>
    </row>
    <row r="80" spans="2:18" x14ac:dyDescent="0.25">
      <c r="B80" s="1689" t="s">
        <v>2064</v>
      </c>
      <c r="C80" s="1689"/>
      <c r="D80" s="1689"/>
      <c r="E80" s="1689"/>
      <c r="F80" s="1689"/>
      <c r="G80" s="1689"/>
      <c r="H80" s="1689"/>
      <c r="I80" s="1689"/>
      <c r="J80" s="1689"/>
    </row>
    <row r="82" spans="3:6" x14ac:dyDescent="0.25">
      <c r="C82" s="1494" t="s">
        <v>1463</v>
      </c>
      <c r="D82" s="1494" t="s">
        <v>650</v>
      </c>
      <c r="E82" s="1494" t="s">
        <v>684</v>
      </c>
      <c r="F82" s="5"/>
    </row>
    <row r="83" spans="3:6" x14ac:dyDescent="0.25">
      <c r="C83" s="1495" t="s">
        <v>2061</v>
      </c>
      <c r="D83" s="1496"/>
      <c r="E83" s="1497">
        <f>H74</f>
        <v>47082.994999999995</v>
      </c>
    </row>
    <row r="84" spans="3:6" x14ac:dyDescent="0.25">
      <c r="C84" s="1496" t="s">
        <v>2062</v>
      </c>
      <c r="D84" s="1496"/>
      <c r="E84" s="1497">
        <f>O67</f>
        <v>55250.000000000007</v>
      </c>
      <c r="F84" s="1510">
        <f>SUM(E83:E85)</f>
        <v>137332.995</v>
      </c>
    </row>
    <row r="85" spans="3:6" x14ac:dyDescent="0.25">
      <c r="C85" s="1495" t="s">
        <v>1892</v>
      </c>
      <c r="D85" s="1496"/>
      <c r="E85" s="1497">
        <f>Z28</f>
        <v>35000</v>
      </c>
      <c r="F85" s="1510"/>
    </row>
    <row r="86" spans="3:6" x14ac:dyDescent="0.25">
      <c r="C86" s="1498" t="s">
        <v>2063</v>
      </c>
      <c r="D86" s="1499"/>
      <c r="E86" s="1500">
        <f>Z22</f>
        <v>82000</v>
      </c>
      <c r="F86" s="1511">
        <f>E86</f>
        <v>82000</v>
      </c>
    </row>
    <row r="87" spans="3:6" x14ac:dyDescent="0.25">
      <c r="C87" s="1692" t="s">
        <v>699</v>
      </c>
      <c r="D87" s="1692"/>
      <c r="E87" s="1501">
        <f>SUM(E83:E86)</f>
        <v>219332.995</v>
      </c>
    </row>
    <row r="91" spans="3:6" x14ac:dyDescent="0.25">
      <c r="C91" s="1502" t="s">
        <v>1888</v>
      </c>
      <c r="D91" s="1503"/>
      <c r="E91" s="1504">
        <f>F86</f>
        <v>82000</v>
      </c>
    </row>
    <row r="92" spans="3:6" x14ac:dyDescent="0.25">
      <c r="C92" s="1502" t="s">
        <v>1890</v>
      </c>
      <c r="D92" s="1503"/>
      <c r="E92" s="1504">
        <f>F84</f>
        <v>137332.995</v>
      </c>
    </row>
    <row r="93" spans="3:6" x14ac:dyDescent="0.25">
      <c r="C93" s="1693"/>
      <c r="D93" s="1694"/>
      <c r="E93" s="1501">
        <f>E91+E92</f>
        <v>219332.995</v>
      </c>
    </row>
  </sheetData>
  <mergeCells count="123">
    <mergeCell ref="B5:H5"/>
    <mergeCell ref="C10:E10"/>
    <mergeCell ref="C11:E11"/>
    <mergeCell ref="C12:E12"/>
    <mergeCell ref="C13:E13"/>
    <mergeCell ref="C14:E14"/>
    <mergeCell ref="C25:E25"/>
    <mergeCell ref="C26:E26"/>
    <mergeCell ref="C27:E27"/>
    <mergeCell ref="C28:E28"/>
    <mergeCell ref="C29:E29"/>
    <mergeCell ref="C30:E30"/>
    <mergeCell ref="C15:E15"/>
    <mergeCell ref="C16:E16"/>
    <mergeCell ref="C17:E17"/>
    <mergeCell ref="C22:E22"/>
    <mergeCell ref="C23:E23"/>
    <mergeCell ref="C24:E24"/>
    <mergeCell ref="C40:E40"/>
    <mergeCell ref="C41:E41"/>
    <mergeCell ref="C42:E42"/>
    <mergeCell ref="C31:E31"/>
    <mergeCell ref="C32:E32"/>
    <mergeCell ref="C33:E33"/>
    <mergeCell ref="C34:E34"/>
    <mergeCell ref="C35:E35"/>
    <mergeCell ref="C36:E36"/>
    <mergeCell ref="C71:G71"/>
    <mergeCell ref="C72:G72"/>
    <mergeCell ref="C73:G73"/>
    <mergeCell ref="C74:G74"/>
    <mergeCell ref="E59:F59"/>
    <mergeCell ref="E60:F60"/>
    <mergeCell ref="E61:F61"/>
    <mergeCell ref="E62:F62"/>
    <mergeCell ref="E63:F63"/>
    <mergeCell ref="E64:F64"/>
    <mergeCell ref="B3:J3"/>
    <mergeCell ref="L5:Q5"/>
    <mergeCell ref="L9:N9"/>
    <mergeCell ref="L10:N10"/>
    <mergeCell ref="L11:N11"/>
    <mergeCell ref="L12:N12"/>
    <mergeCell ref="K3:S3"/>
    <mergeCell ref="E65:F65"/>
    <mergeCell ref="C66:G66"/>
    <mergeCell ref="E53:F53"/>
    <mergeCell ref="E54:F54"/>
    <mergeCell ref="E55:F55"/>
    <mergeCell ref="E56:F56"/>
    <mergeCell ref="E57:F57"/>
    <mergeCell ref="E58:F58"/>
    <mergeCell ref="C43:E43"/>
    <mergeCell ref="C44:E44"/>
    <mergeCell ref="C45:E45"/>
    <mergeCell ref="C46:E46"/>
    <mergeCell ref="C47:E47"/>
    <mergeCell ref="E52:F52"/>
    <mergeCell ref="C37:E37"/>
    <mergeCell ref="C38:E38"/>
    <mergeCell ref="C39:E39"/>
    <mergeCell ref="L19:N19"/>
    <mergeCell ref="L20:N20"/>
    <mergeCell ref="L21:N21"/>
    <mergeCell ref="L22:N22"/>
    <mergeCell ref="L23:N23"/>
    <mergeCell ref="L24:N24"/>
    <mergeCell ref="L13:N13"/>
    <mergeCell ref="L14:N14"/>
    <mergeCell ref="L15:N15"/>
    <mergeCell ref="L16:N16"/>
    <mergeCell ref="L17:N17"/>
    <mergeCell ref="L18:N18"/>
    <mergeCell ref="L31:N31"/>
    <mergeCell ref="L32:N32"/>
    <mergeCell ref="L33:N33"/>
    <mergeCell ref="L34:N34"/>
    <mergeCell ref="L35:N35"/>
    <mergeCell ref="L36:N36"/>
    <mergeCell ref="L25:N25"/>
    <mergeCell ref="L26:N26"/>
    <mergeCell ref="L27:N27"/>
    <mergeCell ref="L28:N28"/>
    <mergeCell ref="L29:N29"/>
    <mergeCell ref="L30:N30"/>
    <mergeCell ref="L53:N53"/>
    <mergeCell ref="L54:N54"/>
    <mergeCell ref="L43:N43"/>
    <mergeCell ref="L44:N44"/>
    <mergeCell ref="L45:N45"/>
    <mergeCell ref="L46:N46"/>
    <mergeCell ref="L47:N47"/>
    <mergeCell ref="L48:N48"/>
    <mergeCell ref="L37:N37"/>
    <mergeCell ref="L38:N38"/>
    <mergeCell ref="L39:N39"/>
    <mergeCell ref="L40:N40"/>
    <mergeCell ref="L41:N41"/>
    <mergeCell ref="L42:N42"/>
    <mergeCell ref="V22:Y22"/>
    <mergeCell ref="T3:AB3"/>
    <mergeCell ref="U24:Z24"/>
    <mergeCell ref="V28:Y28"/>
    <mergeCell ref="C87:D87"/>
    <mergeCell ref="C93:D93"/>
    <mergeCell ref="B80:J80"/>
    <mergeCell ref="N63:O63"/>
    <mergeCell ref="M65:N65"/>
    <mergeCell ref="O65:P65"/>
    <mergeCell ref="M66:N66"/>
    <mergeCell ref="O66:P66"/>
    <mergeCell ref="M67:N67"/>
    <mergeCell ref="O67:P67"/>
    <mergeCell ref="L55:N55"/>
    <mergeCell ref="L56:N56"/>
    <mergeCell ref="L57:N57"/>
    <mergeCell ref="L58:N58"/>
    <mergeCell ref="L59:N59"/>
    <mergeCell ref="L60:N60"/>
    <mergeCell ref="L49:N49"/>
    <mergeCell ref="L50:N50"/>
    <mergeCell ref="L51:N51"/>
    <mergeCell ref="L52:N52"/>
  </mergeCells>
  <pageMargins left="0.7" right="0.7" top="0.75" bottom="0.75" header="0.3" footer="0.3"/>
  <pageSetup scale="87" orientation="portrait" horizontalDpi="4294967295" verticalDpi="4294967295" r:id="rId1"/>
  <rowBreaks count="1" manualBreakCount="1">
    <brk id="43" min="1" max="2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249977111117893"/>
  </sheetPr>
  <dimension ref="B4:M658"/>
  <sheetViews>
    <sheetView view="pageBreakPreview" topLeftCell="A574" zoomScale="80" zoomScaleNormal="100" zoomScaleSheetLayoutView="80" workbookViewId="0">
      <selection activeCell="M585" sqref="M585"/>
    </sheetView>
  </sheetViews>
  <sheetFormatPr baseColWidth="10" defaultRowHeight="12.75" x14ac:dyDescent="0.25"/>
  <cols>
    <col min="1" max="1" width="11.42578125" style="222"/>
    <col min="2" max="2" width="11.42578125" style="236"/>
    <col min="3" max="3" width="6.140625" style="222" customWidth="1"/>
    <col min="4" max="4" width="43.140625" style="222" customWidth="1"/>
    <col min="5" max="6" width="11.42578125" style="222"/>
    <col min="7" max="7" width="13.42578125" style="222" customWidth="1"/>
    <col min="8" max="8" width="14.140625" style="222" customWidth="1"/>
    <col min="9" max="9" width="12.42578125" style="222" bestFit="1" customWidth="1"/>
    <col min="10" max="16384" width="11.42578125" style="222"/>
  </cols>
  <sheetData>
    <row r="4" spans="2:11" x14ac:dyDescent="0.25">
      <c r="B4" s="389" t="s">
        <v>708</v>
      </c>
    </row>
    <row r="6" spans="2:11" ht="19.5" hidden="1" customHeight="1" x14ac:dyDescent="0.25">
      <c r="B6" s="1741" t="s">
        <v>1626</v>
      </c>
      <c r="C6" s="1741"/>
      <c r="D6" s="1741"/>
      <c r="E6" s="1741"/>
      <c r="F6" s="1741"/>
      <c r="G6" s="1741"/>
      <c r="H6" s="1741"/>
      <c r="I6" s="1741"/>
      <c r="J6" s="1741"/>
      <c r="K6" s="1741"/>
    </row>
    <row r="7" spans="2:11" hidden="1" x14ac:dyDescent="0.25"/>
    <row r="8" spans="2:11" hidden="1" x14ac:dyDescent="0.25">
      <c r="B8" s="1223" t="s">
        <v>714</v>
      </c>
      <c r="C8" s="1226" t="s">
        <v>1605</v>
      </c>
      <c r="D8" s="1227"/>
      <c r="E8" s="1227"/>
      <c r="F8" s="1227"/>
      <c r="G8" s="1227"/>
      <c r="H8" s="1227"/>
      <c r="I8" s="1227"/>
      <c r="J8" s="1227"/>
    </row>
    <row r="9" spans="2:11" hidden="1" x14ac:dyDescent="0.25"/>
    <row r="10" spans="2:11" hidden="1" x14ac:dyDescent="0.25">
      <c r="B10" s="236" t="s">
        <v>715</v>
      </c>
      <c r="C10" s="408" t="s">
        <v>1627</v>
      </c>
    </row>
    <row r="11" spans="2:11" hidden="1" x14ac:dyDescent="0.25"/>
    <row r="12" spans="2:11" ht="25.5" hidden="1" x14ac:dyDescent="0.25">
      <c r="C12" s="1269" t="s">
        <v>398</v>
      </c>
      <c r="D12" s="1269" t="s">
        <v>649</v>
      </c>
      <c r="E12" s="1269" t="s">
        <v>397</v>
      </c>
      <c r="F12" s="1269" t="s">
        <v>650</v>
      </c>
      <c r="G12" s="1269" t="s">
        <v>722</v>
      </c>
      <c r="H12" s="1302" t="s">
        <v>733</v>
      </c>
      <c r="I12" s="1269" t="s">
        <v>44</v>
      </c>
    </row>
    <row r="13" spans="2:11" hidden="1" x14ac:dyDescent="0.25">
      <c r="C13" s="1303">
        <v>1</v>
      </c>
      <c r="D13" s="1734" t="s">
        <v>718</v>
      </c>
      <c r="E13" s="1735"/>
      <c r="F13" s="1735"/>
      <c r="G13" s="1735"/>
      <c r="H13" s="1736"/>
      <c r="I13" s="1304">
        <f>SUM(I14:I15)</f>
        <v>2220</v>
      </c>
    </row>
    <row r="14" spans="2:11" hidden="1" x14ac:dyDescent="0.25">
      <c r="C14" s="349" t="s">
        <v>401</v>
      </c>
      <c r="D14" s="1305" t="s">
        <v>716</v>
      </c>
      <c r="E14" s="349" t="s">
        <v>402</v>
      </c>
      <c r="F14" s="349">
        <v>1</v>
      </c>
      <c r="G14" s="349">
        <v>9</v>
      </c>
      <c r="H14" s="1306">
        <v>150</v>
      </c>
      <c r="I14" s="1307">
        <f>G14*H14</f>
        <v>1350</v>
      </c>
    </row>
    <row r="15" spans="2:11" hidden="1" x14ac:dyDescent="0.25">
      <c r="C15" s="349" t="s">
        <v>400</v>
      </c>
      <c r="D15" s="1305" t="s">
        <v>717</v>
      </c>
      <c r="E15" s="349" t="s">
        <v>402</v>
      </c>
      <c r="F15" s="349">
        <v>1</v>
      </c>
      <c r="G15" s="349">
        <v>9</v>
      </c>
      <c r="H15" s="1306">
        <f>2900/30</f>
        <v>96.666666666666671</v>
      </c>
      <c r="I15" s="1307">
        <f>G15*H15</f>
        <v>870</v>
      </c>
    </row>
    <row r="16" spans="2:11" hidden="1" x14ac:dyDescent="0.25">
      <c r="C16" s="1303">
        <v>2</v>
      </c>
      <c r="D16" s="1737" t="s">
        <v>719</v>
      </c>
      <c r="E16" s="1737"/>
      <c r="F16" s="1737"/>
      <c r="G16" s="1737"/>
      <c r="H16" s="1737"/>
      <c r="I16" s="1304">
        <f>SUM(I17:I18)</f>
        <v>2520</v>
      </c>
    </row>
    <row r="17" spans="3:10" hidden="1" x14ac:dyDescent="0.25">
      <c r="C17" s="349" t="s">
        <v>691</v>
      </c>
      <c r="D17" s="1305" t="s">
        <v>721</v>
      </c>
      <c r="E17" s="349" t="s">
        <v>402</v>
      </c>
      <c r="F17" s="349">
        <v>1</v>
      </c>
      <c r="G17" s="349">
        <v>9</v>
      </c>
      <c r="H17" s="1306">
        <v>140</v>
      </c>
      <c r="I17" s="1307">
        <f>G17*H17</f>
        <v>1260</v>
      </c>
    </row>
    <row r="18" spans="3:10" hidden="1" x14ac:dyDescent="0.25">
      <c r="C18" s="349" t="s">
        <v>700</v>
      </c>
      <c r="D18" s="1305" t="s">
        <v>720</v>
      </c>
      <c r="E18" s="349" t="s">
        <v>402</v>
      </c>
      <c r="F18" s="349">
        <v>1</v>
      </c>
      <c r="G18" s="349">
        <v>9</v>
      </c>
      <c r="H18" s="1306">
        <v>140</v>
      </c>
      <c r="I18" s="1307">
        <f>G18*H18</f>
        <v>1260</v>
      </c>
    </row>
    <row r="19" spans="3:10" hidden="1" x14ac:dyDescent="0.25">
      <c r="C19" s="1303">
        <v>3</v>
      </c>
      <c r="D19" s="1737" t="s">
        <v>723</v>
      </c>
      <c r="E19" s="1737"/>
      <c r="F19" s="1737"/>
      <c r="G19" s="1738"/>
      <c r="H19" s="1738"/>
      <c r="I19" s="1304">
        <f>SUM(I20:I28)</f>
        <v>2739.2286829685745</v>
      </c>
    </row>
    <row r="20" spans="3:10" hidden="1" x14ac:dyDescent="0.25">
      <c r="C20" s="349" t="s">
        <v>714</v>
      </c>
      <c r="D20" s="1308" t="s">
        <v>724</v>
      </c>
      <c r="E20" s="349" t="s">
        <v>402</v>
      </c>
      <c r="F20" s="349">
        <v>200</v>
      </c>
      <c r="G20" s="349" t="s">
        <v>669</v>
      </c>
      <c r="H20" s="1306">
        <v>0.5</v>
      </c>
      <c r="I20" s="1307">
        <f>F20*H20</f>
        <v>100</v>
      </c>
    </row>
    <row r="21" spans="3:10" hidden="1" x14ac:dyDescent="0.25">
      <c r="C21" s="349" t="s">
        <v>734</v>
      </c>
      <c r="D21" s="1308" t="s">
        <v>725</v>
      </c>
      <c r="E21" s="349" t="s">
        <v>726</v>
      </c>
      <c r="F21" s="349">
        <v>9</v>
      </c>
      <c r="G21" s="349" t="s">
        <v>669</v>
      </c>
      <c r="H21" s="1306">
        <v>25</v>
      </c>
      <c r="I21" s="1307">
        <f t="shared" ref="I21:I28" si="0">F21*H21</f>
        <v>225</v>
      </c>
    </row>
    <row r="22" spans="3:10" hidden="1" x14ac:dyDescent="0.25">
      <c r="C22" s="349" t="s">
        <v>735</v>
      </c>
      <c r="D22" s="1308" t="s">
        <v>727</v>
      </c>
      <c r="E22" s="349" t="s">
        <v>402</v>
      </c>
      <c r="F22" s="349">
        <v>50</v>
      </c>
      <c r="G22" s="349" t="s">
        <v>669</v>
      </c>
      <c r="H22" s="1306">
        <v>0.5</v>
      </c>
      <c r="I22" s="1307">
        <f t="shared" si="0"/>
        <v>25</v>
      </c>
    </row>
    <row r="23" spans="3:10" hidden="1" x14ac:dyDescent="0.25">
      <c r="C23" s="349" t="s">
        <v>736</v>
      </c>
      <c r="D23" s="1308" t="s">
        <v>728</v>
      </c>
      <c r="E23" s="349" t="s">
        <v>729</v>
      </c>
      <c r="F23" s="349">
        <v>9</v>
      </c>
      <c r="G23" s="349" t="s">
        <v>669</v>
      </c>
      <c r="H23" s="1306">
        <v>4</v>
      </c>
      <c r="I23" s="1307">
        <f t="shared" si="0"/>
        <v>36</v>
      </c>
    </row>
    <row r="24" spans="3:10" hidden="1" x14ac:dyDescent="0.25">
      <c r="C24" s="349" t="s">
        <v>737</v>
      </c>
      <c r="D24" s="1308" t="s">
        <v>730</v>
      </c>
      <c r="E24" s="349" t="s">
        <v>402</v>
      </c>
      <c r="F24" s="349">
        <v>9</v>
      </c>
      <c r="G24" s="349" t="s">
        <v>669</v>
      </c>
      <c r="H24" s="1306">
        <v>2</v>
      </c>
      <c r="I24" s="1307">
        <f t="shared" si="0"/>
        <v>18</v>
      </c>
    </row>
    <row r="25" spans="3:10" hidden="1" x14ac:dyDescent="0.25">
      <c r="C25" s="349" t="s">
        <v>738</v>
      </c>
      <c r="D25" s="1308" t="s">
        <v>731</v>
      </c>
      <c r="E25" s="349" t="s">
        <v>732</v>
      </c>
      <c r="F25" s="349">
        <v>9</v>
      </c>
      <c r="G25" s="349" t="s">
        <v>669</v>
      </c>
      <c r="H25" s="1306">
        <v>30</v>
      </c>
      <c r="I25" s="1307">
        <f t="shared" si="0"/>
        <v>270</v>
      </c>
    </row>
    <row r="26" spans="3:10" hidden="1" x14ac:dyDescent="0.25">
      <c r="C26" s="349" t="s">
        <v>755</v>
      </c>
      <c r="D26" s="1308" t="s">
        <v>758</v>
      </c>
      <c r="E26" s="349" t="s">
        <v>402</v>
      </c>
      <c r="F26" s="410">
        <f>F33</f>
        <v>516.30717074214363</v>
      </c>
      <c r="G26" s="349" t="s">
        <v>669</v>
      </c>
      <c r="H26" s="1306">
        <v>0.5</v>
      </c>
      <c r="I26" s="1307">
        <f t="shared" si="0"/>
        <v>258.15358537107181</v>
      </c>
      <c r="J26" s="243">
        <f>F26/9</f>
        <v>57.367463415793736</v>
      </c>
    </row>
    <row r="27" spans="3:10" hidden="1" x14ac:dyDescent="0.25">
      <c r="C27" s="349">
        <v>3.8</v>
      </c>
      <c r="D27" s="1308" t="s">
        <v>756</v>
      </c>
      <c r="E27" s="349" t="s">
        <v>402</v>
      </c>
      <c r="F27" s="410">
        <f>F26</f>
        <v>516.30717074214363</v>
      </c>
      <c r="G27" s="349" t="s">
        <v>669</v>
      </c>
      <c r="H27" s="1306">
        <v>0.5</v>
      </c>
      <c r="I27" s="1307">
        <f t="shared" si="0"/>
        <v>258.15358537107181</v>
      </c>
    </row>
    <row r="28" spans="3:10" hidden="1" x14ac:dyDescent="0.25">
      <c r="C28" s="349">
        <v>3.9</v>
      </c>
      <c r="D28" s="1308" t="s">
        <v>757</v>
      </c>
      <c r="E28" s="349" t="s">
        <v>402</v>
      </c>
      <c r="F28" s="410">
        <f>F27</f>
        <v>516.30717074214363</v>
      </c>
      <c r="G28" s="349" t="s">
        <v>669</v>
      </c>
      <c r="H28" s="1306">
        <v>3</v>
      </c>
      <c r="I28" s="1307">
        <f t="shared" si="0"/>
        <v>1548.9215122264309</v>
      </c>
    </row>
    <row r="29" spans="3:10" hidden="1" x14ac:dyDescent="0.25">
      <c r="C29" s="1303">
        <v>4</v>
      </c>
      <c r="D29" s="1737" t="s">
        <v>739</v>
      </c>
      <c r="E29" s="1737"/>
      <c r="F29" s="1737"/>
      <c r="G29" s="1737"/>
      <c r="H29" s="1737"/>
      <c r="I29" s="1309">
        <f>SUM(I30:I31)</f>
        <v>720</v>
      </c>
    </row>
    <row r="30" spans="3:10" hidden="1" x14ac:dyDescent="0.25">
      <c r="C30" s="349" t="s">
        <v>742</v>
      </c>
      <c r="D30" s="1305" t="s">
        <v>740</v>
      </c>
      <c r="E30" s="349" t="s">
        <v>402</v>
      </c>
      <c r="F30" s="349">
        <v>1</v>
      </c>
      <c r="G30" s="349">
        <v>9</v>
      </c>
      <c r="H30" s="1306">
        <v>30</v>
      </c>
      <c r="I30" s="1307">
        <f>F30*G30*H30</f>
        <v>270</v>
      </c>
    </row>
    <row r="31" spans="3:10" hidden="1" x14ac:dyDescent="0.25">
      <c r="C31" s="349" t="s">
        <v>743</v>
      </c>
      <c r="D31" s="1305" t="s">
        <v>741</v>
      </c>
      <c r="E31" s="349" t="s">
        <v>402</v>
      </c>
      <c r="F31" s="349">
        <v>1</v>
      </c>
      <c r="G31" s="349">
        <v>9</v>
      </c>
      <c r="H31" s="1306">
        <v>50</v>
      </c>
      <c r="I31" s="1307">
        <f>F31*G31*H31</f>
        <v>450</v>
      </c>
    </row>
    <row r="32" spans="3:10" hidden="1" x14ac:dyDescent="0.25">
      <c r="C32" s="1303">
        <v>5</v>
      </c>
      <c r="D32" s="1737" t="s">
        <v>748</v>
      </c>
      <c r="E32" s="1737"/>
      <c r="F32" s="1737"/>
      <c r="G32" s="1737"/>
      <c r="H32" s="1737"/>
      <c r="I32" s="377">
        <f>SUM(I33:I34)</f>
        <v>51114.409903472224</v>
      </c>
    </row>
    <row r="33" spans="2:10" hidden="1" x14ac:dyDescent="0.25">
      <c r="C33" s="349" t="s">
        <v>746</v>
      </c>
      <c r="D33" s="1305" t="s">
        <v>744</v>
      </c>
      <c r="E33" s="349" t="s">
        <v>402</v>
      </c>
      <c r="F33" s="410">
        <f>'DEM EFEC'!W103/3</f>
        <v>516.30717074214363</v>
      </c>
      <c r="G33" s="349">
        <v>9</v>
      </c>
      <c r="H33" s="1306">
        <v>8</v>
      </c>
      <c r="I33" s="1307">
        <f>F33*G33*H33</f>
        <v>37174.116293434345</v>
      </c>
    </row>
    <row r="34" spans="2:10" hidden="1" x14ac:dyDescent="0.25">
      <c r="C34" s="349">
        <v>5.2</v>
      </c>
      <c r="D34" s="1305" t="s">
        <v>745</v>
      </c>
      <c r="E34" s="349" t="s">
        <v>402</v>
      </c>
      <c r="F34" s="410">
        <f>F33</f>
        <v>516.30717074214363</v>
      </c>
      <c r="G34" s="349">
        <v>9</v>
      </c>
      <c r="H34" s="1306">
        <v>3</v>
      </c>
      <c r="I34" s="1307">
        <f>F34*G34*H34</f>
        <v>13940.293610037879</v>
      </c>
    </row>
    <row r="35" spans="2:10" hidden="1" x14ac:dyDescent="0.25">
      <c r="C35" s="1303">
        <v>6</v>
      </c>
      <c r="D35" s="1737" t="s">
        <v>747</v>
      </c>
      <c r="E35" s="1737"/>
      <c r="F35" s="1737"/>
      <c r="G35" s="1737"/>
      <c r="H35" s="1737"/>
      <c r="I35" s="377">
        <f>SUM(I36:I37)</f>
        <v>4095</v>
      </c>
    </row>
    <row r="36" spans="2:10" hidden="1" x14ac:dyDescent="0.25">
      <c r="C36" s="349" t="s">
        <v>753</v>
      </c>
      <c r="D36" s="1305" t="s">
        <v>750</v>
      </c>
      <c r="E36" s="349" t="s">
        <v>749</v>
      </c>
      <c r="F36" s="349">
        <v>1</v>
      </c>
      <c r="G36" s="349">
        <v>9</v>
      </c>
      <c r="H36" s="1306">
        <v>300</v>
      </c>
      <c r="I36" s="1307">
        <f>F36*G36*H36</f>
        <v>2700</v>
      </c>
    </row>
    <row r="37" spans="2:10" hidden="1" x14ac:dyDescent="0.25">
      <c r="C37" s="349" t="s">
        <v>754</v>
      </c>
      <c r="D37" s="1305" t="s">
        <v>751</v>
      </c>
      <c r="E37" s="349" t="s">
        <v>752</v>
      </c>
      <c r="F37" s="349">
        <v>10</v>
      </c>
      <c r="G37" s="349">
        <v>9</v>
      </c>
      <c r="H37" s="1306">
        <v>15.5</v>
      </c>
      <c r="I37" s="1307">
        <f>F37*G37*H37</f>
        <v>1395</v>
      </c>
    </row>
    <row r="38" spans="2:10" hidden="1" x14ac:dyDescent="0.25">
      <c r="C38" s="1739" t="s">
        <v>44</v>
      </c>
      <c r="D38" s="1739"/>
      <c r="E38" s="1739"/>
      <c r="F38" s="1739"/>
      <c r="G38" s="1739"/>
      <c r="H38" s="1739"/>
      <c r="I38" s="418">
        <f>I13+I16+I19+I29+I32+I35</f>
        <v>63408.6385864408</v>
      </c>
    </row>
    <row r="39" spans="2:10" hidden="1" x14ac:dyDescent="0.25"/>
    <row r="40" spans="2:10" hidden="1" x14ac:dyDescent="0.25"/>
    <row r="41" spans="2:10" hidden="1" x14ac:dyDescent="0.25">
      <c r="B41" s="236" t="s">
        <v>759</v>
      </c>
      <c r="C41" s="408" t="s">
        <v>1606</v>
      </c>
      <c r="J41" s="415"/>
    </row>
    <row r="42" spans="2:10" hidden="1" x14ac:dyDescent="0.25"/>
    <row r="43" spans="2:10" ht="25.5" hidden="1" x14ac:dyDescent="0.25">
      <c r="C43" s="1269" t="s">
        <v>398</v>
      </c>
      <c r="D43" s="1269" t="s">
        <v>649</v>
      </c>
      <c r="E43" s="1269" t="s">
        <v>397</v>
      </c>
      <c r="F43" s="1269" t="s">
        <v>650</v>
      </c>
      <c r="G43" s="1269" t="s">
        <v>722</v>
      </c>
      <c r="H43" s="1302" t="s">
        <v>733</v>
      </c>
      <c r="I43" s="1269" t="s">
        <v>44</v>
      </c>
    </row>
    <row r="44" spans="2:10" hidden="1" x14ac:dyDescent="0.25">
      <c r="C44" s="1303">
        <v>1</v>
      </c>
      <c r="D44" s="1734" t="s">
        <v>718</v>
      </c>
      <c r="E44" s="1735"/>
      <c r="F44" s="1735"/>
      <c r="G44" s="1735"/>
      <c r="H44" s="1736"/>
      <c r="I44" s="1304">
        <f>SUM(I45:I46)</f>
        <v>2220</v>
      </c>
    </row>
    <row r="45" spans="2:10" hidden="1" x14ac:dyDescent="0.25">
      <c r="C45" s="349" t="s">
        <v>401</v>
      </c>
      <c r="D45" s="1305" t="s">
        <v>716</v>
      </c>
      <c r="E45" s="349" t="s">
        <v>402</v>
      </c>
      <c r="F45" s="349">
        <v>1</v>
      </c>
      <c r="G45" s="349">
        <v>9</v>
      </c>
      <c r="H45" s="1306">
        <f>H14</f>
        <v>150</v>
      </c>
      <c r="I45" s="1307">
        <f>G45*H45</f>
        <v>1350</v>
      </c>
    </row>
    <row r="46" spans="2:10" hidden="1" x14ac:dyDescent="0.25">
      <c r="C46" s="349" t="s">
        <v>400</v>
      </c>
      <c r="D46" s="1305" t="s">
        <v>717</v>
      </c>
      <c r="E46" s="349" t="s">
        <v>402</v>
      </c>
      <c r="F46" s="349">
        <v>1</v>
      </c>
      <c r="G46" s="349">
        <v>9</v>
      </c>
      <c r="H46" s="1306">
        <f>H15</f>
        <v>96.666666666666671</v>
      </c>
      <c r="I46" s="1307">
        <f>G46*H46</f>
        <v>870</v>
      </c>
    </row>
    <row r="47" spans="2:10" hidden="1" x14ac:dyDescent="0.25">
      <c r="C47" s="1303">
        <v>2</v>
      </c>
      <c r="D47" s="1737" t="s">
        <v>719</v>
      </c>
      <c r="E47" s="1737"/>
      <c r="F47" s="1737"/>
      <c r="G47" s="1737"/>
      <c r="H47" s="1737"/>
      <c r="I47" s="1304">
        <f>SUM(I48:I49)</f>
        <v>2520</v>
      </c>
    </row>
    <row r="48" spans="2:10" hidden="1" x14ac:dyDescent="0.25">
      <c r="C48" s="349" t="s">
        <v>691</v>
      </c>
      <c r="D48" s="1305" t="s">
        <v>721</v>
      </c>
      <c r="E48" s="349" t="s">
        <v>402</v>
      </c>
      <c r="F48" s="349">
        <v>1</v>
      </c>
      <c r="G48" s="349">
        <v>9</v>
      </c>
      <c r="H48" s="1306">
        <v>140</v>
      </c>
      <c r="I48" s="1307">
        <f>G48*H48</f>
        <v>1260</v>
      </c>
    </row>
    <row r="49" spans="3:9" hidden="1" x14ac:dyDescent="0.25">
      <c r="C49" s="349" t="s">
        <v>700</v>
      </c>
      <c r="D49" s="1305" t="s">
        <v>720</v>
      </c>
      <c r="E49" s="349" t="s">
        <v>402</v>
      </c>
      <c r="F49" s="349">
        <v>1</v>
      </c>
      <c r="G49" s="349">
        <v>9</v>
      </c>
      <c r="H49" s="1306">
        <v>140</v>
      </c>
      <c r="I49" s="1307">
        <f>G49*H49</f>
        <v>1260</v>
      </c>
    </row>
    <row r="50" spans="3:9" hidden="1" x14ac:dyDescent="0.25">
      <c r="C50" s="1303">
        <v>3</v>
      </c>
      <c r="D50" s="1737" t="s">
        <v>723</v>
      </c>
      <c r="E50" s="1737"/>
      <c r="F50" s="1737"/>
      <c r="G50" s="1738"/>
      <c r="H50" s="1738"/>
      <c r="I50" s="1304">
        <f>SUM(I51:I59)</f>
        <v>2739.2286829685745</v>
      </c>
    </row>
    <row r="51" spans="3:9" hidden="1" x14ac:dyDescent="0.25">
      <c r="C51" s="349" t="s">
        <v>714</v>
      </c>
      <c r="D51" s="1308" t="s">
        <v>724</v>
      </c>
      <c r="E51" s="349" t="s">
        <v>402</v>
      </c>
      <c r="F51" s="349">
        <v>200</v>
      </c>
      <c r="G51" s="349" t="s">
        <v>669</v>
      </c>
      <c r="H51" s="1306">
        <v>0.5</v>
      </c>
      <c r="I51" s="1307">
        <f>F51*H51</f>
        <v>100</v>
      </c>
    </row>
    <row r="52" spans="3:9" hidden="1" x14ac:dyDescent="0.25">
      <c r="C52" s="349" t="s">
        <v>734</v>
      </c>
      <c r="D52" s="1308" t="s">
        <v>725</v>
      </c>
      <c r="E52" s="349" t="s">
        <v>726</v>
      </c>
      <c r="F52" s="349">
        <v>9</v>
      </c>
      <c r="G52" s="349" t="s">
        <v>669</v>
      </c>
      <c r="H52" s="1306">
        <v>25</v>
      </c>
      <c r="I52" s="1307">
        <f t="shared" ref="I52:I59" si="1">F52*H52</f>
        <v>225</v>
      </c>
    </row>
    <row r="53" spans="3:9" hidden="1" x14ac:dyDescent="0.25">
      <c r="C53" s="349" t="s">
        <v>735</v>
      </c>
      <c r="D53" s="1308" t="s">
        <v>727</v>
      </c>
      <c r="E53" s="349" t="s">
        <v>402</v>
      </c>
      <c r="F53" s="349">
        <v>50</v>
      </c>
      <c r="G53" s="349" t="s">
        <v>669</v>
      </c>
      <c r="H53" s="1306">
        <v>0.5</v>
      </c>
      <c r="I53" s="1307">
        <f t="shared" si="1"/>
        <v>25</v>
      </c>
    </row>
    <row r="54" spans="3:9" hidden="1" x14ac:dyDescent="0.25">
      <c r="C54" s="349" t="s">
        <v>736</v>
      </c>
      <c r="D54" s="1308" t="s">
        <v>728</v>
      </c>
      <c r="E54" s="349" t="s">
        <v>729</v>
      </c>
      <c r="F54" s="349">
        <v>9</v>
      </c>
      <c r="G54" s="349" t="s">
        <v>669</v>
      </c>
      <c r="H54" s="1306">
        <v>4</v>
      </c>
      <c r="I54" s="1307">
        <f t="shared" si="1"/>
        <v>36</v>
      </c>
    </row>
    <row r="55" spans="3:9" hidden="1" x14ac:dyDescent="0.25">
      <c r="C55" s="349" t="s">
        <v>737</v>
      </c>
      <c r="D55" s="1308" t="s">
        <v>730</v>
      </c>
      <c r="E55" s="349" t="s">
        <v>402</v>
      </c>
      <c r="F55" s="349">
        <v>9</v>
      </c>
      <c r="G55" s="349" t="s">
        <v>669</v>
      </c>
      <c r="H55" s="1306">
        <v>2</v>
      </c>
      <c r="I55" s="1307">
        <f t="shared" si="1"/>
        <v>18</v>
      </c>
    </row>
    <row r="56" spans="3:9" hidden="1" x14ac:dyDescent="0.25">
      <c r="C56" s="349" t="s">
        <v>738</v>
      </c>
      <c r="D56" s="1308" t="s">
        <v>731</v>
      </c>
      <c r="E56" s="349" t="s">
        <v>732</v>
      </c>
      <c r="F56" s="349">
        <v>9</v>
      </c>
      <c r="G56" s="349" t="s">
        <v>669</v>
      </c>
      <c r="H56" s="1306">
        <v>30</v>
      </c>
      <c r="I56" s="1307">
        <f t="shared" si="1"/>
        <v>270</v>
      </c>
    </row>
    <row r="57" spans="3:9" hidden="1" x14ac:dyDescent="0.25">
      <c r="C57" s="349" t="s">
        <v>755</v>
      </c>
      <c r="D57" s="1308" t="s">
        <v>758</v>
      </c>
      <c r="E57" s="349" t="s">
        <v>402</v>
      </c>
      <c r="F57" s="410">
        <f>F26</f>
        <v>516.30717074214363</v>
      </c>
      <c r="G57" s="349" t="s">
        <v>669</v>
      </c>
      <c r="H57" s="1306">
        <v>0.5</v>
      </c>
      <c r="I57" s="1307">
        <f t="shared" si="1"/>
        <v>258.15358537107181</v>
      </c>
    </row>
    <row r="58" spans="3:9" hidden="1" x14ac:dyDescent="0.25">
      <c r="C58" s="349">
        <v>3.8</v>
      </c>
      <c r="D58" s="1308" t="s">
        <v>756</v>
      </c>
      <c r="E58" s="349" t="s">
        <v>402</v>
      </c>
      <c r="F58" s="410">
        <f>F57</f>
        <v>516.30717074214363</v>
      </c>
      <c r="G58" s="349" t="s">
        <v>669</v>
      </c>
      <c r="H58" s="1306">
        <v>0.5</v>
      </c>
      <c r="I58" s="1307">
        <f t="shared" si="1"/>
        <v>258.15358537107181</v>
      </c>
    </row>
    <row r="59" spans="3:9" hidden="1" x14ac:dyDescent="0.25">
      <c r="C59" s="349">
        <v>3.9</v>
      </c>
      <c r="D59" s="1308" t="s">
        <v>757</v>
      </c>
      <c r="E59" s="349" t="s">
        <v>402</v>
      </c>
      <c r="F59" s="410">
        <f>F58</f>
        <v>516.30717074214363</v>
      </c>
      <c r="G59" s="349" t="s">
        <v>669</v>
      </c>
      <c r="H59" s="1306">
        <v>3</v>
      </c>
      <c r="I59" s="1307">
        <f t="shared" si="1"/>
        <v>1548.9215122264309</v>
      </c>
    </row>
    <row r="60" spans="3:9" hidden="1" x14ac:dyDescent="0.25">
      <c r="C60" s="1303">
        <v>4</v>
      </c>
      <c r="D60" s="1737" t="s">
        <v>739</v>
      </c>
      <c r="E60" s="1737"/>
      <c r="F60" s="1737"/>
      <c r="G60" s="1737"/>
      <c r="H60" s="1737"/>
      <c r="I60" s="1309">
        <f>SUM(I61:I62)</f>
        <v>720</v>
      </c>
    </row>
    <row r="61" spans="3:9" hidden="1" x14ac:dyDescent="0.25">
      <c r="C61" s="349" t="s">
        <v>742</v>
      </c>
      <c r="D61" s="1305" t="s">
        <v>740</v>
      </c>
      <c r="E61" s="349" t="s">
        <v>402</v>
      </c>
      <c r="F61" s="349">
        <v>1</v>
      </c>
      <c r="G61" s="349">
        <v>9</v>
      </c>
      <c r="H61" s="1306">
        <v>30</v>
      </c>
      <c r="I61" s="1307">
        <f>F61*G61*H61</f>
        <v>270</v>
      </c>
    </row>
    <row r="62" spans="3:9" hidden="1" x14ac:dyDescent="0.25">
      <c r="C62" s="349" t="s">
        <v>743</v>
      </c>
      <c r="D62" s="1305" t="s">
        <v>741</v>
      </c>
      <c r="E62" s="349" t="s">
        <v>402</v>
      </c>
      <c r="F62" s="349">
        <v>1</v>
      </c>
      <c r="G62" s="349">
        <v>9</v>
      </c>
      <c r="H62" s="1306">
        <v>50</v>
      </c>
      <c r="I62" s="1307">
        <f>F62*G62*H62</f>
        <v>450</v>
      </c>
    </row>
    <row r="63" spans="3:9" hidden="1" x14ac:dyDescent="0.25">
      <c r="C63" s="1303">
        <v>5</v>
      </c>
      <c r="D63" s="1737" t="s">
        <v>748</v>
      </c>
      <c r="E63" s="1737"/>
      <c r="F63" s="1737"/>
      <c r="G63" s="1737"/>
      <c r="H63" s="1737"/>
      <c r="I63" s="377">
        <f>SUM(I64:I65)</f>
        <v>51114.409903472224</v>
      </c>
    </row>
    <row r="64" spans="3:9" hidden="1" x14ac:dyDescent="0.25">
      <c r="C64" s="349" t="s">
        <v>746</v>
      </c>
      <c r="D64" s="1305" t="s">
        <v>744</v>
      </c>
      <c r="E64" s="349" t="s">
        <v>402</v>
      </c>
      <c r="F64" s="410">
        <f>F33</f>
        <v>516.30717074214363</v>
      </c>
      <c r="G64" s="349">
        <v>9</v>
      </c>
      <c r="H64" s="1306">
        <v>8</v>
      </c>
      <c r="I64" s="1307">
        <f>F64*G64*H64</f>
        <v>37174.116293434345</v>
      </c>
    </row>
    <row r="65" spans="2:9" hidden="1" x14ac:dyDescent="0.25">
      <c r="C65" s="349">
        <v>5.2</v>
      </c>
      <c r="D65" s="1305" t="s">
        <v>745</v>
      </c>
      <c r="E65" s="349" t="s">
        <v>402</v>
      </c>
      <c r="F65" s="410">
        <f>F64</f>
        <v>516.30717074214363</v>
      </c>
      <c r="G65" s="349">
        <v>9</v>
      </c>
      <c r="H65" s="1306">
        <v>3</v>
      </c>
      <c r="I65" s="1307">
        <f>F65*G65*H65</f>
        <v>13940.293610037879</v>
      </c>
    </row>
    <row r="66" spans="2:9" hidden="1" x14ac:dyDescent="0.25">
      <c r="C66" s="1303">
        <v>6</v>
      </c>
      <c r="D66" s="1737" t="s">
        <v>747</v>
      </c>
      <c r="E66" s="1737"/>
      <c r="F66" s="1737"/>
      <c r="G66" s="1737"/>
      <c r="H66" s="1737"/>
      <c r="I66" s="377">
        <f>SUM(I67:I68)</f>
        <v>4095</v>
      </c>
    </row>
    <row r="67" spans="2:9" hidden="1" x14ac:dyDescent="0.25">
      <c r="C67" s="349" t="s">
        <v>753</v>
      </c>
      <c r="D67" s="1305" t="s">
        <v>750</v>
      </c>
      <c r="E67" s="349" t="s">
        <v>749</v>
      </c>
      <c r="F67" s="349">
        <v>1</v>
      </c>
      <c r="G67" s="349">
        <v>9</v>
      </c>
      <c r="H67" s="1306">
        <v>300</v>
      </c>
      <c r="I67" s="1307">
        <f>F67*G67*H67</f>
        <v>2700</v>
      </c>
    </row>
    <row r="68" spans="2:9" hidden="1" x14ac:dyDescent="0.25">
      <c r="C68" s="349" t="s">
        <v>754</v>
      </c>
      <c r="D68" s="1305" t="s">
        <v>751</v>
      </c>
      <c r="E68" s="349" t="s">
        <v>752</v>
      </c>
      <c r="F68" s="349">
        <v>10</v>
      </c>
      <c r="G68" s="349">
        <v>9</v>
      </c>
      <c r="H68" s="1306">
        <v>15.5</v>
      </c>
      <c r="I68" s="1307">
        <f>F68*G68*H68</f>
        <v>1395</v>
      </c>
    </row>
    <row r="69" spans="2:9" hidden="1" x14ac:dyDescent="0.25">
      <c r="C69" s="1739" t="s">
        <v>44</v>
      </c>
      <c r="D69" s="1739"/>
      <c r="E69" s="1739"/>
      <c r="F69" s="1739"/>
      <c r="G69" s="1739"/>
      <c r="H69" s="1739"/>
      <c r="I69" s="418">
        <f>I44+I47+I50+I60+I63+I66</f>
        <v>63408.6385864408</v>
      </c>
    </row>
    <row r="70" spans="2:9" hidden="1" x14ac:dyDescent="0.25"/>
    <row r="71" spans="2:9" hidden="1" x14ac:dyDescent="0.25"/>
    <row r="72" spans="2:9" hidden="1" x14ac:dyDescent="0.25">
      <c r="B72" s="236" t="s">
        <v>760</v>
      </c>
      <c r="C72" s="408" t="s">
        <v>1607</v>
      </c>
    </row>
    <row r="73" spans="2:9" hidden="1" x14ac:dyDescent="0.25"/>
    <row r="74" spans="2:9" ht="25.5" hidden="1" x14ac:dyDescent="0.25">
      <c r="C74" s="1269" t="s">
        <v>398</v>
      </c>
      <c r="D74" s="1269" t="s">
        <v>649</v>
      </c>
      <c r="E74" s="1269" t="s">
        <v>397</v>
      </c>
      <c r="F74" s="1269" t="s">
        <v>650</v>
      </c>
      <c r="G74" s="1269" t="s">
        <v>722</v>
      </c>
      <c r="H74" s="1302" t="s">
        <v>733</v>
      </c>
      <c r="I74" s="1269" t="s">
        <v>44</v>
      </c>
    </row>
    <row r="75" spans="2:9" hidden="1" x14ac:dyDescent="0.25">
      <c r="C75" s="1303">
        <v>1</v>
      </c>
      <c r="D75" s="1734" t="s">
        <v>718</v>
      </c>
      <c r="E75" s="1735"/>
      <c r="F75" s="1735"/>
      <c r="G75" s="1735"/>
      <c r="H75" s="1736"/>
      <c r="I75" s="1304">
        <f>SUM(I76:I77)</f>
        <v>2220</v>
      </c>
    </row>
    <row r="76" spans="2:9" hidden="1" x14ac:dyDescent="0.25">
      <c r="C76" s="349" t="s">
        <v>401</v>
      </c>
      <c r="D76" s="1305" t="s">
        <v>716</v>
      </c>
      <c r="E76" s="349" t="s">
        <v>402</v>
      </c>
      <c r="F76" s="349">
        <v>1</v>
      </c>
      <c r="G76" s="349">
        <v>9</v>
      </c>
      <c r="H76" s="1306">
        <f>H45</f>
        <v>150</v>
      </c>
      <c r="I76" s="1307">
        <f>G76*H76</f>
        <v>1350</v>
      </c>
    </row>
    <row r="77" spans="2:9" hidden="1" x14ac:dyDescent="0.25">
      <c r="C77" s="349" t="s">
        <v>400</v>
      </c>
      <c r="D77" s="1305" t="s">
        <v>717</v>
      </c>
      <c r="E77" s="349" t="s">
        <v>402</v>
      </c>
      <c r="F77" s="349">
        <v>1</v>
      </c>
      <c r="G77" s="349">
        <v>9</v>
      </c>
      <c r="H77" s="1306">
        <f>H46</f>
        <v>96.666666666666671</v>
      </c>
      <c r="I77" s="1307">
        <f>G77*H77</f>
        <v>870</v>
      </c>
    </row>
    <row r="78" spans="2:9" hidden="1" x14ac:dyDescent="0.25">
      <c r="C78" s="1303">
        <v>2</v>
      </c>
      <c r="D78" s="1737" t="s">
        <v>719</v>
      </c>
      <c r="E78" s="1737"/>
      <c r="F78" s="1737"/>
      <c r="G78" s="1737"/>
      <c r="H78" s="1737"/>
      <c r="I78" s="1304">
        <f>SUM(I79:I80)</f>
        <v>2520</v>
      </c>
    </row>
    <row r="79" spans="2:9" hidden="1" x14ac:dyDescent="0.25">
      <c r="C79" s="349" t="s">
        <v>691</v>
      </c>
      <c r="D79" s="1305" t="s">
        <v>721</v>
      </c>
      <c r="E79" s="349" t="s">
        <v>402</v>
      </c>
      <c r="F79" s="349">
        <v>1</v>
      </c>
      <c r="G79" s="349">
        <v>9</v>
      </c>
      <c r="H79" s="1306">
        <v>140</v>
      </c>
      <c r="I79" s="1307">
        <f>G79*H79</f>
        <v>1260</v>
      </c>
    </row>
    <row r="80" spans="2:9" hidden="1" x14ac:dyDescent="0.25">
      <c r="C80" s="349" t="s">
        <v>700</v>
      </c>
      <c r="D80" s="1305" t="s">
        <v>720</v>
      </c>
      <c r="E80" s="349" t="s">
        <v>402</v>
      </c>
      <c r="F80" s="349">
        <v>1</v>
      </c>
      <c r="G80" s="349">
        <v>9</v>
      </c>
      <c r="H80" s="1306">
        <v>140</v>
      </c>
      <c r="I80" s="1307">
        <f>G80*H80</f>
        <v>1260</v>
      </c>
    </row>
    <row r="81" spans="3:9" hidden="1" x14ac:dyDescent="0.25">
      <c r="C81" s="1303">
        <v>3</v>
      </c>
      <c r="D81" s="1737" t="s">
        <v>723</v>
      </c>
      <c r="E81" s="1737"/>
      <c r="F81" s="1737"/>
      <c r="G81" s="1738"/>
      <c r="H81" s="1738"/>
      <c r="I81" s="1304">
        <f>SUM(I82:I90)</f>
        <v>2739.2286829685745</v>
      </c>
    </row>
    <row r="82" spans="3:9" hidden="1" x14ac:dyDescent="0.25">
      <c r="C82" s="349" t="s">
        <v>714</v>
      </c>
      <c r="D82" s="1308" t="s">
        <v>724</v>
      </c>
      <c r="E82" s="349" t="s">
        <v>402</v>
      </c>
      <c r="F82" s="349">
        <v>200</v>
      </c>
      <c r="G82" s="349" t="s">
        <v>669</v>
      </c>
      <c r="H82" s="1306">
        <v>0.5</v>
      </c>
      <c r="I82" s="1307">
        <f>F82*H82</f>
        <v>100</v>
      </c>
    </row>
    <row r="83" spans="3:9" hidden="1" x14ac:dyDescent="0.25">
      <c r="C83" s="349" t="s">
        <v>734</v>
      </c>
      <c r="D83" s="1308" t="s">
        <v>725</v>
      </c>
      <c r="E83" s="349" t="s">
        <v>726</v>
      </c>
      <c r="F83" s="349">
        <v>9</v>
      </c>
      <c r="G83" s="349" t="s">
        <v>669</v>
      </c>
      <c r="H83" s="1306">
        <v>25</v>
      </c>
      <c r="I83" s="1307">
        <f t="shared" ref="I83:I90" si="2">F83*H83</f>
        <v>225</v>
      </c>
    </row>
    <row r="84" spans="3:9" hidden="1" x14ac:dyDescent="0.25">
      <c r="C84" s="349" t="s">
        <v>735</v>
      </c>
      <c r="D84" s="1308" t="s">
        <v>727</v>
      </c>
      <c r="E84" s="349" t="s">
        <v>402</v>
      </c>
      <c r="F84" s="349">
        <v>50</v>
      </c>
      <c r="G84" s="349" t="s">
        <v>669</v>
      </c>
      <c r="H84" s="1306">
        <v>0.5</v>
      </c>
      <c r="I84" s="1307">
        <f t="shared" si="2"/>
        <v>25</v>
      </c>
    </row>
    <row r="85" spans="3:9" hidden="1" x14ac:dyDescent="0.25">
      <c r="C85" s="349" t="s">
        <v>736</v>
      </c>
      <c r="D85" s="1308" t="s">
        <v>728</v>
      </c>
      <c r="E85" s="349" t="s">
        <v>729</v>
      </c>
      <c r="F85" s="349">
        <v>9</v>
      </c>
      <c r="G85" s="349" t="s">
        <v>669</v>
      </c>
      <c r="H85" s="1306">
        <v>4</v>
      </c>
      <c r="I85" s="1307">
        <f t="shared" si="2"/>
        <v>36</v>
      </c>
    </row>
    <row r="86" spans="3:9" hidden="1" x14ac:dyDescent="0.25">
      <c r="C86" s="349" t="s">
        <v>737</v>
      </c>
      <c r="D86" s="1308" t="s">
        <v>730</v>
      </c>
      <c r="E86" s="349" t="s">
        <v>402</v>
      </c>
      <c r="F86" s="349">
        <v>9</v>
      </c>
      <c r="G86" s="349" t="s">
        <v>669</v>
      </c>
      <c r="H86" s="1306">
        <v>2</v>
      </c>
      <c r="I86" s="1307">
        <f t="shared" si="2"/>
        <v>18</v>
      </c>
    </row>
    <row r="87" spans="3:9" hidden="1" x14ac:dyDescent="0.25">
      <c r="C87" s="349" t="s">
        <v>738</v>
      </c>
      <c r="D87" s="1308" t="s">
        <v>731</v>
      </c>
      <c r="E87" s="349" t="s">
        <v>732</v>
      </c>
      <c r="F87" s="349">
        <v>9</v>
      </c>
      <c r="G87" s="349" t="s">
        <v>669</v>
      </c>
      <c r="H87" s="1306">
        <v>30</v>
      </c>
      <c r="I87" s="1307">
        <f t="shared" si="2"/>
        <v>270</v>
      </c>
    </row>
    <row r="88" spans="3:9" hidden="1" x14ac:dyDescent="0.25">
      <c r="C88" s="349" t="s">
        <v>755</v>
      </c>
      <c r="D88" s="1308" t="s">
        <v>758</v>
      </c>
      <c r="E88" s="349" t="s">
        <v>402</v>
      </c>
      <c r="F88" s="410">
        <f>F57</f>
        <v>516.30717074214363</v>
      </c>
      <c r="G88" s="349" t="s">
        <v>669</v>
      </c>
      <c r="H88" s="1306">
        <v>0.5</v>
      </c>
      <c r="I88" s="1307">
        <f t="shared" si="2"/>
        <v>258.15358537107181</v>
      </c>
    </row>
    <row r="89" spans="3:9" hidden="1" x14ac:dyDescent="0.25">
      <c r="C89" s="349">
        <v>3.8</v>
      </c>
      <c r="D89" s="1308" t="s">
        <v>756</v>
      </c>
      <c r="E89" s="349" t="s">
        <v>402</v>
      </c>
      <c r="F89" s="410">
        <f>F88</f>
        <v>516.30717074214363</v>
      </c>
      <c r="G89" s="349" t="s">
        <v>669</v>
      </c>
      <c r="H89" s="1306">
        <v>0.5</v>
      </c>
      <c r="I89" s="1307">
        <f t="shared" si="2"/>
        <v>258.15358537107181</v>
      </c>
    </row>
    <row r="90" spans="3:9" hidden="1" x14ac:dyDescent="0.25">
      <c r="C90" s="349">
        <v>3.9</v>
      </c>
      <c r="D90" s="1308" t="s">
        <v>757</v>
      </c>
      <c r="E90" s="349" t="s">
        <v>402</v>
      </c>
      <c r="F90" s="410">
        <f>F89</f>
        <v>516.30717074214363</v>
      </c>
      <c r="G90" s="349" t="s">
        <v>669</v>
      </c>
      <c r="H90" s="1306">
        <v>3</v>
      </c>
      <c r="I90" s="1307">
        <f t="shared" si="2"/>
        <v>1548.9215122264309</v>
      </c>
    </row>
    <row r="91" spans="3:9" hidden="1" x14ac:dyDescent="0.25">
      <c r="C91" s="1303">
        <v>4</v>
      </c>
      <c r="D91" s="1737" t="s">
        <v>739</v>
      </c>
      <c r="E91" s="1737"/>
      <c r="F91" s="1737"/>
      <c r="G91" s="1737"/>
      <c r="H91" s="1737"/>
      <c r="I91" s="1309">
        <f>SUM(I92:I93)</f>
        <v>720</v>
      </c>
    </row>
    <row r="92" spans="3:9" hidden="1" x14ac:dyDescent="0.25">
      <c r="C92" s="349" t="s">
        <v>742</v>
      </c>
      <c r="D92" s="1305" t="s">
        <v>740</v>
      </c>
      <c r="E92" s="349" t="s">
        <v>402</v>
      </c>
      <c r="F92" s="349">
        <v>1</v>
      </c>
      <c r="G92" s="349">
        <v>9</v>
      </c>
      <c r="H92" s="1306">
        <v>30</v>
      </c>
      <c r="I92" s="1307">
        <f>F92*G92*H92</f>
        <v>270</v>
      </c>
    </row>
    <row r="93" spans="3:9" hidden="1" x14ac:dyDescent="0.25">
      <c r="C93" s="349" t="s">
        <v>743</v>
      </c>
      <c r="D93" s="1305" t="s">
        <v>741</v>
      </c>
      <c r="E93" s="349" t="s">
        <v>402</v>
      </c>
      <c r="F93" s="349">
        <v>1</v>
      </c>
      <c r="G93" s="349">
        <v>9</v>
      </c>
      <c r="H93" s="1306">
        <v>50</v>
      </c>
      <c r="I93" s="1307">
        <f>F93*G93*H93</f>
        <v>450</v>
      </c>
    </row>
    <row r="94" spans="3:9" hidden="1" x14ac:dyDescent="0.25">
      <c r="C94" s="1303">
        <v>5</v>
      </c>
      <c r="D94" s="1737" t="s">
        <v>748</v>
      </c>
      <c r="E94" s="1737"/>
      <c r="F94" s="1737"/>
      <c r="G94" s="1737"/>
      <c r="H94" s="1737"/>
      <c r="I94" s="377">
        <f>SUM(I95:I96)</f>
        <v>51114.409903472224</v>
      </c>
    </row>
    <row r="95" spans="3:9" hidden="1" x14ac:dyDescent="0.25">
      <c r="C95" s="349" t="s">
        <v>746</v>
      </c>
      <c r="D95" s="1305" t="s">
        <v>744</v>
      </c>
      <c r="E95" s="349" t="s">
        <v>402</v>
      </c>
      <c r="F95" s="410">
        <f>F64</f>
        <v>516.30717074214363</v>
      </c>
      <c r="G95" s="349">
        <v>9</v>
      </c>
      <c r="H95" s="1306">
        <v>8</v>
      </c>
      <c r="I95" s="1307">
        <f>F95*G95*H95</f>
        <v>37174.116293434345</v>
      </c>
    </row>
    <row r="96" spans="3:9" hidden="1" x14ac:dyDescent="0.25">
      <c r="C96" s="349">
        <v>5.2</v>
      </c>
      <c r="D96" s="1305" t="s">
        <v>745</v>
      </c>
      <c r="E96" s="349" t="s">
        <v>402</v>
      </c>
      <c r="F96" s="410">
        <f>F95</f>
        <v>516.30717074214363</v>
      </c>
      <c r="G96" s="349">
        <v>9</v>
      </c>
      <c r="H96" s="1306">
        <v>3</v>
      </c>
      <c r="I96" s="1307">
        <f>F96*G96*H96</f>
        <v>13940.293610037879</v>
      </c>
    </row>
    <row r="97" spans="2:9" hidden="1" x14ac:dyDescent="0.25">
      <c r="C97" s="1303">
        <v>6</v>
      </c>
      <c r="D97" s="1737" t="s">
        <v>747</v>
      </c>
      <c r="E97" s="1737"/>
      <c r="F97" s="1737"/>
      <c r="G97" s="1737"/>
      <c r="H97" s="1737"/>
      <c r="I97" s="377">
        <f>SUM(I98:I99)</f>
        <v>4095</v>
      </c>
    </row>
    <row r="98" spans="2:9" hidden="1" x14ac:dyDescent="0.25">
      <c r="C98" s="349" t="s">
        <v>753</v>
      </c>
      <c r="D98" s="1305" t="s">
        <v>750</v>
      </c>
      <c r="E98" s="349" t="s">
        <v>749</v>
      </c>
      <c r="F98" s="349">
        <v>1</v>
      </c>
      <c r="G98" s="349">
        <v>9</v>
      </c>
      <c r="H98" s="1306">
        <v>300</v>
      </c>
      <c r="I98" s="1307">
        <f>F98*G98*H98</f>
        <v>2700</v>
      </c>
    </row>
    <row r="99" spans="2:9" hidden="1" x14ac:dyDescent="0.25">
      <c r="C99" s="349" t="s">
        <v>754</v>
      </c>
      <c r="D99" s="1305" t="s">
        <v>751</v>
      </c>
      <c r="E99" s="349" t="s">
        <v>752</v>
      </c>
      <c r="F99" s="349">
        <v>10</v>
      </c>
      <c r="G99" s="349">
        <v>9</v>
      </c>
      <c r="H99" s="1306">
        <v>15.5</v>
      </c>
      <c r="I99" s="1307">
        <f>F99*G99*H99</f>
        <v>1395</v>
      </c>
    </row>
    <row r="100" spans="2:9" hidden="1" x14ac:dyDescent="0.25">
      <c r="C100" s="1739" t="s">
        <v>44</v>
      </c>
      <c r="D100" s="1739"/>
      <c r="E100" s="1739"/>
      <c r="F100" s="1739"/>
      <c r="G100" s="1739"/>
      <c r="H100" s="1739"/>
      <c r="I100" s="418">
        <f>I75+I78+I81+I91+I94+I97</f>
        <v>63408.6385864408</v>
      </c>
    </row>
    <row r="101" spans="2:9" hidden="1" x14ac:dyDescent="0.25"/>
    <row r="102" spans="2:9" hidden="1" x14ac:dyDescent="0.25"/>
    <row r="103" spans="2:9" hidden="1" x14ac:dyDescent="0.25">
      <c r="B103" s="236" t="s">
        <v>761</v>
      </c>
      <c r="C103" s="408" t="s">
        <v>1608</v>
      </c>
    </row>
    <row r="104" spans="2:9" hidden="1" x14ac:dyDescent="0.25"/>
    <row r="105" spans="2:9" ht="25.5" hidden="1" x14ac:dyDescent="0.25">
      <c r="C105" s="1269" t="s">
        <v>398</v>
      </c>
      <c r="D105" s="1269" t="s">
        <v>649</v>
      </c>
      <c r="E105" s="1269" t="s">
        <v>397</v>
      </c>
      <c r="F105" s="1269" t="s">
        <v>650</v>
      </c>
      <c r="G105" s="1269" t="s">
        <v>722</v>
      </c>
      <c r="H105" s="1302" t="s">
        <v>733</v>
      </c>
      <c r="I105" s="1269" t="s">
        <v>44</v>
      </c>
    </row>
    <row r="106" spans="2:9" hidden="1" x14ac:dyDescent="0.25">
      <c r="C106" s="1303">
        <v>1</v>
      </c>
      <c r="D106" s="1734" t="s">
        <v>718</v>
      </c>
      <c r="E106" s="1735"/>
      <c r="F106" s="1735"/>
      <c r="G106" s="1735"/>
      <c r="H106" s="1736"/>
      <c r="I106" s="1304">
        <f>SUM(I107:I108)</f>
        <v>2220</v>
      </c>
    </row>
    <row r="107" spans="2:9" hidden="1" x14ac:dyDescent="0.25">
      <c r="C107" s="349" t="s">
        <v>401</v>
      </c>
      <c r="D107" s="1305" t="s">
        <v>716</v>
      </c>
      <c r="E107" s="349" t="s">
        <v>402</v>
      </c>
      <c r="F107" s="349">
        <v>1</v>
      </c>
      <c r="G107" s="349">
        <v>9</v>
      </c>
      <c r="H107" s="1306">
        <f>H76</f>
        <v>150</v>
      </c>
      <c r="I107" s="1307">
        <f>G107*H107</f>
        <v>1350</v>
      </c>
    </row>
    <row r="108" spans="2:9" hidden="1" x14ac:dyDescent="0.25">
      <c r="C108" s="349" t="s">
        <v>400</v>
      </c>
      <c r="D108" s="1305" t="s">
        <v>717</v>
      </c>
      <c r="E108" s="349" t="s">
        <v>402</v>
      </c>
      <c r="F108" s="349">
        <v>1</v>
      </c>
      <c r="G108" s="349">
        <v>9</v>
      </c>
      <c r="H108" s="1306">
        <f>H77</f>
        <v>96.666666666666671</v>
      </c>
      <c r="I108" s="1307">
        <f>G108*H108</f>
        <v>870</v>
      </c>
    </row>
    <row r="109" spans="2:9" hidden="1" x14ac:dyDescent="0.25">
      <c r="C109" s="1303">
        <v>2</v>
      </c>
      <c r="D109" s="1737" t="s">
        <v>719</v>
      </c>
      <c r="E109" s="1737"/>
      <c r="F109" s="1737"/>
      <c r="G109" s="1737"/>
      <c r="H109" s="1737"/>
      <c r="I109" s="1304">
        <f>SUM(I110:I111)</f>
        <v>2520</v>
      </c>
    </row>
    <row r="110" spans="2:9" hidden="1" x14ac:dyDescent="0.25">
      <c r="C110" s="349" t="s">
        <v>691</v>
      </c>
      <c r="D110" s="1305" t="s">
        <v>721</v>
      </c>
      <c r="E110" s="349" t="s">
        <v>402</v>
      </c>
      <c r="F110" s="349">
        <v>1</v>
      </c>
      <c r="G110" s="349">
        <v>9</v>
      </c>
      <c r="H110" s="1306">
        <v>140</v>
      </c>
      <c r="I110" s="1307">
        <f>G110*H110</f>
        <v>1260</v>
      </c>
    </row>
    <row r="111" spans="2:9" hidden="1" x14ac:dyDescent="0.25">
      <c r="C111" s="349" t="s">
        <v>700</v>
      </c>
      <c r="D111" s="1305" t="s">
        <v>720</v>
      </c>
      <c r="E111" s="349" t="s">
        <v>402</v>
      </c>
      <c r="F111" s="349">
        <v>1</v>
      </c>
      <c r="G111" s="349">
        <v>9</v>
      </c>
      <c r="H111" s="1306">
        <v>140</v>
      </c>
      <c r="I111" s="1307">
        <f>G111*H111</f>
        <v>1260</v>
      </c>
    </row>
    <row r="112" spans="2:9" hidden="1" x14ac:dyDescent="0.25">
      <c r="C112" s="1303">
        <v>3</v>
      </c>
      <c r="D112" s="1737" t="s">
        <v>723</v>
      </c>
      <c r="E112" s="1737"/>
      <c r="F112" s="1737"/>
      <c r="G112" s="1738"/>
      <c r="H112" s="1738"/>
      <c r="I112" s="1304">
        <f>SUM(I113:I121)</f>
        <v>2739.2286829685745</v>
      </c>
    </row>
    <row r="113" spans="3:9" hidden="1" x14ac:dyDescent="0.25">
      <c r="C113" s="349" t="s">
        <v>714</v>
      </c>
      <c r="D113" s="1308" t="s">
        <v>724</v>
      </c>
      <c r="E113" s="349" t="s">
        <v>402</v>
      </c>
      <c r="F113" s="349">
        <v>200</v>
      </c>
      <c r="G113" s="349" t="s">
        <v>669</v>
      </c>
      <c r="H113" s="1306">
        <v>0.5</v>
      </c>
      <c r="I113" s="1307">
        <f>F113*H113</f>
        <v>100</v>
      </c>
    </row>
    <row r="114" spans="3:9" hidden="1" x14ac:dyDescent="0.25">
      <c r="C114" s="349" t="s">
        <v>734</v>
      </c>
      <c r="D114" s="1308" t="s">
        <v>725</v>
      </c>
      <c r="E114" s="349" t="s">
        <v>726</v>
      </c>
      <c r="F114" s="349">
        <v>9</v>
      </c>
      <c r="G114" s="349" t="s">
        <v>669</v>
      </c>
      <c r="H114" s="1306">
        <v>25</v>
      </c>
      <c r="I114" s="1307">
        <f t="shared" ref="I114:I121" si="3">F114*H114</f>
        <v>225</v>
      </c>
    </row>
    <row r="115" spans="3:9" hidden="1" x14ac:dyDescent="0.25">
      <c r="C115" s="349" t="s">
        <v>735</v>
      </c>
      <c r="D115" s="1308" t="s">
        <v>727</v>
      </c>
      <c r="E115" s="349" t="s">
        <v>402</v>
      </c>
      <c r="F115" s="349">
        <v>50</v>
      </c>
      <c r="G115" s="349" t="s">
        <v>669</v>
      </c>
      <c r="H115" s="1306">
        <v>0.5</v>
      </c>
      <c r="I115" s="1307">
        <f t="shared" si="3"/>
        <v>25</v>
      </c>
    </row>
    <row r="116" spans="3:9" hidden="1" x14ac:dyDescent="0.25">
      <c r="C116" s="349" t="s">
        <v>736</v>
      </c>
      <c r="D116" s="1308" t="s">
        <v>728</v>
      </c>
      <c r="E116" s="349" t="s">
        <v>729</v>
      </c>
      <c r="F116" s="349">
        <v>9</v>
      </c>
      <c r="G116" s="349" t="s">
        <v>669</v>
      </c>
      <c r="H116" s="1306">
        <v>4</v>
      </c>
      <c r="I116" s="1307">
        <f t="shared" si="3"/>
        <v>36</v>
      </c>
    </row>
    <row r="117" spans="3:9" hidden="1" x14ac:dyDescent="0.25">
      <c r="C117" s="349" t="s">
        <v>737</v>
      </c>
      <c r="D117" s="1308" t="s">
        <v>730</v>
      </c>
      <c r="E117" s="349" t="s">
        <v>402</v>
      </c>
      <c r="F117" s="349">
        <v>9</v>
      </c>
      <c r="G117" s="349" t="s">
        <v>669</v>
      </c>
      <c r="H117" s="1306">
        <v>2</v>
      </c>
      <c r="I117" s="1307">
        <f t="shared" si="3"/>
        <v>18</v>
      </c>
    </row>
    <row r="118" spans="3:9" hidden="1" x14ac:dyDescent="0.25">
      <c r="C118" s="349" t="s">
        <v>738</v>
      </c>
      <c r="D118" s="1308" t="s">
        <v>731</v>
      </c>
      <c r="E118" s="349" t="s">
        <v>732</v>
      </c>
      <c r="F118" s="349">
        <v>9</v>
      </c>
      <c r="G118" s="349" t="s">
        <v>669</v>
      </c>
      <c r="H118" s="1306">
        <v>30</v>
      </c>
      <c r="I118" s="1307">
        <f t="shared" si="3"/>
        <v>270</v>
      </c>
    </row>
    <row r="119" spans="3:9" hidden="1" x14ac:dyDescent="0.25">
      <c r="C119" s="349" t="s">
        <v>755</v>
      </c>
      <c r="D119" s="1308" t="s">
        <v>758</v>
      </c>
      <c r="E119" s="349" t="s">
        <v>402</v>
      </c>
      <c r="F119" s="410">
        <f>F88</f>
        <v>516.30717074214363</v>
      </c>
      <c r="G119" s="349" t="s">
        <v>669</v>
      </c>
      <c r="H119" s="1306">
        <v>0.5</v>
      </c>
      <c r="I119" s="1307">
        <f t="shared" si="3"/>
        <v>258.15358537107181</v>
      </c>
    </row>
    <row r="120" spans="3:9" hidden="1" x14ac:dyDescent="0.25">
      <c r="C120" s="349">
        <v>3.8</v>
      </c>
      <c r="D120" s="1308" t="s">
        <v>756</v>
      </c>
      <c r="E120" s="349" t="s">
        <v>402</v>
      </c>
      <c r="F120" s="410">
        <f>F119</f>
        <v>516.30717074214363</v>
      </c>
      <c r="G120" s="349" t="s">
        <v>669</v>
      </c>
      <c r="H120" s="1306">
        <v>0.5</v>
      </c>
      <c r="I120" s="1307">
        <f t="shared" si="3"/>
        <v>258.15358537107181</v>
      </c>
    </row>
    <row r="121" spans="3:9" hidden="1" x14ac:dyDescent="0.25">
      <c r="C121" s="349">
        <v>3.9</v>
      </c>
      <c r="D121" s="1308" t="s">
        <v>757</v>
      </c>
      <c r="E121" s="349" t="s">
        <v>402</v>
      </c>
      <c r="F121" s="410">
        <f>F120</f>
        <v>516.30717074214363</v>
      </c>
      <c r="G121" s="349" t="s">
        <v>669</v>
      </c>
      <c r="H121" s="1306">
        <v>3</v>
      </c>
      <c r="I121" s="1307">
        <f t="shared" si="3"/>
        <v>1548.9215122264309</v>
      </c>
    </row>
    <row r="122" spans="3:9" hidden="1" x14ac:dyDescent="0.25">
      <c r="C122" s="1303">
        <v>4</v>
      </c>
      <c r="D122" s="1737" t="s">
        <v>739</v>
      </c>
      <c r="E122" s="1737"/>
      <c r="F122" s="1737"/>
      <c r="G122" s="1737"/>
      <c r="H122" s="1737"/>
      <c r="I122" s="1309">
        <f>SUM(I123:I124)</f>
        <v>720</v>
      </c>
    </row>
    <row r="123" spans="3:9" hidden="1" x14ac:dyDescent="0.25">
      <c r="C123" s="349" t="s">
        <v>742</v>
      </c>
      <c r="D123" s="1305" t="s">
        <v>740</v>
      </c>
      <c r="E123" s="349" t="s">
        <v>402</v>
      </c>
      <c r="F123" s="349">
        <v>1</v>
      </c>
      <c r="G123" s="349">
        <v>9</v>
      </c>
      <c r="H123" s="1306">
        <v>30</v>
      </c>
      <c r="I123" s="1307">
        <f>F123*G123*H123</f>
        <v>270</v>
      </c>
    </row>
    <row r="124" spans="3:9" hidden="1" x14ac:dyDescent="0.25">
      <c r="C124" s="349" t="s">
        <v>743</v>
      </c>
      <c r="D124" s="1305" t="s">
        <v>741</v>
      </c>
      <c r="E124" s="349" t="s">
        <v>402</v>
      </c>
      <c r="F124" s="349">
        <v>1</v>
      </c>
      <c r="G124" s="349">
        <v>9</v>
      </c>
      <c r="H124" s="1306">
        <v>50</v>
      </c>
      <c r="I124" s="1307">
        <f>F124*G124*H124</f>
        <v>450</v>
      </c>
    </row>
    <row r="125" spans="3:9" hidden="1" x14ac:dyDescent="0.25">
      <c r="C125" s="1303">
        <v>5</v>
      </c>
      <c r="D125" s="1737" t="s">
        <v>748</v>
      </c>
      <c r="E125" s="1737"/>
      <c r="F125" s="1737"/>
      <c r="G125" s="1737"/>
      <c r="H125" s="1737"/>
      <c r="I125" s="377">
        <f>SUM(I126:I127)</f>
        <v>51114.409903472224</v>
      </c>
    </row>
    <row r="126" spans="3:9" hidden="1" x14ac:dyDescent="0.25">
      <c r="C126" s="349" t="s">
        <v>746</v>
      </c>
      <c r="D126" s="1305" t="s">
        <v>744</v>
      </c>
      <c r="E126" s="349" t="s">
        <v>402</v>
      </c>
      <c r="F126" s="410">
        <f>F95</f>
        <v>516.30717074214363</v>
      </c>
      <c r="G126" s="349">
        <v>9</v>
      </c>
      <c r="H126" s="1306">
        <v>8</v>
      </c>
      <c r="I126" s="1307">
        <f>F126*G126*H126</f>
        <v>37174.116293434345</v>
      </c>
    </row>
    <row r="127" spans="3:9" hidden="1" x14ac:dyDescent="0.25">
      <c r="C127" s="349">
        <v>5.2</v>
      </c>
      <c r="D127" s="1305" t="s">
        <v>745</v>
      </c>
      <c r="E127" s="349" t="s">
        <v>402</v>
      </c>
      <c r="F127" s="410">
        <f>F126</f>
        <v>516.30717074214363</v>
      </c>
      <c r="G127" s="349">
        <v>9</v>
      </c>
      <c r="H127" s="1306">
        <v>3</v>
      </c>
      <c r="I127" s="1307">
        <f>F127*G127*H127</f>
        <v>13940.293610037879</v>
      </c>
    </row>
    <row r="128" spans="3:9" hidden="1" x14ac:dyDescent="0.25">
      <c r="C128" s="1303">
        <v>6</v>
      </c>
      <c r="D128" s="1737" t="s">
        <v>747</v>
      </c>
      <c r="E128" s="1737"/>
      <c r="F128" s="1737"/>
      <c r="G128" s="1737"/>
      <c r="H128" s="1737"/>
      <c r="I128" s="377">
        <f>SUM(I129:I130)</f>
        <v>4095</v>
      </c>
    </row>
    <row r="129" spans="2:9" hidden="1" x14ac:dyDescent="0.25">
      <c r="C129" s="349" t="s">
        <v>753</v>
      </c>
      <c r="D129" s="1305" t="s">
        <v>750</v>
      </c>
      <c r="E129" s="349" t="s">
        <v>749</v>
      </c>
      <c r="F129" s="349">
        <v>1</v>
      </c>
      <c r="G129" s="349">
        <v>9</v>
      </c>
      <c r="H129" s="1306">
        <v>300</v>
      </c>
      <c r="I129" s="1307">
        <f>F129*G129*H129</f>
        <v>2700</v>
      </c>
    </row>
    <row r="130" spans="2:9" hidden="1" x14ac:dyDescent="0.25">
      <c r="C130" s="349" t="s">
        <v>754</v>
      </c>
      <c r="D130" s="1305" t="s">
        <v>751</v>
      </c>
      <c r="E130" s="349" t="s">
        <v>752</v>
      </c>
      <c r="F130" s="349">
        <v>10</v>
      </c>
      <c r="G130" s="349">
        <v>9</v>
      </c>
      <c r="H130" s="1306">
        <v>15.5</v>
      </c>
      <c r="I130" s="1307">
        <f>F130*G130*H130</f>
        <v>1395</v>
      </c>
    </row>
    <row r="131" spans="2:9" hidden="1" x14ac:dyDescent="0.25">
      <c r="C131" s="1739" t="s">
        <v>44</v>
      </c>
      <c r="D131" s="1739"/>
      <c r="E131" s="1739"/>
      <c r="F131" s="1739"/>
      <c r="G131" s="1739"/>
      <c r="H131" s="1739"/>
      <c r="I131" s="418">
        <f>I106+I109+I112+I122+I125+I128</f>
        <v>63408.6385864408</v>
      </c>
    </row>
    <row r="132" spans="2:9" hidden="1" x14ac:dyDescent="0.25"/>
    <row r="133" spans="2:9" hidden="1" x14ac:dyDescent="0.25"/>
    <row r="134" spans="2:9" hidden="1" x14ac:dyDescent="0.25">
      <c r="B134" s="236" t="s">
        <v>762</v>
      </c>
      <c r="C134" s="408" t="s">
        <v>1609</v>
      </c>
    </row>
    <row r="135" spans="2:9" hidden="1" x14ac:dyDescent="0.25"/>
    <row r="136" spans="2:9" ht="25.5" hidden="1" x14ac:dyDescent="0.25">
      <c r="C136" s="1269" t="s">
        <v>398</v>
      </c>
      <c r="D136" s="1269" t="s">
        <v>649</v>
      </c>
      <c r="E136" s="1269" t="s">
        <v>397</v>
      </c>
      <c r="F136" s="1269" t="s">
        <v>650</v>
      </c>
      <c r="G136" s="1269" t="s">
        <v>722</v>
      </c>
      <c r="H136" s="1302" t="s">
        <v>733</v>
      </c>
      <c r="I136" s="1269" t="s">
        <v>44</v>
      </c>
    </row>
    <row r="137" spans="2:9" hidden="1" x14ac:dyDescent="0.25">
      <c r="C137" s="1303">
        <v>1</v>
      </c>
      <c r="D137" s="1734" t="s">
        <v>718</v>
      </c>
      <c r="E137" s="1735"/>
      <c r="F137" s="1735"/>
      <c r="G137" s="1735"/>
      <c r="H137" s="1736"/>
      <c r="I137" s="1304">
        <f>SUM(I138:I139)</f>
        <v>2220</v>
      </c>
    </row>
    <row r="138" spans="2:9" hidden="1" x14ac:dyDescent="0.25">
      <c r="C138" s="349" t="s">
        <v>401</v>
      </c>
      <c r="D138" s="1305" t="s">
        <v>716</v>
      </c>
      <c r="E138" s="349" t="s">
        <v>402</v>
      </c>
      <c r="F138" s="349">
        <v>1</v>
      </c>
      <c r="G138" s="349">
        <v>9</v>
      </c>
      <c r="H138" s="1306">
        <f>H107</f>
        <v>150</v>
      </c>
      <c r="I138" s="1307">
        <f>G138*H138</f>
        <v>1350</v>
      </c>
    </row>
    <row r="139" spans="2:9" hidden="1" x14ac:dyDescent="0.25">
      <c r="C139" s="349" t="s">
        <v>400</v>
      </c>
      <c r="D139" s="1305" t="s">
        <v>717</v>
      </c>
      <c r="E139" s="349" t="s">
        <v>402</v>
      </c>
      <c r="F139" s="349">
        <v>1</v>
      </c>
      <c r="G139" s="349">
        <v>9</v>
      </c>
      <c r="H139" s="1306">
        <f>H108</f>
        <v>96.666666666666671</v>
      </c>
      <c r="I139" s="1307">
        <f>G139*H139</f>
        <v>870</v>
      </c>
    </row>
    <row r="140" spans="2:9" hidden="1" x14ac:dyDescent="0.25">
      <c r="C140" s="1303">
        <v>2</v>
      </c>
      <c r="D140" s="1737" t="s">
        <v>719</v>
      </c>
      <c r="E140" s="1737"/>
      <c r="F140" s="1737"/>
      <c r="G140" s="1737"/>
      <c r="H140" s="1737"/>
      <c r="I140" s="1304">
        <f>SUM(I141:I142)</f>
        <v>2520</v>
      </c>
    </row>
    <row r="141" spans="2:9" hidden="1" x14ac:dyDescent="0.25">
      <c r="C141" s="349" t="s">
        <v>691</v>
      </c>
      <c r="D141" s="1305" t="s">
        <v>721</v>
      </c>
      <c r="E141" s="349" t="s">
        <v>402</v>
      </c>
      <c r="F141" s="349">
        <v>1</v>
      </c>
      <c r="G141" s="349">
        <v>9</v>
      </c>
      <c r="H141" s="1306">
        <v>140</v>
      </c>
      <c r="I141" s="1307">
        <f>G141*H141</f>
        <v>1260</v>
      </c>
    </row>
    <row r="142" spans="2:9" hidden="1" x14ac:dyDescent="0.25">
      <c r="C142" s="349" t="s">
        <v>700</v>
      </c>
      <c r="D142" s="1305" t="s">
        <v>720</v>
      </c>
      <c r="E142" s="349" t="s">
        <v>402</v>
      </c>
      <c r="F142" s="349">
        <v>1</v>
      </c>
      <c r="G142" s="349">
        <v>9</v>
      </c>
      <c r="H142" s="1306">
        <v>140</v>
      </c>
      <c r="I142" s="1307">
        <f>G142*H142</f>
        <v>1260</v>
      </c>
    </row>
    <row r="143" spans="2:9" hidden="1" x14ac:dyDescent="0.25">
      <c r="C143" s="1303">
        <v>3</v>
      </c>
      <c r="D143" s="1737" t="s">
        <v>723</v>
      </c>
      <c r="E143" s="1737"/>
      <c r="F143" s="1737"/>
      <c r="G143" s="1738"/>
      <c r="H143" s="1738"/>
      <c r="I143" s="1304">
        <f>SUM(I144:I152)</f>
        <v>2739.2286829685745</v>
      </c>
    </row>
    <row r="144" spans="2:9" hidden="1" x14ac:dyDescent="0.25">
      <c r="C144" s="349" t="s">
        <v>714</v>
      </c>
      <c r="D144" s="1308" t="s">
        <v>724</v>
      </c>
      <c r="E144" s="349" t="s">
        <v>402</v>
      </c>
      <c r="F144" s="349">
        <v>200</v>
      </c>
      <c r="G144" s="349" t="s">
        <v>669</v>
      </c>
      <c r="H144" s="1306">
        <v>0.5</v>
      </c>
      <c r="I144" s="1307">
        <f>F144*H144</f>
        <v>100</v>
      </c>
    </row>
    <row r="145" spans="3:11" hidden="1" x14ac:dyDescent="0.25">
      <c r="C145" s="349" t="s">
        <v>734</v>
      </c>
      <c r="D145" s="1308" t="s">
        <v>725</v>
      </c>
      <c r="E145" s="349" t="s">
        <v>726</v>
      </c>
      <c r="F145" s="349">
        <v>9</v>
      </c>
      <c r="G145" s="349" t="s">
        <v>669</v>
      </c>
      <c r="H145" s="1306">
        <v>25</v>
      </c>
      <c r="I145" s="1307">
        <f t="shared" ref="I145:I152" si="4">F145*H145</f>
        <v>225</v>
      </c>
    </row>
    <row r="146" spans="3:11" hidden="1" x14ac:dyDescent="0.25">
      <c r="C146" s="349" t="s">
        <v>735</v>
      </c>
      <c r="D146" s="1308" t="s">
        <v>727</v>
      </c>
      <c r="E146" s="349" t="s">
        <v>402</v>
      </c>
      <c r="F146" s="349">
        <v>50</v>
      </c>
      <c r="G146" s="349" t="s">
        <v>669</v>
      </c>
      <c r="H146" s="1306">
        <v>0.5</v>
      </c>
      <c r="I146" s="1307">
        <f t="shared" si="4"/>
        <v>25</v>
      </c>
    </row>
    <row r="147" spans="3:11" hidden="1" x14ac:dyDescent="0.25">
      <c r="C147" s="349" t="s">
        <v>736</v>
      </c>
      <c r="D147" s="1308" t="s">
        <v>728</v>
      </c>
      <c r="E147" s="349" t="s">
        <v>729</v>
      </c>
      <c r="F147" s="349">
        <v>9</v>
      </c>
      <c r="G147" s="349" t="s">
        <v>669</v>
      </c>
      <c r="H147" s="1306">
        <v>4</v>
      </c>
      <c r="I147" s="1307">
        <f t="shared" si="4"/>
        <v>36</v>
      </c>
    </row>
    <row r="148" spans="3:11" hidden="1" x14ac:dyDescent="0.25">
      <c r="C148" s="349" t="s">
        <v>737</v>
      </c>
      <c r="D148" s="1308" t="s">
        <v>730</v>
      </c>
      <c r="E148" s="349" t="s">
        <v>402</v>
      </c>
      <c r="F148" s="349">
        <v>9</v>
      </c>
      <c r="G148" s="349" t="s">
        <v>669</v>
      </c>
      <c r="H148" s="1306">
        <v>2</v>
      </c>
      <c r="I148" s="1307">
        <f t="shared" si="4"/>
        <v>18</v>
      </c>
    </row>
    <row r="149" spans="3:11" hidden="1" x14ac:dyDescent="0.25">
      <c r="C149" s="349" t="s">
        <v>738</v>
      </c>
      <c r="D149" s="1308" t="s">
        <v>731</v>
      </c>
      <c r="E149" s="349" t="s">
        <v>732</v>
      </c>
      <c r="F149" s="349">
        <v>9</v>
      </c>
      <c r="G149" s="349" t="s">
        <v>669</v>
      </c>
      <c r="H149" s="1306">
        <v>30</v>
      </c>
      <c r="I149" s="1307">
        <f t="shared" si="4"/>
        <v>270</v>
      </c>
    </row>
    <row r="150" spans="3:11" hidden="1" x14ac:dyDescent="0.25">
      <c r="C150" s="349" t="s">
        <v>755</v>
      </c>
      <c r="D150" s="1308" t="s">
        <v>758</v>
      </c>
      <c r="E150" s="349" t="s">
        <v>402</v>
      </c>
      <c r="F150" s="410">
        <f>F119</f>
        <v>516.30717074214363</v>
      </c>
      <c r="G150" s="349" t="s">
        <v>669</v>
      </c>
      <c r="H150" s="1306">
        <v>0.5</v>
      </c>
      <c r="I150" s="1307">
        <f t="shared" si="4"/>
        <v>258.15358537107181</v>
      </c>
    </row>
    <row r="151" spans="3:11" hidden="1" x14ac:dyDescent="0.25">
      <c r="C151" s="349">
        <v>3.8</v>
      </c>
      <c r="D151" s="1308" t="s">
        <v>756</v>
      </c>
      <c r="E151" s="349" t="s">
        <v>402</v>
      </c>
      <c r="F151" s="410">
        <f>F150</f>
        <v>516.30717074214363</v>
      </c>
      <c r="G151" s="349" t="s">
        <v>669</v>
      </c>
      <c r="H151" s="1306">
        <v>0.5</v>
      </c>
      <c r="I151" s="1307">
        <f t="shared" si="4"/>
        <v>258.15358537107181</v>
      </c>
    </row>
    <row r="152" spans="3:11" hidden="1" x14ac:dyDescent="0.25">
      <c r="C152" s="349">
        <v>3.9</v>
      </c>
      <c r="D152" s="1308" t="s">
        <v>757</v>
      </c>
      <c r="E152" s="349" t="s">
        <v>402</v>
      </c>
      <c r="F152" s="410">
        <f>F151</f>
        <v>516.30717074214363</v>
      </c>
      <c r="G152" s="349" t="s">
        <v>669</v>
      </c>
      <c r="H152" s="1306">
        <v>3</v>
      </c>
      <c r="I152" s="1307">
        <f t="shared" si="4"/>
        <v>1548.9215122264309</v>
      </c>
      <c r="K152" s="222">
        <f>F150/9</f>
        <v>57.367463415793736</v>
      </c>
    </row>
    <row r="153" spans="3:11" hidden="1" x14ac:dyDescent="0.25">
      <c r="C153" s="1303">
        <v>4</v>
      </c>
      <c r="D153" s="1737" t="s">
        <v>739</v>
      </c>
      <c r="E153" s="1737"/>
      <c r="F153" s="1737"/>
      <c r="G153" s="1737"/>
      <c r="H153" s="1737"/>
      <c r="I153" s="1309">
        <f>SUM(I154:I155)</f>
        <v>720</v>
      </c>
    </row>
    <row r="154" spans="3:11" hidden="1" x14ac:dyDescent="0.25">
      <c r="C154" s="349" t="s">
        <v>742</v>
      </c>
      <c r="D154" s="1305" t="s">
        <v>740</v>
      </c>
      <c r="E154" s="349" t="s">
        <v>402</v>
      </c>
      <c r="F154" s="349">
        <v>1</v>
      </c>
      <c r="G154" s="349">
        <v>9</v>
      </c>
      <c r="H154" s="1306">
        <v>30</v>
      </c>
      <c r="I154" s="1307">
        <f>F154*G154*H154</f>
        <v>270</v>
      </c>
    </row>
    <row r="155" spans="3:11" hidden="1" x14ac:dyDescent="0.25">
      <c r="C155" s="349" t="s">
        <v>743</v>
      </c>
      <c r="D155" s="1305" t="s">
        <v>741</v>
      </c>
      <c r="E155" s="349" t="s">
        <v>402</v>
      </c>
      <c r="F155" s="349">
        <v>1</v>
      </c>
      <c r="G155" s="349">
        <v>9</v>
      </c>
      <c r="H155" s="1306">
        <v>50</v>
      </c>
      <c r="I155" s="1307">
        <f>F155*G155*H155</f>
        <v>450</v>
      </c>
    </row>
    <row r="156" spans="3:11" hidden="1" x14ac:dyDescent="0.25">
      <c r="C156" s="1303">
        <v>5</v>
      </c>
      <c r="D156" s="1737" t="s">
        <v>748</v>
      </c>
      <c r="E156" s="1737"/>
      <c r="F156" s="1737"/>
      <c r="G156" s="1737"/>
      <c r="H156" s="1737"/>
      <c r="I156" s="377">
        <f>SUM(I157:I158)</f>
        <v>51114.409903472224</v>
      </c>
    </row>
    <row r="157" spans="3:11" hidden="1" x14ac:dyDescent="0.25">
      <c r="C157" s="349" t="s">
        <v>746</v>
      </c>
      <c r="D157" s="1305" t="s">
        <v>744</v>
      </c>
      <c r="E157" s="349" t="s">
        <v>402</v>
      </c>
      <c r="F157" s="410">
        <f>F126</f>
        <v>516.30717074214363</v>
      </c>
      <c r="G157" s="349">
        <v>9</v>
      </c>
      <c r="H157" s="1306">
        <v>8</v>
      </c>
      <c r="I157" s="1307">
        <f>F157*G157*H157</f>
        <v>37174.116293434345</v>
      </c>
    </row>
    <row r="158" spans="3:11" hidden="1" x14ac:dyDescent="0.25">
      <c r="C158" s="349">
        <v>5.2</v>
      </c>
      <c r="D158" s="1305" t="s">
        <v>745</v>
      </c>
      <c r="E158" s="349" t="s">
        <v>402</v>
      </c>
      <c r="F158" s="410">
        <f>F157</f>
        <v>516.30717074214363</v>
      </c>
      <c r="G158" s="349">
        <v>9</v>
      </c>
      <c r="H158" s="1306">
        <v>3</v>
      </c>
      <c r="I158" s="1307">
        <f>F158*G158*H158</f>
        <v>13940.293610037879</v>
      </c>
    </row>
    <row r="159" spans="3:11" hidden="1" x14ac:dyDescent="0.25">
      <c r="C159" s="1303">
        <v>6</v>
      </c>
      <c r="D159" s="1737" t="s">
        <v>747</v>
      </c>
      <c r="E159" s="1737"/>
      <c r="F159" s="1737"/>
      <c r="G159" s="1737"/>
      <c r="H159" s="1737"/>
      <c r="I159" s="377">
        <f>SUM(I160:I161)</f>
        <v>4095</v>
      </c>
    </row>
    <row r="160" spans="3:11" hidden="1" x14ac:dyDescent="0.25">
      <c r="C160" s="349" t="s">
        <v>753</v>
      </c>
      <c r="D160" s="1305" t="s">
        <v>750</v>
      </c>
      <c r="E160" s="349" t="s">
        <v>749</v>
      </c>
      <c r="F160" s="349">
        <v>1</v>
      </c>
      <c r="G160" s="349">
        <v>9</v>
      </c>
      <c r="H160" s="1306">
        <v>300</v>
      </c>
      <c r="I160" s="1307">
        <f>F160*G160*H160</f>
        <v>2700</v>
      </c>
    </row>
    <row r="161" spans="2:9" hidden="1" x14ac:dyDescent="0.25">
      <c r="C161" s="349" t="s">
        <v>754</v>
      </c>
      <c r="D161" s="1305" t="s">
        <v>751</v>
      </c>
      <c r="E161" s="349" t="s">
        <v>752</v>
      </c>
      <c r="F161" s="349">
        <v>10</v>
      </c>
      <c r="G161" s="349">
        <v>9</v>
      </c>
      <c r="H161" s="1306">
        <v>15.5</v>
      </c>
      <c r="I161" s="1307">
        <f>F161*G161*H161</f>
        <v>1395</v>
      </c>
    </row>
    <row r="162" spans="2:9" hidden="1" x14ac:dyDescent="0.25">
      <c r="C162" s="1739" t="s">
        <v>44</v>
      </c>
      <c r="D162" s="1739"/>
      <c r="E162" s="1739"/>
      <c r="F162" s="1739"/>
      <c r="G162" s="1739"/>
      <c r="H162" s="1739"/>
      <c r="I162" s="418">
        <f>I137+I140+I143+I153+I156+I159</f>
        <v>63408.6385864408</v>
      </c>
    </row>
    <row r="163" spans="2:9" hidden="1" x14ac:dyDescent="0.25"/>
    <row r="164" spans="2:9" hidden="1" x14ac:dyDescent="0.25"/>
    <row r="165" spans="2:9" hidden="1" x14ac:dyDescent="0.25">
      <c r="B165" s="236" t="s">
        <v>763</v>
      </c>
      <c r="C165" s="408" t="s">
        <v>1610</v>
      </c>
    </row>
    <row r="166" spans="2:9" hidden="1" x14ac:dyDescent="0.25"/>
    <row r="167" spans="2:9" ht="25.5" hidden="1" x14ac:dyDescent="0.25">
      <c r="C167" s="1269" t="s">
        <v>398</v>
      </c>
      <c r="D167" s="1269" t="s">
        <v>649</v>
      </c>
      <c r="E167" s="1269" t="s">
        <v>397</v>
      </c>
      <c r="F167" s="1269" t="s">
        <v>650</v>
      </c>
      <c r="G167" s="1269" t="s">
        <v>722</v>
      </c>
      <c r="H167" s="1302" t="s">
        <v>733</v>
      </c>
      <c r="I167" s="1269" t="s">
        <v>44</v>
      </c>
    </row>
    <row r="168" spans="2:9" hidden="1" x14ac:dyDescent="0.25">
      <c r="C168" s="1303">
        <v>1</v>
      </c>
      <c r="D168" s="1734" t="s">
        <v>718</v>
      </c>
      <c r="E168" s="1735"/>
      <c r="F168" s="1735"/>
      <c r="G168" s="1735"/>
      <c r="H168" s="1736"/>
      <c r="I168" s="1304">
        <f>SUM(I169:I170)</f>
        <v>2220</v>
      </c>
    </row>
    <row r="169" spans="2:9" hidden="1" x14ac:dyDescent="0.25">
      <c r="C169" s="349" t="s">
        <v>401</v>
      </c>
      <c r="D169" s="1305" t="s">
        <v>716</v>
      </c>
      <c r="E169" s="349" t="s">
        <v>402</v>
      </c>
      <c r="F169" s="349">
        <v>1</v>
      </c>
      <c r="G169" s="349">
        <v>9</v>
      </c>
      <c r="H169" s="1306">
        <f>H138</f>
        <v>150</v>
      </c>
      <c r="I169" s="1307">
        <f>G169*H169</f>
        <v>1350</v>
      </c>
    </row>
    <row r="170" spans="2:9" hidden="1" x14ac:dyDescent="0.25">
      <c r="C170" s="349" t="s">
        <v>400</v>
      </c>
      <c r="D170" s="1305" t="s">
        <v>717</v>
      </c>
      <c r="E170" s="349" t="s">
        <v>402</v>
      </c>
      <c r="F170" s="349">
        <v>1</v>
      </c>
      <c r="G170" s="349">
        <v>9</v>
      </c>
      <c r="H170" s="1306">
        <f>H139</f>
        <v>96.666666666666671</v>
      </c>
      <c r="I170" s="1307">
        <f>G170*H170</f>
        <v>870</v>
      </c>
    </row>
    <row r="171" spans="2:9" hidden="1" x14ac:dyDescent="0.25">
      <c r="C171" s="1303">
        <v>2</v>
      </c>
      <c r="D171" s="1737" t="s">
        <v>719</v>
      </c>
      <c r="E171" s="1737"/>
      <c r="F171" s="1737"/>
      <c r="G171" s="1737"/>
      <c r="H171" s="1737"/>
      <c r="I171" s="1304">
        <f>SUM(I172:I173)</f>
        <v>2520</v>
      </c>
    </row>
    <row r="172" spans="2:9" hidden="1" x14ac:dyDescent="0.25">
      <c r="C172" s="349" t="s">
        <v>691</v>
      </c>
      <c r="D172" s="1305" t="s">
        <v>721</v>
      </c>
      <c r="E172" s="349" t="s">
        <v>402</v>
      </c>
      <c r="F172" s="349">
        <v>1</v>
      </c>
      <c r="G172" s="349">
        <v>9</v>
      </c>
      <c r="H172" s="1306">
        <v>140</v>
      </c>
      <c r="I172" s="1307">
        <f>G172*H172</f>
        <v>1260</v>
      </c>
    </row>
    <row r="173" spans="2:9" hidden="1" x14ac:dyDescent="0.25">
      <c r="C173" s="349" t="s">
        <v>700</v>
      </c>
      <c r="D173" s="1305" t="s">
        <v>720</v>
      </c>
      <c r="E173" s="349" t="s">
        <v>402</v>
      </c>
      <c r="F173" s="349">
        <v>1</v>
      </c>
      <c r="G173" s="349">
        <v>9</v>
      </c>
      <c r="H173" s="1306">
        <v>140</v>
      </c>
      <c r="I173" s="1307">
        <f>G173*H173</f>
        <v>1260</v>
      </c>
    </row>
    <row r="174" spans="2:9" hidden="1" x14ac:dyDescent="0.25">
      <c r="C174" s="1303">
        <v>3</v>
      </c>
      <c r="D174" s="1737" t="s">
        <v>723</v>
      </c>
      <c r="E174" s="1737"/>
      <c r="F174" s="1737"/>
      <c r="G174" s="1738"/>
      <c r="H174" s="1738"/>
      <c r="I174" s="1304">
        <f>SUM(I175:I183)</f>
        <v>2739.2286829685745</v>
      </c>
    </row>
    <row r="175" spans="2:9" hidden="1" x14ac:dyDescent="0.25">
      <c r="C175" s="349" t="s">
        <v>714</v>
      </c>
      <c r="D175" s="1308" t="s">
        <v>724</v>
      </c>
      <c r="E175" s="349" t="s">
        <v>402</v>
      </c>
      <c r="F175" s="349">
        <v>200</v>
      </c>
      <c r="G175" s="349" t="s">
        <v>669</v>
      </c>
      <c r="H175" s="1306">
        <v>0.5</v>
      </c>
      <c r="I175" s="1307">
        <f>F175*H175</f>
        <v>100</v>
      </c>
    </row>
    <row r="176" spans="2:9" hidden="1" x14ac:dyDescent="0.25">
      <c r="C176" s="349" t="s">
        <v>734</v>
      </c>
      <c r="D176" s="1308" t="s">
        <v>725</v>
      </c>
      <c r="E176" s="349" t="s">
        <v>726</v>
      </c>
      <c r="F176" s="349">
        <v>9</v>
      </c>
      <c r="G176" s="349" t="s">
        <v>669</v>
      </c>
      <c r="H176" s="1306">
        <v>25</v>
      </c>
      <c r="I176" s="1307">
        <f t="shared" ref="I176:I183" si="5">F176*H176</f>
        <v>225</v>
      </c>
    </row>
    <row r="177" spans="3:9" hidden="1" x14ac:dyDescent="0.25">
      <c r="C177" s="349" t="s">
        <v>735</v>
      </c>
      <c r="D177" s="1308" t="s">
        <v>727</v>
      </c>
      <c r="E177" s="349" t="s">
        <v>402</v>
      </c>
      <c r="F177" s="349">
        <v>50</v>
      </c>
      <c r="G177" s="349" t="s">
        <v>669</v>
      </c>
      <c r="H177" s="1306">
        <v>0.5</v>
      </c>
      <c r="I177" s="1307">
        <f t="shared" si="5"/>
        <v>25</v>
      </c>
    </row>
    <row r="178" spans="3:9" hidden="1" x14ac:dyDescent="0.25">
      <c r="C178" s="349" t="s">
        <v>736</v>
      </c>
      <c r="D178" s="1308" t="s">
        <v>728</v>
      </c>
      <c r="E178" s="349" t="s">
        <v>729</v>
      </c>
      <c r="F178" s="349">
        <v>9</v>
      </c>
      <c r="G178" s="349" t="s">
        <v>669</v>
      </c>
      <c r="H178" s="1306">
        <v>4</v>
      </c>
      <c r="I178" s="1307">
        <f t="shared" si="5"/>
        <v>36</v>
      </c>
    </row>
    <row r="179" spans="3:9" hidden="1" x14ac:dyDescent="0.25">
      <c r="C179" s="349" t="s">
        <v>737</v>
      </c>
      <c r="D179" s="1308" t="s">
        <v>730</v>
      </c>
      <c r="E179" s="349" t="s">
        <v>402</v>
      </c>
      <c r="F179" s="349">
        <v>9</v>
      </c>
      <c r="G179" s="349" t="s">
        <v>669</v>
      </c>
      <c r="H179" s="1306">
        <v>2</v>
      </c>
      <c r="I179" s="1307">
        <f t="shared" si="5"/>
        <v>18</v>
      </c>
    </row>
    <row r="180" spans="3:9" hidden="1" x14ac:dyDescent="0.25">
      <c r="C180" s="349" t="s">
        <v>738</v>
      </c>
      <c r="D180" s="1308" t="s">
        <v>731</v>
      </c>
      <c r="E180" s="349" t="s">
        <v>732</v>
      </c>
      <c r="F180" s="349">
        <v>9</v>
      </c>
      <c r="G180" s="349" t="s">
        <v>669</v>
      </c>
      <c r="H180" s="1306">
        <v>30</v>
      </c>
      <c r="I180" s="1307">
        <f t="shared" si="5"/>
        <v>270</v>
      </c>
    </row>
    <row r="181" spans="3:9" hidden="1" x14ac:dyDescent="0.25">
      <c r="C181" s="349" t="s">
        <v>755</v>
      </c>
      <c r="D181" s="1308" t="s">
        <v>758</v>
      </c>
      <c r="E181" s="349" t="s">
        <v>402</v>
      </c>
      <c r="F181" s="410">
        <f>F150</f>
        <v>516.30717074214363</v>
      </c>
      <c r="G181" s="349" t="s">
        <v>669</v>
      </c>
      <c r="H181" s="1306">
        <v>0.5</v>
      </c>
      <c r="I181" s="1307">
        <f t="shared" si="5"/>
        <v>258.15358537107181</v>
      </c>
    </row>
    <row r="182" spans="3:9" hidden="1" x14ac:dyDescent="0.25">
      <c r="C182" s="349">
        <v>3.8</v>
      </c>
      <c r="D182" s="1308" t="s">
        <v>756</v>
      </c>
      <c r="E182" s="349" t="s">
        <v>402</v>
      </c>
      <c r="F182" s="410">
        <f>F181</f>
        <v>516.30717074214363</v>
      </c>
      <c r="G182" s="349" t="s">
        <v>669</v>
      </c>
      <c r="H182" s="1306">
        <v>0.5</v>
      </c>
      <c r="I182" s="1307">
        <f t="shared" si="5"/>
        <v>258.15358537107181</v>
      </c>
    </row>
    <row r="183" spans="3:9" hidden="1" x14ac:dyDescent="0.25">
      <c r="C183" s="349">
        <v>3.9</v>
      </c>
      <c r="D183" s="1308" t="s">
        <v>757</v>
      </c>
      <c r="E183" s="349" t="s">
        <v>402</v>
      </c>
      <c r="F183" s="410">
        <f>F182</f>
        <v>516.30717074214363</v>
      </c>
      <c r="G183" s="349" t="s">
        <v>669</v>
      </c>
      <c r="H183" s="1306">
        <v>3</v>
      </c>
      <c r="I183" s="1307">
        <f t="shared" si="5"/>
        <v>1548.9215122264309</v>
      </c>
    </row>
    <row r="184" spans="3:9" hidden="1" x14ac:dyDescent="0.25">
      <c r="C184" s="1303">
        <v>4</v>
      </c>
      <c r="D184" s="1737" t="s">
        <v>739</v>
      </c>
      <c r="E184" s="1737"/>
      <c r="F184" s="1737"/>
      <c r="G184" s="1737"/>
      <c r="H184" s="1737"/>
      <c r="I184" s="1309">
        <f>SUM(I185:I186)</f>
        <v>720</v>
      </c>
    </row>
    <row r="185" spans="3:9" hidden="1" x14ac:dyDescent="0.25">
      <c r="C185" s="349" t="s">
        <v>742</v>
      </c>
      <c r="D185" s="1305" t="s">
        <v>740</v>
      </c>
      <c r="E185" s="349" t="s">
        <v>402</v>
      </c>
      <c r="F185" s="349">
        <v>1</v>
      </c>
      <c r="G185" s="349">
        <v>9</v>
      </c>
      <c r="H185" s="1306">
        <v>30</v>
      </c>
      <c r="I185" s="1307">
        <f>F185*G185*H185</f>
        <v>270</v>
      </c>
    </row>
    <row r="186" spans="3:9" hidden="1" x14ac:dyDescent="0.25">
      <c r="C186" s="349" t="s">
        <v>743</v>
      </c>
      <c r="D186" s="1305" t="s">
        <v>741</v>
      </c>
      <c r="E186" s="349" t="s">
        <v>402</v>
      </c>
      <c r="F186" s="349">
        <v>1</v>
      </c>
      <c r="G186" s="349">
        <v>9</v>
      </c>
      <c r="H186" s="1306">
        <v>50</v>
      </c>
      <c r="I186" s="1307">
        <f>F186*G186*H186</f>
        <v>450</v>
      </c>
    </row>
    <row r="187" spans="3:9" hidden="1" x14ac:dyDescent="0.25">
      <c r="C187" s="1303">
        <v>5</v>
      </c>
      <c r="D187" s="1737" t="s">
        <v>748</v>
      </c>
      <c r="E187" s="1737"/>
      <c r="F187" s="1737"/>
      <c r="G187" s="1737"/>
      <c r="H187" s="1737"/>
      <c r="I187" s="377">
        <f>SUM(I188:I189)</f>
        <v>51114.409903472224</v>
      </c>
    </row>
    <row r="188" spans="3:9" hidden="1" x14ac:dyDescent="0.25">
      <c r="C188" s="349" t="s">
        <v>746</v>
      </c>
      <c r="D188" s="1305" t="s">
        <v>744</v>
      </c>
      <c r="E188" s="349" t="s">
        <v>402</v>
      </c>
      <c r="F188" s="410">
        <f>F157</f>
        <v>516.30717074214363</v>
      </c>
      <c r="G188" s="349">
        <v>9</v>
      </c>
      <c r="H188" s="1306">
        <v>8</v>
      </c>
      <c r="I188" s="1307">
        <f>F188*G188*H188</f>
        <v>37174.116293434345</v>
      </c>
    </row>
    <row r="189" spans="3:9" hidden="1" x14ac:dyDescent="0.25">
      <c r="C189" s="349">
        <v>5.2</v>
      </c>
      <c r="D189" s="1305" t="s">
        <v>745</v>
      </c>
      <c r="E189" s="349" t="s">
        <v>402</v>
      </c>
      <c r="F189" s="410">
        <f>F188</f>
        <v>516.30717074214363</v>
      </c>
      <c r="G189" s="349">
        <v>9</v>
      </c>
      <c r="H189" s="1306">
        <v>3</v>
      </c>
      <c r="I189" s="1307">
        <f>F189*G189*H189</f>
        <v>13940.293610037879</v>
      </c>
    </row>
    <row r="190" spans="3:9" hidden="1" x14ac:dyDescent="0.25">
      <c r="C190" s="1303">
        <v>6</v>
      </c>
      <c r="D190" s="1737" t="s">
        <v>747</v>
      </c>
      <c r="E190" s="1737"/>
      <c r="F190" s="1737"/>
      <c r="G190" s="1737"/>
      <c r="H190" s="1737"/>
      <c r="I190" s="377">
        <f>SUM(I191:I192)</f>
        <v>4095</v>
      </c>
    </row>
    <row r="191" spans="3:9" hidden="1" x14ac:dyDescent="0.25">
      <c r="C191" s="349" t="s">
        <v>753</v>
      </c>
      <c r="D191" s="1305" t="s">
        <v>750</v>
      </c>
      <c r="E191" s="349" t="s">
        <v>749</v>
      </c>
      <c r="F191" s="349">
        <v>1</v>
      </c>
      <c r="G191" s="349">
        <v>9</v>
      </c>
      <c r="H191" s="1306">
        <v>300</v>
      </c>
      <c r="I191" s="1307">
        <f>F191*G191*H191</f>
        <v>2700</v>
      </c>
    </row>
    <row r="192" spans="3:9" hidden="1" x14ac:dyDescent="0.25">
      <c r="C192" s="349" t="s">
        <v>754</v>
      </c>
      <c r="D192" s="1305" t="s">
        <v>751</v>
      </c>
      <c r="E192" s="349" t="s">
        <v>752</v>
      </c>
      <c r="F192" s="349">
        <v>10</v>
      </c>
      <c r="G192" s="349">
        <v>9</v>
      </c>
      <c r="H192" s="1306">
        <v>15.5</v>
      </c>
      <c r="I192" s="1307">
        <f>F192*G192*H192</f>
        <v>1395</v>
      </c>
    </row>
    <row r="193" spans="2:10" hidden="1" x14ac:dyDescent="0.25">
      <c r="C193" s="1739" t="s">
        <v>44</v>
      </c>
      <c r="D193" s="1739"/>
      <c r="E193" s="1739"/>
      <c r="F193" s="1739"/>
      <c r="G193" s="1739"/>
      <c r="H193" s="1739"/>
      <c r="I193" s="418">
        <f>I168+I171+I174+I184+I187+I190</f>
        <v>63408.6385864408</v>
      </c>
    </row>
    <row r="194" spans="2:10" hidden="1" x14ac:dyDescent="0.25"/>
    <row r="195" spans="2:10" hidden="1" x14ac:dyDescent="0.25"/>
    <row r="196" spans="2:10" hidden="1" x14ac:dyDescent="0.25"/>
    <row r="197" spans="2:10" hidden="1" x14ac:dyDescent="0.25"/>
    <row r="198" spans="2:10" hidden="1" x14ac:dyDescent="0.25"/>
    <row r="199" spans="2:10" hidden="1" x14ac:dyDescent="0.25">
      <c r="B199" s="1223" t="s">
        <v>734</v>
      </c>
      <c r="C199" s="1226" t="s">
        <v>1611</v>
      </c>
      <c r="D199" s="1227"/>
      <c r="E199" s="1227"/>
      <c r="F199" s="1227"/>
      <c r="G199" s="1227"/>
      <c r="H199" s="1227"/>
      <c r="I199" s="1227"/>
      <c r="J199" s="1227"/>
    </row>
    <row r="200" spans="2:10" hidden="1" x14ac:dyDescent="0.25"/>
    <row r="201" spans="2:10" hidden="1" x14ac:dyDescent="0.25">
      <c r="B201" s="236" t="s">
        <v>764</v>
      </c>
      <c r="C201" s="408" t="s">
        <v>1612</v>
      </c>
    </row>
    <row r="202" spans="2:10" hidden="1" x14ac:dyDescent="0.25"/>
    <row r="203" spans="2:10" ht="25.5" hidden="1" x14ac:dyDescent="0.25">
      <c r="C203" s="1268" t="s">
        <v>398</v>
      </c>
      <c r="D203" s="1268" t="s">
        <v>649</v>
      </c>
      <c r="E203" s="1268" t="s">
        <v>397</v>
      </c>
      <c r="F203" s="1268" t="s">
        <v>650</v>
      </c>
      <c r="G203" s="1268" t="s">
        <v>722</v>
      </c>
      <c r="H203" s="1028" t="s">
        <v>733</v>
      </c>
      <c r="I203" s="1268" t="s">
        <v>44</v>
      </c>
    </row>
    <row r="204" spans="2:10" hidden="1" x14ac:dyDescent="0.25">
      <c r="C204" s="1029">
        <v>1</v>
      </c>
      <c r="D204" s="1757" t="s">
        <v>718</v>
      </c>
      <c r="E204" s="1758"/>
      <c r="F204" s="1758"/>
      <c r="G204" s="1758"/>
      <c r="H204" s="1759"/>
      <c r="I204" s="1030">
        <f>SUM(I205:I206)</f>
        <v>2220</v>
      </c>
    </row>
    <row r="205" spans="2:10" hidden="1" x14ac:dyDescent="0.25">
      <c r="C205" s="1031" t="s">
        <v>401</v>
      </c>
      <c r="D205" s="1032" t="s">
        <v>716</v>
      </c>
      <c r="E205" s="1031" t="s">
        <v>402</v>
      </c>
      <c r="F205" s="1031">
        <v>1</v>
      </c>
      <c r="G205" s="1031">
        <v>9</v>
      </c>
      <c r="H205" s="1033">
        <f>H169</f>
        <v>150</v>
      </c>
      <c r="I205" s="1034">
        <f>G205*H205</f>
        <v>1350</v>
      </c>
    </row>
    <row r="206" spans="2:10" hidden="1" x14ac:dyDescent="0.25">
      <c r="C206" s="1031" t="s">
        <v>400</v>
      </c>
      <c r="D206" s="1032" t="s">
        <v>717</v>
      </c>
      <c r="E206" s="1031" t="s">
        <v>402</v>
      </c>
      <c r="F206" s="1031">
        <v>1</v>
      </c>
      <c r="G206" s="1031">
        <v>9</v>
      </c>
      <c r="H206" s="1033">
        <f>H170</f>
        <v>96.666666666666671</v>
      </c>
      <c r="I206" s="1034">
        <f>G206*H206</f>
        <v>870</v>
      </c>
    </row>
    <row r="207" spans="2:10" hidden="1" x14ac:dyDescent="0.25">
      <c r="C207" s="1029">
        <v>2</v>
      </c>
      <c r="D207" s="1754" t="s">
        <v>719</v>
      </c>
      <c r="E207" s="1754"/>
      <c r="F207" s="1754"/>
      <c r="G207" s="1754"/>
      <c r="H207" s="1754"/>
      <c r="I207" s="1030">
        <f>SUM(I208:I209)</f>
        <v>2520</v>
      </c>
    </row>
    <row r="208" spans="2:10" hidden="1" x14ac:dyDescent="0.25">
      <c r="C208" s="1031" t="s">
        <v>691</v>
      </c>
      <c r="D208" s="1032" t="s">
        <v>721</v>
      </c>
      <c r="E208" s="1031" t="s">
        <v>402</v>
      </c>
      <c r="F208" s="1031">
        <v>1</v>
      </c>
      <c r="G208" s="1031">
        <v>9</v>
      </c>
      <c r="H208" s="1033">
        <v>140</v>
      </c>
      <c r="I208" s="1034">
        <f>G208*H208</f>
        <v>1260</v>
      </c>
    </row>
    <row r="209" spans="3:11" hidden="1" x14ac:dyDescent="0.25">
      <c r="C209" s="1031" t="s">
        <v>700</v>
      </c>
      <c r="D209" s="1032" t="s">
        <v>720</v>
      </c>
      <c r="E209" s="1031" t="s">
        <v>402</v>
      </c>
      <c r="F209" s="1031">
        <v>1</v>
      </c>
      <c r="G209" s="1031">
        <v>9</v>
      </c>
      <c r="H209" s="1033">
        <v>140</v>
      </c>
      <c r="I209" s="1034">
        <f>G209*H209</f>
        <v>1260</v>
      </c>
    </row>
    <row r="210" spans="3:11" hidden="1" x14ac:dyDescent="0.25">
      <c r="C210" s="1029">
        <v>3</v>
      </c>
      <c r="D210" s="1754" t="s">
        <v>739</v>
      </c>
      <c r="E210" s="1754"/>
      <c r="F210" s="1754"/>
      <c r="G210" s="1754"/>
      <c r="H210" s="1754"/>
      <c r="I210" s="1036">
        <f>SUM(I211:I212)</f>
        <v>720</v>
      </c>
    </row>
    <row r="211" spans="3:11" hidden="1" x14ac:dyDescent="0.25">
      <c r="C211" s="1031">
        <v>3.1</v>
      </c>
      <c r="D211" s="1032" t="s">
        <v>740</v>
      </c>
      <c r="E211" s="1031" t="s">
        <v>402</v>
      </c>
      <c r="F211" s="1031">
        <v>1</v>
      </c>
      <c r="G211" s="1031">
        <v>9</v>
      </c>
      <c r="H211" s="1033">
        <v>30</v>
      </c>
      <c r="I211" s="1034">
        <f>F211*G211*H211</f>
        <v>270</v>
      </c>
    </row>
    <row r="212" spans="3:11" hidden="1" x14ac:dyDescent="0.25">
      <c r="C212" s="1031">
        <v>3.2</v>
      </c>
      <c r="D212" s="1032" t="s">
        <v>741</v>
      </c>
      <c r="E212" s="1031" t="s">
        <v>402</v>
      </c>
      <c r="F212" s="1031">
        <v>1</v>
      </c>
      <c r="G212" s="1031">
        <v>9</v>
      </c>
      <c r="H212" s="1033">
        <v>50</v>
      </c>
      <c r="I212" s="1034">
        <f>F212*G212*H212</f>
        <v>450</v>
      </c>
    </row>
    <row r="213" spans="3:11" hidden="1" x14ac:dyDescent="0.25">
      <c r="C213" s="1029">
        <v>4</v>
      </c>
      <c r="D213" s="1754" t="s">
        <v>765</v>
      </c>
      <c r="E213" s="1754"/>
      <c r="F213" s="1754"/>
      <c r="G213" s="1754"/>
      <c r="H213" s="1754"/>
      <c r="I213" s="1037">
        <f>SUM(I214:I215)</f>
        <v>108000</v>
      </c>
    </row>
    <row r="214" spans="3:11" hidden="1" x14ac:dyDescent="0.25">
      <c r="C214" s="1031">
        <v>4.0999999999999996</v>
      </c>
      <c r="D214" s="1032" t="s">
        <v>766</v>
      </c>
      <c r="E214" s="1031" t="s">
        <v>402</v>
      </c>
      <c r="F214" s="1035">
        <v>1</v>
      </c>
      <c r="G214" s="1031">
        <v>9</v>
      </c>
      <c r="H214" s="1034">
        <v>5000</v>
      </c>
      <c r="I214" s="1034">
        <f>F214*G214*H214</f>
        <v>45000</v>
      </c>
    </row>
    <row r="215" spans="3:11" hidden="1" x14ac:dyDescent="0.25">
      <c r="C215" s="1031">
        <v>4.2</v>
      </c>
      <c r="D215" s="1032" t="s">
        <v>767</v>
      </c>
      <c r="E215" s="1031" t="s">
        <v>402</v>
      </c>
      <c r="F215" s="1035">
        <v>1</v>
      </c>
      <c r="G215" s="1031">
        <v>9</v>
      </c>
      <c r="H215" s="1034">
        <v>7000</v>
      </c>
      <c r="I215" s="1034">
        <f>F215*G215*H215</f>
        <v>63000</v>
      </c>
    </row>
    <row r="216" spans="3:11" hidden="1" x14ac:dyDescent="0.25">
      <c r="C216" s="1029">
        <v>5</v>
      </c>
      <c r="D216" s="1754" t="s">
        <v>747</v>
      </c>
      <c r="E216" s="1754"/>
      <c r="F216" s="1754"/>
      <c r="G216" s="1754"/>
      <c r="H216" s="1754"/>
      <c r="I216" s="1037">
        <f>SUM(I217:I218)</f>
        <v>4095</v>
      </c>
    </row>
    <row r="217" spans="3:11" hidden="1" x14ac:dyDescent="0.25">
      <c r="C217" s="1031">
        <v>5.0999999999999996</v>
      </c>
      <c r="D217" s="1032" t="s">
        <v>750</v>
      </c>
      <c r="E217" s="1031" t="s">
        <v>749</v>
      </c>
      <c r="F217" s="1031">
        <v>1</v>
      </c>
      <c r="G217" s="1031">
        <v>9</v>
      </c>
      <c r="H217" s="1033">
        <v>300</v>
      </c>
      <c r="I217" s="1034">
        <f>F217*G217*H217</f>
        <v>2700</v>
      </c>
    </row>
    <row r="218" spans="3:11" hidden="1" x14ac:dyDescent="0.25">
      <c r="C218" s="1031">
        <v>5.2</v>
      </c>
      <c r="D218" s="1032" t="s">
        <v>751</v>
      </c>
      <c r="E218" s="1031" t="s">
        <v>752</v>
      </c>
      <c r="F218" s="1031">
        <v>10</v>
      </c>
      <c r="G218" s="1031">
        <v>9</v>
      </c>
      <c r="H218" s="1033">
        <v>15.5</v>
      </c>
      <c r="I218" s="1034">
        <f>F218*G218*H218</f>
        <v>1395</v>
      </c>
    </row>
    <row r="219" spans="3:11" hidden="1" x14ac:dyDescent="0.25">
      <c r="C219" s="1740" t="s">
        <v>44</v>
      </c>
      <c r="D219" s="1740"/>
      <c r="E219" s="1740"/>
      <c r="F219" s="1740"/>
      <c r="G219" s="1740"/>
      <c r="H219" s="1740"/>
      <c r="I219" s="1038">
        <f>I204+I207+I210+I213+I216</f>
        <v>117555</v>
      </c>
    </row>
    <row r="220" spans="3:11" hidden="1" x14ac:dyDescent="0.25"/>
    <row r="221" spans="3:11" hidden="1" x14ac:dyDescent="0.25"/>
    <row r="222" spans="3:11" ht="28.5" hidden="1" customHeight="1" x14ac:dyDescent="0.25">
      <c r="C222" s="1755" t="s">
        <v>768</v>
      </c>
      <c r="D222" s="1755"/>
      <c r="E222" s="1755"/>
      <c r="F222" s="1755"/>
      <c r="G222" s="1755"/>
      <c r="H222" s="1755"/>
      <c r="I222" s="1755"/>
      <c r="J222" s="1755"/>
      <c r="K222" s="1755"/>
    </row>
    <row r="223" spans="3:11" hidden="1" x14ac:dyDescent="0.25">
      <c r="C223" s="1039"/>
      <c r="D223" s="1310"/>
      <c r="E223" s="1310"/>
      <c r="F223" s="1310"/>
      <c r="G223" s="1310"/>
      <c r="H223" s="1311"/>
      <c r="I223" s="1040"/>
      <c r="J223" s="1040"/>
      <c r="K223" s="1040"/>
    </row>
    <row r="224" spans="3:11" ht="25.5" hidden="1" x14ac:dyDescent="0.25">
      <c r="C224" s="1312" t="s">
        <v>398</v>
      </c>
      <c r="D224" s="1312" t="s">
        <v>682</v>
      </c>
      <c r="E224" s="1312" t="s">
        <v>397</v>
      </c>
      <c r="F224" s="1312" t="s">
        <v>650</v>
      </c>
      <c r="G224" s="1312" t="s">
        <v>684</v>
      </c>
      <c r="H224" s="1312" t="s">
        <v>685</v>
      </c>
      <c r="I224" s="1040"/>
      <c r="J224" s="1040"/>
      <c r="K224" s="1040"/>
    </row>
    <row r="225" spans="3:13" ht="25.5" hidden="1" x14ac:dyDescent="0.25">
      <c r="C225" s="1031">
        <v>3.1</v>
      </c>
      <c r="D225" s="1041" t="str">
        <f>C8</f>
        <v>Implementación de programas de control y seguimiento del estado nutricional de las familias.</v>
      </c>
      <c r="E225" s="1042" t="s">
        <v>411</v>
      </c>
      <c r="F225" s="1042">
        <v>1</v>
      </c>
      <c r="G225" s="1043"/>
      <c r="H225" s="1043">
        <f>F225*G225</f>
        <v>0</v>
      </c>
      <c r="I225" s="1040"/>
      <c r="J225" s="1040"/>
      <c r="K225" s="1320"/>
    </row>
    <row r="226" spans="3:13" ht="25.5" hidden="1" x14ac:dyDescent="0.25">
      <c r="C226" s="1031" t="s">
        <v>734</v>
      </c>
      <c r="D226" s="1041" t="str">
        <f>C199</f>
        <v>Implementación de programas y entrega de suplementos alimenticios a los niños y madres gestantes</v>
      </c>
      <c r="E226" s="1042" t="s">
        <v>411</v>
      </c>
      <c r="F226" s="1042">
        <v>1</v>
      </c>
      <c r="G226" s="1043"/>
      <c r="H226" s="1043">
        <f>F226*G226</f>
        <v>0</v>
      </c>
      <c r="I226" s="1040"/>
      <c r="J226" s="1040"/>
      <c r="K226" s="1320"/>
    </row>
    <row r="227" spans="3:13" hidden="1" x14ac:dyDescent="0.25">
      <c r="C227" s="1756" t="s">
        <v>44</v>
      </c>
      <c r="D227" s="1756"/>
      <c r="E227" s="1756"/>
      <c r="F227" s="1756"/>
      <c r="G227" s="1756"/>
      <c r="H227" s="1313">
        <f>SUM(H225:H226)</f>
        <v>0</v>
      </c>
      <c r="I227" s="1040"/>
      <c r="J227" s="1040"/>
      <c r="K227" s="1320"/>
    </row>
    <row r="228" spans="3:13" hidden="1" x14ac:dyDescent="0.25">
      <c r="C228" s="1040"/>
      <c r="D228" s="1040"/>
      <c r="E228" s="1040"/>
      <c r="F228" s="1040"/>
      <c r="G228" s="1040"/>
      <c r="H228" s="1040"/>
      <c r="I228" s="1040"/>
      <c r="J228" s="1040"/>
      <c r="K228" s="1320"/>
    </row>
    <row r="229" spans="3:13" hidden="1" x14ac:dyDescent="0.25">
      <c r="C229" s="1040"/>
      <c r="D229" s="1040"/>
      <c r="E229" s="1040"/>
      <c r="F229" s="1040"/>
      <c r="G229" s="1040"/>
      <c r="H229" s="1040"/>
      <c r="I229" s="1040"/>
      <c r="J229" s="1040"/>
      <c r="K229" s="1040"/>
    </row>
    <row r="230" spans="3:13" hidden="1" x14ac:dyDescent="0.25">
      <c r="C230" s="1040" t="s">
        <v>773</v>
      </c>
      <c r="D230" s="1040"/>
      <c r="E230" s="1040"/>
      <c r="F230" s="1040"/>
      <c r="G230" s="1040"/>
      <c r="H230" s="1040"/>
      <c r="I230" s="1040"/>
      <c r="J230" s="1040"/>
      <c r="K230" s="1040"/>
    </row>
    <row r="231" spans="3:13" hidden="1" x14ac:dyDescent="0.25">
      <c r="C231" s="1040"/>
      <c r="D231" s="1040"/>
      <c r="E231" s="1040"/>
      <c r="F231" s="1040"/>
      <c r="G231" s="1040"/>
      <c r="H231" s="1040"/>
      <c r="I231" s="1040"/>
      <c r="J231" s="1040"/>
      <c r="K231" s="1040"/>
    </row>
    <row r="232" spans="3:13" ht="87.75" hidden="1" customHeight="1" x14ac:dyDescent="0.25">
      <c r="C232" s="1314" t="s">
        <v>398</v>
      </c>
      <c r="D232" s="1315" t="s">
        <v>396</v>
      </c>
      <c r="E232" s="1314" t="s">
        <v>795</v>
      </c>
      <c r="F232" s="1315" t="s">
        <v>769</v>
      </c>
      <c r="G232" s="1314" t="s">
        <v>771</v>
      </c>
      <c r="H232" s="1312" t="s">
        <v>772</v>
      </c>
      <c r="I232" s="1040"/>
      <c r="J232" s="1040"/>
      <c r="K232" s="1316">
        <f>H14+H45+H76+H107+H138+H169+H205</f>
        <v>1050</v>
      </c>
      <c r="L232" s="258">
        <v>9</v>
      </c>
      <c r="M232" s="434">
        <f>K232*L232</f>
        <v>9450</v>
      </c>
    </row>
    <row r="233" spans="3:13" ht="28.5" hidden="1" customHeight="1" x14ac:dyDescent="0.25">
      <c r="C233" s="1317" t="s">
        <v>714</v>
      </c>
      <c r="D233" s="1745" t="str">
        <f>D225</f>
        <v>Implementación de programas de control y seguimiento del estado nutricional de las familias.</v>
      </c>
      <c r="E233" s="1746"/>
      <c r="F233" s="1746"/>
      <c r="G233" s="1747"/>
      <c r="H233" s="1751"/>
      <c r="I233" s="1040"/>
      <c r="J233" s="1040"/>
      <c r="K233" s="1040"/>
    </row>
    <row r="234" spans="3:13" hidden="1" x14ac:dyDescent="0.25">
      <c r="C234" s="1031" t="s">
        <v>715</v>
      </c>
      <c r="D234" s="1021" t="str">
        <f>D14</f>
        <v>Pofesional de la Salud (médico, obstetra)</v>
      </c>
      <c r="E234" s="1031">
        <f>G14+G45+G76+G107+G138+G169</f>
        <v>54</v>
      </c>
      <c r="F234" s="1031">
        <f>E234/30</f>
        <v>1.8</v>
      </c>
      <c r="G234" s="1031">
        <f>F234</f>
        <v>1.8</v>
      </c>
      <c r="H234" s="1752"/>
      <c r="I234" s="1040"/>
      <c r="J234" s="1040"/>
      <c r="K234" s="1318">
        <f>150*E234</f>
        <v>8100</v>
      </c>
    </row>
    <row r="235" spans="3:13" hidden="1" x14ac:dyDescent="0.25">
      <c r="C235" s="1031" t="s">
        <v>759</v>
      </c>
      <c r="D235" s="1021" t="str">
        <f>D15</f>
        <v>Asistente (enfermero)</v>
      </c>
      <c r="E235" s="1031">
        <f>E234</f>
        <v>54</v>
      </c>
      <c r="F235" s="1031">
        <f>E235/30</f>
        <v>1.8</v>
      </c>
      <c r="G235" s="1031">
        <f>F235</f>
        <v>1.8</v>
      </c>
      <c r="H235" s="1752"/>
      <c r="I235" s="1040"/>
      <c r="J235" s="1040"/>
      <c r="K235" s="1040"/>
    </row>
    <row r="236" spans="3:13" ht="27" hidden="1" customHeight="1" x14ac:dyDescent="0.25">
      <c r="C236" s="1317" t="s">
        <v>734</v>
      </c>
      <c r="D236" s="1745" t="str">
        <f>D226</f>
        <v>Implementación de programas y entrega de suplementos alimenticios a los niños y madres gestantes</v>
      </c>
      <c r="E236" s="1746"/>
      <c r="F236" s="1746"/>
      <c r="G236" s="1747"/>
      <c r="H236" s="1752"/>
      <c r="I236" s="1040"/>
      <c r="J236" s="1040"/>
      <c r="K236" s="1040"/>
    </row>
    <row r="237" spans="3:13" hidden="1" x14ac:dyDescent="0.25">
      <c r="C237" s="1031" t="s">
        <v>764</v>
      </c>
      <c r="D237" s="1032" t="str">
        <f>D234</f>
        <v>Pofesional de la Salud (médico, obstetra)</v>
      </c>
      <c r="E237" s="1031">
        <f>G205</f>
        <v>9</v>
      </c>
      <c r="F237" s="1031">
        <f>E237/30</f>
        <v>0.3</v>
      </c>
      <c r="G237" s="1031">
        <f>F237</f>
        <v>0.3</v>
      </c>
      <c r="H237" s="1752"/>
      <c r="I237" s="1040"/>
      <c r="J237" s="1040"/>
      <c r="K237" s="1040"/>
    </row>
    <row r="238" spans="3:13" hidden="1" x14ac:dyDescent="0.25">
      <c r="C238" s="1031" t="s">
        <v>770</v>
      </c>
      <c r="D238" s="1032" t="str">
        <f>D235</f>
        <v>Asistente (enfermero)</v>
      </c>
      <c r="E238" s="1031">
        <f>E237</f>
        <v>9</v>
      </c>
      <c r="F238" s="1031">
        <f>E238/30</f>
        <v>0.3</v>
      </c>
      <c r="G238" s="1031">
        <f>F238</f>
        <v>0.3</v>
      </c>
      <c r="H238" s="1752"/>
      <c r="I238" s="1040"/>
      <c r="J238" s="1040"/>
      <c r="K238" s="1040"/>
    </row>
    <row r="239" spans="3:13" hidden="1" x14ac:dyDescent="0.25">
      <c r="C239" s="1748" t="s">
        <v>44</v>
      </c>
      <c r="D239" s="1748"/>
      <c r="E239" s="1748"/>
      <c r="F239" s="1748"/>
      <c r="G239" s="1748"/>
      <c r="H239" s="1753"/>
      <c r="I239" s="1040"/>
      <c r="J239" s="1040"/>
      <c r="K239" s="1040"/>
    </row>
    <row r="240" spans="3:13" hidden="1" x14ac:dyDescent="0.25">
      <c r="C240" s="1749"/>
      <c r="D240" s="1032" t="str">
        <f>D237</f>
        <v>Pofesional de la Salud (médico, obstetra)</v>
      </c>
      <c r="E240" s="1031">
        <f>E234+E237</f>
        <v>63</v>
      </c>
      <c r="F240" s="1031">
        <f>E240/30</f>
        <v>2.1</v>
      </c>
      <c r="G240" s="1031">
        <f>ROUNDUP(F240,0)</f>
        <v>3</v>
      </c>
      <c r="H240" s="1319">
        <f>G240</f>
        <v>3</v>
      </c>
      <c r="I240" s="1040"/>
      <c r="J240" s="1040"/>
      <c r="K240" s="1040"/>
    </row>
    <row r="241" spans="2:11" hidden="1" x14ac:dyDescent="0.25">
      <c r="C241" s="1750"/>
      <c r="D241" s="1032" t="str">
        <f>D238</f>
        <v>Asistente (enfermero)</v>
      </c>
      <c r="E241" s="1031">
        <f>E235+E238</f>
        <v>63</v>
      </c>
      <c r="F241" s="1031">
        <f>E241/30</f>
        <v>2.1</v>
      </c>
      <c r="G241" s="1031">
        <f>ROUNDUP(F241,0)</f>
        <v>3</v>
      </c>
      <c r="H241" s="1319">
        <f>G241</f>
        <v>3</v>
      </c>
      <c r="I241" s="1040"/>
      <c r="J241" s="1040"/>
      <c r="K241" s="1040">
        <f>ROUNDUP(F240,1)</f>
        <v>2.1</v>
      </c>
    </row>
    <row r="242" spans="2:11" hidden="1" x14ac:dyDescent="0.25"/>
    <row r="245" spans="2:11" ht="12.75" customHeight="1" x14ac:dyDescent="0.25">
      <c r="B245" s="1741" t="s">
        <v>1743</v>
      </c>
      <c r="C245" s="1741"/>
      <c r="D245" s="1741"/>
      <c r="E245" s="1741"/>
      <c r="F245" s="1741"/>
      <c r="G245" s="1741"/>
      <c r="H245" s="1741"/>
      <c r="I245" s="1741"/>
      <c r="J245" s="1741"/>
      <c r="K245" s="1741"/>
    </row>
    <row r="247" spans="2:11" x14ac:dyDescent="0.25">
      <c r="B247" s="236" t="s">
        <v>1744</v>
      </c>
      <c r="C247" s="408" t="s">
        <v>1613</v>
      </c>
      <c r="I247" s="260"/>
      <c r="J247" s="260"/>
      <c r="K247" s="260"/>
    </row>
    <row r="249" spans="2:11" x14ac:dyDescent="0.25">
      <c r="B249" s="236" t="s">
        <v>715</v>
      </c>
      <c r="C249" s="222" t="s">
        <v>1614</v>
      </c>
    </row>
    <row r="251" spans="2:11" ht="25.5" x14ac:dyDescent="0.25">
      <c r="C251" s="411" t="s">
        <v>398</v>
      </c>
      <c r="D251" s="411" t="s">
        <v>649</v>
      </c>
      <c r="E251" s="411" t="s">
        <v>397</v>
      </c>
      <c r="F251" s="411" t="s">
        <v>650</v>
      </c>
      <c r="G251" s="411" t="s">
        <v>722</v>
      </c>
      <c r="H251" s="412" t="s">
        <v>733</v>
      </c>
      <c r="I251" s="411" t="s">
        <v>44</v>
      </c>
    </row>
    <row r="252" spans="2:11" x14ac:dyDescent="0.25">
      <c r="C252" s="413">
        <v>1</v>
      </c>
      <c r="D252" s="1742" t="s">
        <v>776</v>
      </c>
      <c r="E252" s="1743"/>
      <c r="F252" s="1743"/>
      <c r="G252" s="1743"/>
      <c r="H252" s="1744"/>
      <c r="I252" s="414">
        <f>SUM(I253:I254)</f>
        <v>17500</v>
      </c>
    </row>
    <row r="253" spans="2:11" ht="38.25" x14ac:dyDescent="0.25">
      <c r="C253" s="245" t="s">
        <v>401</v>
      </c>
      <c r="D253" s="250" t="s">
        <v>793</v>
      </c>
      <c r="E253" s="245" t="s">
        <v>780</v>
      </c>
      <c r="F253" s="245">
        <v>1</v>
      </c>
      <c r="G253" s="245">
        <v>5</v>
      </c>
      <c r="H253" s="393">
        <v>2000</v>
      </c>
      <c r="I253" s="409">
        <f>G253*H253</f>
        <v>10000</v>
      </c>
    </row>
    <row r="254" spans="2:11" ht="42.75" customHeight="1" x14ac:dyDescent="0.25">
      <c r="C254" s="245" t="s">
        <v>400</v>
      </c>
      <c r="D254" s="250" t="s">
        <v>781</v>
      </c>
      <c r="E254" s="245" t="s">
        <v>780</v>
      </c>
      <c r="F254" s="245">
        <v>1</v>
      </c>
      <c r="G254" s="245">
        <v>5</v>
      </c>
      <c r="H254" s="393">
        <v>1500</v>
      </c>
      <c r="I254" s="393">
        <f>G254*H254</f>
        <v>7500</v>
      </c>
    </row>
    <row r="255" spans="2:11" x14ac:dyDescent="0.25">
      <c r="C255" s="419">
        <v>2</v>
      </c>
      <c r="D255" s="1731" t="s">
        <v>719</v>
      </c>
      <c r="E255" s="1731"/>
      <c r="F255" s="1731"/>
      <c r="G255" s="1731"/>
      <c r="H255" s="1731"/>
      <c r="I255" s="420">
        <f>SUM(I256:I257)</f>
        <v>1400</v>
      </c>
    </row>
    <row r="256" spans="2:11" ht="38.25" x14ac:dyDescent="0.25">
      <c r="C256" s="245" t="s">
        <v>691</v>
      </c>
      <c r="D256" s="250" t="s">
        <v>794</v>
      </c>
      <c r="E256" s="245" t="s">
        <v>402</v>
      </c>
      <c r="F256" s="245">
        <v>1</v>
      </c>
      <c r="G256" s="245">
        <v>5</v>
      </c>
      <c r="H256" s="422">
        <v>140</v>
      </c>
      <c r="I256" s="393">
        <f>G256*H256</f>
        <v>700</v>
      </c>
    </row>
    <row r="257" spans="3:9" ht="38.25" x14ac:dyDescent="0.25">
      <c r="C257" s="245" t="s">
        <v>700</v>
      </c>
      <c r="D257" s="250" t="s">
        <v>781</v>
      </c>
      <c r="E257" s="245" t="s">
        <v>402</v>
      </c>
      <c r="F257" s="245">
        <v>1</v>
      </c>
      <c r="G257" s="245">
        <v>5</v>
      </c>
      <c r="H257" s="422">
        <v>140</v>
      </c>
      <c r="I257" s="393">
        <f>G257*H257</f>
        <v>700</v>
      </c>
    </row>
    <row r="258" spans="3:9" x14ac:dyDescent="0.25">
      <c r="C258" s="419">
        <v>3</v>
      </c>
      <c r="D258" s="1731" t="s">
        <v>723</v>
      </c>
      <c r="E258" s="1731"/>
      <c r="F258" s="1731"/>
      <c r="G258" s="1732"/>
      <c r="H258" s="1732"/>
      <c r="I258" s="420">
        <f>SUM(I259:I267)</f>
        <v>401</v>
      </c>
    </row>
    <row r="259" spans="3:9" x14ac:dyDescent="0.25">
      <c r="C259" s="245" t="s">
        <v>714</v>
      </c>
      <c r="D259" s="250" t="s">
        <v>724</v>
      </c>
      <c r="E259" s="245" t="s">
        <v>402</v>
      </c>
      <c r="F259" s="245">
        <v>10</v>
      </c>
      <c r="G259" s="245" t="s">
        <v>669</v>
      </c>
      <c r="H259" s="422">
        <v>0.5</v>
      </c>
      <c r="I259" s="393">
        <f>F259*H259</f>
        <v>5</v>
      </c>
    </row>
    <row r="260" spans="3:9" x14ac:dyDescent="0.25">
      <c r="C260" s="245" t="s">
        <v>734</v>
      </c>
      <c r="D260" s="250" t="s">
        <v>725</v>
      </c>
      <c r="E260" s="245" t="s">
        <v>726</v>
      </c>
      <c r="F260" s="245">
        <v>1</v>
      </c>
      <c r="G260" s="245" t="s">
        <v>669</v>
      </c>
      <c r="H260" s="422">
        <v>25</v>
      </c>
      <c r="I260" s="393">
        <f t="shared" ref="I260:I267" si="6">F260*H260</f>
        <v>25</v>
      </c>
    </row>
    <row r="261" spans="3:9" x14ac:dyDescent="0.25">
      <c r="C261" s="245" t="s">
        <v>735</v>
      </c>
      <c r="D261" s="250" t="s">
        <v>727</v>
      </c>
      <c r="E261" s="245" t="s">
        <v>402</v>
      </c>
      <c r="F261" s="245">
        <v>10</v>
      </c>
      <c r="G261" s="245" t="s">
        <v>669</v>
      </c>
      <c r="H261" s="422">
        <v>0.5</v>
      </c>
      <c r="I261" s="393">
        <f t="shared" si="6"/>
        <v>5</v>
      </c>
    </row>
    <row r="262" spans="3:9" x14ac:dyDescent="0.25">
      <c r="C262" s="245" t="s">
        <v>736</v>
      </c>
      <c r="D262" s="250" t="s">
        <v>728</v>
      </c>
      <c r="E262" s="245" t="s">
        <v>729</v>
      </c>
      <c r="F262" s="245">
        <v>1</v>
      </c>
      <c r="G262" s="245" t="s">
        <v>669</v>
      </c>
      <c r="H262" s="422">
        <v>4</v>
      </c>
      <c r="I262" s="393">
        <f t="shared" si="6"/>
        <v>4</v>
      </c>
    </row>
    <row r="263" spans="3:9" x14ac:dyDescent="0.25">
      <c r="C263" s="245" t="s">
        <v>737</v>
      </c>
      <c r="D263" s="250" t="s">
        <v>730</v>
      </c>
      <c r="E263" s="245" t="s">
        <v>402</v>
      </c>
      <c r="F263" s="245">
        <v>1</v>
      </c>
      <c r="G263" s="245" t="s">
        <v>669</v>
      </c>
      <c r="H263" s="422">
        <v>2</v>
      </c>
      <c r="I263" s="393">
        <f t="shared" si="6"/>
        <v>2</v>
      </c>
    </row>
    <row r="264" spans="3:9" x14ac:dyDescent="0.25">
      <c r="C264" s="245" t="s">
        <v>738</v>
      </c>
      <c r="D264" s="250" t="s">
        <v>731</v>
      </c>
      <c r="E264" s="245" t="s">
        <v>732</v>
      </c>
      <c r="F264" s="245">
        <v>1</v>
      </c>
      <c r="G264" s="245" t="s">
        <v>669</v>
      </c>
      <c r="H264" s="422">
        <v>30</v>
      </c>
      <c r="I264" s="393">
        <f t="shared" si="6"/>
        <v>30</v>
      </c>
    </row>
    <row r="265" spans="3:9" x14ac:dyDescent="0.25">
      <c r="C265" s="245" t="s">
        <v>755</v>
      </c>
      <c r="D265" s="250" t="s">
        <v>758</v>
      </c>
      <c r="E265" s="245" t="s">
        <v>402</v>
      </c>
      <c r="F265" s="246">
        <v>30</v>
      </c>
      <c r="G265" s="245" t="s">
        <v>669</v>
      </c>
      <c r="H265" s="422">
        <v>0.5</v>
      </c>
      <c r="I265" s="393">
        <f t="shared" si="6"/>
        <v>15</v>
      </c>
    </row>
    <row r="266" spans="3:9" x14ac:dyDescent="0.25">
      <c r="C266" s="245">
        <v>3.8</v>
      </c>
      <c r="D266" s="250" t="s">
        <v>756</v>
      </c>
      <c r="E266" s="245" t="s">
        <v>402</v>
      </c>
      <c r="F266" s="246">
        <f>F265</f>
        <v>30</v>
      </c>
      <c r="G266" s="245" t="s">
        <v>669</v>
      </c>
      <c r="H266" s="422">
        <v>0.5</v>
      </c>
      <c r="I266" s="393">
        <f t="shared" si="6"/>
        <v>15</v>
      </c>
    </row>
    <row r="267" spans="3:9" x14ac:dyDescent="0.25">
      <c r="C267" s="245">
        <v>3.9</v>
      </c>
      <c r="D267" s="250" t="s">
        <v>757</v>
      </c>
      <c r="E267" s="245" t="s">
        <v>402</v>
      </c>
      <c r="F267" s="246">
        <f>F266</f>
        <v>30</v>
      </c>
      <c r="G267" s="245" t="s">
        <v>669</v>
      </c>
      <c r="H267" s="422">
        <v>10</v>
      </c>
      <c r="I267" s="393">
        <f t="shared" si="6"/>
        <v>300</v>
      </c>
    </row>
    <row r="268" spans="3:9" x14ac:dyDescent="0.25">
      <c r="C268" s="419">
        <v>4</v>
      </c>
      <c r="D268" s="1731" t="s">
        <v>739</v>
      </c>
      <c r="E268" s="1731"/>
      <c r="F268" s="1731"/>
      <c r="G268" s="1731"/>
      <c r="H268" s="1731"/>
      <c r="I268" s="423">
        <f>SUM(I269:I270)</f>
        <v>400</v>
      </c>
    </row>
    <row r="269" spans="3:9" x14ac:dyDescent="0.25">
      <c r="C269" s="245" t="s">
        <v>742</v>
      </c>
      <c r="D269" s="421" t="s">
        <v>740</v>
      </c>
      <c r="E269" s="245" t="s">
        <v>402</v>
      </c>
      <c r="F269" s="245">
        <v>1</v>
      </c>
      <c r="G269" s="245">
        <v>5</v>
      </c>
      <c r="H269" s="422">
        <v>30</v>
      </c>
      <c r="I269" s="393">
        <f>F269*G269*H269</f>
        <v>150</v>
      </c>
    </row>
    <row r="270" spans="3:9" x14ac:dyDescent="0.25">
      <c r="C270" s="245" t="s">
        <v>743</v>
      </c>
      <c r="D270" s="421" t="s">
        <v>741</v>
      </c>
      <c r="E270" s="245" t="s">
        <v>402</v>
      </c>
      <c r="F270" s="245">
        <v>1</v>
      </c>
      <c r="G270" s="245">
        <v>5</v>
      </c>
      <c r="H270" s="422">
        <v>50</v>
      </c>
      <c r="I270" s="393">
        <f>F270*G270*H270</f>
        <v>250</v>
      </c>
    </row>
    <row r="271" spans="3:9" x14ac:dyDescent="0.25">
      <c r="C271" s="419">
        <v>5</v>
      </c>
      <c r="D271" s="1731" t="s">
        <v>748</v>
      </c>
      <c r="E271" s="1731"/>
      <c r="F271" s="1731"/>
      <c r="G271" s="1731"/>
      <c r="H271" s="1731"/>
      <c r="I271" s="426">
        <f>SUM(I272:I273)</f>
        <v>3150</v>
      </c>
    </row>
    <row r="272" spans="3:9" x14ac:dyDescent="0.25">
      <c r="C272" s="245" t="s">
        <v>746</v>
      </c>
      <c r="D272" s="421" t="s">
        <v>744</v>
      </c>
      <c r="E272" s="245" t="s">
        <v>402</v>
      </c>
      <c r="F272" s="246">
        <v>30</v>
      </c>
      <c r="G272" s="245">
        <v>5</v>
      </c>
      <c r="H272" s="422">
        <v>15</v>
      </c>
      <c r="I272" s="393">
        <f>F272*G272*H272</f>
        <v>2250</v>
      </c>
    </row>
    <row r="273" spans="2:9" x14ac:dyDescent="0.25">
      <c r="C273" s="245">
        <v>5.2</v>
      </c>
      <c r="D273" s="421" t="s">
        <v>745</v>
      </c>
      <c r="E273" s="245" t="s">
        <v>402</v>
      </c>
      <c r="F273" s="246">
        <f>F272</f>
        <v>30</v>
      </c>
      <c r="G273" s="245">
        <v>5</v>
      </c>
      <c r="H273" s="422">
        <v>6</v>
      </c>
      <c r="I273" s="393">
        <f>F273*G273*H273</f>
        <v>900</v>
      </c>
    </row>
    <row r="274" spans="2:9" x14ac:dyDescent="0.25">
      <c r="C274" s="419">
        <v>6</v>
      </c>
      <c r="D274" s="1731" t="s">
        <v>747</v>
      </c>
      <c r="E274" s="1731"/>
      <c r="F274" s="1731"/>
      <c r="G274" s="1731"/>
      <c r="H274" s="1731"/>
      <c r="I274" s="426">
        <f>SUM(I275:I276)</f>
        <v>677.5</v>
      </c>
    </row>
    <row r="275" spans="2:9" x14ac:dyDescent="0.25">
      <c r="C275" s="245" t="s">
        <v>753</v>
      </c>
      <c r="D275" s="421" t="s">
        <v>750</v>
      </c>
      <c r="E275" s="245" t="s">
        <v>749</v>
      </c>
      <c r="F275" s="245">
        <v>1</v>
      </c>
      <c r="G275" s="245">
        <v>2</v>
      </c>
      <c r="H275" s="422">
        <v>300</v>
      </c>
      <c r="I275" s="393">
        <f>F275*G275*H275</f>
        <v>600</v>
      </c>
    </row>
    <row r="276" spans="2:9" x14ac:dyDescent="0.25">
      <c r="C276" s="245" t="s">
        <v>754</v>
      </c>
      <c r="D276" s="421" t="s">
        <v>751</v>
      </c>
      <c r="E276" s="245" t="s">
        <v>752</v>
      </c>
      <c r="F276" s="245">
        <v>5</v>
      </c>
      <c r="G276" s="245">
        <v>1</v>
      </c>
      <c r="H276" s="422">
        <v>15.5</v>
      </c>
      <c r="I276" s="393">
        <f>F276*G276*H276</f>
        <v>77.5</v>
      </c>
    </row>
    <row r="277" spans="2:9" x14ac:dyDescent="0.25">
      <c r="C277" s="1739" t="s">
        <v>44</v>
      </c>
      <c r="D277" s="1739"/>
      <c r="E277" s="1739"/>
      <c r="F277" s="1739"/>
      <c r="G277" s="1739"/>
      <c r="H277" s="1739"/>
      <c r="I277" s="418">
        <f>I252+I255+I258+I268+I271+I274</f>
        <v>23528.5</v>
      </c>
    </row>
    <row r="278" spans="2:9" x14ac:dyDescent="0.25">
      <c r="C278" s="261"/>
      <c r="D278" s="261"/>
      <c r="E278" s="261"/>
      <c r="F278" s="261"/>
      <c r="G278" s="261"/>
      <c r="H278" s="261"/>
      <c r="I278" s="261"/>
    </row>
    <row r="280" spans="2:9" x14ac:dyDescent="0.25">
      <c r="B280" s="236" t="s">
        <v>734</v>
      </c>
      <c r="C280" s="408" t="s">
        <v>1615</v>
      </c>
    </row>
    <row r="282" spans="2:9" ht="15" x14ac:dyDescent="0.25">
      <c r="B282" s="236" t="s">
        <v>764</v>
      </c>
      <c r="C282" s="1228" t="s">
        <v>1644</v>
      </c>
    </row>
    <row r="284" spans="2:9" ht="25.5" x14ac:dyDescent="0.25">
      <c r="C284" s="411" t="s">
        <v>398</v>
      </c>
      <c r="D284" s="411" t="s">
        <v>649</v>
      </c>
      <c r="E284" s="411" t="s">
        <v>397</v>
      </c>
      <c r="F284" s="411" t="s">
        <v>650</v>
      </c>
      <c r="G284" s="411" t="s">
        <v>722</v>
      </c>
      <c r="H284" s="412" t="s">
        <v>733</v>
      </c>
      <c r="I284" s="411" t="s">
        <v>44</v>
      </c>
    </row>
    <row r="285" spans="2:9" x14ac:dyDescent="0.25">
      <c r="C285" s="413">
        <v>1</v>
      </c>
      <c r="D285" s="1742" t="s">
        <v>776</v>
      </c>
      <c r="E285" s="1743"/>
      <c r="F285" s="1743"/>
      <c r="G285" s="1743"/>
      <c r="H285" s="1744"/>
      <c r="I285" s="414">
        <f>SUM(I286:I287)</f>
        <v>17500</v>
      </c>
    </row>
    <row r="286" spans="2:9" ht="38.25" x14ac:dyDescent="0.25">
      <c r="C286" s="245" t="s">
        <v>401</v>
      </c>
      <c r="D286" s="250" t="s">
        <v>793</v>
      </c>
      <c r="E286" s="245" t="s">
        <v>780</v>
      </c>
      <c r="F286" s="245">
        <v>1</v>
      </c>
      <c r="G286" s="245">
        <v>5</v>
      </c>
      <c r="H286" s="393">
        <v>2000</v>
      </c>
      <c r="I286" s="409">
        <f>G286*H286</f>
        <v>10000</v>
      </c>
    </row>
    <row r="287" spans="2:9" ht="38.25" x14ac:dyDescent="0.25">
      <c r="C287" s="245" t="s">
        <v>400</v>
      </c>
      <c r="D287" s="250" t="s">
        <v>781</v>
      </c>
      <c r="E287" s="245" t="s">
        <v>780</v>
      </c>
      <c r="F287" s="245">
        <v>1</v>
      </c>
      <c r="G287" s="245">
        <v>5</v>
      </c>
      <c r="H287" s="393">
        <v>1500</v>
      </c>
      <c r="I287" s="393">
        <f>G287*H287</f>
        <v>7500</v>
      </c>
    </row>
    <row r="288" spans="2:9" x14ac:dyDescent="0.25">
      <c r="C288" s="419">
        <v>2</v>
      </c>
      <c r="D288" s="1731" t="s">
        <v>719</v>
      </c>
      <c r="E288" s="1731"/>
      <c r="F288" s="1731"/>
      <c r="G288" s="1731"/>
      <c r="H288" s="1731"/>
      <c r="I288" s="420">
        <f>SUM(I289:I290)</f>
        <v>1400</v>
      </c>
    </row>
    <row r="289" spans="3:9" ht="38.25" x14ac:dyDescent="0.25">
      <c r="C289" s="245" t="s">
        <v>691</v>
      </c>
      <c r="D289" s="250" t="s">
        <v>794</v>
      </c>
      <c r="E289" s="245" t="s">
        <v>402</v>
      </c>
      <c r="F289" s="245">
        <v>1</v>
      </c>
      <c r="G289" s="245">
        <v>5</v>
      </c>
      <c r="H289" s="422">
        <v>140</v>
      </c>
      <c r="I289" s="393">
        <f>G289*H289</f>
        <v>700</v>
      </c>
    </row>
    <row r="290" spans="3:9" ht="38.25" x14ac:dyDescent="0.25">
      <c r="C290" s="245" t="s">
        <v>700</v>
      </c>
      <c r="D290" s="250" t="s">
        <v>781</v>
      </c>
      <c r="E290" s="245" t="s">
        <v>402</v>
      </c>
      <c r="F290" s="245">
        <v>1</v>
      </c>
      <c r="G290" s="245">
        <v>5</v>
      </c>
      <c r="H290" s="422">
        <v>140</v>
      </c>
      <c r="I290" s="393">
        <f>G290*H290</f>
        <v>700</v>
      </c>
    </row>
    <row r="291" spans="3:9" x14ac:dyDescent="0.25">
      <c r="C291" s="419">
        <v>3</v>
      </c>
      <c r="D291" s="1731" t="s">
        <v>723</v>
      </c>
      <c r="E291" s="1731"/>
      <c r="F291" s="1731"/>
      <c r="G291" s="1732"/>
      <c r="H291" s="1732"/>
      <c r="I291" s="420">
        <f>SUM(I292:I300)</f>
        <v>401</v>
      </c>
    </row>
    <row r="292" spans="3:9" x14ac:dyDescent="0.25">
      <c r="C292" s="245" t="s">
        <v>714</v>
      </c>
      <c r="D292" s="250" t="s">
        <v>724</v>
      </c>
      <c r="E292" s="245" t="s">
        <v>402</v>
      </c>
      <c r="F292" s="245">
        <v>10</v>
      </c>
      <c r="G292" s="245" t="s">
        <v>669</v>
      </c>
      <c r="H292" s="422">
        <v>0.5</v>
      </c>
      <c r="I292" s="393">
        <f>F292*H292</f>
        <v>5</v>
      </c>
    </row>
    <row r="293" spans="3:9" x14ac:dyDescent="0.25">
      <c r="C293" s="245" t="s">
        <v>734</v>
      </c>
      <c r="D293" s="250" t="s">
        <v>725</v>
      </c>
      <c r="E293" s="245" t="s">
        <v>726</v>
      </c>
      <c r="F293" s="245">
        <v>1</v>
      </c>
      <c r="G293" s="245" t="s">
        <v>669</v>
      </c>
      <c r="H293" s="422">
        <v>25</v>
      </c>
      <c r="I293" s="393">
        <f t="shared" ref="I293:I300" si="7">F293*H293</f>
        <v>25</v>
      </c>
    </row>
    <row r="294" spans="3:9" x14ac:dyDescent="0.25">
      <c r="C294" s="245" t="s">
        <v>735</v>
      </c>
      <c r="D294" s="250" t="s">
        <v>727</v>
      </c>
      <c r="E294" s="245" t="s">
        <v>402</v>
      </c>
      <c r="F294" s="245">
        <v>10</v>
      </c>
      <c r="G294" s="245" t="s">
        <v>669</v>
      </c>
      <c r="H294" s="422">
        <v>0.5</v>
      </c>
      <c r="I294" s="393">
        <f t="shared" si="7"/>
        <v>5</v>
      </c>
    </row>
    <row r="295" spans="3:9" x14ac:dyDescent="0.25">
      <c r="C295" s="245" t="s">
        <v>736</v>
      </c>
      <c r="D295" s="250" t="s">
        <v>728</v>
      </c>
      <c r="E295" s="245" t="s">
        <v>729</v>
      </c>
      <c r="F295" s="245">
        <v>1</v>
      </c>
      <c r="G295" s="245" t="s">
        <v>669</v>
      </c>
      <c r="H295" s="422">
        <v>4</v>
      </c>
      <c r="I295" s="393">
        <f t="shared" si="7"/>
        <v>4</v>
      </c>
    </row>
    <row r="296" spans="3:9" x14ac:dyDescent="0.25">
      <c r="C296" s="245" t="s">
        <v>737</v>
      </c>
      <c r="D296" s="250" t="s">
        <v>730</v>
      </c>
      <c r="E296" s="245" t="s">
        <v>402</v>
      </c>
      <c r="F296" s="245">
        <v>1</v>
      </c>
      <c r="G296" s="245" t="s">
        <v>669</v>
      </c>
      <c r="H296" s="422">
        <v>2</v>
      </c>
      <c r="I296" s="393">
        <f t="shared" si="7"/>
        <v>2</v>
      </c>
    </row>
    <row r="297" spans="3:9" x14ac:dyDescent="0.25">
      <c r="C297" s="245" t="s">
        <v>738</v>
      </c>
      <c r="D297" s="250" t="s">
        <v>731</v>
      </c>
      <c r="E297" s="245" t="s">
        <v>732</v>
      </c>
      <c r="F297" s="245">
        <v>1</v>
      </c>
      <c r="G297" s="245" t="s">
        <v>669</v>
      </c>
      <c r="H297" s="422">
        <v>30</v>
      </c>
      <c r="I297" s="393">
        <f t="shared" si="7"/>
        <v>30</v>
      </c>
    </row>
    <row r="298" spans="3:9" x14ac:dyDescent="0.25">
      <c r="C298" s="245" t="s">
        <v>755</v>
      </c>
      <c r="D298" s="250" t="s">
        <v>758</v>
      </c>
      <c r="E298" s="245" t="s">
        <v>402</v>
      </c>
      <c r="F298" s="246">
        <v>30</v>
      </c>
      <c r="G298" s="245" t="s">
        <v>669</v>
      </c>
      <c r="H298" s="422">
        <v>0.5</v>
      </c>
      <c r="I298" s="393">
        <f t="shared" si="7"/>
        <v>15</v>
      </c>
    </row>
    <row r="299" spans="3:9" x14ac:dyDescent="0.25">
      <c r="C299" s="245">
        <v>3.8</v>
      </c>
      <c r="D299" s="250" t="s">
        <v>756</v>
      </c>
      <c r="E299" s="245" t="s">
        <v>402</v>
      </c>
      <c r="F299" s="246">
        <f>F298</f>
        <v>30</v>
      </c>
      <c r="G299" s="245" t="s">
        <v>669</v>
      </c>
      <c r="H299" s="422">
        <v>0.5</v>
      </c>
      <c r="I299" s="393">
        <f t="shared" si="7"/>
        <v>15</v>
      </c>
    </row>
    <row r="300" spans="3:9" x14ac:dyDescent="0.25">
      <c r="C300" s="245">
        <v>3.9</v>
      </c>
      <c r="D300" s="250" t="s">
        <v>757</v>
      </c>
      <c r="E300" s="245" t="s">
        <v>402</v>
      </c>
      <c r="F300" s="246">
        <f>F299</f>
        <v>30</v>
      </c>
      <c r="G300" s="245" t="s">
        <v>669</v>
      </c>
      <c r="H300" s="422">
        <v>10</v>
      </c>
      <c r="I300" s="393">
        <f t="shared" si="7"/>
        <v>300</v>
      </c>
    </row>
    <row r="301" spans="3:9" x14ac:dyDescent="0.25">
      <c r="C301" s="419">
        <v>4</v>
      </c>
      <c r="D301" s="1731" t="s">
        <v>739</v>
      </c>
      <c r="E301" s="1731"/>
      <c r="F301" s="1731"/>
      <c r="G301" s="1731"/>
      <c r="H301" s="1731"/>
      <c r="I301" s="423">
        <f>SUM(I302:I303)</f>
        <v>400</v>
      </c>
    </row>
    <row r="302" spans="3:9" x14ac:dyDescent="0.25">
      <c r="C302" s="245" t="s">
        <v>742</v>
      </c>
      <c r="D302" s="421" t="s">
        <v>740</v>
      </c>
      <c r="E302" s="245" t="s">
        <v>402</v>
      </c>
      <c r="F302" s="245">
        <v>1</v>
      </c>
      <c r="G302" s="245">
        <v>5</v>
      </c>
      <c r="H302" s="422">
        <v>30</v>
      </c>
      <c r="I302" s="393">
        <f>F302*G302*H302</f>
        <v>150</v>
      </c>
    </row>
    <row r="303" spans="3:9" x14ac:dyDescent="0.25">
      <c r="C303" s="245" t="s">
        <v>743</v>
      </c>
      <c r="D303" s="421" t="s">
        <v>741</v>
      </c>
      <c r="E303" s="245" t="s">
        <v>402</v>
      </c>
      <c r="F303" s="245">
        <v>1</v>
      </c>
      <c r="G303" s="245">
        <v>5</v>
      </c>
      <c r="H303" s="422">
        <v>50</v>
      </c>
      <c r="I303" s="393">
        <f>F303*G303*H303</f>
        <v>250</v>
      </c>
    </row>
    <row r="304" spans="3:9" x14ac:dyDescent="0.25">
      <c r="C304" s="419">
        <v>5</v>
      </c>
      <c r="D304" s="1731" t="s">
        <v>748</v>
      </c>
      <c r="E304" s="1731"/>
      <c r="F304" s="1731"/>
      <c r="G304" s="1731"/>
      <c r="H304" s="1731"/>
      <c r="I304" s="426">
        <f>SUM(I305:I306)</f>
        <v>3150</v>
      </c>
    </row>
    <row r="305" spans="2:9" x14ac:dyDescent="0.25">
      <c r="C305" s="245" t="s">
        <v>746</v>
      </c>
      <c r="D305" s="421" t="s">
        <v>744</v>
      </c>
      <c r="E305" s="245" t="s">
        <v>402</v>
      </c>
      <c r="F305" s="246">
        <v>30</v>
      </c>
      <c r="G305" s="245">
        <v>5</v>
      </c>
      <c r="H305" s="422">
        <v>15</v>
      </c>
      <c r="I305" s="393">
        <f>F305*G305*H305</f>
        <v>2250</v>
      </c>
    </row>
    <row r="306" spans="2:9" x14ac:dyDescent="0.25">
      <c r="C306" s="245">
        <v>5.2</v>
      </c>
      <c r="D306" s="421" t="s">
        <v>745</v>
      </c>
      <c r="E306" s="245" t="s">
        <v>402</v>
      </c>
      <c r="F306" s="246">
        <f>F305</f>
        <v>30</v>
      </c>
      <c r="G306" s="245">
        <v>5</v>
      </c>
      <c r="H306" s="422">
        <v>6</v>
      </c>
      <c r="I306" s="393">
        <f>F306*G306*H306</f>
        <v>900</v>
      </c>
    </row>
    <row r="307" spans="2:9" x14ac:dyDescent="0.25">
      <c r="C307" s="419">
        <v>6</v>
      </c>
      <c r="D307" s="1731" t="s">
        <v>747</v>
      </c>
      <c r="E307" s="1731"/>
      <c r="F307" s="1731"/>
      <c r="G307" s="1731"/>
      <c r="H307" s="1731"/>
      <c r="I307" s="426">
        <f>SUM(I308:I309)</f>
        <v>677.5</v>
      </c>
    </row>
    <row r="308" spans="2:9" x14ac:dyDescent="0.25">
      <c r="C308" s="245" t="s">
        <v>753</v>
      </c>
      <c r="D308" s="421" t="s">
        <v>750</v>
      </c>
      <c r="E308" s="245" t="s">
        <v>749</v>
      </c>
      <c r="F308" s="245">
        <v>1</v>
      </c>
      <c r="G308" s="245">
        <v>2</v>
      </c>
      <c r="H308" s="422">
        <v>300</v>
      </c>
      <c r="I308" s="393">
        <f>F308*G308*H308</f>
        <v>600</v>
      </c>
    </row>
    <row r="309" spans="2:9" x14ac:dyDescent="0.25">
      <c r="C309" s="245" t="s">
        <v>754</v>
      </c>
      <c r="D309" s="421" t="s">
        <v>751</v>
      </c>
      <c r="E309" s="245" t="s">
        <v>752</v>
      </c>
      <c r="F309" s="245">
        <v>5</v>
      </c>
      <c r="G309" s="245">
        <v>1</v>
      </c>
      <c r="H309" s="422">
        <v>15.5</v>
      </c>
      <c r="I309" s="393">
        <f>F309*G309*H309</f>
        <v>77.5</v>
      </c>
    </row>
    <row r="310" spans="2:9" x14ac:dyDescent="0.25">
      <c r="C310" s="1739" t="s">
        <v>44</v>
      </c>
      <c r="D310" s="1739"/>
      <c r="E310" s="1739"/>
      <c r="F310" s="1739"/>
      <c r="G310" s="1739"/>
      <c r="H310" s="1739"/>
      <c r="I310" s="418">
        <f>I285+I288+I291+I301+I304+I307</f>
        <v>23528.5</v>
      </c>
    </row>
    <row r="314" spans="2:9" ht="151.5" customHeight="1" x14ac:dyDescent="0.25">
      <c r="C314" s="1760" t="s">
        <v>782</v>
      </c>
      <c r="D314" s="1760"/>
      <c r="E314" s="1760"/>
      <c r="F314" s="1760"/>
      <c r="G314" s="1760"/>
      <c r="H314" s="1760"/>
      <c r="I314" s="1760"/>
    </row>
    <row r="316" spans="2:9" x14ac:dyDescent="0.25">
      <c r="B316" s="236">
        <v>3.3</v>
      </c>
      <c r="C316" s="408" t="s">
        <v>1616</v>
      </c>
    </row>
    <row r="317" spans="2:9" x14ac:dyDescent="0.25">
      <c r="C317" s="408"/>
    </row>
    <row r="319" spans="2:9" ht="25.5" x14ac:dyDescent="0.25">
      <c r="C319" s="1270" t="s">
        <v>398</v>
      </c>
      <c r="D319" s="1270" t="s">
        <v>649</v>
      </c>
      <c r="E319" s="1270" t="s">
        <v>397</v>
      </c>
      <c r="F319" s="1270" t="s">
        <v>650</v>
      </c>
      <c r="G319" s="1270" t="s">
        <v>722</v>
      </c>
      <c r="H319" s="425" t="s">
        <v>733</v>
      </c>
      <c r="I319" s="1270" t="s">
        <v>44</v>
      </c>
    </row>
    <row r="320" spans="2:9" ht="51" x14ac:dyDescent="0.25">
      <c r="C320" s="245" t="s">
        <v>1634</v>
      </c>
      <c r="D320" s="1050" t="s">
        <v>1445</v>
      </c>
      <c r="E320" s="245" t="s">
        <v>784</v>
      </c>
      <c r="F320" s="245">
        <v>1</v>
      </c>
      <c r="G320" s="245" t="s">
        <v>669</v>
      </c>
      <c r="H320" s="393">
        <v>15000</v>
      </c>
      <c r="I320" s="393">
        <f>F320*H320</f>
        <v>15000</v>
      </c>
    </row>
    <row r="321" spans="3:9" ht="51" x14ac:dyDescent="0.25">
      <c r="C321" s="245" t="s">
        <v>1635</v>
      </c>
      <c r="D321" s="1050" t="s">
        <v>1446</v>
      </c>
      <c r="E321" s="245" t="s">
        <v>784</v>
      </c>
      <c r="F321" s="245">
        <v>1</v>
      </c>
      <c r="G321" s="245" t="s">
        <v>669</v>
      </c>
      <c r="H321" s="393">
        <v>7000</v>
      </c>
      <c r="I321" s="393">
        <f>F321*H321</f>
        <v>7000</v>
      </c>
    </row>
    <row r="322" spans="3:9" ht="63.75" x14ac:dyDescent="0.25">
      <c r="C322" s="245" t="s">
        <v>1636</v>
      </c>
      <c r="D322" s="1050" t="s">
        <v>1447</v>
      </c>
      <c r="E322" s="245" t="s">
        <v>784</v>
      </c>
      <c r="F322" s="245">
        <v>1</v>
      </c>
      <c r="G322" s="245" t="s">
        <v>669</v>
      </c>
      <c r="H322" s="393">
        <v>9000</v>
      </c>
      <c r="I322" s="393">
        <f>F322*H322</f>
        <v>9000</v>
      </c>
    </row>
    <row r="323" spans="3:9" x14ac:dyDescent="0.25">
      <c r="C323" s="1761" t="s">
        <v>44</v>
      </c>
      <c r="D323" s="1761"/>
      <c r="E323" s="1761"/>
      <c r="F323" s="1761"/>
      <c r="G323" s="1761"/>
      <c r="H323" s="1761"/>
      <c r="I323" s="427">
        <f>SUM(I320:I322)</f>
        <v>31000</v>
      </c>
    </row>
    <row r="324" spans="3:9" x14ac:dyDescent="0.25">
      <c r="C324" s="408"/>
    </row>
    <row r="325" spans="3:9" x14ac:dyDescent="0.25">
      <c r="C325" s="408"/>
    </row>
    <row r="326" spans="3:9" x14ac:dyDescent="0.25">
      <c r="C326" s="408"/>
    </row>
    <row r="327" spans="3:9" x14ac:dyDescent="0.25">
      <c r="C327" s="222" t="s">
        <v>1745</v>
      </c>
    </row>
    <row r="329" spans="3:9" ht="25.5" x14ac:dyDescent="0.25">
      <c r="C329" s="399" t="s">
        <v>398</v>
      </c>
      <c r="D329" s="399" t="s">
        <v>682</v>
      </c>
      <c r="E329" s="399" t="s">
        <v>397</v>
      </c>
      <c r="F329" s="399" t="s">
        <v>650</v>
      </c>
      <c r="G329" s="399" t="s">
        <v>684</v>
      </c>
      <c r="H329" s="399" t="s">
        <v>685</v>
      </c>
    </row>
    <row r="330" spans="3:9" ht="38.25" customHeight="1" x14ac:dyDescent="0.25">
      <c r="C330" s="1271" t="str">
        <f>B247</f>
        <v xml:space="preserve">3.1. </v>
      </c>
      <c r="D330" s="1266" t="str">
        <f>C247</f>
        <v>Capacitación para la operación y mantenimiento del  sistema controlado de producción  de  microalga Espirulina.</v>
      </c>
      <c r="E330" s="360" t="s">
        <v>411</v>
      </c>
      <c r="F330" s="360">
        <v>1</v>
      </c>
      <c r="G330" s="417">
        <f>I277</f>
        <v>23528.5</v>
      </c>
      <c r="H330" s="417">
        <f>F330*G330</f>
        <v>23528.5</v>
      </c>
    </row>
    <row r="331" spans="3:9" ht="43.5" customHeight="1" x14ac:dyDescent="0.25">
      <c r="C331" s="1271" t="str">
        <f>B280</f>
        <v>3.2.</v>
      </c>
      <c r="D331" s="1266" t="str">
        <f>C280</f>
        <v>Capacitación para la operación y mantenimiento de la planta modelo de procesamiento de microalga Espirulina.</v>
      </c>
      <c r="E331" s="360" t="s">
        <v>411</v>
      </c>
      <c r="F331" s="360">
        <v>1</v>
      </c>
      <c r="G331" s="417">
        <f>I310</f>
        <v>23528.5</v>
      </c>
      <c r="H331" s="417">
        <f>F331*G331</f>
        <v>23528.5</v>
      </c>
    </row>
    <row r="332" spans="3:9" ht="23.25" customHeight="1" x14ac:dyDescent="0.25">
      <c r="C332" s="1031">
        <f>B316</f>
        <v>3.3</v>
      </c>
      <c r="D332" s="1021" t="str">
        <f>C316</f>
        <v>Elaboración de instrumentos de gestión.</v>
      </c>
      <c r="E332" s="1042" t="s">
        <v>411</v>
      </c>
      <c r="F332" s="1042">
        <v>1</v>
      </c>
      <c r="G332" s="1043">
        <f>I323</f>
        <v>31000</v>
      </c>
      <c r="H332" s="1043">
        <f>F332*G332</f>
        <v>31000</v>
      </c>
    </row>
    <row r="333" spans="3:9" x14ac:dyDescent="0.25">
      <c r="C333" s="1677" t="s">
        <v>44</v>
      </c>
      <c r="D333" s="1677"/>
      <c r="E333" s="1677"/>
      <c r="F333" s="1677"/>
      <c r="G333" s="1677"/>
      <c r="H333" s="400">
        <f>SUM(H330:H332)</f>
        <v>78057</v>
      </c>
    </row>
    <row r="334" spans="3:9" x14ac:dyDescent="0.25">
      <c r="C334" s="408"/>
    </row>
    <row r="335" spans="3:9" x14ac:dyDescent="0.25">
      <c r="C335" s="408"/>
    </row>
    <row r="336" spans="3:9" x14ac:dyDescent="0.25">
      <c r="C336" s="408"/>
    </row>
    <row r="337" spans="2:11" x14ac:dyDescent="0.25">
      <c r="B337" s="1741" t="s">
        <v>1746</v>
      </c>
      <c r="C337" s="1741"/>
      <c r="D337" s="1741"/>
      <c r="E337" s="1741"/>
      <c r="F337" s="1741"/>
      <c r="G337" s="1741"/>
      <c r="H337" s="1741"/>
      <c r="I337" s="1741"/>
      <c r="J337" s="1741"/>
      <c r="K337" s="1741"/>
    </row>
    <row r="338" spans="2:11" x14ac:dyDescent="0.25">
      <c r="C338" s="408"/>
    </row>
    <row r="339" spans="2:11" x14ac:dyDescent="0.25">
      <c r="C339" s="408"/>
    </row>
    <row r="340" spans="2:11" ht="15" x14ac:dyDescent="0.25">
      <c r="B340" s="236" t="s">
        <v>742</v>
      </c>
      <c r="C340" s="1228" t="s">
        <v>1747</v>
      </c>
    </row>
    <row r="342" spans="2:11" x14ac:dyDescent="0.25">
      <c r="B342" s="236" t="s">
        <v>775</v>
      </c>
      <c r="C342" s="1229" t="s">
        <v>1628</v>
      </c>
    </row>
    <row r="344" spans="2:11" ht="25.5" x14ac:dyDescent="0.25">
      <c r="C344" s="1270" t="s">
        <v>398</v>
      </c>
      <c r="D344" s="1270" t="s">
        <v>649</v>
      </c>
      <c r="E344" s="1270" t="s">
        <v>397</v>
      </c>
      <c r="F344" s="1270" t="s">
        <v>650</v>
      </c>
      <c r="G344" s="1270" t="s">
        <v>722</v>
      </c>
      <c r="H344" s="425" t="s">
        <v>733</v>
      </c>
      <c r="I344" s="1270" t="s">
        <v>44</v>
      </c>
    </row>
    <row r="345" spans="2:11" x14ac:dyDescent="0.25">
      <c r="C345" s="419">
        <v>1</v>
      </c>
      <c r="D345" s="1728" t="s">
        <v>718</v>
      </c>
      <c r="E345" s="1729"/>
      <c r="F345" s="1729"/>
      <c r="G345" s="1729"/>
      <c r="H345" s="1730"/>
      <c r="I345" s="420">
        <f>SUM(I346:I347)</f>
        <v>2220</v>
      </c>
    </row>
    <row r="346" spans="2:11" x14ac:dyDescent="0.25">
      <c r="C346" s="245" t="s">
        <v>401</v>
      </c>
      <c r="D346" s="421" t="s">
        <v>1434</v>
      </c>
      <c r="E346" s="245" t="s">
        <v>402</v>
      </c>
      <c r="F346" s="245">
        <v>1</v>
      </c>
      <c r="G346" s="245">
        <v>9</v>
      </c>
      <c r="H346" s="422">
        <v>150</v>
      </c>
      <c r="I346" s="393">
        <f>G346*H346</f>
        <v>1350</v>
      </c>
    </row>
    <row r="347" spans="2:11" x14ac:dyDescent="0.25">
      <c r="C347" s="245" t="s">
        <v>400</v>
      </c>
      <c r="D347" s="421" t="s">
        <v>1432</v>
      </c>
      <c r="E347" s="245" t="s">
        <v>402</v>
      </c>
      <c r="F347" s="245">
        <v>1</v>
      </c>
      <c r="G347" s="245">
        <v>9</v>
      </c>
      <c r="H347" s="422">
        <f>2900/30</f>
        <v>96.666666666666671</v>
      </c>
      <c r="I347" s="393">
        <f>G347*H347</f>
        <v>870</v>
      </c>
    </row>
    <row r="348" spans="2:11" x14ac:dyDescent="0.25">
      <c r="C348" s="419">
        <v>2</v>
      </c>
      <c r="D348" s="1731" t="s">
        <v>719</v>
      </c>
      <c r="E348" s="1731"/>
      <c r="F348" s="1731"/>
      <c r="G348" s="1731"/>
      <c r="H348" s="1731"/>
      <c r="I348" s="420">
        <f>SUM(I349:I350)</f>
        <v>2520</v>
      </c>
    </row>
    <row r="349" spans="2:11" x14ac:dyDescent="0.25">
      <c r="C349" s="245" t="s">
        <v>691</v>
      </c>
      <c r="D349" s="421" t="s">
        <v>1430</v>
      </c>
      <c r="E349" s="245" t="s">
        <v>402</v>
      </c>
      <c r="F349" s="245">
        <v>1</v>
      </c>
      <c r="G349" s="245">
        <v>9</v>
      </c>
      <c r="H349" s="422">
        <v>140</v>
      </c>
      <c r="I349" s="393">
        <f>G349*H349</f>
        <v>1260</v>
      </c>
    </row>
    <row r="350" spans="2:11" x14ac:dyDescent="0.25">
      <c r="C350" s="245" t="s">
        <v>700</v>
      </c>
      <c r="D350" s="421" t="s">
        <v>1432</v>
      </c>
      <c r="E350" s="245" t="s">
        <v>402</v>
      </c>
      <c r="F350" s="245">
        <v>1</v>
      </c>
      <c r="G350" s="245">
        <v>9</v>
      </c>
      <c r="H350" s="422">
        <v>140</v>
      </c>
      <c r="I350" s="393">
        <f>G350*H350</f>
        <v>1260</v>
      </c>
    </row>
    <row r="351" spans="2:11" x14ac:dyDescent="0.25">
      <c r="C351" s="419">
        <v>3</v>
      </c>
      <c r="D351" s="1731" t="s">
        <v>723</v>
      </c>
      <c r="E351" s="1731"/>
      <c r="F351" s="1731"/>
      <c r="G351" s="1732"/>
      <c r="H351" s="1732"/>
      <c r="I351" s="420">
        <f>SUM(I352:I360)</f>
        <v>2739.2286829685745</v>
      </c>
    </row>
    <row r="352" spans="2:11" x14ac:dyDescent="0.25">
      <c r="C352" s="245" t="s">
        <v>714</v>
      </c>
      <c r="D352" s="250" t="s">
        <v>724</v>
      </c>
      <c r="E352" s="245" t="s">
        <v>402</v>
      </c>
      <c r="F352" s="245">
        <v>200</v>
      </c>
      <c r="G352" s="245" t="s">
        <v>669</v>
      </c>
      <c r="H352" s="422">
        <v>0.5</v>
      </c>
      <c r="I352" s="393">
        <f>F352*H352</f>
        <v>100</v>
      </c>
    </row>
    <row r="353" spans="3:9" x14ac:dyDescent="0.25">
      <c r="C353" s="245" t="s">
        <v>734</v>
      </c>
      <c r="D353" s="250" t="s">
        <v>725</v>
      </c>
      <c r="E353" s="245" t="s">
        <v>726</v>
      </c>
      <c r="F353" s="245">
        <v>9</v>
      </c>
      <c r="G353" s="245" t="s">
        <v>669</v>
      </c>
      <c r="H353" s="422">
        <v>25</v>
      </c>
      <c r="I353" s="393">
        <f t="shared" ref="I353:I360" si="8">F353*H353</f>
        <v>225</v>
      </c>
    </row>
    <row r="354" spans="3:9" x14ac:dyDescent="0.25">
      <c r="C354" s="245" t="s">
        <v>735</v>
      </c>
      <c r="D354" s="250" t="s">
        <v>727</v>
      </c>
      <c r="E354" s="245" t="s">
        <v>402</v>
      </c>
      <c r="F354" s="245">
        <v>50</v>
      </c>
      <c r="G354" s="245" t="s">
        <v>669</v>
      </c>
      <c r="H354" s="422">
        <v>0.5</v>
      </c>
      <c r="I354" s="393">
        <f t="shared" si="8"/>
        <v>25</v>
      </c>
    </row>
    <row r="355" spans="3:9" x14ac:dyDescent="0.25">
      <c r="C355" s="245" t="s">
        <v>736</v>
      </c>
      <c r="D355" s="250" t="s">
        <v>728</v>
      </c>
      <c r="E355" s="245" t="s">
        <v>729</v>
      </c>
      <c r="F355" s="245">
        <v>9</v>
      </c>
      <c r="G355" s="245" t="s">
        <v>669</v>
      </c>
      <c r="H355" s="422">
        <v>4</v>
      </c>
      <c r="I355" s="393">
        <f t="shared" si="8"/>
        <v>36</v>
      </c>
    </row>
    <row r="356" spans="3:9" x14ac:dyDescent="0.25">
      <c r="C356" s="245" t="s">
        <v>737</v>
      </c>
      <c r="D356" s="250" t="s">
        <v>730</v>
      </c>
      <c r="E356" s="245" t="s">
        <v>402</v>
      </c>
      <c r="F356" s="245">
        <v>9</v>
      </c>
      <c r="G356" s="245" t="s">
        <v>669</v>
      </c>
      <c r="H356" s="422">
        <v>2</v>
      </c>
      <c r="I356" s="393">
        <f t="shared" si="8"/>
        <v>18</v>
      </c>
    </row>
    <row r="357" spans="3:9" x14ac:dyDescent="0.25">
      <c r="C357" s="245" t="s">
        <v>738</v>
      </c>
      <c r="D357" s="250" t="s">
        <v>731</v>
      </c>
      <c r="E357" s="245" t="s">
        <v>732</v>
      </c>
      <c r="F357" s="245">
        <v>9</v>
      </c>
      <c r="G357" s="245" t="s">
        <v>669</v>
      </c>
      <c r="H357" s="422">
        <v>30</v>
      </c>
      <c r="I357" s="393">
        <f t="shared" si="8"/>
        <v>270</v>
      </c>
    </row>
    <row r="358" spans="3:9" x14ac:dyDescent="0.25">
      <c r="C358" s="245" t="s">
        <v>755</v>
      </c>
      <c r="D358" s="250" t="s">
        <v>758</v>
      </c>
      <c r="E358" s="245" t="s">
        <v>402</v>
      </c>
      <c r="F358" s="246">
        <f>F181</f>
        <v>516.30717074214363</v>
      </c>
      <c r="G358" s="245" t="s">
        <v>669</v>
      </c>
      <c r="H358" s="422">
        <v>0.5</v>
      </c>
      <c r="I358" s="393">
        <f t="shared" si="8"/>
        <v>258.15358537107181</v>
      </c>
    </row>
    <row r="359" spans="3:9" x14ac:dyDescent="0.25">
      <c r="C359" s="245">
        <v>3.8</v>
      </c>
      <c r="D359" s="250" t="s">
        <v>756</v>
      </c>
      <c r="E359" s="245" t="s">
        <v>402</v>
      </c>
      <c r="F359" s="246">
        <f>F358</f>
        <v>516.30717074214363</v>
      </c>
      <c r="G359" s="245" t="s">
        <v>669</v>
      </c>
      <c r="H359" s="422">
        <v>0.5</v>
      </c>
      <c r="I359" s="393">
        <f t="shared" si="8"/>
        <v>258.15358537107181</v>
      </c>
    </row>
    <row r="360" spans="3:9" x14ac:dyDescent="0.25">
      <c r="C360" s="245">
        <v>3.9</v>
      </c>
      <c r="D360" s="250" t="s">
        <v>757</v>
      </c>
      <c r="E360" s="245" t="s">
        <v>402</v>
      </c>
      <c r="F360" s="246">
        <f>F359</f>
        <v>516.30717074214363</v>
      </c>
      <c r="G360" s="245" t="s">
        <v>669</v>
      </c>
      <c r="H360" s="422">
        <v>3</v>
      </c>
      <c r="I360" s="393">
        <f t="shared" si="8"/>
        <v>1548.9215122264309</v>
      </c>
    </row>
    <row r="361" spans="3:9" x14ac:dyDescent="0.25">
      <c r="C361" s="419">
        <v>4</v>
      </c>
      <c r="D361" s="1731" t="s">
        <v>739</v>
      </c>
      <c r="E361" s="1731"/>
      <c r="F361" s="1731"/>
      <c r="G361" s="1731"/>
      <c r="H361" s="1731"/>
      <c r="I361" s="423">
        <f>SUM(I362:I363)</f>
        <v>720</v>
      </c>
    </row>
    <row r="362" spans="3:9" x14ac:dyDescent="0.25">
      <c r="C362" s="245" t="s">
        <v>742</v>
      </c>
      <c r="D362" s="421" t="s">
        <v>740</v>
      </c>
      <c r="E362" s="245" t="s">
        <v>402</v>
      </c>
      <c r="F362" s="245">
        <v>1</v>
      </c>
      <c r="G362" s="245">
        <v>9</v>
      </c>
      <c r="H362" s="422">
        <v>30</v>
      </c>
      <c r="I362" s="393">
        <f>F362*G362*H362</f>
        <v>270</v>
      </c>
    </row>
    <row r="363" spans="3:9" x14ac:dyDescent="0.25">
      <c r="C363" s="245" t="s">
        <v>743</v>
      </c>
      <c r="D363" s="421" t="s">
        <v>741</v>
      </c>
      <c r="E363" s="245" t="s">
        <v>402</v>
      </c>
      <c r="F363" s="245">
        <v>1</v>
      </c>
      <c r="G363" s="245">
        <v>9</v>
      </c>
      <c r="H363" s="422">
        <v>50</v>
      </c>
      <c r="I363" s="393">
        <f>F363*G363*H363</f>
        <v>450</v>
      </c>
    </row>
    <row r="364" spans="3:9" x14ac:dyDescent="0.25">
      <c r="C364" s="419">
        <v>5</v>
      </c>
      <c r="D364" s="1731" t="s">
        <v>748</v>
      </c>
      <c r="E364" s="1731"/>
      <c r="F364" s="1731"/>
      <c r="G364" s="1731"/>
      <c r="H364" s="1731"/>
      <c r="I364" s="426">
        <f>SUM(I365:I366)</f>
        <v>51114.409903472224</v>
      </c>
    </row>
    <row r="365" spans="3:9" x14ac:dyDescent="0.25">
      <c r="C365" s="245" t="s">
        <v>746</v>
      </c>
      <c r="D365" s="421" t="s">
        <v>744</v>
      </c>
      <c r="E365" s="245" t="s">
        <v>402</v>
      </c>
      <c r="F365" s="246">
        <f>F188</f>
        <v>516.30717074214363</v>
      </c>
      <c r="G365" s="245">
        <v>9</v>
      </c>
      <c r="H365" s="422">
        <v>8</v>
      </c>
      <c r="I365" s="393">
        <f>F365*G365*H365</f>
        <v>37174.116293434345</v>
      </c>
    </row>
    <row r="366" spans="3:9" x14ac:dyDescent="0.25">
      <c r="C366" s="245">
        <v>5.2</v>
      </c>
      <c r="D366" s="421" t="s">
        <v>745</v>
      </c>
      <c r="E366" s="245" t="s">
        <v>402</v>
      </c>
      <c r="F366" s="246">
        <f>F365</f>
        <v>516.30717074214363</v>
      </c>
      <c r="G366" s="245">
        <v>9</v>
      </c>
      <c r="H366" s="422">
        <v>3</v>
      </c>
      <c r="I366" s="393">
        <f>F366*G366*H366</f>
        <v>13940.293610037879</v>
      </c>
    </row>
    <row r="367" spans="3:9" x14ac:dyDescent="0.25">
      <c r="C367" s="419">
        <v>6</v>
      </c>
      <c r="D367" s="1731" t="s">
        <v>747</v>
      </c>
      <c r="E367" s="1731"/>
      <c r="F367" s="1731"/>
      <c r="G367" s="1731"/>
      <c r="H367" s="1731"/>
      <c r="I367" s="426">
        <f>SUM(I368:I369)</f>
        <v>4095</v>
      </c>
    </row>
    <row r="368" spans="3:9" x14ac:dyDescent="0.25">
      <c r="C368" s="245" t="s">
        <v>753</v>
      </c>
      <c r="D368" s="421" t="s">
        <v>750</v>
      </c>
      <c r="E368" s="245" t="s">
        <v>749</v>
      </c>
      <c r="F368" s="245">
        <v>1</v>
      </c>
      <c r="G368" s="245">
        <v>9</v>
      </c>
      <c r="H368" s="422">
        <v>300</v>
      </c>
      <c r="I368" s="393">
        <f>F368*G368*H368</f>
        <v>2700</v>
      </c>
    </row>
    <row r="369" spans="2:9" x14ac:dyDescent="0.25">
      <c r="C369" s="245" t="s">
        <v>754</v>
      </c>
      <c r="D369" s="421" t="s">
        <v>751</v>
      </c>
      <c r="E369" s="245" t="s">
        <v>752</v>
      </c>
      <c r="F369" s="245">
        <v>10</v>
      </c>
      <c r="G369" s="245">
        <v>9</v>
      </c>
      <c r="H369" s="422">
        <v>15.5</v>
      </c>
      <c r="I369" s="393">
        <f>F369*G369*H369</f>
        <v>1395</v>
      </c>
    </row>
    <row r="370" spans="2:9" x14ac:dyDescent="0.25">
      <c r="C370" s="1733" t="s">
        <v>44</v>
      </c>
      <c r="D370" s="1733"/>
      <c r="E370" s="1733"/>
      <c r="F370" s="1733"/>
      <c r="G370" s="1733"/>
      <c r="H370" s="1733"/>
      <c r="I370" s="427">
        <f>I345+I348+I351+I361+I364+I367</f>
        <v>63408.6385864408</v>
      </c>
    </row>
    <row r="372" spans="2:9" x14ac:dyDescent="0.25">
      <c r="B372" s="552"/>
      <c r="C372" s="532"/>
      <c r="D372" s="532"/>
      <c r="E372" s="532"/>
      <c r="F372" s="532"/>
      <c r="G372" s="532"/>
      <c r="H372" s="532"/>
      <c r="I372" s="532"/>
    </row>
    <row r="373" spans="2:9" ht="15" x14ac:dyDescent="0.25">
      <c r="B373" s="552" t="s">
        <v>1748</v>
      </c>
      <c r="C373" s="1321" t="s">
        <v>1629</v>
      </c>
      <c r="D373" s="532"/>
      <c r="E373" s="532"/>
      <c r="F373" s="532"/>
      <c r="G373" s="532"/>
      <c r="H373" s="532"/>
      <c r="I373" s="532"/>
    </row>
    <row r="374" spans="2:9" x14ac:dyDescent="0.25">
      <c r="B374" s="552"/>
      <c r="C374" s="532"/>
      <c r="D374" s="532"/>
      <c r="E374" s="532"/>
      <c r="F374" s="532"/>
      <c r="G374" s="532"/>
      <c r="H374" s="532"/>
      <c r="I374" s="532"/>
    </row>
    <row r="375" spans="2:9" ht="25.5" x14ac:dyDescent="0.25">
      <c r="B375" s="552"/>
      <c r="C375" s="1270" t="s">
        <v>398</v>
      </c>
      <c r="D375" s="1270" t="s">
        <v>649</v>
      </c>
      <c r="E375" s="1270" t="s">
        <v>397</v>
      </c>
      <c r="F375" s="1270" t="s">
        <v>650</v>
      </c>
      <c r="G375" s="1270" t="s">
        <v>722</v>
      </c>
      <c r="H375" s="425" t="s">
        <v>733</v>
      </c>
      <c r="I375" s="1270" t="s">
        <v>44</v>
      </c>
    </row>
    <row r="376" spans="2:9" x14ac:dyDescent="0.25">
      <c r="B376" s="552"/>
      <c r="C376" s="419">
        <v>1</v>
      </c>
      <c r="D376" s="1728" t="s">
        <v>718</v>
      </c>
      <c r="E376" s="1729"/>
      <c r="F376" s="1729"/>
      <c r="G376" s="1729"/>
      <c r="H376" s="1730"/>
      <c r="I376" s="420">
        <f>SUM(I377:I378)</f>
        <v>2220</v>
      </c>
    </row>
    <row r="377" spans="2:9" x14ac:dyDescent="0.25">
      <c r="B377" s="552"/>
      <c r="C377" s="245" t="s">
        <v>401</v>
      </c>
      <c r="D377" s="421" t="s">
        <v>1431</v>
      </c>
      <c r="E377" s="245" t="s">
        <v>402</v>
      </c>
      <c r="F377" s="245">
        <v>1</v>
      </c>
      <c r="G377" s="245">
        <v>9</v>
      </c>
      <c r="H377" s="422">
        <v>150</v>
      </c>
      <c r="I377" s="393">
        <f>G377*H377</f>
        <v>1350</v>
      </c>
    </row>
    <row r="378" spans="2:9" x14ac:dyDescent="0.25">
      <c r="B378" s="552"/>
      <c r="C378" s="245" t="s">
        <v>400</v>
      </c>
      <c r="D378" s="421" t="s">
        <v>1432</v>
      </c>
      <c r="E378" s="245" t="s">
        <v>402</v>
      </c>
      <c r="F378" s="245">
        <v>1</v>
      </c>
      <c r="G378" s="245">
        <v>9</v>
      </c>
      <c r="H378" s="422">
        <f>2900/30</f>
        <v>96.666666666666671</v>
      </c>
      <c r="I378" s="393">
        <f>G378*H378</f>
        <v>870</v>
      </c>
    </row>
    <row r="379" spans="2:9" x14ac:dyDescent="0.25">
      <c r="B379" s="552"/>
      <c r="C379" s="419">
        <v>2</v>
      </c>
      <c r="D379" s="1731" t="s">
        <v>719</v>
      </c>
      <c r="E379" s="1731"/>
      <c r="F379" s="1731"/>
      <c r="G379" s="1731"/>
      <c r="H379" s="1731"/>
      <c r="I379" s="420">
        <f>SUM(I380:I381)</f>
        <v>2520</v>
      </c>
    </row>
    <row r="380" spans="2:9" x14ac:dyDescent="0.25">
      <c r="B380" s="552"/>
      <c r="C380" s="245" t="s">
        <v>691</v>
      </c>
      <c r="D380" s="421" t="s">
        <v>1431</v>
      </c>
      <c r="E380" s="245" t="s">
        <v>402</v>
      </c>
      <c r="F380" s="245">
        <v>1</v>
      </c>
      <c r="G380" s="245">
        <v>9</v>
      </c>
      <c r="H380" s="422">
        <v>140</v>
      </c>
      <c r="I380" s="393">
        <f>G380*H380</f>
        <v>1260</v>
      </c>
    </row>
    <row r="381" spans="2:9" x14ac:dyDescent="0.25">
      <c r="B381" s="552"/>
      <c r="C381" s="245" t="s">
        <v>700</v>
      </c>
      <c r="D381" s="421" t="s">
        <v>1432</v>
      </c>
      <c r="E381" s="245" t="s">
        <v>402</v>
      </c>
      <c r="F381" s="245">
        <v>1</v>
      </c>
      <c r="G381" s="245">
        <v>9</v>
      </c>
      <c r="H381" s="422">
        <v>140</v>
      </c>
      <c r="I381" s="393">
        <f>G381*H381</f>
        <v>1260</v>
      </c>
    </row>
    <row r="382" spans="2:9" x14ac:dyDescent="0.25">
      <c r="B382" s="552"/>
      <c r="C382" s="419">
        <v>3</v>
      </c>
      <c r="D382" s="1731" t="s">
        <v>723</v>
      </c>
      <c r="E382" s="1731"/>
      <c r="F382" s="1731"/>
      <c r="G382" s="1732"/>
      <c r="H382" s="1732"/>
      <c r="I382" s="420">
        <f>SUM(I383:I391)</f>
        <v>2739.2286829685745</v>
      </c>
    </row>
    <row r="383" spans="2:9" x14ac:dyDescent="0.25">
      <c r="B383" s="552"/>
      <c r="C383" s="245" t="s">
        <v>714</v>
      </c>
      <c r="D383" s="250" t="s">
        <v>724</v>
      </c>
      <c r="E383" s="245" t="s">
        <v>402</v>
      </c>
      <c r="F383" s="245">
        <v>200</v>
      </c>
      <c r="G383" s="245" t="s">
        <v>669</v>
      </c>
      <c r="H383" s="422">
        <v>0.5</v>
      </c>
      <c r="I383" s="393">
        <f>F383*H383</f>
        <v>100</v>
      </c>
    </row>
    <row r="384" spans="2:9" x14ac:dyDescent="0.25">
      <c r="B384" s="552"/>
      <c r="C384" s="245" t="s">
        <v>734</v>
      </c>
      <c r="D384" s="250" t="s">
        <v>725</v>
      </c>
      <c r="E384" s="245" t="s">
        <v>726</v>
      </c>
      <c r="F384" s="245">
        <v>9</v>
      </c>
      <c r="G384" s="245" t="s">
        <v>669</v>
      </c>
      <c r="H384" s="422">
        <v>25</v>
      </c>
      <c r="I384" s="393">
        <f t="shared" ref="I384:I391" si="9">F384*H384</f>
        <v>225</v>
      </c>
    </row>
    <row r="385" spans="2:9" x14ac:dyDescent="0.25">
      <c r="B385" s="552"/>
      <c r="C385" s="245" t="s">
        <v>735</v>
      </c>
      <c r="D385" s="250" t="s">
        <v>727</v>
      </c>
      <c r="E385" s="245" t="s">
        <v>402</v>
      </c>
      <c r="F385" s="245">
        <v>50</v>
      </c>
      <c r="G385" s="245" t="s">
        <v>669</v>
      </c>
      <c r="H385" s="422">
        <v>0.5</v>
      </c>
      <c r="I385" s="393">
        <f t="shared" si="9"/>
        <v>25</v>
      </c>
    </row>
    <row r="386" spans="2:9" x14ac:dyDescent="0.25">
      <c r="B386" s="552"/>
      <c r="C386" s="245" t="s">
        <v>736</v>
      </c>
      <c r="D386" s="250" t="s">
        <v>728</v>
      </c>
      <c r="E386" s="245" t="s">
        <v>729</v>
      </c>
      <c r="F386" s="245">
        <v>9</v>
      </c>
      <c r="G386" s="245" t="s">
        <v>669</v>
      </c>
      <c r="H386" s="422">
        <v>4</v>
      </c>
      <c r="I386" s="393">
        <f t="shared" si="9"/>
        <v>36</v>
      </c>
    </row>
    <row r="387" spans="2:9" x14ac:dyDescent="0.25">
      <c r="B387" s="552"/>
      <c r="C387" s="245" t="s">
        <v>737</v>
      </c>
      <c r="D387" s="250" t="s">
        <v>730</v>
      </c>
      <c r="E387" s="245" t="s">
        <v>402</v>
      </c>
      <c r="F387" s="245">
        <v>9</v>
      </c>
      <c r="G387" s="245" t="s">
        <v>669</v>
      </c>
      <c r="H387" s="422">
        <v>2</v>
      </c>
      <c r="I387" s="393">
        <f t="shared" si="9"/>
        <v>18</v>
      </c>
    </row>
    <row r="388" spans="2:9" x14ac:dyDescent="0.25">
      <c r="B388" s="552"/>
      <c r="C388" s="245" t="s">
        <v>738</v>
      </c>
      <c r="D388" s="250" t="s">
        <v>731</v>
      </c>
      <c r="E388" s="245" t="s">
        <v>732</v>
      </c>
      <c r="F388" s="245">
        <v>9</v>
      </c>
      <c r="G388" s="245" t="s">
        <v>669</v>
      </c>
      <c r="H388" s="422">
        <v>30</v>
      </c>
      <c r="I388" s="393">
        <f t="shared" si="9"/>
        <v>270</v>
      </c>
    </row>
    <row r="389" spans="2:9" x14ac:dyDescent="0.25">
      <c r="B389" s="552"/>
      <c r="C389" s="245" t="s">
        <v>755</v>
      </c>
      <c r="D389" s="250" t="s">
        <v>758</v>
      </c>
      <c r="E389" s="245" t="s">
        <v>402</v>
      </c>
      <c r="F389" s="246">
        <f>F358</f>
        <v>516.30717074214363</v>
      </c>
      <c r="G389" s="245" t="s">
        <v>669</v>
      </c>
      <c r="H389" s="422">
        <v>0.5</v>
      </c>
      <c r="I389" s="393">
        <f t="shared" si="9"/>
        <v>258.15358537107181</v>
      </c>
    </row>
    <row r="390" spans="2:9" x14ac:dyDescent="0.25">
      <c r="B390" s="552"/>
      <c r="C390" s="245">
        <v>3.8</v>
      </c>
      <c r="D390" s="250" t="s">
        <v>756</v>
      </c>
      <c r="E390" s="245" t="s">
        <v>402</v>
      </c>
      <c r="F390" s="246">
        <f>F389</f>
        <v>516.30717074214363</v>
      </c>
      <c r="G390" s="245" t="s">
        <v>669</v>
      </c>
      <c r="H390" s="422">
        <v>0.5</v>
      </c>
      <c r="I390" s="393">
        <f t="shared" si="9"/>
        <v>258.15358537107181</v>
      </c>
    </row>
    <row r="391" spans="2:9" x14ac:dyDescent="0.25">
      <c r="B391" s="552"/>
      <c r="C391" s="245">
        <v>3.9</v>
      </c>
      <c r="D391" s="250" t="s">
        <v>757</v>
      </c>
      <c r="E391" s="245" t="s">
        <v>402</v>
      </c>
      <c r="F391" s="246">
        <f>F390</f>
        <v>516.30717074214363</v>
      </c>
      <c r="G391" s="245" t="s">
        <v>669</v>
      </c>
      <c r="H391" s="422">
        <v>3</v>
      </c>
      <c r="I391" s="393">
        <f t="shared" si="9"/>
        <v>1548.9215122264309</v>
      </c>
    </row>
    <row r="392" spans="2:9" x14ac:dyDescent="0.25">
      <c r="B392" s="552"/>
      <c r="C392" s="419">
        <v>4</v>
      </c>
      <c r="D392" s="1731" t="s">
        <v>739</v>
      </c>
      <c r="E392" s="1731"/>
      <c r="F392" s="1731"/>
      <c r="G392" s="1731"/>
      <c r="H392" s="1731"/>
      <c r="I392" s="423">
        <f>SUM(I393:I394)</f>
        <v>720</v>
      </c>
    </row>
    <row r="393" spans="2:9" x14ac:dyDescent="0.25">
      <c r="B393" s="552"/>
      <c r="C393" s="245" t="s">
        <v>742</v>
      </c>
      <c r="D393" s="421" t="s">
        <v>740</v>
      </c>
      <c r="E393" s="245" t="s">
        <v>402</v>
      </c>
      <c r="F393" s="245">
        <v>1</v>
      </c>
      <c r="G393" s="245">
        <v>9</v>
      </c>
      <c r="H393" s="422">
        <v>30</v>
      </c>
      <c r="I393" s="393">
        <f>F393*G393*H393</f>
        <v>270</v>
      </c>
    </row>
    <row r="394" spans="2:9" x14ac:dyDescent="0.25">
      <c r="B394" s="552"/>
      <c r="C394" s="245" t="s">
        <v>743</v>
      </c>
      <c r="D394" s="421" t="s">
        <v>741</v>
      </c>
      <c r="E394" s="245" t="s">
        <v>402</v>
      </c>
      <c r="F394" s="245">
        <v>1</v>
      </c>
      <c r="G394" s="245">
        <v>9</v>
      </c>
      <c r="H394" s="422">
        <v>50</v>
      </c>
      <c r="I394" s="393">
        <f>F394*G394*H394</f>
        <v>450</v>
      </c>
    </row>
    <row r="395" spans="2:9" x14ac:dyDescent="0.25">
      <c r="B395" s="552"/>
      <c r="C395" s="419">
        <v>5</v>
      </c>
      <c r="D395" s="1731" t="s">
        <v>748</v>
      </c>
      <c r="E395" s="1731"/>
      <c r="F395" s="1731"/>
      <c r="G395" s="1731"/>
      <c r="H395" s="1731"/>
      <c r="I395" s="426">
        <f>SUM(I396:I397)</f>
        <v>51114.409903472224</v>
      </c>
    </row>
    <row r="396" spans="2:9" x14ac:dyDescent="0.25">
      <c r="B396" s="552"/>
      <c r="C396" s="245" t="s">
        <v>746</v>
      </c>
      <c r="D396" s="421" t="s">
        <v>744</v>
      </c>
      <c r="E396" s="245" t="s">
        <v>402</v>
      </c>
      <c r="F396" s="246">
        <f>F365</f>
        <v>516.30717074214363</v>
      </c>
      <c r="G396" s="245">
        <v>9</v>
      </c>
      <c r="H396" s="422">
        <v>8</v>
      </c>
      <c r="I396" s="393">
        <f>F396*G396*H396</f>
        <v>37174.116293434345</v>
      </c>
    </row>
    <row r="397" spans="2:9" x14ac:dyDescent="0.25">
      <c r="B397" s="552"/>
      <c r="C397" s="245">
        <v>5.2</v>
      </c>
      <c r="D397" s="421" t="s">
        <v>745</v>
      </c>
      <c r="E397" s="245" t="s">
        <v>402</v>
      </c>
      <c r="F397" s="246">
        <f>F396</f>
        <v>516.30717074214363</v>
      </c>
      <c r="G397" s="245">
        <v>9</v>
      </c>
      <c r="H397" s="422">
        <v>3</v>
      </c>
      <c r="I397" s="393">
        <f>F397*G397*H397</f>
        <v>13940.293610037879</v>
      </c>
    </row>
    <row r="398" spans="2:9" x14ac:dyDescent="0.25">
      <c r="B398" s="552"/>
      <c r="C398" s="419">
        <v>6</v>
      </c>
      <c r="D398" s="1731" t="s">
        <v>747</v>
      </c>
      <c r="E398" s="1731"/>
      <c r="F398" s="1731"/>
      <c r="G398" s="1731"/>
      <c r="H398" s="1731"/>
      <c r="I398" s="426">
        <f>SUM(I399:I400)</f>
        <v>4095</v>
      </c>
    </row>
    <row r="399" spans="2:9" x14ac:dyDescent="0.25">
      <c r="B399" s="552"/>
      <c r="C399" s="245" t="s">
        <v>753</v>
      </c>
      <c r="D399" s="421" t="s">
        <v>750</v>
      </c>
      <c r="E399" s="245" t="s">
        <v>749</v>
      </c>
      <c r="F399" s="245">
        <v>1</v>
      </c>
      <c r="G399" s="245">
        <v>9</v>
      </c>
      <c r="H399" s="422">
        <v>300</v>
      </c>
      <c r="I399" s="393">
        <f>F399*G399*H399</f>
        <v>2700</v>
      </c>
    </row>
    <row r="400" spans="2:9" x14ac:dyDescent="0.25">
      <c r="B400" s="552"/>
      <c r="C400" s="245" t="s">
        <v>754</v>
      </c>
      <c r="D400" s="421" t="s">
        <v>751</v>
      </c>
      <c r="E400" s="245" t="s">
        <v>752</v>
      </c>
      <c r="F400" s="245">
        <v>10</v>
      </c>
      <c r="G400" s="245">
        <v>9</v>
      </c>
      <c r="H400" s="422">
        <v>15.5</v>
      </c>
      <c r="I400" s="393">
        <f>F400*G400*H400</f>
        <v>1395</v>
      </c>
    </row>
    <row r="401" spans="2:9" x14ac:dyDescent="0.25">
      <c r="B401" s="552"/>
      <c r="C401" s="1733" t="s">
        <v>44</v>
      </c>
      <c r="D401" s="1733"/>
      <c r="E401" s="1733"/>
      <c r="F401" s="1733"/>
      <c r="G401" s="1733"/>
      <c r="H401" s="1733"/>
      <c r="I401" s="427">
        <f>I376+I379+I382+I392+I395+I398</f>
        <v>63408.6385864408</v>
      </c>
    </row>
    <row r="404" spans="2:9" ht="15" x14ac:dyDescent="0.25">
      <c r="B404" s="552" t="s">
        <v>1749</v>
      </c>
      <c r="C404" s="1321" t="s">
        <v>1630</v>
      </c>
      <c r="D404" s="532"/>
      <c r="E404" s="532"/>
      <c r="F404" s="532"/>
      <c r="G404" s="532"/>
      <c r="H404" s="532"/>
      <c r="I404" s="532"/>
    </row>
    <row r="405" spans="2:9" x14ac:dyDescent="0.25">
      <c r="B405" s="552"/>
      <c r="C405" s="532"/>
      <c r="D405" s="532"/>
      <c r="E405" s="532"/>
      <c r="F405" s="532"/>
      <c r="G405" s="532"/>
      <c r="H405" s="532"/>
      <c r="I405" s="532"/>
    </row>
    <row r="406" spans="2:9" ht="25.5" x14ac:dyDescent="0.25">
      <c r="B406" s="552"/>
      <c r="C406" s="1270" t="s">
        <v>398</v>
      </c>
      <c r="D406" s="1270" t="s">
        <v>649</v>
      </c>
      <c r="E406" s="1270" t="s">
        <v>397</v>
      </c>
      <c r="F406" s="1270" t="s">
        <v>650</v>
      </c>
      <c r="G406" s="1270" t="s">
        <v>722</v>
      </c>
      <c r="H406" s="425" t="s">
        <v>733</v>
      </c>
      <c r="I406" s="1270" t="s">
        <v>44</v>
      </c>
    </row>
    <row r="407" spans="2:9" x14ac:dyDescent="0.25">
      <c r="B407" s="552"/>
      <c r="C407" s="419">
        <v>1</v>
      </c>
      <c r="D407" s="1728" t="s">
        <v>718</v>
      </c>
      <c r="E407" s="1729"/>
      <c r="F407" s="1729"/>
      <c r="G407" s="1729"/>
      <c r="H407" s="1730"/>
      <c r="I407" s="420">
        <f>SUM(I408:I409)</f>
        <v>2220</v>
      </c>
    </row>
    <row r="408" spans="2:9" x14ac:dyDescent="0.25">
      <c r="B408" s="552"/>
      <c r="C408" s="245" t="s">
        <v>401</v>
      </c>
      <c r="D408" s="421" t="s">
        <v>1433</v>
      </c>
      <c r="E408" s="245" t="s">
        <v>402</v>
      </c>
      <c r="F408" s="245">
        <v>1</v>
      </c>
      <c r="G408" s="245">
        <v>9</v>
      </c>
      <c r="H408" s="422">
        <v>150</v>
      </c>
      <c r="I408" s="393">
        <f>G408*H408</f>
        <v>1350</v>
      </c>
    </row>
    <row r="409" spans="2:9" x14ac:dyDescent="0.25">
      <c r="B409" s="552"/>
      <c r="C409" s="245" t="s">
        <v>400</v>
      </c>
      <c r="D409" s="421" t="s">
        <v>1432</v>
      </c>
      <c r="E409" s="245" t="s">
        <v>402</v>
      </c>
      <c r="F409" s="245">
        <v>1</v>
      </c>
      <c r="G409" s="245">
        <v>9</v>
      </c>
      <c r="H409" s="422">
        <f>2900/30</f>
        <v>96.666666666666671</v>
      </c>
      <c r="I409" s="393">
        <f>G409*H409</f>
        <v>870</v>
      </c>
    </row>
    <row r="410" spans="2:9" x14ac:dyDescent="0.25">
      <c r="B410" s="552"/>
      <c r="C410" s="419">
        <v>2</v>
      </c>
      <c r="D410" s="1731" t="s">
        <v>719</v>
      </c>
      <c r="E410" s="1731"/>
      <c r="F410" s="1731"/>
      <c r="G410" s="1731"/>
      <c r="H410" s="1731"/>
      <c r="I410" s="420">
        <f>SUM(I411:I412)</f>
        <v>2520</v>
      </c>
    </row>
    <row r="411" spans="2:9" x14ac:dyDescent="0.25">
      <c r="B411" s="552"/>
      <c r="C411" s="245" t="s">
        <v>691</v>
      </c>
      <c r="D411" s="421" t="s">
        <v>1431</v>
      </c>
      <c r="E411" s="245" t="s">
        <v>402</v>
      </c>
      <c r="F411" s="245">
        <v>1</v>
      </c>
      <c r="G411" s="245">
        <v>9</v>
      </c>
      <c r="H411" s="422">
        <v>140</v>
      </c>
      <c r="I411" s="393">
        <f>G411*H411</f>
        <v>1260</v>
      </c>
    </row>
    <row r="412" spans="2:9" x14ac:dyDescent="0.25">
      <c r="B412" s="552"/>
      <c r="C412" s="245" t="s">
        <v>700</v>
      </c>
      <c r="D412" s="421" t="s">
        <v>1432</v>
      </c>
      <c r="E412" s="245" t="s">
        <v>402</v>
      </c>
      <c r="F412" s="245">
        <v>1</v>
      </c>
      <c r="G412" s="245">
        <v>9</v>
      </c>
      <c r="H412" s="422">
        <v>140</v>
      </c>
      <c r="I412" s="393">
        <f>G412*H412</f>
        <v>1260</v>
      </c>
    </row>
    <row r="413" spans="2:9" x14ac:dyDescent="0.25">
      <c r="B413" s="552"/>
      <c r="C413" s="419">
        <v>3</v>
      </c>
      <c r="D413" s="1731" t="s">
        <v>723</v>
      </c>
      <c r="E413" s="1731"/>
      <c r="F413" s="1731"/>
      <c r="G413" s="1732"/>
      <c r="H413" s="1732"/>
      <c r="I413" s="420">
        <f>SUM(I414:I422)</f>
        <v>2739.2286829685745</v>
      </c>
    </row>
    <row r="414" spans="2:9" x14ac:dyDescent="0.25">
      <c r="B414" s="552"/>
      <c r="C414" s="245" t="s">
        <v>714</v>
      </c>
      <c r="D414" s="250" t="s">
        <v>724</v>
      </c>
      <c r="E414" s="245" t="s">
        <v>402</v>
      </c>
      <c r="F414" s="245">
        <v>200</v>
      </c>
      <c r="G414" s="245" t="s">
        <v>669</v>
      </c>
      <c r="H414" s="422">
        <v>0.5</v>
      </c>
      <c r="I414" s="393">
        <f>F414*H414</f>
        <v>100</v>
      </c>
    </row>
    <row r="415" spans="2:9" x14ac:dyDescent="0.25">
      <c r="B415" s="552"/>
      <c r="C415" s="245" t="s">
        <v>734</v>
      </c>
      <c r="D415" s="250" t="s">
        <v>725</v>
      </c>
      <c r="E415" s="245" t="s">
        <v>726</v>
      </c>
      <c r="F415" s="245">
        <v>9</v>
      </c>
      <c r="G415" s="245" t="s">
        <v>669</v>
      </c>
      <c r="H415" s="422">
        <v>25</v>
      </c>
      <c r="I415" s="393">
        <f t="shared" ref="I415:I422" si="10">F415*H415</f>
        <v>225</v>
      </c>
    </row>
    <row r="416" spans="2:9" x14ac:dyDescent="0.25">
      <c r="B416" s="552"/>
      <c r="C416" s="245" t="s">
        <v>735</v>
      </c>
      <c r="D416" s="250" t="s">
        <v>727</v>
      </c>
      <c r="E416" s="245" t="s">
        <v>402</v>
      </c>
      <c r="F416" s="245">
        <v>50</v>
      </c>
      <c r="G416" s="245" t="s">
        <v>669</v>
      </c>
      <c r="H416" s="422">
        <v>0.5</v>
      </c>
      <c r="I416" s="393">
        <f t="shared" si="10"/>
        <v>25</v>
      </c>
    </row>
    <row r="417" spans="2:9" x14ac:dyDescent="0.25">
      <c r="B417" s="552"/>
      <c r="C417" s="245" t="s">
        <v>736</v>
      </c>
      <c r="D417" s="250" t="s">
        <v>728</v>
      </c>
      <c r="E417" s="245" t="s">
        <v>729</v>
      </c>
      <c r="F417" s="245">
        <v>9</v>
      </c>
      <c r="G417" s="245" t="s">
        <v>669</v>
      </c>
      <c r="H417" s="422">
        <v>4</v>
      </c>
      <c r="I417" s="393">
        <f t="shared" si="10"/>
        <v>36</v>
      </c>
    </row>
    <row r="418" spans="2:9" x14ac:dyDescent="0.25">
      <c r="B418" s="552"/>
      <c r="C418" s="245" t="s">
        <v>737</v>
      </c>
      <c r="D418" s="250" t="s">
        <v>730</v>
      </c>
      <c r="E418" s="245" t="s">
        <v>402</v>
      </c>
      <c r="F418" s="245">
        <v>9</v>
      </c>
      <c r="G418" s="245" t="s">
        <v>669</v>
      </c>
      <c r="H418" s="422">
        <v>2</v>
      </c>
      <c r="I418" s="393">
        <f t="shared" si="10"/>
        <v>18</v>
      </c>
    </row>
    <row r="419" spans="2:9" x14ac:dyDescent="0.25">
      <c r="B419" s="552"/>
      <c r="C419" s="245" t="s">
        <v>738</v>
      </c>
      <c r="D419" s="250" t="s">
        <v>731</v>
      </c>
      <c r="E419" s="245" t="s">
        <v>732</v>
      </c>
      <c r="F419" s="245">
        <v>9</v>
      </c>
      <c r="G419" s="245" t="s">
        <v>669</v>
      </c>
      <c r="H419" s="422">
        <v>30</v>
      </c>
      <c r="I419" s="393">
        <f t="shared" si="10"/>
        <v>270</v>
      </c>
    </row>
    <row r="420" spans="2:9" x14ac:dyDescent="0.25">
      <c r="B420" s="552"/>
      <c r="C420" s="245" t="s">
        <v>755</v>
      </c>
      <c r="D420" s="250" t="s">
        <v>758</v>
      </c>
      <c r="E420" s="245" t="s">
        <v>402</v>
      </c>
      <c r="F420" s="246">
        <f>F389</f>
        <v>516.30717074214363</v>
      </c>
      <c r="G420" s="245" t="s">
        <v>669</v>
      </c>
      <c r="H420" s="422">
        <v>0.5</v>
      </c>
      <c r="I420" s="393">
        <f t="shared" si="10"/>
        <v>258.15358537107181</v>
      </c>
    </row>
    <row r="421" spans="2:9" x14ac:dyDescent="0.25">
      <c r="B421" s="552"/>
      <c r="C421" s="245">
        <v>3.8</v>
      </c>
      <c r="D421" s="250" t="s">
        <v>756</v>
      </c>
      <c r="E421" s="245" t="s">
        <v>402</v>
      </c>
      <c r="F421" s="246">
        <f>F420</f>
        <v>516.30717074214363</v>
      </c>
      <c r="G421" s="245" t="s">
        <v>669</v>
      </c>
      <c r="H421" s="422">
        <v>0.5</v>
      </c>
      <c r="I421" s="393">
        <f t="shared" si="10"/>
        <v>258.15358537107181</v>
      </c>
    </row>
    <row r="422" spans="2:9" x14ac:dyDescent="0.25">
      <c r="B422" s="552"/>
      <c r="C422" s="245">
        <v>3.9</v>
      </c>
      <c r="D422" s="250" t="s">
        <v>757</v>
      </c>
      <c r="E422" s="245" t="s">
        <v>402</v>
      </c>
      <c r="F422" s="246">
        <f>F421</f>
        <v>516.30717074214363</v>
      </c>
      <c r="G422" s="245" t="s">
        <v>669</v>
      </c>
      <c r="H422" s="422">
        <v>3</v>
      </c>
      <c r="I422" s="393">
        <f t="shared" si="10"/>
        <v>1548.9215122264309</v>
      </c>
    </row>
    <row r="423" spans="2:9" x14ac:dyDescent="0.25">
      <c r="B423" s="552"/>
      <c r="C423" s="419">
        <v>4</v>
      </c>
      <c r="D423" s="1731" t="s">
        <v>739</v>
      </c>
      <c r="E423" s="1731"/>
      <c r="F423" s="1731"/>
      <c r="G423" s="1731"/>
      <c r="H423" s="1731"/>
      <c r="I423" s="423">
        <f>SUM(I424:I425)</f>
        <v>720</v>
      </c>
    </row>
    <row r="424" spans="2:9" x14ac:dyDescent="0.25">
      <c r="B424" s="552"/>
      <c r="C424" s="245" t="s">
        <v>742</v>
      </c>
      <c r="D424" s="421" t="s">
        <v>740</v>
      </c>
      <c r="E424" s="245" t="s">
        <v>402</v>
      </c>
      <c r="F424" s="245">
        <v>1</v>
      </c>
      <c r="G424" s="245">
        <v>9</v>
      </c>
      <c r="H424" s="422">
        <v>30</v>
      </c>
      <c r="I424" s="393">
        <f>F424*G424*H424</f>
        <v>270</v>
      </c>
    </row>
    <row r="425" spans="2:9" x14ac:dyDescent="0.25">
      <c r="B425" s="552"/>
      <c r="C425" s="245" t="s">
        <v>743</v>
      </c>
      <c r="D425" s="421" t="s">
        <v>741</v>
      </c>
      <c r="E425" s="245" t="s">
        <v>402</v>
      </c>
      <c r="F425" s="245">
        <v>1</v>
      </c>
      <c r="G425" s="245">
        <v>9</v>
      </c>
      <c r="H425" s="422">
        <v>50</v>
      </c>
      <c r="I425" s="393">
        <f>F425*G425*H425</f>
        <v>450</v>
      </c>
    </row>
    <row r="426" spans="2:9" x14ac:dyDescent="0.25">
      <c r="B426" s="552"/>
      <c r="C426" s="419">
        <v>5</v>
      </c>
      <c r="D426" s="1731" t="s">
        <v>748</v>
      </c>
      <c r="E426" s="1731"/>
      <c r="F426" s="1731"/>
      <c r="G426" s="1731"/>
      <c r="H426" s="1731"/>
      <c r="I426" s="426">
        <f>SUM(I427:I428)</f>
        <v>51114.409903472224</v>
      </c>
    </row>
    <row r="427" spans="2:9" x14ac:dyDescent="0.25">
      <c r="B427" s="552"/>
      <c r="C427" s="245" t="s">
        <v>746</v>
      </c>
      <c r="D427" s="421" t="s">
        <v>744</v>
      </c>
      <c r="E427" s="245" t="s">
        <v>402</v>
      </c>
      <c r="F427" s="246">
        <f>F396</f>
        <v>516.30717074214363</v>
      </c>
      <c r="G427" s="245">
        <v>9</v>
      </c>
      <c r="H427" s="422">
        <v>8</v>
      </c>
      <c r="I427" s="393">
        <f>F427*G427*H427</f>
        <v>37174.116293434345</v>
      </c>
    </row>
    <row r="428" spans="2:9" x14ac:dyDescent="0.25">
      <c r="B428" s="552"/>
      <c r="C428" s="245">
        <v>5.2</v>
      </c>
      <c r="D428" s="421" t="s">
        <v>745</v>
      </c>
      <c r="E428" s="245" t="s">
        <v>402</v>
      </c>
      <c r="F428" s="246">
        <f>F427</f>
        <v>516.30717074214363</v>
      </c>
      <c r="G428" s="245">
        <v>9</v>
      </c>
      <c r="H428" s="422">
        <v>3</v>
      </c>
      <c r="I428" s="393">
        <f>F428*G428*H428</f>
        <v>13940.293610037879</v>
      </c>
    </row>
    <row r="429" spans="2:9" x14ac:dyDescent="0.25">
      <c r="B429" s="552"/>
      <c r="C429" s="419">
        <v>6</v>
      </c>
      <c r="D429" s="1731" t="s">
        <v>747</v>
      </c>
      <c r="E429" s="1731"/>
      <c r="F429" s="1731"/>
      <c r="G429" s="1731"/>
      <c r="H429" s="1731"/>
      <c r="I429" s="426">
        <f>SUM(I430:I431)</f>
        <v>4095</v>
      </c>
    </row>
    <row r="430" spans="2:9" x14ac:dyDescent="0.25">
      <c r="B430" s="552"/>
      <c r="C430" s="245" t="s">
        <v>753</v>
      </c>
      <c r="D430" s="421" t="s">
        <v>750</v>
      </c>
      <c r="E430" s="245" t="s">
        <v>749</v>
      </c>
      <c r="F430" s="245">
        <v>1</v>
      </c>
      <c r="G430" s="245">
        <v>9</v>
      </c>
      <c r="H430" s="422">
        <v>300</v>
      </c>
      <c r="I430" s="393">
        <f>F430*G430*H430</f>
        <v>2700</v>
      </c>
    </row>
    <row r="431" spans="2:9" x14ac:dyDescent="0.25">
      <c r="B431" s="552"/>
      <c r="C431" s="245" t="s">
        <v>754</v>
      </c>
      <c r="D431" s="421" t="s">
        <v>751</v>
      </c>
      <c r="E431" s="245" t="s">
        <v>752</v>
      </c>
      <c r="F431" s="245">
        <v>10</v>
      </c>
      <c r="G431" s="245">
        <v>9</v>
      </c>
      <c r="H431" s="422">
        <v>15.5</v>
      </c>
      <c r="I431" s="393">
        <f>F431*G431*H431</f>
        <v>1395</v>
      </c>
    </row>
    <row r="432" spans="2:9" x14ac:dyDescent="0.25">
      <c r="B432" s="552"/>
      <c r="C432" s="1733" t="s">
        <v>44</v>
      </c>
      <c r="D432" s="1733"/>
      <c r="E432" s="1733"/>
      <c r="F432" s="1733"/>
      <c r="G432" s="1733"/>
      <c r="H432" s="1733"/>
      <c r="I432" s="427">
        <f>I407+I410+I413+I423+I426+I429</f>
        <v>63408.6385864408</v>
      </c>
    </row>
    <row r="435" spans="2:9" ht="15" x14ac:dyDescent="0.25">
      <c r="B435" s="552" t="s">
        <v>1750</v>
      </c>
      <c r="C435" s="1321" t="s">
        <v>1631</v>
      </c>
      <c r="D435" s="532"/>
      <c r="E435" s="532"/>
      <c r="F435" s="532"/>
      <c r="G435" s="532"/>
      <c r="H435" s="532"/>
      <c r="I435" s="532"/>
    </row>
    <row r="436" spans="2:9" x14ac:dyDescent="0.25">
      <c r="B436" s="552"/>
      <c r="C436" s="532"/>
      <c r="D436" s="532"/>
      <c r="E436" s="532"/>
      <c r="F436" s="532"/>
      <c r="G436" s="532"/>
      <c r="H436" s="532"/>
      <c r="I436" s="532"/>
    </row>
    <row r="437" spans="2:9" ht="25.5" x14ac:dyDescent="0.25">
      <c r="B437" s="552"/>
      <c r="C437" s="1270" t="s">
        <v>398</v>
      </c>
      <c r="D437" s="1270" t="s">
        <v>649</v>
      </c>
      <c r="E437" s="1270" t="s">
        <v>397</v>
      </c>
      <c r="F437" s="1270" t="s">
        <v>650</v>
      </c>
      <c r="G437" s="1270" t="s">
        <v>722</v>
      </c>
      <c r="H437" s="425" t="s">
        <v>733</v>
      </c>
      <c r="I437" s="1270" t="s">
        <v>44</v>
      </c>
    </row>
    <row r="438" spans="2:9" x14ac:dyDescent="0.25">
      <c r="B438" s="552"/>
      <c r="C438" s="419">
        <v>1</v>
      </c>
      <c r="D438" s="1728" t="s">
        <v>718</v>
      </c>
      <c r="E438" s="1729"/>
      <c r="F438" s="1729"/>
      <c r="G438" s="1729"/>
      <c r="H438" s="1730"/>
      <c r="I438" s="420">
        <f>SUM(I439:I440)</f>
        <v>2220</v>
      </c>
    </row>
    <row r="439" spans="2:9" x14ac:dyDescent="0.25">
      <c r="B439" s="552"/>
      <c r="C439" s="245" t="s">
        <v>401</v>
      </c>
      <c r="D439" s="421" t="s">
        <v>1431</v>
      </c>
      <c r="E439" s="245" t="s">
        <v>402</v>
      </c>
      <c r="F439" s="245">
        <v>1</v>
      </c>
      <c r="G439" s="245">
        <v>9</v>
      </c>
      <c r="H439" s="422">
        <v>150</v>
      </c>
      <c r="I439" s="393">
        <f>G439*H439</f>
        <v>1350</v>
      </c>
    </row>
    <row r="440" spans="2:9" x14ac:dyDescent="0.25">
      <c r="B440" s="552"/>
      <c r="C440" s="245" t="s">
        <v>400</v>
      </c>
      <c r="D440" s="421" t="s">
        <v>1432</v>
      </c>
      <c r="E440" s="245" t="s">
        <v>402</v>
      </c>
      <c r="F440" s="245">
        <v>1</v>
      </c>
      <c r="G440" s="245">
        <v>9</v>
      </c>
      <c r="H440" s="422">
        <f>2900/30</f>
        <v>96.666666666666671</v>
      </c>
      <c r="I440" s="393">
        <f>G440*H440</f>
        <v>870</v>
      </c>
    </row>
    <row r="441" spans="2:9" x14ac:dyDescent="0.25">
      <c r="B441" s="552"/>
      <c r="C441" s="419">
        <v>2</v>
      </c>
      <c r="D441" s="1731" t="s">
        <v>719</v>
      </c>
      <c r="E441" s="1731"/>
      <c r="F441" s="1731"/>
      <c r="G441" s="1731"/>
      <c r="H441" s="1731"/>
      <c r="I441" s="420">
        <f>SUM(I442:I443)</f>
        <v>2520</v>
      </c>
    </row>
    <row r="442" spans="2:9" x14ac:dyDescent="0.25">
      <c r="B442" s="552"/>
      <c r="C442" s="245" t="s">
        <v>691</v>
      </c>
      <c r="D442" s="421" t="s">
        <v>1431</v>
      </c>
      <c r="E442" s="245" t="s">
        <v>402</v>
      </c>
      <c r="F442" s="245">
        <v>1</v>
      </c>
      <c r="G442" s="245">
        <v>9</v>
      </c>
      <c r="H442" s="422">
        <v>140</v>
      </c>
      <c r="I442" s="393">
        <f>G442*H442</f>
        <v>1260</v>
      </c>
    </row>
    <row r="443" spans="2:9" x14ac:dyDescent="0.25">
      <c r="B443" s="552"/>
      <c r="C443" s="245" t="s">
        <v>700</v>
      </c>
      <c r="D443" s="421" t="s">
        <v>1432</v>
      </c>
      <c r="E443" s="245" t="s">
        <v>402</v>
      </c>
      <c r="F443" s="245">
        <v>1</v>
      </c>
      <c r="G443" s="245">
        <v>9</v>
      </c>
      <c r="H443" s="422">
        <v>140</v>
      </c>
      <c r="I443" s="393">
        <f>G443*H443</f>
        <v>1260</v>
      </c>
    </row>
    <row r="444" spans="2:9" x14ac:dyDescent="0.25">
      <c r="B444" s="552"/>
      <c r="C444" s="419">
        <v>3</v>
      </c>
      <c r="D444" s="1731" t="s">
        <v>723</v>
      </c>
      <c r="E444" s="1731"/>
      <c r="F444" s="1731"/>
      <c r="G444" s="1732"/>
      <c r="H444" s="1732"/>
      <c r="I444" s="420">
        <f>SUM(I445:I453)</f>
        <v>2739.2286829685745</v>
      </c>
    </row>
    <row r="445" spans="2:9" x14ac:dyDescent="0.25">
      <c r="B445" s="552"/>
      <c r="C445" s="245" t="s">
        <v>714</v>
      </c>
      <c r="D445" s="250" t="s">
        <v>724</v>
      </c>
      <c r="E445" s="245" t="s">
        <v>402</v>
      </c>
      <c r="F445" s="245">
        <v>200</v>
      </c>
      <c r="G445" s="245" t="s">
        <v>669</v>
      </c>
      <c r="H445" s="422">
        <v>0.5</v>
      </c>
      <c r="I445" s="393">
        <f>F445*H445</f>
        <v>100</v>
      </c>
    </row>
    <row r="446" spans="2:9" x14ac:dyDescent="0.25">
      <c r="B446" s="552"/>
      <c r="C446" s="245" t="s">
        <v>734</v>
      </c>
      <c r="D446" s="250" t="s">
        <v>725</v>
      </c>
      <c r="E446" s="245" t="s">
        <v>726</v>
      </c>
      <c r="F446" s="245">
        <v>9</v>
      </c>
      <c r="G446" s="245" t="s">
        <v>669</v>
      </c>
      <c r="H446" s="422">
        <v>25</v>
      </c>
      <c r="I446" s="393">
        <f t="shared" ref="I446:I453" si="11">F446*H446</f>
        <v>225</v>
      </c>
    </row>
    <row r="447" spans="2:9" x14ac:dyDescent="0.25">
      <c r="B447" s="552"/>
      <c r="C447" s="245" t="s">
        <v>735</v>
      </c>
      <c r="D447" s="250" t="s">
        <v>727</v>
      </c>
      <c r="E447" s="245" t="s">
        <v>402</v>
      </c>
      <c r="F447" s="245">
        <v>50</v>
      </c>
      <c r="G447" s="245" t="s">
        <v>669</v>
      </c>
      <c r="H447" s="422">
        <v>0.5</v>
      </c>
      <c r="I447" s="393">
        <f t="shared" si="11"/>
        <v>25</v>
      </c>
    </row>
    <row r="448" spans="2:9" x14ac:dyDescent="0.25">
      <c r="B448" s="552"/>
      <c r="C448" s="245" t="s">
        <v>736</v>
      </c>
      <c r="D448" s="250" t="s">
        <v>728</v>
      </c>
      <c r="E448" s="245" t="s">
        <v>729</v>
      </c>
      <c r="F448" s="245">
        <v>9</v>
      </c>
      <c r="G448" s="245" t="s">
        <v>669</v>
      </c>
      <c r="H448" s="422">
        <v>4</v>
      </c>
      <c r="I448" s="393">
        <f t="shared" si="11"/>
        <v>36</v>
      </c>
    </row>
    <row r="449" spans="2:9" x14ac:dyDescent="0.25">
      <c r="B449" s="552"/>
      <c r="C449" s="245" t="s">
        <v>737</v>
      </c>
      <c r="D449" s="250" t="s">
        <v>730</v>
      </c>
      <c r="E449" s="245" t="s">
        <v>402</v>
      </c>
      <c r="F449" s="245">
        <v>9</v>
      </c>
      <c r="G449" s="245" t="s">
        <v>669</v>
      </c>
      <c r="H449" s="422">
        <v>2</v>
      </c>
      <c r="I449" s="393">
        <f t="shared" si="11"/>
        <v>18</v>
      </c>
    </row>
    <row r="450" spans="2:9" x14ac:dyDescent="0.25">
      <c r="B450" s="552"/>
      <c r="C450" s="245" t="s">
        <v>738</v>
      </c>
      <c r="D450" s="250" t="s">
        <v>731</v>
      </c>
      <c r="E450" s="245" t="s">
        <v>732</v>
      </c>
      <c r="F450" s="245">
        <v>9</v>
      </c>
      <c r="G450" s="245" t="s">
        <v>669</v>
      </c>
      <c r="H450" s="422">
        <v>30</v>
      </c>
      <c r="I450" s="393">
        <f t="shared" si="11"/>
        <v>270</v>
      </c>
    </row>
    <row r="451" spans="2:9" x14ac:dyDescent="0.25">
      <c r="B451" s="552"/>
      <c r="C451" s="245" t="s">
        <v>755</v>
      </c>
      <c r="D451" s="250" t="s">
        <v>758</v>
      </c>
      <c r="E451" s="245" t="s">
        <v>402</v>
      </c>
      <c r="F451" s="246">
        <f>F420</f>
        <v>516.30717074214363</v>
      </c>
      <c r="G451" s="245" t="s">
        <v>669</v>
      </c>
      <c r="H451" s="422">
        <v>0.5</v>
      </c>
      <c r="I451" s="393">
        <f t="shared" si="11"/>
        <v>258.15358537107181</v>
      </c>
    </row>
    <row r="452" spans="2:9" x14ac:dyDescent="0.25">
      <c r="B452" s="552"/>
      <c r="C452" s="245">
        <v>3.8</v>
      </c>
      <c r="D452" s="250" t="s">
        <v>756</v>
      </c>
      <c r="E452" s="245" t="s">
        <v>402</v>
      </c>
      <c r="F452" s="246">
        <f>F451</f>
        <v>516.30717074214363</v>
      </c>
      <c r="G452" s="245" t="s">
        <v>669</v>
      </c>
      <c r="H452" s="422">
        <v>0.5</v>
      </c>
      <c r="I452" s="393">
        <f t="shared" si="11"/>
        <v>258.15358537107181</v>
      </c>
    </row>
    <row r="453" spans="2:9" x14ac:dyDescent="0.25">
      <c r="B453" s="552"/>
      <c r="C453" s="245">
        <v>3.9</v>
      </c>
      <c r="D453" s="250" t="s">
        <v>757</v>
      </c>
      <c r="E453" s="245" t="s">
        <v>402</v>
      </c>
      <c r="F453" s="246">
        <f>F452</f>
        <v>516.30717074214363</v>
      </c>
      <c r="G453" s="245" t="s">
        <v>669</v>
      </c>
      <c r="H453" s="422">
        <v>3</v>
      </c>
      <c r="I453" s="393">
        <f t="shared" si="11"/>
        <v>1548.9215122264309</v>
      </c>
    </row>
    <row r="454" spans="2:9" x14ac:dyDescent="0.25">
      <c r="B454" s="552"/>
      <c r="C454" s="419">
        <v>4</v>
      </c>
      <c r="D454" s="1731" t="s">
        <v>739</v>
      </c>
      <c r="E454" s="1731"/>
      <c r="F454" s="1731"/>
      <c r="G454" s="1731"/>
      <c r="H454" s="1731"/>
      <c r="I454" s="423">
        <f>SUM(I455:I456)</f>
        <v>720</v>
      </c>
    </row>
    <row r="455" spans="2:9" x14ac:dyDescent="0.25">
      <c r="B455" s="552"/>
      <c r="C455" s="245" t="s">
        <v>742</v>
      </c>
      <c r="D455" s="421" t="s">
        <v>740</v>
      </c>
      <c r="E455" s="245" t="s">
        <v>402</v>
      </c>
      <c r="F455" s="245">
        <v>1</v>
      </c>
      <c r="G455" s="245">
        <v>9</v>
      </c>
      <c r="H455" s="422">
        <v>30</v>
      </c>
      <c r="I455" s="393">
        <f>F455*G455*H455</f>
        <v>270</v>
      </c>
    </row>
    <row r="456" spans="2:9" x14ac:dyDescent="0.25">
      <c r="B456" s="552"/>
      <c r="C456" s="245" t="s">
        <v>743</v>
      </c>
      <c r="D456" s="421" t="s">
        <v>741</v>
      </c>
      <c r="E456" s="245" t="s">
        <v>402</v>
      </c>
      <c r="F456" s="245">
        <v>1</v>
      </c>
      <c r="G456" s="245">
        <v>9</v>
      </c>
      <c r="H456" s="422">
        <v>50</v>
      </c>
      <c r="I456" s="393">
        <f>F456*G456*H456</f>
        <v>450</v>
      </c>
    </row>
    <row r="457" spans="2:9" x14ac:dyDescent="0.25">
      <c r="B457" s="552"/>
      <c r="C457" s="419">
        <v>5</v>
      </c>
      <c r="D457" s="1731" t="s">
        <v>748</v>
      </c>
      <c r="E457" s="1731"/>
      <c r="F457" s="1731"/>
      <c r="G457" s="1731"/>
      <c r="H457" s="1731"/>
      <c r="I457" s="426">
        <f>SUM(I458:I459)</f>
        <v>51114.409903472224</v>
      </c>
    </row>
    <row r="458" spans="2:9" x14ac:dyDescent="0.25">
      <c r="B458" s="552"/>
      <c r="C458" s="245" t="s">
        <v>746</v>
      </c>
      <c r="D458" s="421" t="s">
        <v>744</v>
      </c>
      <c r="E458" s="245" t="s">
        <v>402</v>
      </c>
      <c r="F458" s="246">
        <f>F427</f>
        <v>516.30717074214363</v>
      </c>
      <c r="G458" s="245">
        <v>9</v>
      </c>
      <c r="H458" s="422">
        <v>8</v>
      </c>
      <c r="I458" s="393">
        <f>F458*G458*H458</f>
        <v>37174.116293434345</v>
      </c>
    </row>
    <row r="459" spans="2:9" x14ac:dyDescent="0.25">
      <c r="B459" s="552"/>
      <c r="C459" s="245">
        <v>5.2</v>
      </c>
      <c r="D459" s="421" t="s">
        <v>745</v>
      </c>
      <c r="E459" s="245" t="s">
        <v>402</v>
      </c>
      <c r="F459" s="246">
        <f>F458</f>
        <v>516.30717074214363</v>
      </c>
      <c r="G459" s="245">
        <v>9</v>
      </c>
      <c r="H459" s="422">
        <v>3</v>
      </c>
      <c r="I459" s="393">
        <f>F459*G459*H459</f>
        <v>13940.293610037879</v>
      </c>
    </row>
    <row r="460" spans="2:9" x14ac:dyDescent="0.25">
      <c r="B460" s="552"/>
      <c r="C460" s="419">
        <v>6</v>
      </c>
      <c r="D460" s="1731" t="s">
        <v>747</v>
      </c>
      <c r="E460" s="1731"/>
      <c r="F460" s="1731"/>
      <c r="G460" s="1731"/>
      <c r="H460" s="1731"/>
      <c r="I460" s="426">
        <f>SUM(I461:I462)</f>
        <v>4095</v>
      </c>
    </row>
    <row r="461" spans="2:9" x14ac:dyDescent="0.25">
      <c r="B461" s="552"/>
      <c r="C461" s="245" t="s">
        <v>753</v>
      </c>
      <c r="D461" s="421" t="s">
        <v>750</v>
      </c>
      <c r="E461" s="245" t="s">
        <v>749</v>
      </c>
      <c r="F461" s="245">
        <v>1</v>
      </c>
      <c r="G461" s="245">
        <v>9</v>
      </c>
      <c r="H461" s="422">
        <v>300</v>
      </c>
      <c r="I461" s="393">
        <f>F461*G461*H461</f>
        <v>2700</v>
      </c>
    </row>
    <row r="462" spans="2:9" x14ac:dyDescent="0.25">
      <c r="B462" s="552"/>
      <c r="C462" s="245" t="s">
        <v>754</v>
      </c>
      <c r="D462" s="421" t="s">
        <v>751</v>
      </c>
      <c r="E462" s="245" t="s">
        <v>752</v>
      </c>
      <c r="F462" s="245">
        <v>10</v>
      </c>
      <c r="G462" s="245">
        <v>9</v>
      </c>
      <c r="H462" s="422">
        <v>15.5</v>
      </c>
      <c r="I462" s="393">
        <f>F462*G462*H462</f>
        <v>1395</v>
      </c>
    </row>
    <row r="463" spans="2:9" x14ac:dyDescent="0.25">
      <c r="B463" s="552"/>
      <c r="C463" s="1733" t="s">
        <v>44</v>
      </c>
      <c r="D463" s="1733"/>
      <c r="E463" s="1733"/>
      <c r="F463" s="1733"/>
      <c r="G463" s="1733"/>
      <c r="H463" s="1733"/>
      <c r="I463" s="427">
        <f>I438+I441+I444+I454+I457+I460</f>
        <v>63408.6385864408</v>
      </c>
    </row>
    <row r="466" spans="2:9" x14ac:dyDescent="0.25">
      <c r="B466" s="552" t="s">
        <v>1751</v>
      </c>
      <c r="C466" s="592" t="s">
        <v>1632</v>
      </c>
      <c r="D466" s="532"/>
      <c r="E466" s="532"/>
      <c r="F466" s="532"/>
      <c r="G466" s="532"/>
      <c r="H466" s="532"/>
      <c r="I466" s="532"/>
    </row>
    <row r="467" spans="2:9" x14ac:dyDescent="0.25">
      <c r="B467" s="552"/>
      <c r="C467" s="532"/>
      <c r="D467" s="532"/>
      <c r="E467" s="532"/>
      <c r="F467" s="532"/>
      <c r="G467" s="532"/>
      <c r="H467" s="532"/>
      <c r="I467" s="532"/>
    </row>
    <row r="468" spans="2:9" ht="25.5" x14ac:dyDescent="0.25">
      <c r="B468" s="552"/>
      <c r="C468" s="1270" t="s">
        <v>398</v>
      </c>
      <c r="D468" s="1270" t="s">
        <v>649</v>
      </c>
      <c r="E468" s="1270" t="s">
        <v>397</v>
      </c>
      <c r="F468" s="1270" t="s">
        <v>650</v>
      </c>
      <c r="G468" s="1270" t="s">
        <v>722</v>
      </c>
      <c r="H468" s="425" t="s">
        <v>733</v>
      </c>
      <c r="I468" s="1270" t="s">
        <v>44</v>
      </c>
    </row>
    <row r="469" spans="2:9" x14ac:dyDescent="0.25">
      <c r="B469" s="552"/>
      <c r="C469" s="419">
        <v>1</v>
      </c>
      <c r="D469" s="1728" t="s">
        <v>718</v>
      </c>
      <c r="E469" s="1729"/>
      <c r="F469" s="1729"/>
      <c r="G469" s="1729"/>
      <c r="H469" s="1730"/>
      <c r="I469" s="420">
        <f>SUM(I470:I471)</f>
        <v>2220</v>
      </c>
    </row>
    <row r="470" spans="2:9" x14ac:dyDescent="0.25">
      <c r="B470" s="552"/>
      <c r="C470" s="245" t="s">
        <v>401</v>
      </c>
      <c r="D470" s="421" t="s">
        <v>1431</v>
      </c>
      <c r="E470" s="245" t="s">
        <v>402</v>
      </c>
      <c r="F470" s="245">
        <v>1</v>
      </c>
      <c r="G470" s="245">
        <v>9</v>
      </c>
      <c r="H470" s="422">
        <v>150</v>
      </c>
      <c r="I470" s="393">
        <f>G470*H470</f>
        <v>1350</v>
      </c>
    </row>
    <row r="471" spans="2:9" x14ac:dyDescent="0.25">
      <c r="B471" s="552"/>
      <c r="C471" s="245" t="s">
        <v>400</v>
      </c>
      <c r="D471" s="421" t="s">
        <v>1432</v>
      </c>
      <c r="E471" s="245" t="s">
        <v>402</v>
      </c>
      <c r="F471" s="245">
        <v>1</v>
      </c>
      <c r="G471" s="245">
        <v>9</v>
      </c>
      <c r="H471" s="422">
        <f>2900/30</f>
        <v>96.666666666666671</v>
      </c>
      <c r="I471" s="393">
        <f>G471*H471</f>
        <v>870</v>
      </c>
    </row>
    <row r="472" spans="2:9" x14ac:dyDescent="0.25">
      <c r="B472" s="552"/>
      <c r="C472" s="419">
        <v>2</v>
      </c>
      <c r="D472" s="1731" t="s">
        <v>719</v>
      </c>
      <c r="E472" s="1731"/>
      <c r="F472" s="1731"/>
      <c r="G472" s="1731"/>
      <c r="H472" s="1731"/>
      <c r="I472" s="420">
        <f>SUM(I473:I474)</f>
        <v>2520</v>
      </c>
    </row>
    <row r="473" spans="2:9" x14ac:dyDescent="0.25">
      <c r="B473" s="552"/>
      <c r="C473" s="245" t="s">
        <v>691</v>
      </c>
      <c r="D473" s="421" t="s">
        <v>1431</v>
      </c>
      <c r="E473" s="245" t="s">
        <v>402</v>
      </c>
      <c r="F473" s="245">
        <v>1</v>
      </c>
      <c r="G473" s="245">
        <v>9</v>
      </c>
      <c r="H473" s="422">
        <v>140</v>
      </c>
      <c r="I473" s="393">
        <f>G473*H473</f>
        <v>1260</v>
      </c>
    </row>
    <row r="474" spans="2:9" x14ac:dyDescent="0.25">
      <c r="B474" s="552"/>
      <c r="C474" s="245" t="s">
        <v>700</v>
      </c>
      <c r="D474" s="421" t="s">
        <v>1432</v>
      </c>
      <c r="E474" s="245" t="s">
        <v>402</v>
      </c>
      <c r="F474" s="245">
        <v>1</v>
      </c>
      <c r="G474" s="245">
        <v>9</v>
      </c>
      <c r="H474" s="422">
        <v>140</v>
      </c>
      <c r="I474" s="393">
        <f>G474*H474</f>
        <v>1260</v>
      </c>
    </row>
    <row r="475" spans="2:9" x14ac:dyDescent="0.25">
      <c r="B475" s="552"/>
      <c r="C475" s="419">
        <v>3</v>
      </c>
      <c r="D475" s="1731" t="s">
        <v>723</v>
      </c>
      <c r="E475" s="1731"/>
      <c r="F475" s="1731"/>
      <c r="G475" s="1732"/>
      <c r="H475" s="1732"/>
      <c r="I475" s="420">
        <f>SUM(I476:I484)</f>
        <v>2739.2286829685745</v>
      </c>
    </row>
    <row r="476" spans="2:9" x14ac:dyDescent="0.25">
      <c r="B476" s="552"/>
      <c r="C476" s="245" t="s">
        <v>714</v>
      </c>
      <c r="D476" s="250" t="s">
        <v>724</v>
      </c>
      <c r="E476" s="245" t="s">
        <v>402</v>
      </c>
      <c r="F476" s="245">
        <v>200</v>
      </c>
      <c r="G476" s="245" t="s">
        <v>669</v>
      </c>
      <c r="H476" s="422">
        <v>0.5</v>
      </c>
      <c r="I476" s="393">
        <f>F476*H476</f>
        <v>100</v>
      </c>
    </row>
    <row r="477" spans="2:9" x14ac:dyDescent="0.25">
      <c r="B477" s="552"/>
      <c r="C477" s="245" t="s">
        <v>734</v>
      </c>
      <c r="D477" s="250" t="s">
        <v>725</v>
      </c>
      <c r="E477" s="245" t="s">
        <v>726</v>
      </c>
      <c r="F477" s="245">
        <v>9</v>
      </c>
      <c r="G477" s="245" t="s">
        <v>669</v>
      </c>
      <c r="H477" s="422">
        <v>25</v>
      </c>
      <c r="I477" s="393">
        <f t="shared" ref="I477:I484" si="12">F477*H477</f>
        <v>225</v>
      </c>
    </row>
    <row r="478" spans="2:9" x14ac:dyDescent="0.25">
      <c r="B478" s="552"/>
      <c r="C478" s="245" t="s">
        <v>735</v>
      </c>
      <c r="D478" s="250" t="s">
        <v>727</v>
      </c>
      <c r="E478" s="245" t="s">
        <v>402</v>
      </c>
      <c r="F478" s="245">
        <v>50</v>
      </c>
      <c r="G478" s="245" t="s">
        <v>669</v>
      </c>
      <c r="H478" s="422">
        <v>0.5</v>
      </c>
      <c r="I478" s="393">
        <f t="shared" si="12"/>
        <v>25</v>
      </c>
    </row>
    <row r="479" spans="2:9" x14ac:dyDescent="0.25">
      <c r="B479" s="552"/>
      <c r="C479" s="245" t="s">
        <v>736</v>
      </c>
      <c r="D479" s="250" t="s">
        <v>728</v>
      </c>
      <c r="E479" s="245" t="s">
        <v>729</v>
      </c>
      <c r="F479" s="245">
        <v>9</v>
      </c>
      <c r="G479" s="245" t="s">
        <v>669</v>
      </c>
      <c r="H479" s="422">
        <v>4</v>
      </c>
      <c r="I479" s="393">
        <f t="shared" si="12"/>
        <v>36</v>
      </c>
    </row>
    <row r="480" spans="2:9" x14ac:dyDescent="0.25">
      <c r="B480" s="552"/>
      <c r="C480" s="245" t="s">
        <v>737</v>
      </c>
      <c r="D480" s="250" t="s">
        <v>730</v>
      </c>
      <c r="E480" s="245" t="s">
        <v>402</v>
      </c>
      <c r="F480" s="245">
        <v>9</v>
      </c>
      <c r="G480" s="245" t="s">
        <v>669</v>
      </c>
      <c r="H480" s="422">
        <v>2</v>
      </c>
      <c r="I480" s="393">
        <f t="shared" si="12"/>
        <v>18</v>
      </c>
    </row>
    <row r="481" spans="2:9" x14ac:dyDescent="0.25">
      <c r="B481" s="552"/>
      <c r="C481" s="245" t="s">
        <v>738</v>
      </c>
      <c r="D481" s="250" t="s">
        <v>731</v>
      </c>
      <c r="E481" s="245" t="s">
        <v>732</v>
      </c>
      <c r="F481" s="245">
        <v>9</v>
      </c>
      <c r="G481" s="245" t="s">
        <v>669</v>
      </c>
      <c r="H481" s="422">
        <v>30</v>
      </c>
      <c r="I481" s="393">
        <f t="shared" si="12"/>
        <v>270</v>
      </c>
    </row>
    <row r="482" spans="2:9" x14ac:dyDescent="0.25">
      <c r="B482" s="552"/>
      <c r="C482" s="245" t="s">
        <v>755</v>
      </c>
      <c r="D482" s="250" t="s">
        <v>758</v>
      </c>
      <c r="E482" s="245" t="s">
        <v>402</v>
      </c>
      <c r="F482" s="246">
        <f>F451</f>
        <v>516.30717074214363</v>
      </c>
      <c r="G482" s="245" t="s">
        <v>669</v>
      </c>
      <c r="H482" s="422">
        <v>0.5</v>
      </c>
      <c r="I482" s="393">
        <f t="shared" si="12"/>
        <v>258.15358537107181</v>
      </c>
    </row>
    <row r="483" spans="2:9" x14ac:dyDescent="0.25">
      <c r="B483" s="552"/>
      <c r="C483" s="245">
        <v>3.8</v>
      </c>
      <c r="D483" s="250" t="s">
        <v>756</v>
      </c>
      <c r="E483" s="245" t="s">
        <v>402</v>
      </c>
      <c r="F483" s="246">
        <f>F482</f>
        <v>516.30717074214363</v>
      </c>
      <c r="G483" s="245" t="s">
        <v>669</v>
      </c>
      <c r="H483" s="422">
        <v>0.5</v>
      </c>
      <c r="I483" s="393">
        <f t="shared" si="12"/>
        <v>258.15358537107181</v>
      </c>
    </row>
    <row r="484" spans="2:9" x14ac:dyDescent="0.25">
      <c r="B484" s="552"/>
      <c r="C484" s="245">
        <v>3.9</v>
      </c>
      <c r="D484" s="250" t="s">
        <v>757</v>
      </c>
      <c r="E484" s="245" t="s">
        <v>402</v>
      </c>
      <c r="F484" s="246">
        <f>F483</f>
        <v>516.30717074214363</v>
      </c>
      <c r="G484" s="245" t="s">
        <v>669</v>
      </c>
      <c r="H484" s="422">
        <v>3</v>
      </c>
      <c r="I484" s="393">
        <f t="shared" si="12"/>
        <v>1548.9215122264309</v>
      </c>
    </row>
    <row r="485" spans="2:9" x14ac:dyDescent="0.25">
      <c r="B485" s="552"/>
      <c r="C485" s="419">
        <v>4</v>
      </c>
      <c r="D485" s="1731" t="s">
        <v>739</v>
      </c>
      <c r="E485" s="1731"/>
      <c r="F485" s="1731"/>
      <c r="G485" s="1731"/>
      <c r="H485" s="1731"/>
      <c r="I485" s="423">
        <f>SUM(I486:I487)</f>
        <v>720</v>
      </c>
    </row>
    <row r="486" spans="2:9" x14ac:dyDescent="0.25">
      <c r="B486" s="552"/>
      <c r="C486" s="245" t="s">
        <v>742</v>
      </c>
      <c r="D486" s="421" t="s">
        <v>740</v>
      </c>
      <c r="E486" s="245" t="s">
        <v>402</v>
      </c>
      <c r="F486" s="245">
        <v>1</v>
      </c>
      <c r="G486" s="245">
        <v>9</v>
      </c>
      <c r="H486" s="422">
        <v>30</v>
      </c>
      <c r="I486" s="393">
        <f>F486*G486*H486</f>
        <v>270</v>
      </c>
    </row>
    <row r="487" spans="2:9" x14ac:dyDescent="0.25">
      <c r="B487" s="552"/>
      <c r="C487" s="245" t="s">
        <v>743</v>
      </c>
      <c r="D487" s="421" t="s">
        <v>741</v>
      </c>
      <c r="E487" s="245" t="s">
        <v>402</v>
      </c>
      <c r="F487" s="245">
        <v>1</v>
      </c>
      <c r="G487" s="245">
        <v>9</v>
      </c>
      <c r="H487" s="422">
        <v>50</v>
      </c>
      <c r="I487" s="393">
        <f>F487*G487*H487</f>
        <v>450</v>
      </c>
    </row>
    <row r="488" spans="2:9" x14ac:dyDescent="0.25">
      <c r="B488" s="552"/>
      <c r="C488" s="419">
        <v>5</v>
      </c>
      <c r="D488" s="1731" t="s">
        <v>748</v>
      </c>
      <c r="E488" s="1731"/>
      <c r="F488" s="1731"/>
      <c r="G488" s="1731"/>
      <c r="H488" s="1731"/>
      <c r="I488" s="426">
        <f>SUM(I489:I490)</f>
        <v>51114.409903472224</v>
      </c>
    </row>
    <row r="489" spans="2:9" x14ac:dyDescent="0.25">
      <c r="B489" s="552"/>
      <c r="C489" s="245" t="s">
        <v>746</v>
      </c>
      <c r="D489" s="421" t="s">
        <v>744</v>
      </c>
      <c r="E489" s="245" t="s">
        <v>402</v>
      </c>
      <c r="F489" s="246">
        <f>F458</f>
        <v>516.30717074214363</v>
      </c>
      <c r="G489" s="245">
        <v>9</v>
      </c>
      <c r="H489" s="422">
        <v>8</v>
      </c>
      <c r="I489" s="393">
        <f>F489*G489*H489</f>
        <v>37174.116293434345</v>
      </c>
    </row>
    <row r="490" spans="2:9" x14ac:dyDescent="0.25">
      <c r="B490" s="552"/>
      <c r="C490" s="245">
        <v>5.2</v>
      </c>
      <c r="D490" s="421" t="s">
        <v>745</v>
      </c>
      <c r="E490" s="245" t="s">
        <v>402</v>
      </c>
      <c r="F490" s="246">
        <f>F489</f>
        <v>516.30717074214363</v>
      </c>
      <c r="G490" s="245">
        <v>9</v>
      </c>
      <c r="H490" s="422">
        <v>3</v>
      </c>
      <c r="I490" s="393">
        <f>F490*G490*H490</f>
        <v>13940.293610037879</v>
      </c>
    </row>
    <row r="491" spans="2:9" x14ac:dyDescent="0.25">
      <c r="B491" s="552"/>
      <c r="C491" s="419">
        <v>6</v>
      </c>
      <c r="D491" s="1731" t="s">
        <v>747</v>
      </c>
      <c r="E491" s="1731"/>
      <c r="F491" s="1731"/>
      <c r="G491" s="1731"/>
      <c r="H491" s="1731"/>
      <c r="I491" s="426">
        <f>SUM(I492:I493)</f>
        <v>4095</v>
      </c>
    </row>
    <row r="492" spans="2:9" x14ac:dyDescent="0.25">
      <c r="B492" s="552"/>
      <c r="C492" s="245" t="s">
        <v>753</v>
      </c>
      <c r="D492" s="421" t="s">
        <v>750</v>
      </c>
      <c r="E492" s="245" t="s">
        <v>749</v>
      </c>
      <c r="F492" s="245">
        <v>1</v>
      </c>
      <c r="G492" s="245">
        <v>9</v>
      </c>
      <c r="H492" s="422">
        <v>300</v>
      </c>
      <c r="I492" s="393">
        <f>F492*G492*H492</f>
        <v>2700</v>
      </c>
    </row>
    <row r="493" spans="2:9" x14ac:dyDescent="0.25">
      <c r="B493" s="552"/>
      <c r="C493" s="245" t="s">
        <v>754</v>
      </c>
      <c r="D493" s="421" t="s">
        <v>751</v>
      </c>
      <c r="E493" s="245" t="s">
        <v>752</v>
      </c>
      <c r="F493" s="245">
        <v>10</v>
      </c>
      <c r="G493" s="245">
        <v>9</v>
      </c>
      <c r="H493" s="422">
        <v>15.5</v>
      </c>
      <c r="I493" s="393">
        <f>F493*G493*H493</f>
        <v>1395</v>
      </c>
    </row>
    <row r="494" spans="2:9" x14ac:dyDescent="0.25">
      <c r="B494" s="552"/>
      <c r="C494" s="1733" t="s">
        <v>44</v>
      </c>
      <c r="D494" s="1733"/>
      <c r="E494" s="1733"/>
      <c r="F494" s="1733"/>
      <c r="G494" s="1733"/>
      <c r="H494" s="1733"/>
      <c r="I494" s="427">
        <f>I469+I472+I475+I485+I488+I491</f>
        <v>63408.6385864408</v>
      </c>
    </row>
    <row r="497" spans="2:9" x14ac:dyDescent="0.25">
      <c r="B497" s="236" t="s">
        <v>743</v>
      </c>
      <c r="C497" s="222" t="s">
        <v>1617</v>
      </c>
    </row>
    <row r="499" spans="2:9" x14ac:dyDescent="0.25">
      <c r="B499" s="236" t="s">
        <v>777</v>
      </c>
      <c r="C499" s="222" t="s">
        <v>1755</v>
      </c>
    </row>
    <row r="501" spans="2:9" ht="25.5" x14ac:dyDescent="0.25">
      <c r="C501" s="1270" t="s">
        <v>398</v>
      </c>
      <c r="D501" s="1270" t="s">
        <v>649</v>
      </c>
      <c r="E501" s="1270" t="s">
        <v>397</v>
      </c>
      <c r="F501" s="1270" t="s">
        <v>650</v>
      </c>
      <c r="G501" s="1270" t="s">
        <v>722</v>
      </c>
      <c r="H501" s="425" t="s">
        <v>733</v>
      </c>
      <c r="I501" s="1270" t="s">
        <v>44</v>
      </c>
    </row>
    <row r="502" spans="2:9" x14ac:dyDescent="0.25">
      <c r="C502" s="419">
        <v>1</v>
      </c>
      <c r="D502" s="1728" t="s">
        <v>718</v>
      </c>
      <c r="E502" s="1729"/>
      <c r="F502" s="1729"/>
      <c r="G502" s="1729"/>
      <c r="H502" s="1730"/>
      <c r="I502" s="420">
        <f>SUM(I503:I504)</f>
        <v>14800</v>
      </c>
    </row>
    <row r="503" spans="2:9" x14ac:dyDescent="0.25">
      <c r="C503" s="245" t="s">
        <v>401</v>
      </c>
      <c r="D503" s="421" t="s">
        <v>1753</v>
      </c>
      <c r="E503" s="245" t="s">
        <v>402</v>
      </c>
      <c r="F503" s="245">
        <v>1</v>
      </c>
      <c r="G503" s="245">
        <v>60</v>
      </c>
      <c r="H503" s="422">
        <v>150</v>
      </c>
      <c r="I503" s="393">
        <f>G503*H503</f>
        <v>9000</v>
      </c>
    </row>
    <row r="504" spans="2:9" x14ac:dyDescent="0.25">
      <c r="C504" s="245" t="s">
        <v>400</v>
      </c>
      <c r="D504" s="421" t="s">
        <v>1754</v>
      </c>
      <c r="E504" s="245" t="s">
        <v>402</v>
      </c>
      <c r="F504" s="245">
        <v>1</v>
      </c>
      <c r="G504" s="245">
        <v>60</v>
      </c>
      <c r="H504" s="422">
        <f>2900/30</f>
        <v>96.666666666666671</v>
      </c>
      <c r="I504" s="393">
        <f>G504*H504</f>
        <v>5800</v>
      </c>
    </row>
    <row r="505" spans="2:9" x14ac:dyDescent="0.25">
      <c r="C505" s="419">
        <v>2</v>
      </c>
      <c r="D505" s="1731" t="s">
        <v>719</v>
      </c>
      <c r="E505" s="1731"/>
      <c r="F505" s="1731"/>
      <c r="G505" s="1731"/>
      <c r="H505" s="1731"/>
      <c r="I505" s="420">
        <f>SUM(I506:I507)</f>
        <v>2520</v>
      </c>
    </row>
    <row r="506" spans="2:9" x14ac:dyDescent="0.25">
      <c r="C506" s="245" t="s">
        <v>691</v>
      </c>
      <c r="D506" s="421" t="s">
        <v>1752</v>
      </c>
      <c r="E506" s="245" t="s">
        <v>402</v>
      </c>
      <c r="F506" s="245">
        <v>1</v>
      </c>
      <c r="G506" s="245">
        <v>9</v>
      </c>
      <c r="H506" s="422">
        <v>140</v>
      </c>
      <c r="I506" s="393">
        <f>G506*H506</f>
        <v>1260</v>
      </c>
    </row>
    <row r="507" spans="2:9" x14ac:dyDescent="0.25">
      <c r="C507" s="245" t="s">
        <v>700</v>
      </c>
      <c r="D507" s="421" t="s">
        <v>720</v>
      </c>
      <c r="E507" s="245" t="s">
        <v>402</v>
      </c>
      <c r="F507" s="245">
        <v>1</v>
      </c>
      <c r="G507" s="245">
        <v>9</v>
      </c>
      <c r="H507" s="422">
        <v>140</v>
      </c>
      <c r="I507" s="393">
        <f>G507*H507</f>
        <v>1260</v>
      </c>
    </row>
    <row r="508" spans="2:9" x14ac:dyDescent="0.25">
      <c r="C508" s="419">
        <v>3</v>
      </c>
      <c r="D508" s="1731" t="s">
        <v>723</v>
      </c>
      <c r="E508" s="1731"/>
      <c r="F508" s="1731"/>
      <c r="G508" s="1732"/>
      <c r="H508" s="1732"/>
      <c r="I508" s="420">
        <f>SUM(I509:I517)</f>
        <v>678</v>
      </c>
    </row>
    <row r="509" spans="2:9" x14ac:dyDescent="0.25">
      <c r="C509" s="245" t="s">
        <v>714</v>
      </c>
      <c r="D509" s="250" t="s">
        <v>724</v>
      </c>
      <c r="E509" s="245" t="s">
        <v>402</v>
      </c>
      <c r="F509" s="245">
        <v>200</v>
      </c>
      <c r="G509" s="245" t="s">
        <v>669</v>
      </c>
      <c r="H509" s="422">
        <v>0.5</v>
      </c>
      <c r="I509" s="393">
        <f>F509*H509</f>
        <v>100</v>
      </c>
    </row>
    <row r="510" spans="2:9" x14ac:dyDescent="0.25">
      <c r="C510" s="245" t="s">
        <v>734</v>
      </c>
      <c r="D510" s="250" t="s">
        <v>725</v>
      </c>
      <c r="E510" s="245" t="s">
        <v>726</v>
      </c>
      <c r="F510" s="245">
        <v>9</v>
      </c>
      <c r="G510" s="245" t="s">
        <v>669</v>
      </c>
      <c r="H510" s="422">
        <v>25</v>
      </c>
      <c r="I510" s="393">
        <f t="shared" ref="I510:I517" si="13">F510*H510</f>
        <v>225</v>
      </c>
    </row>
    <row r="511" spans="2:9" x14ac:dyDescent="0.25">
      <c r="C511" s="245" t="s">
        <v>735</v>
      </c>
      <c r="D511" s="250" t="s">
        <v>727</v>
      </c>
      <c r="E511" s="245" t="s">
        <v>402</v>
      </c>
      <c r="F511" s="245">
        <v>50</v>
      </c>
      <c r="G511" s="245" t="s">
        <v>669</v>
      </c>
      <c r="H511" s="422">
        <v>0.5</v>
      </c>
      <c r="I511" s="393">
        <f t="shared" si="13"/>
        <v>25</v>
      </c>
    </row>
    <row r="512" spans="2:9" x14ac:dyDescent="0.25">
      <c r="C512" s="245" t="s">
        <v>736</v>
      </c>
      <c r="D512" s="250" t="s">
        <v>728</v>
      </c>
      <c r="E512" s="245" t="s">
        <v>729</v>
      </c>
      <c r="F512" s="245">
        <v>9</v>
      </c>
      <c r="G512" s="245" t="s">
        <v>669</v>
      </c>
      <c r="H512" s="422">
        <v>4</v>
      </c>
      <c r="I512" s="393">
        <f t="shared" si="13"/>
        <v>36</v>
      </c>
    </row>
    <row r="513" spans="3:9" x14ac:dyDescent="0.25">
      <c r="C513" s="245" t="s">
        <v>737</v>
      </c>
      <c r="D513" s="250" t="s">
        <v>730</v>
      </c>
      <c r="E513" s="245" t="s">
        <v>402</v>
      </c>
      <c r="F513" s="245">
        <v>9</v>
      </c>
      <c r="G513" s="245" t="s">
        <v>669</v>
      </c>
      <c r="H513" s="422">
        <v>2</v>
      </c>
      <c r="I513" s="393">
        <f t="shared" si="13"/>
        <v>18</v>
      </c>
    </row>
    <row r="514" spans="3:9" x14ac:dyDescent="0.25">
      <c r="C514" s="245" t="s">
        <v>738</v>
      </c>
      <c r="D514" s="250" t="s">
        <v>731</v>
      </c>
      <c r="E514" s="245" t="s">
        <v>732</v>
      </c>
      <c r="F514" s="245">
        <v>9</v>
      </c>
      <c r="G514" s="245" t="s">
        <v>669</v>
      </c>
      <c r="H514" s="422">
        <v>30</v>
      </c>
      <c r="I514" s="393">
        <f t="shared" si="13"/>
        <v>270</v>
      </c>
    </row>
    <row r="515" spans="3:9" x14ac:dyDescent="0.25">
      <c r="C515" s="245" t="s">
        <v>755</v>
      </c>
      <c r="D515" s="250" t="s">
        <v>758</v>
      </c>
      <c r="E515" s="245" t="s">
        <v>402</v>
      </c>
      <c r="F515" s="246">
        <f>F456</f>
        <v>1</v>
      </c>
      <c r="G515" s="245" t="s">
        <v>669</v>
      </c>
      <c r="H515" s="422">
        <v>0.5</v>
      </c>
      <c r="I515" s="393">
        <f t="shared" si="13"/>
        <v>0.5</v>
      </c>
    </row>
    <row r="516" spans="3:9" x14ac:dyDescent="0.25">
      <c r="C516" s="245">
        <v>3.8</v>
      </c>
      <c r="D516" s="250" t="s">
        <v>756</v>
      </c>
      <c r="E516" s="245" t="s">
        <v>402</v>
      </c>
      <c r="F516" s="246">
        <f>F515</f>
        <v>1</v>
      </c>
      <c r="G516" s="245" t="s">
        <v>669</v>
      </c>
      <c r="H516" s="422">
        <v>0.5</v>
      </c>
      <c r="I516" s="393">
        <f t="shared" si="13"/>
        <v>0.5</v>
      </c>
    </row>
    <row r="517" spans="3:9" x14ac:dyDescent="0.25">
      <c r="C517" s="245">
        <v>3.9</v>
      </c>
      <c r="D517" s="250" t="s">
        <v>757</v>
      </c>
      <c r="E517" s="245" t="s">
        <v>402</v>
      </c>
      <c r="F517" s="246">
        <f>F516</f>
        <v>1</v>
      </c>
      <c r="G517" s="245" t="s">
        <v>669</v>
      </c>
      <c r="H517" s="422">
        <v>3</v>
      </c>
      <c r="I517" s="393">
        <f t="shared" si="13"/>
        <v>3</v>
      </c>
    </row>
    <row r="518" spans="3:9" x14ac:dyDescent="0.25">
      <c r="C518" s="419">
        <v>4</v>
      </c>
      <c r="D518" s="1731" t="s">
        <v>739</v>
      </c>
      <c r="E518" s="1731"/>
      <c r="F518" s="1731"/>
      <c r="G518" s="1731"/>
      <c r="H518" s="1731"/>
      <c r="I518" s="423">
        <f>SUM(I519:I520)</f>
        <v>720</v>
      </c>
    </row>
    <row r="519" spans="3:9" x14ac:dyDescent="0.25">
      <c r="C519" s="245" t="s">
        <v>742</v>
      </c>
      <c r="D519" s="421" t="s">
        <v>740</v>
      </c>
      <c r="E519" s="245" t="s">
        <v>402</v>
      </c>
      <c r="F519" s="245">
        <v>1</v>
      </c>
      <c r="G519" s="245">
        <v>9</v>
      </c>
      <c r="H519" s="422">
        <v>30</v>
      </c>
      <c r="I519" s="393">
        <f>F519*G519*H519</f>
        <v>270</v>
      </c>
    </row>
    <row r="520" spans="3:9" x14ac:dyDescent="0.25">
      <c r="C520" s="245" t="s">
        <v>743</v>
      </c>
      <c r="D520" s="421" t="s">
        <v>741</v>
      </c>
      <c r="E520" s="245" t="s">
        <v>402</v>
      </c>
      <c r="F520" s="245">
        <v>1</v>
      </c>
      <c r="G520" s="245">
        <v>9</v>
      </c>
      <c r="H520" s="422">
        <v>50</v>
      </c>
      <c r="I520" s="393">
        <f>F520*G520*H520</f>
        <v>450</v>
      </c>
    </row>
    <row r="521" spans="3:9" x14ac:dyDescent="0.25">
      <c r="C521" s="419">
        <v>5</v>
      </c>
      <c r="D521" s="1731" t="s">
        <v>748</v>
      </c>
      <c r="E521" s="1731"/>
      <c r="F521" s="1731"/>
      <c r="G521" s="1731"/>
      <c r="H521" s="1731"/>
      <c r="I521" s="426">
        <f>SUM(I522:I523)</f>
        <v>33000</v>
      </c>
    </row>
    <row r="522" spans="3:9" x14ac:dyDescent="0.25">
      <c r="C522" s="245" t="s">
        <v>746</v>
      </c>
      <c r="D522" s="421" t="s">
        <v>744</v>
      </c>
      <c r="E522" s="245" t="s">
        <v>402</v>
      </c>
      <c r="F522" s="246">
        <v>100</v>
      </c>
      <c r="G522" s="245">
        <v>30</v>
      </c>
      <c r="H522" s="422">
        <v>8</v>
      </c>
      <c r="I522" s="393">
        <f>F522*G522*H522</f>
        <v>24000</v>
      </c>
    </row>
    <row r="523" spans="3:9" x14ac:dyDescent="0.25">
      <c r="C523" s="245">
        <v>5.2</v>
      </c>
      <c r="D523" s="421" t="s">
        <v>745</v>
      </c>
      <c r="E523" s="245" t="s">
        <v>402</v>
      </c>
      <c r="F523" s="246">
        <v>100</v>
      </c>
      <c r="G523" s="245">
        <v>30</v>
      </c>
      <c r="H523" s="422">
        <v>3</v>
      </c>
      <c r="I523" s="393">
        <f>F523*G523*H523</f>
        <v>9000</v>
      </c>
    </row>
    <row r="524" spans="3:9" x14ac:dyDescent="0.25">
      <c r="C524" s="419">
        <v>6</v>
      </c>
      <c r="D524" s="1731" t="s">
        <v>747</v>
      </c>
      <c r="E524" s="1731"/>
      <c r="F524" s="1731"/>
      <c r="G524" s="1731"/>
      <c r="H524" s="1731"/>
      <c r="I524" s="426">
        <f>SUM(I525:I526)</f>
        <v>4095</v>
      </c>
    </row>
    <row r="525" spans="3:9" x14ac:dyDescent="0.25">
      <c r="C525" s="245" t="s">
        <v>753</v>
      </c>
      <c r="D525" s="421" t="s">
        <v>750</v>
      </c>
      <c r="E525" s="245" t="s">
        <v>749</v>
      </c>
      <c r="F525" s="245">
        <v>1</v>
      </c>
      <c r="G525" s="245">
        <v>9</v>
      </c>
      <c r="H525" s="422">
        <v>300</v>
      </c>
      <c r="I525" s="393">
        <f>F525*G525*H525</f>
        <v>2700</v>
      </c>
    </row>
    <row r="526" spans="3:9" x14ac:dyDescent="0.25">
      <c r="C526" s="245" t="s">
        <v>754</v>
      </c>
      <c r="D526" s="421" t="s">
        <v>751</v>
      </c>
      <c r="E526" s="245" t="s">
        <v>752</v>
      </c>
      <c r="F526" s="245">
        <v>10</v>
      </c>
      <c r="G526" s="245">
        <v>9</v>
      </c>
      <c r="H526" s="422">
        <v>15.5</v>
      </c>
      <c r="I526" s="393">
        <f>F526*G526*H526</f>
        <v>1395</v>
      </c>
    </row>
    <row r="527" spans="3:9" x14ac:dyDescent="0.25">
      <c r="C527" s="1733" t="s">
        <v>44</v>
      </c>
      <c r="D527" s="1733"/>
      <c r="E527" s="1733"/>
      <c r="F527" s="1733"/>
      <c r="G527" s="1733"/>
      <c r="H527" s="1733"/>
      <c r="I527" s="427">
        <f>I502+I505+I508+I518+I521+I524</f>
        <v>55813</v>
      </c>
    </row>
    <row r="530" spans="2:9" x14ac:dyDescent="0.25">
      <c r="B530" s="236" t="s">
        <v>1761</v>
      </c>
      <c r="C530" s="222" t="s">
        <v>1612</v>
      </c>
    </row>
    <row r="533" spans="2:9" ht="25.5" x14ac:dyDescent="0.25">
      <c r="C533" s="1270" t="s">
        <v>398</v>
      </c>
      <c r="D533" s="1270" t="s">
        <v>649</v>
      </c>
      <c r="E533" s="1270" t="s">
        <v>397</v>
      </c>
      <c r="F533" s="1270" t="s">
        <v>650</v>
      </c>
      <c r="G533" s="1270" t="s">
        <v>722</v>
      </c>
      <c r="H533" s="425" t="s">
        <v>733</v>
      </c>
      <c r="I533" s="1270" t="s">
        <v>44</v>
      </c>
    </row>
    <row r="534" spans="2:9" x14ac:dyDescent="0.25">
      <c r="C534" s="419">
        <v>1</v>
      </c>
      <c r="D534" s="1728" t="s">
        <v>718</v>
      </c>
      <c r="E534" s="1729"/>
      <c r="F534" s="1729"/>
      <c r="G534" s="1729"/>
      <c r="H534" s="1730"/>
      <c r="I534" s="420">
        <f>SUM(I535:I536)</f>
        <v>44400</v>
      </c>
    </row>
    <row r="535" spans="2:9" x14ac:dyDescent="0.25">
      <c r="C535" s="245" t="s">
        <v>401</v>
      </c>
      <c r="D535" s="421" t="s">
        <v>1753</v>
      </c>
      <c r="E535" s="245" t="s">
        <v>402</v>
      </c>
      <c r="F535" s="245">
        <v>1</v>
      </c>
      <c r="G535" s="245">
        <v>180</v>
      </c>
      <c r="H535" s="422">
        <v>150</v>
      </c>
      <c r="I535" s="393">
        <f>G535*H535</f>
        <v>27000</v>
      </c>
    </row>
    <row r="536" spans="2:9" x14ac:dyDescent="0.25">
      <c r="C536" s="245" t="s">
        <v>400</v>
      </c>
      <c r="D536" s="421" t="s">
        <v>1754</v>
      </c>
      <c r="E536" s="245" t="s">
        <v>402</v>
      </c>
      <c r="F536" s="245">
        <v>1</v>
      </c>
      <c r="G536" s="245">
        <v>180</v>
      </c>
      <c r="H536" s="422">
        <f>2900/30</f>
        <v>96.666666666666671</v>
      </c>
      <c r="I536" s="393">
        <f>G536*H536</f>
        <v>17400</v>
      </c>
    </row>
    <row r="537" spans="2:9" x14ac:dyDescent="0.25">
      <c r="C537" s="419">
        <v>2</v>
      </c>
      <c r="D537" s="1731" t="s">
        <v>719</v>
      </c>
      <c r="E537" s="1731"/>
      <c r="F537" s="1731"/>
      <c r="G537" s="1731"/>
      <c r="H537" s="1731"/>
      <c r="I537" s="420">
        <f>SUM(I538:I539)</f>
        <v>16800</v>
      </c>
    </row>
    <row r="538" spans="2:9" x14ac:dyDescent="0.25">
      <c r="C538" s="245" t="s">
        <v>691</v>
      </c>
      <c r="D538" s="421" t="s">
        <v>1752</v>
      </c>
      <c r="E538" s="245" t="s">
        <v>402</v>
      </c>
      <c r="F538" s="245">
        <v>1</v>
      </c>
      <c r="G538" s="245">
        <v>60</v>
      </c>
      <c r="H538" s="422">
        <v>140</v>
      </c>
      <c r="I538" s="393">
        <f>G538*H538</f>
        <v>8400</v>
      </c>
    </row>
    <row r="539" spans="2:9" x14ac:dyDescent="0.25">
      <c r="C539" s="245" t="s">
        <v>700</v>
      </c>
      <c r="D539" s="421" t="s">
        <v>720</v>
      </c>
      <c r="E539" s="245" t="s">
        <v>402</v>
      </c>
      <c r="F539" s="245">
        <v>1</v>
      </c>
      <c r="G539" s="245">
        <v>60</v>
      </c>
      <c r="H539" s="422">
        <v>140</v>
      </c>
      <c r="I539" s="393">
        <f>G539*H539</f>
        <v>8400</v>
      </c>
    </row>
    <row r="540" spans="2:9" x14ac:dyDescent="0.25">
      <c r="C540" s="419">
        <v>3</v>
      </c>
      <c r="D540" s="1731" t="s">
        <v>723</v>
      </c>
      <c r="E540" s="1731"/>
      <c r="F540" s="1731"/>
      <c r="G540" s="1732"/>
      <c r="H540" s="1732"/>
      <c r="I540" s="420">
        <f>SUM(I541:I549)</f>
        <v>678</v>
      </c>
    </row>
    <row r="541" spans="2:9" x14ac:dyDescent="0.25">
      <c r="C541" s="245" t="s">
        <v>714</v>
      </c>
      <c r="D541" s="250" t="s">
        <v>724</v>
      </c>
      <c r="E541" s="245" t="s">
        <v>402</v>
      </c>
      <c r="F541" s="245">
        <v>200</v>
      </c>
      <c r="G541" s="245" t="s">
        <v>669</v>
      </c>
      <c r="H541" s="422">
        <v>0.5</v>
      </c>
      <c r="I541" s="393">
        <f>F541*H541</f>
        <v>100</v>
      </c>
    </row>
    <row r="542" spans="2:9" x14ac:dyDescent="0.25">
      <c r="C542" s="245" t="s">
        <v>734</v>
      </c>
      <c r="D542" s="250" t="s">
        <v>725</v>
      </c>
      <c r="E542" s="245" t="s">
        <v>726</v>
      </c>
      <c r="F542" s="245">
        <v>9</v>
      </c>
      <c r="G542" s="245" t="s">
        <v>669</v>
      </c>
      <c r="H542" s="422">
        <v>25</v>
      </c>
      <c r="I542" s="393">
        <f t="shared" ref="I542:I549" si="14">F542*H542</f>
        <v>225</v>
      </c>
    </row>
    <row r="543" spans="2:9" x14ac:dyDescent="0.25">
      <c r="C543" s="245" t="s">
        <v>735</v>
      </c>
      <c r="D543" s="250" t="s">
        <v>727</v>
      </c>
      <c r="E543" s="245" t="s">
        <v>402</v>
      </c>
      <c r="F543" s="245">
        <v>50</v>
      </c>
      <c r="G543" s="245" t="s">
        <v>669</v>
      </c>
      <c r="H543" s="422">
        <v>0.5</v>
      </c>
      <c r="I543" s="393">
        <f t="shared" si="14"/>
        <v>25</v>
      </c>
    </row>
    <row r="544" spans="2:9" x14ac:dyDescent="0.25">
      <c r="C544" s="245" t="s">
        <v>736</v>
      </c>
      <c r="D544" s="250" t="s">
        <v>728</v>
      </c>
      <c r="E544" s="245" t="s">
        <v>729</v>
      </c>
      <c r="F544" s="245">
        <v>9</v>
      </c>
      <c r="G544" s="245" t="s">
        <v>669</v>
      </c>
      <c r="H544" s="422">
        <v>4</v>
      </c>
      <c r="I544" s="393">
        <f t="shared" si="14"/>
        <v>36</v>
      </c>
    </row>
    <row r="545" spans="3:9" x14ac:dyDescent="0.25">
      <c r="C545" s="245" t="s">
        <v>737</v>
      </c>
      <c r="D545" s="250" t="s">
        <v>730</v>
      </c>
      <c r="E545" s="245" t="s">
        <v>402</v>
      </c>
      <c r="F545" s="245">
        <v>9</v>
      </c>
      <c r="G545" s="245" t="s">
        <v>669</v>
      </c>
      <c r="H545" s="422">
        <v>2</v>
      </c>
      <c r="I545" s="393">
        <f t="shared" si="14"/>
        <v>18</v>
      </c>
    </row>
    <row r="546" spans="3:9" x14ac:dyDescent="0.25">
      <c r="C546" s="245" t="s">
        <v>738</v>
      </c>
      <c r="D546" s="250" t="s">
        <v>731</v>
      </c>
      <c r="E546" s="245" t="s">
        <v>732</v>
      </c>
      <c r="F546" s="245">
        <v>9</v>
      </c>
      <c r="G546" s="245" t="s">
        <v>669</v>
      </c>
      <c r="H546" s="422">
        <v>30</v>
      </c>
      <c r="I546" s="393">
        <f t="shared" si="14"/>
        <v>270</v>
      </c>
    </row>
    <row r="547" spans="3:9" x14ac:dyDescent="0.25">
      <c r="C547" s="245" t="s">
        <v>755</v>
      </c>
      <c r="D547" s="250" t="s">
        <v>758</v>
      </c>
      <c r="E547" s="245" t="s">
        <v>402</v>
      </c>
      <c r="F547" s="246">
        <f>F487</f>
        <v>1</v>
      </c>
      <c r="G547" s="245" t="s">
        <v>669</v>
      </c>
      <c r="H547" s="422">
        <v>0.5</v>
      </c>
      <c r="I547" s="393">
        <f t="shared" si="14"/>
        <v>0.5</v>
      </c>
    </row>
    <row r="548" spans="3:9" x14ac:dyDescent="0.25">
      <c r="C548" s="245">
        <v>3.8</v>
      </c>
      <c r="D548" s="250" t="s">
        <v>756</v>
      </c>
      <c r="E548" s="245" t="s">
        <v>402</v>
      </c>
      <c r="F548" s="246">
        <f>F547</f>
        <v>1</v>
      </c>
      <c r="G548" s="245" t="s">
        <v>669</v>
      </c>
      <c r="H548" s="422">
        <v>0.5</v>
      </c>
      <c r="I548" s="393">
        <f t="shared" si="14"/>
        <v>0.5</v>
      </c>
    </row>
    <row r="549" spans="3:9" x14ac:dyDescent="0.25">
      <c r="C549" s="245">
        <v>3.9</v>
      </c>
      <c r="D549" s="250" t="s">
        <v>757</v>
      </c>
      <c r="E549" s="245" t="s">
        <v>402</v>
      </c>
      <c r="F549" s="246">
        <f>F548</f>
        <v>1</v>
      </c>
      <c r="G549" s="245" t="s">
        <v>669</v>
      </c>
      <c r="H549" s="422">
        <v>3</v>
      </c>
      <c r="I549" s="393">
        <f t="shared" si="14"/>
        <v>3</v>
      </c>
    </row>
    <row r="550" spans="3:9" x14ac:dyDescent="0.25">
      <c r="C550" s="419">
        <v>4</v>
      </c>
      <c r="D550" s="1731" t="s">
        <v>739</v>
      </c>
      <c r="E550" s="1731"/>
      <c r="F550" s="1731"/>
      <c r="G550" s="1731"/>
      <c r="H550" s="1731"/>
      <c r="I550" s="423">
        <f>SUM(I551:I553)</f>
        <v>7620</v>
      </c>
    </row>
    <row r="551" spans="3:9" x14ac:dyDescent="0.25">
      <c r="C551" s="245" t="s">
        <v>742</v>
      </c>
      <c r="D551" s="250" t="s">
        <v>1756</v>
      </c>
      <c r="E551" s="245" t="s">
        <v>732</v>
      </c>
      <c r="F551" s="245">
        <v>23</v>
      </c>
      <c r="G551" s="1265" t="s">
        <v>669</v>
      </c>
      <c r="H551" s="422">
        <v>300</v>
      </c>
      <c r="I551" s="393">
        <f>F551*H551</f>
        <v>6900</v>
      </c>
    </row>
    <row r="552" spans="3:9" x14ac:dyDescent="0.25">
      <c r="C552" s="245" t="s">
        <v>743</v>
      </c>
      <c r="D552" s="421" t="s">
        <v>740</v>
      </c>
      <c r="E552" s="245" t="s">
        <v>402</v>
      </c>
      <c r="F552" s="245">
        <v>1</v>
      </c>
      <c r="G552" s="245">
        <v>9</v>
      </c>
      <c r="H552" s="422">
        <v>30</v>
      </c>
      <c r="I552" s="393">
        <f>F552*G552*H552</f>
        <v>270</v>
      </c>
    </row>
    <row r="553" spans="3:9" x14ac:dyDescent="0.25">
      <c r="C553" s="245" t="s">
        <v>778</v>
      </c>
      <c r="D553" s="421" t="s">
        <v>741</v>
      </c>
      <c r="E553" s="245" t="s">
        <v>402</v>
      </c>
      <c r="F553" s="245">
        <v>1</v>
      </c>
      <c r="G553" s="245">
        <v>9</v>
      </c>
      <c r="H553" s="422">
        <v>50</v>
      </c>
      <c r="I553" s="393">
        <f>F553*G553*H553</f>
        <v>450</v>
      </c>
    </row>
    <row r="554" spans="3:9" x14ac:dyDescent="0.25">
      <c r="C554" s="419">
        <v>5</v>
      </c>
      <c r="D554" s="1731" t="s">
        <v>1757</v>
      </c>
      <c r="E554" s="1731"/>
      <c r="F554" s="1731"/>
      <c r="G554" s="1731"/>
      <c r="H554" s="1731"/>
      <c r="I554" s="426">
        <f>SUM(I555:I556)</f>
        <v>15000</v>
      </c>
    </row>
    <row r="555" spans="3:9" x14ac:dyDescent="0.25">
      <c r="C555" s="245" t="s">
        <v>746</v>
      </c>
      <c r="D555" s="421" t="s">
        <v>1758</v>
      </c>
      <c r="E555" s="245" t="s">
        <v>1760</v>
      </c>
      <c r="F555" s="245">
        <v>6</v>
      </c>
      <c r="G555" s="245" t="s">
        <v>669</v>
      </c>
      <c r="H555" s="393">
        <v>1000</v>
      </c>
      <c r="I555" s="393">
        <f>F555*H555</f>
        <v>6000</v>
      </c>
    </row>
    <row r="556" spans="3:9" x14ac:dyDescent="0.25">
      <c r="C556" s="245" t="s">
        <v>785</v>
      </c>
      <c r="D556" s="421" t="s">
        <v>1759</v>
      </c>
      <c r="E556" s="245" t="s">
        <v>1760</v>
      </c>
      <c r="F556" s="245">
        <v>6</v>
      </c>
      <c r="G556" s="245" t="s">
        <v>669</v>
      </c>
      <c r="H556" s="422">
        <v>1500</v>
      </c>
      <c r="I556" s="393">
        <f>F556*H556</f>
        <v>9000</v>
      </c>
    </row>
    <row r="557" spans="3:9" x14ac:dyDescent="0.25">
      <c r="C557" s="419">
        <v>5</v>
      </c>
      <c r="D557" s="1731" t="s">
        <v>748</v>
      </c>
      <c r="E557" s="1731"/>
      <c r="F557" s="1731"/>
      <c r="G557" s="1731"/>
      <c r="H557" s="1731"/>
      <c r="I557" s="426">
        <f>SUM(I558:I559)</f>
        <v>33000</v>
      </c>
    </row>
    <row r="558" spans="3:9" x14ac:dyDescent="0.25">
      <c r="C558" s="245" t="s">
        <v>746</v>
      </c>
      <c r="D558" s="421" t="s">
        <v>744</v>
      </c>
      <c r="E558" s="245" t="s">
        <v>402</v>
      </c>
      <c r="F558" s="246">
        <v>100</v>
      </c>
      <c r="G558" s="245">
        <v>30</v>
      </c>
      <c r="H558" s="422">
        <v>8</v>
      </c>
      <c r="I558" s="393">
        <f>F558*G558*H558</f>
        <v>24000</v>
      </c>
    </row>
    <row r="559" spans="3:9" x14ac:dyDescent="0.25">
      <c r="C559" s="245">
        <v>5.2</v>
      </c>
      <c r="D559" s="421" t="s">
        <v>745</v>
      </c>
      <c r="E559" s="245" t="s">
        <v>402</v>
      </c>
      <c r="F559" s="246">
        <v>100</v>
      </c>
      <c r="G559" s="245">
        <v>30</v>
      </c>
      <c r="H559" s="422">
        <v>3</v>
      </c>
      <c r="I559" s="393">
        <f>F559*G559*H559</f>
        <v>9000</v>
      </c>
    </row>
    <row r="560" spans="3:9" x14ac:dyDescent="0.25">
      <c r="C560" s="419">
        <v>6</v>
      </c>
      <c r="D560" s="1731" t="s">
        <v>747</v>
      </c>
      <c r="E560" s="1731"/>
      <c r="F560" s="1731"/>
      <c r="G560" s="1731"/>
      <c r="H560" s="1731"/>
      <c r="I560" s="426">
        <f>SUM(I561:I562)</f>
        <v>4095</v>
      </c>
    </row>
    <row r="561" spans="3:9" x14ac:dyDescent="0.25">
      <c r="C561" s="245" t="s">
        <v>753</v>
      </c>
      <c r="D561" s="421" t="s">
        <v>750</v>
      </c>
      <c r="E561" s="245" t="s">
        <v>749</v>
      </c>
      <c r="F561" s="245">
        <v>1</v>
      </c>
      <c r="G561" s="245">
        <v>9</v>
      </c>
      <c r="H561" s="422">
        <v>300</v>
      </c>
      <c r="I561" s="393">
        <f>F561*G561*H561</f>
        <v>2700</v>
      </c>
    </row>
    <row r="562" spans="3:9" x14ac:dyDescent="0.25">
      <c r="C562" s="245" t="s">
        <v>754</v>
      </c>
      <c r="D562" s="421" t="s">
        <v>751</v>
      </c>
      <c r="E562" s="245" t="s">
        <v>752</v>
      </c>
      <c r="F562" s="245">
        <v>10</v>
      </c>
      <c r="G562" s="245">
        <v>9</v>
      </c>
      <c r="H562" s="422">
        <v>15.5</v>
      </c>
      <c r="I562" s="393">
        <f>F562*G562*H562</f>
        <v>1395</v>
      </c>
    </row>
    <row r="563" spans="3:9" x14ac:dyDescent="0.25">
      <c r="C563" s="1733" t="s">
        <v>44</v>
      </c>
      <c r="D563" s="1733"/>
      <c r="E563" s="1733"/>
      <c r="F563" s="1733"/>
      <c r="G563" s="1733"/>
      <c r="H563" s="1733"/>
      <c r="I563" s="427">
        <f>I534+I537+I540+I550+I554+I557+I560</f>
        <v>121593</v>
      </c>
    </row>
    <row r="565" spans="3:9" x14ac:dyDescent="0.25">
      <c r="C565" s="532"/>
      <c r="D565" s="532"/>
    </row>
    <row r="566" spans="3:9" ht="12.75" customHeight="1" x14ac:dyDescent="0.25">
      <c r="C566" s="532" t="s">
        <v>1762</v>
      </c>
      <c r="D566" s="532"/>
      <c r="E566" s="261"/>
      <c r="F566" s="261"/>
      <c r="G566" s="261"/>
      <c r="H566" s="261"/>
      <c r="I566" s="261"/>
    </row>
    <row r="567" spans="3:9" ht="12.75" customHeight="1" x14ac:dyDescent="0.25">
      <c r="C567" s="532"/>
      <c r="D567" s="532"/>
      <c r="E567" s="261"/>
      <c r="F567" s="261"/>
      <c r="G567" s="261"/>
      <c r="H567" s="261"/>
      <c r="I567" s="261"/>
    </row>
    <row r="568" spans="3:9" ht="25.5" x14ac:dyDescent="0.25">
      <c r="C568" s="1322" t="s">
        <v>398</v>
      </c>
      <c r="D568" s="1322" t="s">
        <v>682</v>
      </c>
      <c r="E568" s="1322" t="s">
        <v>397</v>
      </c>
      <c r="F568" s="1322" t="s">
        <v>650</v>
      </c>
      <c r="G568" s="1322" t="s">
        <v>684</v>
      </c>
      <c r="H568" s="1322" t="s">
        <v>685</v>
      </c>
      <c r="I568" s="261"/>
    </row>
    <row r="569" spans="3:9" ht="25.5" customHeight="1" x14ac:dyDescent="0.25">
      <c r="C569" s="245" t="str">
        <f>B340</f>
        <v>4.1.</v>
      </c>
      <c r="D569" s="1323" t="str">
        <f>C340</f>
        <v>Modulos de capacitación en producción de hortalizas</v>
      </c>
      <c r="E569" s="1324" t="s">
        <v>411</v>
      </c>
      <c r="F569" s="1324">
        <v>1</v>
      </c>
      <c r="G569" s="1325">
        <f>I370+I401+I432+I463+I494</f>
        <v>317043.19293220399</v>
      </c>
      <c r="H569" s="1325">
        <f>F569*G569</f>
        <v>317043.19293220399</v>
      </c>
      <c r="I569" s="261"/>
    </row>
    <row r="570" spans="3:9" ht="25.5" x14ac:dyDescent="0.25">
      <c r="C570" s="245" t="str">
        <f>B497</f>
        <v>4.2.</v>
      </c>
      <c r="D570" s="1326" t="str">
        <f>C497</f>
        <v xml:space="preserve">Articulación multisectorial para garantizar la seguridad alimentaria </v>
      </c>
      <c r="E570" s="1324" t="s">
        <v>411</v>
      </c>
      <c r="F570" s="1324">
        <v>1</v>
      </c>
      <c r="G570" s="1325">
        <f>I527+I563</f>
        <v>177406</v>
      </c>
      <c r="H570" s="1325">
        <f>F570*G570</f>
        <v>177406</v>
      </c>
      <c r="I570" s="261"/>
    </row>
    <row r="571" spans="3:9" x14ac:dyDescent="0.25">
      <c r="C571" s="1678" t="s">
        <v>44</v>
      </c>
      <c r="D571" s="1678"/>
      <c r="E571" s="1678"/>
      <c r="F571" s="1678"/>
      <c r="G571" s="1678"/>
      <c r="H571" s="400">
        <f>SUM(H569:H570)</f>
        <v>494449.19293220399</v>
      </c>
      <c r="I571" s="261"/>
    </row>
    <row r="574" spans="3:9" x14ac:dyDescent="0.25">
      <c r="C574" s="222" t="s">
        <v>773</v>
      </c>
    </row>
    <row r="576" spans="3:9" ht="63.75" x14ac:dyDescent="0.25">
      <c r="C576" s="395" t="s">
        <v>398</v>
      </c>
      <c r="D576" s="428" t="s">
        <v>396</v>
      </c>
      <c r="E576" s="395" t="s">
        <v>795</v>
      </c>
      <c r="F576" s="428" t="s">
        <v>769</v>
      </c>
      <c r="G576" s="395" t="s">
        <v>771</v>
      </c>
      <c r="H576" s="399" t="s">
        <v>772</v>
      </c>
    </row>
    <row r="577" spans="3:8" x14ac:dyDescent="0.25">
      <c r="C577" s="1015" t="s">
        <v>779</v>
      </c>
      <c r="D577" s="1725" t="str">
        <f>C342</f>
        <v>Capacitación sobre operación y mantenimiento de fitotoldos</v>
      </c>
      <c r="E577" s="1726"/>
      <c r="F577" s="1726"/>
      <c r="G577" s="1727"/>
      <c r="H577" s="1046"/>
    </row>
    <row r="578" spans="3:8" x14ac:dyDescent="0.25">
      <c r="C578" s="1017" t="s">
        <v>1435</v>
      </c>
      <c r="D578" s="1016" t="str">
        <f>D346</f>
        <v>Pofesional Especialista (Ing. Agrónomo y/o afines)</v>
      </c>
      <c r="E578" s="1017">
        <f>G346</f>
        <v>9</v>
      </c>
      <c r="F578" s="1017">
        <f>E578/30</f>
        <v>0.3</v>
      </c>
      <c r="G578" s="1017">
        <f>F578</f>
        <v>0.3</v>
      </c>
      <c r="H578" s="1047"/>
    </row>
    <row r="579" spans="3:8" x14ac:dyDescent="0.25">
      <c r="C579" s="1017" t="s">
        <v>759</v>
      </c>
      <c r="D579" s="1016" t="str">
        <f>D347</f>
        <v>Asistente (Ing. Agrónomo)</v>
      </c>
      <c r="E579" s="1017">
        <f>G347</f>
        <v>9</v>
      </c>
      <c r="F579" s="1017">
        <f>E579/30</f>
        <v>0.3</v>
      </c>
      <c r="G579" s="1017">
        <f>F579</f>
        <v>0.3</v>
      </c>
      <c r="H579" s="1047"/>
    </row>
    <row r="580" spans="3:8" x14ac:dyDescent="0.25">
      <c r="C580" s="1015" t="s">
        <v>783</v>
      </c>
      <c r="D580" s="1725" t="str">
        <f>C373</f>
        <v>Capacitación sobre sistemas de riego (goteo)</v>
      </c>
      <c r="E580" s="1726"/>
      <c r="F580" s="1726"/>
      <c r="G580" s="1727"/>
      <c r="H580" s="1047"/>
    </row>
    <row r="581" spans="3:8" x14ac:dyDescent="0.25">
      <c r="C581" s="1017" t="s">
        <v>1436</v>
      </c>
      <c r="D581" s="256" t="str">
        <f>D377</f>
        <v>Pofesional Especialista (Ing. Agrícola)</v>
      </c>
      <c r="E581" s="1017">
        <f>G377</f>
        <v>9</v>
      </c>
      <c r="F581" s="1017">
        <v>0.3</v>
      </c>
      <c r="G581" s="1017">
        <f>F581</f>
        <v>0.3</v>
      </c>
      <c r="H581" s="1047"/>
    </row>
    <row r="582" spans="3:8" x14ac:dyDescent="0.25">
      <c r="C582" s="1017" t="s">
        <v>1437</v>
      </c>
      <c r="D582" s="256" t="str">
        <f>D378</f>
        <v>Asistente (Ing. Agrónomo)</v>
      </c>
      <c r="E582" s="1017">
        <f>G378</f>
        <v>9</v>
      </c>
      <c r="F582" s="1017">
        <v>0.3</v>
      </c>
      <c r="G582" s="1017">
        <f>F582</f>
        <v>0.3</v>
      </c>
      <c r="H582" s="1047"/>
    </row>
    <row r="583" spans="3:8" x14ac:dyDescent="0.25">
      <c r="C583" s="1015" t="s">
        <v>1421</v>
      </c>
      <c r="D583" s="1725" t="str">
        <f>C404</f>
        <v>Capacitación sobre producción de abonos orgánicos</v>
      </c>
      <c r="E583" s="1726"/>
      <c r="F583" s="1726"/>
      <c r="G583" s="1727"/>
      <c r="H583" s="1047"/>
    </row>
    <row r="584" spans="3:8" x14ac:dyDescent="0.25">
      <c r="C584" s="1017" t="s">
        <v>1438</v>
      </c>
      <c r="D584" s="256" t="str">
        <f>D408</f>
        <v>Pofesional Especialista (Ing. Agronómo y/o a fin)</v>
      </c>
      <c r="E584" s="1017">
        <f>G408</f>
        <v>9</v>
      </c>
      <c r="F584" s="1017">
        <v>0.3</v>
      </c>
      <c r="G584" s="1017">
        <f>F584</f>
        <v>0.3</v>
      </c>
      <c r="H584" s="1047"/>
    </row>
    <row r="585" spans="3:8" x14ac:dyDescent="0.25">
      <c r="C585" s="1017" t="s">
        <v>1439</v>
      </c>
      <c r="D585" s="256" t="str">
        <f>D409</f>
        <v>Asistente (Ing. Agrónomo)</v>
      </c>
      <c r="E585" s="1017">
        <f>G409</f>
        <v>9</v>
      </c>
      <c r="F585" s="1017">
        <v>0.3</v>
      </c>
      <c r="G585" s="1017">
        <f>F585</f>
        <v>0.3</v>
      </c>
      <c r="H585" s="1047"/>
    </row>
    <row r="586" spans="3:8" x14ac:dyDescent="0.25">
      <c r="C586" s="1015" t="s">
        <v>1422</v>
      </c>
      <c r="D586" s="1725" t="str">
        <f>C435</f>
        <v>Capacitación sobre producción de almácigos de hortalizas</v>
      </c>
      <c r="E586" s="1726"/>
      <c r="F586" s="1726"/>
      <c r="G586" s="1727"/>
      <c r="H586" s="1047"/>
    </row>
    <row r="587" spans="3:8" x14ac:dyDescent="0.25">
      <c r="C587" s="1017" t="s">
        <v>1440</v>
      </c>
      <c r="D587" s="256" t="str">
        <f>D439</f>
        <v>Pofesional Especialista (Ing. Agrícola)</v>
      </c>
      <c r="E587" s="1017">
        <f>G439</f>
        <v>9</v>
      </c>
      <c r="F587" s="1017">
        <v>0.3</v>
      </c>
      <c r="G587" s="1017">
        <f>F587</f>
        <v>0.3</v>
      </c>
      <c r="H587" s="1047"/>
    </row>
    <row r="588" spans="3:8" x14ac:dyDescent="0.25">
      <c r="C588" s="1017" t="s">
        <v>1441</v>
      </c>
      <c r="D588" s="256" t="str">
        <f>D440</f>
        <v>Asistente (Ing. Agrónomo)</v>
      </c>
      <c r="E588" s="1017">
        <f>G440</f>
        <v>9</v>
      </c>
      <c r="F588" s="1017">
        <v>0.3</v>
      </c>
      <c r="G588" s="1017">
        <f>F588</f>
        <v>0.3</v>
      </c>
      <c r="H588" s="1047"/>
    </row>
    <row r="589" spans="3:8" x14ac:dyDescent="0.25">
      <c r="C589" s="1015" t="s">
        <v>1423</v>
      </c>
      <c r="D589" s="1725" t="str">
        <f>C466</f>
        <v>Capacitación sobre manejo y producción de hortalizas bajo fitotoldo</v>
      </c>
      <c r="E589" s="1726"/>
      <c r="F589" s="1726"/>
      <c r="G589" s="1727"/>
      <c r="H589" s="1047"/>
    </row>
    <row r="590" spans="3:8" x14ac:dyDescent="0.25">
      <c r="C590" s="1017" t="s">
        <v>1442</v>
      </c>
      <c r="D590" s="256" t="str">
        <f>D470</f>
        <v>Pofesional Especialista (Ing. Agrícola)</v>
      </c>
      <c r="E590" s="1017">
        <f>G470</f>
        <v>9</v>
      </c>
      <c r="F590" s="1017">
        <v>0.3</v>
      </c>
      <c r="G590" s="1017">
        <f>F590</f>
        <v>0.3</v>
      </c>
      <c r="H590" s="1047"/>
    </row>
    <row r="591" spans="3:8" x14ac:dyDescent="0.25">
      <c r="C591" s="1017" t="s">
        <v>1443</v>
      </c>
      <c r="D591" s="256" t="str">
        <f>D471</f>
        <v>Asistente (Ing. Agrónomo)</v>
      </c>
      <c r="E591" s="1017">
        <f>G471</f>
        <v>9</v>
      </c>
      <c r="F591" s="1017">
        <v>0.3</v>
      </c>
      <c r="G591" s="1017">
        <f>F591</f>
        <v>0.3</v>
      </c>
      <c r="H591" s="1047"/>
    </row>
    <row r="592" spans="3:8" x14ac:dyDescent="0.25">
      <c r="C592" s="1049" t="s">
        <v>44</v>
      </c>
      <c r="D592" s="1049"/>
      <c r="E592" s="1049"/>
      <c r="F592" s="1049"/>
      <c r="G592" s="1049"/>
      <c r="H592" s="1048"/>
    </row>
    <row r="593" spans="2:11" x14ac:dyDescent="0.25">
      <c r="C593" s="1044"/>
      <c r="D593" s="256" t="s">
        <v>1444</v>
      </c>
      <c r="E593" s="1017">
        <f>E578+E581+E584+E587+E590</f>
        <v>45</v>
      </c>
      <c r="F593" s="1017">
        <f>E593/30</f>
        <v>1.5</v>
      </c>
      <c r="G593" s="1017">
        <f>ROUNDUP(F593,0)</f>
        <v>2</v>
      </c>
      <c r="H593" s="416">
        <f>G593</f>
        <v>2</v>
      </c>
    </row>
    <row r="594" spans="2:11" x14ac:dyDescent="0.25">
      <c r="C594" s="1045"/>
      <c r="D594" s="256" t="s">
        <v>774</v>
      </c>
      <c r="E594" s="1017">
        <f>E579+E582+E585+E588+E591</f>
        <v>45</v>
      </c>
      <c r="F594" s="1017">
        <f>E594/30</f>
        <v>1.5</v>
      </c>
      <c r="G594" s="1017">
        <f>ROUNDUP(F594,0)</f>
        <v>2</v>
      </c>
      <c r="H594" s="416">
        <f>G594</f>
        <v>2</v>
      </c>
    </row>
    <row r="596" spans="2:11" hidden="1" x14ac:dyDescent="0.25"/>
    <row r="597" spans="2:11" hidden="1" x14ac:dyDescent="0.25">
      <c r="B597" s="1741" t="s">
        <v>1633</v>
      </c>
      <c r="C597" s="1741"/>
      <c r="D597" s="1741"/>
      <c r="E597" s="1741"/>
      <c r="F597" s="1741"/>
      <c r="G597" s="1741"/>
      <c r="H597" s="1741"/>
      <c r="I597" s="1741"/>
      <c r="J597" s="1741"/>
      <c r="K597" s="1741"/>
    </row>
    <row r="598" spans="2:11" hidden="1" x14ac:dyDescent="0.25"/>
    <row r="599" spans="2:11" hidden="1" x14ac:dyDescent="0.25">
      <c r="B599" s="236" t="s">
        <v>746</v>
      </c>
      <c r="C599" s="222" t="s">
        <v>1616</v>
      </c>
    </row>
    <row r="600" spans="2:11" hidden="1" x14ac:dyDescent="0.25"/>
    <row r="601" spans="2:11" ht="25.5" hidden="1" x14ac:dyDescent="0.25">
      <c r="C601" s="1269" t="s">
        <v>398</v>
      </c>
      <c r="D601" s="1269" t="s">
        <v>649</v>
      </c>
      <c r="E601" s="1269" t="s">
        <v>397</v>
      </c>
      <c r="F601" s="1269" t="s">
        <v>650</v>
      </c>
      <c r="G601" s="1269" t="s">
        <v>722</v>
      </c>
      <c r="H601" s="1302" t="s">
        <v>733</v>
      </c>
      <c r="I601" s="1269" t="s">
        <v>44</v>
      </c>
    </row>
    <row r="602" spans="2:11" ht="51" hidden="1" x14ac:dyDescent="0.25">
      <c r="C602" s="349" t="s">
        <v>1634</v>
      </c>
      <c r="D602" s="1298" t="s">
        <v>1445</v>
      </c>
      <c r="E602" s="349" t="s">
        <v>784</v>
      </c>
      <c r="F602" s="349">
        <v>1</v>
      </c>
      <c r="G602" s="349" t="s">
        <v>669</v>
      </c>
      <c r="H602" s="1307">
        <v>15000</v>
      </c>
      <c r="I602" s="1307">
        <v>0</v>
      </c>
    </row>
    <row r="603" spans="2:11" ht="51" hidden="1" x14ac:dyDescent="0.25">
      <c r="C603" s="349" t="s">
        <v>1635</v>
      </c>
      <c r="D603" s="1298" t="s">
        <v>1446</v>
      </c>
      <c r="E603" s="349" t="s">
        <v>784</v>
      </c>
      <c r="F603" s="349">
        <v>1</v>
      </c>
      <c r="G603" s="349" t="s">
        <v>669</v>
      </c>
      <c r="H603" s="1307">
        <v>7000</v>
      </c>
      <c r="I603" s="1307">
        <v>0</v>
      </c>
    </row>
    <row r="604" spans="2:11" ht="63.75" hidden="1" x14ac:dyDescent="0.25">
      <c r="C604" s="349" t="s">
        <v>1636</v>
      </c>
      <c r="D604" s="1298" t="s">
        <v>1447</v>
      </c>
      <c r="E604" s="349" t="s">
        <v>784</v>
      </c>
      <c r="F604" s="349">
        <v>1</v>
      </c>
      <c r="G604" s="349" t="s">
        <v>669</v>
      </c>
      <c r="H604" s="1307">
        <v>9000</v>
      </c>
      <c r="I604" s="1307">
        <v>0</v>
      </c>
    </row>
    <row r="605" spans="2:11" hidden="1" x14ac:dyDescent="0.25">
      <c r="C605" s="1763" t="s">
        <v>44</v>
      </c>
      <c r="D605" s="1763"/>
      <c r="E605" s="1763"/>
      <c r="F605" s="1763"/>
      <c r="G605" s="1763"/>
      <c r="H605" s="1763"/>
      <c r="I605" s="418">
        <f>SUM(I602:I604)</f>
        <v>0</v>
      </c>
    </row>
    <row r="606" spans="2:11" hidden="1" x14ac:dyDescent="0.25"/>
    <row r="607" spans="2:11" hidden="1" x14ac:dyDescent="0.25">
      <c r="B607" s="236" t="s">
        <v>785</v>
      </c>
      <c r="C607" s="222" t="s">
        <v>1617</v>
      </c>
    </row>
    <row r="608" spans="2:11" hidden="1" x14ac:dyDescent="0.25"/>
    <row r="609" spans="2:9" hidden="1" x14ac:dyDescent="0.25">
      <c r="B609" s="236" t="s">
        <v>1637</v>
      </c>
      <c r="C609" s="222" t="s">
        <v>1618</v>
      </c>
    </row>
    <row r="610" spans="2:9" hidden="1" x14ac:dyDescent="0.25"/>
    <row r="611" spans="2:9" ht="25.5" hidden="1" x14ac:dyDescent="0.25">
      <c r="C611" s="424" t="s">
        <v>398</v>
      </c>
      <c r="D611" s="424" t="s">
        <v>649</v>
      </c>
      <c r="E611" s="424" t="s">
        <v>397</v>
      </c>
      <c r="F611" s="424" t="s">
        <v>650</v>
      </c>
      <c r="G611" s="424" t="s">
        <v>722</v>
      </c>
      <c r="H611" s="425" t="s">
        <v>733</v>
      </c>
      <c r="I611" s="424" t="s">
        <v>44</v>
      </c>
    </row>
    <row r="612" spans="2:9" hidden="1" x14ac:dyDescent="0.25">
      <c r="C612" s="419">
        <v>1</v>
      </c>
      <c r="D612" s="1728" t="s">
        <v>718</v>
      </c>
      <c r="E612" s="1729"/>
      <c r="F612" s="1729"/>
      <c r="G612" s="1729"/>
      <c r="H612" s="1730"/>
      <c r="I612" s="420">
        <f>SUM(I613:I614)</f>
        <v>14800</v>
      </c>
    </row>
    <row r="613" spans="2:9" hidden="1" x14ac:dyDescent="0.25">
      <c r="C613" s="245" t="s">
        <v>401</v>
      </c>
      <c r="D613" s="421" t="s">
        <v>786</v>
      </c>
      <c r="E613" s="245" t="s">
        <v>402</v>
      </c>
      <c r="F613" s="245">
        <v>1</v>
      </c>
      <c r="G613" s="245">
        <v>60</v>
      </c>
      <c r="H613" s="422">
        <v>150</v>
      </c>
      <c r="I613" s="393">
        <f>G613*H613</f>
        <v>9000</v>
      </c>
    </row>
    <row r="614" spans="2:9" hidden="1" x14ac:dyDescent="0.25">
      <c r="C614" s="245" t="s">
        <v>400</v>
      </c>
      <c r="D614" s="421" t="s">
        <v>774</v>
      </c>
      <c r="E614" s="245" t="s">
        <v>402</v>
      </c>
      <c r="F614" s="245">
        <v>1</v>
      </c>
      <c r="G614" s="245">
        <v>60</v>
      </c>
      <c r="H614" s="422">
        <f>2900/30</f>
        <v>96.666666666666671</v>
      </c>
      <c r="I614" s="393">
        <f>G614*H614</f>
        <v>5800</v>
      </c>
    </row>
    <row r="615" spans="2:9" hidden="1" x14ac:dyDescent="0.25">
      <c r="C615" s="419">
        <v>2</v>
      </c>
      <c r="D615" s="1731" t="s">
        <v>719</v>
      </c>
      <c r="E615" s="1731"/>
      <c r="F615" s="1731"/>
      <c r="G615" s="1731"/>
      <c r="H615" s="1731"/>
      <c r="I615" s="420">
        <f>SUM(I616:I617)</f>
        <v>2520</v>
      </c>
    </row>
    <row r="616" spans="2:9" hidden="1" x14ac:dyDescent="0.25">
      <c r="C616" s="245" t="s">
        <v>691</v>
      </c>
      <c r="D616" s="421" t="s">
        <v>721</v>
      </c>
      <c r="E616" s="245" t="s">
        <v>402</v>
      </c>
      <c r="F616" s="245">
        <v>1</v>
      </c>
      <c r="G616" s="245">
        <v>9</v>
      </c>
      <c r="H616" s="422">
        <v>140</v>
      </c>
      <c r="I616" s="393">
        <f>G616*H616</f>
        <v>1260</v>
      </c>
    </row>
    <row r="617" spans="2:9" hidden="1" x14ac:dyDescent="0.25">
      <c r="C617" s="245" t="s">
        <v>700</v>
      </c>
      <c r="D617" s="421" t="s">
        <v>720</v>
      </c>
      <c r="E617" s="245" t="s">
        <v>402</v>
      </c>
      <c r="F617" s="245">
        <v>1</v>
      </c>
      <c r="G617" s="245">
        <v>9</v>
      </c>
      <c r="H617" s="422">
        <v>140</v>
      </c>
      <c r="I617" s="393">
        <f>G617*H617</f>
        <v>1260</v>
      </c>
    </row>
    <row r="618" spans="2:9" hidden="1" x14ac:dyDescent="0.25">
      <c r="C618" s="419">
        <v>3</v>
      </c>
      <c r="D618" s="1731" t="s">
        <v>723</v>
      </c>
      <c r="E618" s="1731"/>
      <c r="F618" s="1731"/>
      <c r="G618" s="1732"/>
      <c r="H618" s="1732"/>
      <c r="I618" s="420">
        <f>SUM(I619:I627)</f>
        <v>678</v>
      </c>
    </row>
    <row r="619" spans="2:9" hidden="1" x14ac:dyDescent="0.25">
      <c r="C619" s="245" t="s">
        <v>714</v>
      </c>
      <c r="D619" s="250" t="s">
        <v>724</v>
      </c>
      <c r="E619" s="245" t="s">
        <v>402</v>
      </c>
      <c r="F619" s="245">
        <v>200</v>
      </c>
      <c r="G619" s="245" t="s">
        <v>669</v>
      </c>
      <c r="H619" s="422">
        <v>0.5</v>
      </c>
      <c r="I619" s="393">
        <f>F619*H619</f>
        <v>100</v>
      </c>
    </row>
    <row r="620" spans="2:9" hidden="1" x14ac:dyDescent="0.25">
      <c r="C620" s="245" t="s">
        <v>734</v>
      </c>
      <c r="D620" s="250" t="s">
        <v>725</v>
      </c>
      <c r="E620" s="245" t="s">
        <v>726</v>
      </c>
      <c r="F620" s="245">
        <v>9</v>
      </c>
      <c r="G620" s="245" t="s">
        <v>669</v>
      </c>
      <c r="H620" s="422">
        <v>25</v>
      </c>
      <c r="I620" s="393">
        <f t="shared" ref="I620:I627" si="15">F620*H620</f>
        <v>225</v>
      </c>
    </row>
    <row r="621" spans="2:9" hidden="1" x14ac:dyDescent="0.25">
      <c r="C621" s="245" t="s">
        <v>735</v>
      </c>
      <c r="D621" s="250" t="s">
        <v>727</v>
      </c>
      <c r="E621" s="245" t="s">
        <v>402</v>
      </c>
      <c r="F621" s="245">
        <v>50</v>
      </c>
      <c r="G621" s="245" t="s">
        <v>669</v>
      </c>
      <c r="H621" s="422">
        <v>0.5</v>
      </c>
      <c r="I621" s="393">
        <f t="shared" si="15"/>
        <v>25</v>
      </c>
    </row>
    <row r="622" spans="2:9" hidden="1" x14ac:dyDescent="0.25">
      <c r="C622" s="245" t="s">
        <v>736</v>
      </c>
      <c r="D622" s="250" t="s">
        <v>728</v>
      </c>
      <c r="E622" s="245" t="s">
        <v>729</v>
      </c>
      <c r="F622" s="245">
        <v>9</v>
      </c>
      <c r="G622" s="245" t="s">
        <v>669</v>
      </c>
      <c r="H622" s="422">
        <v>4</v>
      </c>
      <c r="I622" s="393">
        <f t="shared" si="15"/>
        <v>36</v>
      </c>
    </row>
    <row r="623" spans="2:9" hidden="1" x14ac:dyDescent="0.25">
      <c r="C623" s="245" t="s">
        <v>737</v>
      </c>
      <c r="D623" s="250" t="s">
        <v>730</v>
      </c>
      <c r="E623" s="245" t="s">
        <v>402</v>
      </c>
      <c r="F623" s="245">
        <v>9</v>
      </c>
      <c r="G623" s="245" t="s">
        <v>669</v>
      </c>
      <c r="H623" s="422">
        <v>2</v>
      </c>
      <c r="I623" s="393">
        <f t="shared" si="15"/>
        <v>18</v>
      </c>
    </row>
    <row r="624" spans="2:9" hidden="1" x14ac:dyDescent="0.25">
      <c r="C624" s="245" t="s">
        <v>738</v>
      </c>
      <c r="D624" s="250" t="s">
        <v>731</v>
      </c>
      <c r="E624" s="245" t="s">
        <v>732</v>
      </c>
      <c r="F624" s="245">
        <v>9</v>
      </c>
      <c r="G624" s="245" t="s">
        <v>669</v>
      </c>
      <c r="H624" s="422">
        <v>30</v>
      </c>
      <c r="I624" s="393">
        <f t="shared" si="15"/>
        <v>270</v>
      </c>
    </row>
    <row r="625" spans="3:9" hidden="1" x14ac:dyDescent="0.25">
      <c r="C625" s="245" t="s">
        <v>755</v>
      </c>
      <c r="D625" s="250" t="s">
        <v>758</v>
      </c>
      <c r="E625" s="245" t="s">
        <v>402</v>
      </c>
      <c r="F625" s="246">
        <f>F569</f>
        <v>1</v>
      </c>
      <c r="G625" s="245" t="s">
        <v>669</v>
      </c>
      <c r="H625" s="422">
        <v>0.5</v>
      </c>
      <c r="I625" s="393">
        <f t="shared" si="15"/>
        <v>0.5</v>
      </c>
    </row>
    <row r="626" spans="3:9" hidden="1" x14ac:dyDescent="0.25">
      <c r="C626" s="245">
        <v>3.8</v>
      </c>
      <c r="D626" s="250" t="s">
        <v>756</v>
      </c>
      <c r="E626" s="245" t="s">
        <v>402</v>
      </c>
      <c r="F626" s="246">
        <f>F625</f>
        <v>1</v>
      </c>
      <c r="G626" s="245" t="s">
        <v>669</v>
      </c>
      <c r="H626" s="422">
        <v>0.5</v>
      </c>
      <c r="I626" s="393">
        <f t="shared" si="15"/>
        <v>0.5</v>
      </c>
    </row>
    <row r="627" spans="3:9" hidden="1" x14ac:dyDescent="0.25">
      <c r="C627" s="245">
        <v>3.9</v>
      </c>
      <c r="D627" s="250" t="s">
        <v>757</v>
      </c>
      <c r="E627" s="245" t="s">
        <v>402</v>
      </c>
      <c r="F627" s="246">
        <f>F626</f>
        <v>1</v>
      </c>
      <c r="G627" s="245" t="s">
        <v>669</v>
      </c>
      <c r="H627" s="422">
        <v>3</v>
      </c>
      <c r="I627" s="393">
        <f t="shared" si="15"/>
        <v>3</v>
      </c>
    </row>
    <row r="628" spans="3:9" hidden="1" x14ac:dyDescent="0.25">
      <c r="C628" s="419">
        <v>4</v>
      </c>
      <c r="D628" s="1731" t="s">
        <v>739</v>
      </c>
      <c r="E628" s="1731"/>
      <c r="F628" s="1731"/>
      <c r="G628" s="1731"/>
      <c r="H628" s="1731"/>
      <c r="I628" s="423">
        <f>SUM(I629:I630)</f>
        <v>720</v>
      </c>
    </row>
    <row r="629" spans="3:9" hidden="1" x14ac:dyDescent="0.25">
      <c r="C629" s="245" t="s">
        <v>742</v>
      </c>
      <c r="D629" s="421" t="s">
        <v>740</v>
      </c>
      <c r="E629" s="245" t="s">
        <v>402</v>
      </c>
      <c r="F629" s="245">
        <v>1</v>
      </c>
      <c r="G629" s="245">
        <v>9</v>
      </c>
      <c r="H629" s="422">
        <v>30</v>
      </c>
      <c r="I629" s="393">
        <f>F629*G629*H629</f>
        <v>270</v>
      </c>
    </row>
    <row r="630" spans="3:9" hidden="1" x14ac:dyDescent="0.25">
      <c r="C630" s="245" t="s">
        <v>743</v>
      </c>
      <c r="D630" s="421" t="s">
        <v>741</v>
      </c>
      <c r="E630" s="245" t="s">
        <v>402</v>
      </c>
      <c r="F630" s="245">
        <v>1</v>
      </c>
      <c r="G630" s="245">
        <v>9</v>
      </c>
      <c r="H630" s="422">
        <v>50</v>
      </c>
      <c r="I630" s="393">
        <f>F630*G630*H630</f>
        <v>450</v>
      </c>
    </row>
    <row r="631" spans="3:9" hidden="1" x14ac:dyDescent="0.25">
      <c r="C631" s="419">
        <v>5</v>
      </c>
      <c r="D631" s="1731" t="s">
        <v>748</v>
      </c>
      <c r="E631" s="1731"/>
      <c r="F631" s="1731"/>
      <c r="G631" s="1731"/>
      <c r="H631" s="1731"/>
      <c r="I631" s="426">
        <f>SUM(I632:I633)</f>
        <v>9900</v>
      </c>
    </row>
    <row r="632" spans="3:9" hidden="1" x14ac:dyDescent="0.25">
      <c r="C632" s="245" t="s">
        <v>746</v>
      </c>
      <c r="D632" s="421" t="s">
        <v>744</v>
      </c>
      <c r="E632" s="245" t="s">
        <v>402</v>
      </c>
      <c r="F632" s="246">
        <v>30</v>
      </c>
      <c r="G632" s="245">
        <v>30</v>
      </c>
      <c r="H632" s="422">
        <v>8</v>
      </c>
      <c r="I632" s="393">
        <f>F632*G632*H632</f>
        <v>7200</v>
      </c>
    </row>
    <row r="633" spans="3:9" hidden="1" x14ac:dyDescent="0.25">
      <c r="C633" s="245">
        <v>5.2</v>
      </c>
      <c r="D633" s="421" t="s">
        <v>745</v>
      </c>
      <c r="E633" s="245" t="s">
        <v>402</v>
      </c>
      <c r="F633" s="246">
        <v>30</v>
      </c>
      <c r="G633" s="245">
        <v>30</v>
      </c>
      <c r="H633" s="422">
        <v>3</v>
      </c>
      <c r="I633" s="393">
        <f>F633*G633*H633</f>
        <v>2700</v>
      </c>
    </row>
    <row r="634" spans="3:9" hidden="1" x14ac:dyDescent="0.25">
      <c r="C634" s="419">
        <v>6</v>
      </c>
      <c r="D634" s="1731" t="s">
        <v>747</v>
      </c>
      <c r="E634" s="1731"/>
      <c r="F634" s="1731"/>
      <c r="G634" s="1731"/>
      <c r="H634" s="1731"/>
      <c r="I634" s="426">
        <f>SUM(I635:I636)</f>
        <v>4095</v>
      </c>
    </row>
    <row r="635" spans="3:9" hidden="1" x14ac:dyDescent="0.25">
      <c r="C635" s="245" t="s">
        <v>753</v>
      </c>
      <c r="D635" s="421" t="s">
        <v>750</v>
      </c>
      <c r="E635" s="245" t="s">
        <v>749</v>
      </c>
      <c r="F635" s="245">
        <v>1</v>
      </c>
      <c r="G635" s="245">
        <v>9</v>
      </c>
      <c r="H635" s="422">
        <v>300</v>
      </c>
      <c r="I635" s="393">
        <f>F635*G635*H635</f>
        <v>2700</v>
      </c>
    </row>
    <row r="636" spans="3:9" hidden="1" x14ac:dyDescent="0.25">
      <c r="C636" s="245" t="s">
        <v>754</v>
      </c>
      <c r="D636" s="421" t="s">
        <v>751</v>
      </c>
      <c r="E636" s="245" t="s">
        <v>752</v>
      </c>
      <c r="F636" s="245">
        <v>10</v>
      </c>
      <c r="G636" s="245">
        <v>9</v>
      </c>
      <c r="H636" s="422">
        <v>15.5</v>
      </c>
      <c r="I636" s="393">
        <f>F636*G636*H636</f>
        <v>1395</v>
      </c>
    </row>
    <row r="637" spans="3:9" hidden="1" x14ac:dyDescent="0.25">
      <c r="C637" s="1733" t="s">
        <v>44</v>
      </c>
      <c r="D637" s="1733"/>
      <c r="E637" s="1733"/>
      <c r="F637" s="1733"/>
      <c r="G637" s="1733"/>
      <c r="H637" s="1733"/>
      <c r="I637" s="427">
        <f>I612+I615+I618+I628+I631+I634</f>
        <v>32713</v>
      </c>
    </row>
    <row r="638" spans="3:9" hidden="1" x14ac:dyDescent="0.25"/>
    <row r="639" spans="3:9" hidden="1" x14ac:dyDescent="0.25"/>
    <row r="640" spans="3:9" hidden="1" x14ac:dyDescent="0.25">
      <c r="C640" s="222" t="s">
        <v>787</v>
      </c>
    </row>
    <row r="641" spans="2:11" hidden="1" x14ac:dyDescent="0.25"/>
    <row r="642" spans="2:11" ht="25.5" hidden="1" x14ac:dyDescent="0.25">
      <c r="C642" s="399" t="s">
        <v>398</v>
      </c>
      <c r="D642" s="399" t="s">
        <v>682</v>
      </c>
      <c r="E642" s="399" t="s">
        <v>397</v>
      </c>
      <c r="F642" s="399" t="s">
        <v>650</v>
      </c>
      <c r="G642" s="399" t="s">
        <v>684</v>
      </c>
      <c r="H642" s="399" t="s">
        <v>685</v>
      </c>
    </row>
    <row r="643" spans="2:11" hidden="1" x14ac:dyDescent="0.25">
      <c r="C643" s="135" t="s">
        <v>746</v>
      </c>
      <c r="D643" s="405" t="str">
        <f>C599</f>
        <v>Elaboración de instrumentos de gestión.</v>
      </c>
      <c r="E643" s="360" t="s">
        <v>411</v>
      </c>
      <c r="F643" s="360">
        <v>1</v>
      </c>
      <c r="G643" s="417"/>
      <c r="H643" s="417">
        <f>F643*G643</f>
        <v>0</v>
      </c>
    </row>
    <row r="644" spans="2:11" ht="25.5" hidden="1" x14ac:dyDescent="0.25">
      <c r="C644" s="135" t="s">
        <v>785</v>
      </c>
      <c r="D644" s="405" t="str">
        <f>C607</f>
        <v xml:space="preserve">Articulación multisectorial para garantizar la seguridad alimentaria </v>
      </c>
      <c r="E644" s="360" t="s">
        <v>411</v>
      </c>
      <c r="F644" s="360">
        <v>1</v>
      </c>
      <c r="G644" s="417"/>
      <c r="H644" s="417">
        <f>F644*G644</f>
        <v>0</v>
      </c>
    </row>
    <row r="645" spans="2:11" hidden="1" x14ac:dyDescent="0.25">
      <c r="C645" s="1677" t="s">
        <v>44</v>
      </c>
      <c r="D645" s="1677"/>
      <c r="E645" s="1677"/>
      <c r="F645" s="1677"/>
      <c r="G645" s="1677"/>
      <c r="H645" s="400">
        <f>SUM(H643:H644)</f>
        <v>0</v>
      </c>
    </row>
    <row r="646" spans="2:11" hidden="1" x14ac:dyDescent="0.25"/>
    <row r="648" spans="2:11" x14ac:dyDescent="0.25">
      <c r="B648" s="383"/>
      <c r="C648" s="430"/>
      <c r="D648" s="430"/>
      <c r="E648" s="430"/>
      <c r="F648" s="430"/>
      <c r="G648" s="430"/>
      <c r="H648" s="430"/>
      <c r="I648" s="430"/>
      <c r="J648" s="430"/>
      <c r="K648" s="430"/>
    </row>
    <row r="650" spans="2:11" x14ac:dyDescent="0.25">
      <c r="C650" s="222" t="s">
        <v>788</v>
      </c>
    </row>
    <row r="652" spans="2:11" ht="25.5" x14ac:dyDescent="0.25">
      <c r="C652" s="395" t="s">
        <v>398</v>
      </c>
      <c r="D652" s="395" t="s">
        <v>682</v>
      </c>
      <c r="E652" s="395" t="s">
        <v>397</v>
      </c>
      <c r="F652" s="395" t="s">
        <v>650</v>
      </c>
      <c r="G652" s="395" t="s">
        <v>684</v>
      </c>
      <c r="H652" s="395" t="s">
        <v>685</v>
      </c>
    </row>
    <row r="653" spans="2:11" ht="42" customHeight="1" x14ac:dyDescent="0.25">
      <c r="C653" s="135">
        <v>3</v>
      </c>
      <c r="D653" s="405" t="str">
        <f>B245</f>
        <v xml:space="preserve">COMPONENTE 3.- SUFICIENTES CONOCIMIENTOS DEL RECURSO HUMANO EN LA DIRECCIÓN DE INDUSTRIA </v>
      </c>
      <c r="E653" s="360" t="s">
        <v>411</v>
      </c>
      <c r="F653" s="360">
        <v>1</v>
      </c>
      <c r="G653" s="417">
        <f>H333</f>
        <v>78057</v>
      </c>
      <c r="H653" s="417">
        <f>F653*G653</f>
        <v>78057</v>
      </c>
    </row>
    <row r="654" spans="2:11" ht="25.5" x14ac:dyDescent="0.25">
      <c r="C654" s="135">
        <v>4</v>
      </c>
      <c r="D654" s="1323" t="str">
        <f>B337</f>
        <v>COMPONENTE 4.- MAYOR ACTIVIDAD DE SENSIBILIZACIÓN DE LA POBLACIÓN BENEFICIARIA</v>
      </c>
      <c r="E654" s="1042" t="s">
        <v>411</v>
      </c>
      <c r="F654" s="1042">
        <v>1</v>
      </c>
      <c r="G654" s="1043">
        <f>H571</f>
        <v>494449.19293220399</v>
      </c>
      <c r="H654" s="1043">
        <f>F654*G654</f>
        <v>494449.19293220399</v>
      </c>
    </row>
    <row r="655" spans="2:11" x14ac:dyDescent="0.25">
      <c r="C655" s="1679" t="s">
        <v>789</v>
      </c>
      <c r="D655" s="1679"/>
      <c r="E655" s="1679"/>
      <c r="F655" s="1679"/>
      <c r="G655" s="1679"/>
      <c r="H655" s="407">
        <f>SUM(H653:H654)</f>
        <v>572506.19293220399</v>
      </c>
    </row>
    <row r="656" spans="2:11" x14ac:dyDescent="0.25">
      <c r="C656" s="1683" t="s">
        <v>712</v>
      </c>
      <c r="D656" s="1683"/>
      <c r="E656" s="1683"/>
      <c r="F656" s="1683"/>
      <c r="G656" s="403">
        <v>0.05</v>
      </c>
      <c r="H656" s="404">
        <f>H655*G656</f>
        <v>28625.3096466102</v>
      </c>
    </row>
    <row r="657" spans="3:8" x14ac:dyDescent="0.25">
      <c r="C657" s="1676" t="s">
        <v>713</v>
      </c>
      <c r="D657" s="1676"/>
      <c r="E657" s="1676"/>
      <c r="F657" s="1676"/>
      <c r="G657" s="403">
        <v>0.05</v>
      </c>
      <c r="H657" s="404">
        <f>H655*G657</f>
        <v>28625.3096466102</v>
      </c>
    </row>
    <row r="658" spans="3:8" x14ac:dyDescent="0.25">
      <c r="C658" s="1762" t="s">
        <v>791</v>
      </c>
      <c r="D658" s="1762"/>
      <c r="E658" s="1762"/>
      <c r="F658" s="1762"/>
      <c r="G658" s="1762"/>
      <c r="H658" s="431">
        <f>SUM(H655:H657)</f>
        <v>629756.81222542434</v>
      </c>
    </row>
  </sheetData>
  <mergeCells count="145">
    <mergeCell ref="D634:H634"/>
    <mergeCell ref="C637:H637"/>
    <mergeCell ref="C645:G645"/>
    <mergeCell ref="C658:G658"/>
    <mergeCell ref="C655:G655"/>
    <mergeCell ref="C656:F656"/>
    <mergeCell ref="C657:F657"/>
    <mergeCell ref="C605:H605"/>
    <mergeCell ref="D612:H612"/>
    <mergeCell ref="D615:H615"/>
    <mergeCell ref="D618:H618"/>
    <mergeCell ref="D628:H628"/>
    <mergeCell ref="D631:H631"/>
    <mergeCell ref="D398:H398"/>
    <mergeCell ref="C401:H401"/>
    <mergeCell ref="C571:G571"/>
    <mergeCell ref="B597:K597"/>
    <mergeCell ref="D407:H407"/>
    <mergeCell ref="D410:H410"/>
    <mergeCell ref="D413:H413"/>
    <mergeCell ref="D423:H423"/>
    <mergeCell ref="D426:H426"/>
    <mergeCell ref="D429:H429"/>
    <mergeCell ref="C432:H432"/>
    <mergeCell ref="D438:H438"/>
    <mergeCell ref="D441:H441"/>
    <mergeCell ref="D444:H444"/>
    <mergeCell ref="D454:H454"/>
    <mergeCell ref="D457:H457"/>
    <mergeCell ref="D460:H460"/>
    <mergeCell ref="C463:H463"/>
    <mergeCell ref="D540:H540"/>
    <mergeCell ref="D550:H550"/>
    <mergeCell ref="D557:H557"/>
    <mergeCell ref="D560:H560"/>
    <mergeCell ref="C563:H563"/>
    <mergeCell ref="D554:H554"/>
    <mergeCell ref="D376:H376"/>
    <mergeCell ref="D379:H379"/>
    <mergeCell ref="D382:H382"/>
    <mergeCell ref="D392:H392"/>
    <mergeCell ref="D395:H395"/>
    <mergeCell ref="D351:H351"/>
    <mergeCell ref="D361:H361"/>
    <mergeCell ref="D364:H364"/>
    <mergeCell ref="D367:H367"/>
    <mergeCell ref="C370:H370"/>
    <mergeCell ref="D307:H307"/>
    <mergeCell ref="C310:H310"/>
    <mergeCell ref="C314:I314"/>
    <mergeCell ref="D345:H345"/>
    <mergeCell ref="D348:H348"/>
    <mergeCell ref="D285:H285"/>
    <mergeCell ref="D288:H288"/>
    <mergeCell ref="D291:H291"/>
    <mergeCell ref="D301:H301"/>
    <mergeCell ref="D304:H304"/>
    <mergeCell ref="C323:H323"/>
    <mergeCell ref="C333:G333"/>
    <mergeCell ref="B337:K337"/>
    <mergeCell ref="D258:H258"/>
    <mergeCell ref="D268:H268"/>
    <mergeCell ref="D271:H271"/>
    <mergeCell ref="D274:H274"/>
    <mergeCell ref="C277:H277"/>
    <mergeCell ref="C219:H219"/>
    <mergeCell ref="B6:K6"/>
    <mergeCell ref="B245:K245"/>
    <mergeCell ref="D252:H252"/>
    <mergeCell ref="D255:H255"/>
    <mergeCell ref="D233:G233"/>
    <mergeCell ref="D236:G236"/>
    <mergeCell ref="C239:G239"/>
    <mergeCell ref="C240:C241"/>
    <mergeCell ref="H233:H239"/>
    <mergeCell ref="D207:H207"/>
    <mergeCell ref="D210:H210"/>
    <mergeCell ref="D213:H213"/>
    <mergeCell ref="D216:H216"/>
    <mergeCell ref="C193:H193"/>
    <mergeCell ref="C222:K222"/>
    <mergeCell ref="C227:G227"/>
    <mergeCell ref="D204:H204"/>
    <mergeCell ref="D171:H171"/>
    <mergeCell ref="D190:H190"/>
    <mergeCell ref="D156:H156"/>
    <mergeCell ref="D159:H159"/>
    <mergeCell ref="C162:H162"/>
    <mergeCell ref="D168:H168"/>
    <mergeCell ref="C131:H131"/>
    <mergeCell ref="D137:H137"/>
    <mergeCell ref="D140:H140"/>
    <mergeCell ref="D143:H143"/>
    <mergeCell ref="D153:H153"/>
    <mergeCell ref="D128:H128"/>
    <mergeCell ref="D91:H91"/>
    <mergeCell ref="D94:H94"/>
    <mergeCell ref="D97:H97"/>
    <mergeCell ref="C100:H100"/>
    <mergeCell ref="D106:H106"/>
    <mergeCell ref="D174:H174"/>
    <mergeCell ref="D184:H184"/>
    <mergeCell ref="D187:H187"/>
    <mergeCell ref="D112:H112"/>
    <mergeCell ref="D122:H122"/>
    <mergeCell ref="D125:H125"/>
    <mergeCell ref="D35:H35"/>
    <mergeCell ref="C38:H38"/>
    <mergeCell ref="D13:H13"/>
    <mergeCell ref="D16:H16"/>
    <mergeCell ref="D19:H19"/>
    <mergeCell ref="D29:H29"/>
    <mergeCell ref="D32:H32"/>
    <mergeCell ref="D66:H66"/>
    <mergeCell ref="C69:H69"/>
    <mergeCell ref="D75:H75"/>
    <mergeCell ref="D78:H78"/>
    <mergeCell ref="D81:H81"/>
    <mergeCell ref="D44:H44"/>
    <mergeCell ref="D47:H47"/>
    <mergeCell ref="D50:H50"/>
    <mergeCell ref="D60:H60"/>
    <mergeCell ref="D63:H63"/>
    <mergeCell ref="D109:H109"/>
    <mergeCell ref="D580:G580"/>
    <mergeCell ref="D583:G583"/>
    <mergeCell ref="D586:G586"/>
    <mergeCell ref="D589:G589"/>
    <mergeCell ref="D469:H469"/>
    <mergeCell ref="D472:H472"/>
    <mergeCell ref="D475:H475"/>
    <mergeCell ref="D485:H485"/>
    <mergeCell ref="D488:H488"/>
    <mergeCell ref="D491:H491"/>
    <mergeCell ref="C494:H494"/>
    <mergeCell ref="D577:G577"/>
    <mergeCell ref="D502:H502"/>
    <mergeCell ref="D505:H505"/>
    <mergeCell ref="D508:H508"/>
    <mergeCell ref="D518:H518"/>
    <mergeCell ref="D521:H521"/>
    <mergeCell ref="D524:H524"/>
    <mergeCell ref="C527:H527"/>
    <mergeCell ref="D534:H534"/>
    <mergeCell ref="D537:H537"/>
  </mergeCells>
  <pageMargins left="0.7" right="0.7" top="0.75" bottom="0.75" header="0.3" footer="0.3"/>
  <pageSetup paperSize="9" scale="53" orientation="portrait" r:id="rId1"/>
  <rowBreaks count="6" manualBreakCount="6">
    <brk id="102" min="1" max="10" man="1"/>
    <brk id="195" min="1" max="10" man="1"/>
    <brk id="278" min="1" max="10" man="1"/>
    <brk id="335" min="1" max="10" man="1"/>
    <brk id="496" min="1" max="10" man="1"/>
    <brk id="647" min="1" max="10" man="1"/>
  </rowBreaks>
  <ignoredErrors>
    <ignoredError sqref="I16 I32 I35 I207:I216 I255 I288 I271 I274 I364:I367 I560"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tint="-0.249977111117893"/>
  </sheetPr>
  <dimension ref="B3:G57"/>
  <sheetViews>
    <sheetView view="pageBreakPreview" topLeftCell="A22" zoomScaleNormal="100" zoomScaleSheetLayoutView="100" workbookViewId="0">
      <selection activeCell="G46" sqref="G46"/>
    </sheetView>
  </sheetViews>
  <sheetFormatPr baseColWidth="10" defaultRowHeight="12.75" x14ac:dyDescent="0.2"/>
  <cols>
    <col min="1" max="1" width="11.42578125" style="52"/>
    <col min="2" max="2" width="7.85546875" style="236" customWidth="1"/>
    <col min="3" max="3" width="29.140625" style="52" customWidth="1"/>
    <col min="4" max="4" width="12.28515625" style="52" bestFit="1" customWidth="1"/>
    <col min="5" max="6" width="11.5703125" style="52" bestFit="1" customWidth="1"/>
    <col min="7" max="7" width="14.28515625" style="52" bestFit="1" customWidth="1"/>
    <col min="8" max="16384" width="11.42578125" style="52"/>
  </cols>
  <sheetData>
    <row r="3" spans="2:7" x14ac:dyDescent="0.2">
      <c r="B3" s="389" t="s">
        <v>1238</v>
      </c>
    </row>
    <row r="5" spans="2:7" x14ac:dyDescent="0.2">
      <c r="B5" s="1454" t="s">
        <v>1866</v>
      </c>
      <c r="C5" s="1411" t="s">
        <v>1817</v>
      </c>
      <c r="D5" s="1412" t="s">
        <v>402</v>
      </c>
      <c r="E5" s="1412" t="s">
        <v>1818</v>
      </c>
      <c r="F5" s="1412" t="s">
        <v>1819</v>
      </c>
      <c r="G5" s="1413" t="s">
        <v>1820</v>
      </c>
    </row>
    <row r="6" spans="2:7" x14ac:dyDescent="0.2">
      <c r="B6" s="1455">
        <v>1</v>
      </c>
      <c r="C6" s="1445" t="s">
        <v>1821</v>
      </c>
      <c r="D6" s="1414"/>
      <c r="E6" s="1414"/>
      <c r="F6" s="1415"/>
      <c r="G6" s="1416"/>
    </row>
    <row r="7" spans="2:7" ht="15" x14ac:dyDescent="0.2">
      <c r="B7" s="1417">
        <v>1.1000000000000001</v>
      </c>
      <c r="C7" s="1446" t="s">
        <v>1822</v>
      </c>
      <c r="D7" s="1417"/>
      <c r="E7" s="1417"/>
      <c r="F7" s="1418"/>
      <c r="G7" s="1419">
        <f>+G8+G9+G10+G11</f>
        <v>28200</v>
      </c>
    </row>
    <row r="8" spans="2:7" ht="22.5" x14ac:dyDescent="0.2">
      <c r="B8" s="1420" t="s">
        <v>1586</v>
      </c>
      <c r="C8" s="1447" t="s">
        <v>1823</v>
      </c>
      <c r="D8" s="1420" t="s">
        <v>1824</v>
      </c>
      <c r="E8" s="1420">
        <v>2</v>
      </c>
      <c r="F8" s="1421">
        <v>1600</v>
      </c>
      <c r="G8" s="1422">
        <f t="shared" ref="G8:G11" si="0">+F8*2*E8</f>
        <v>6400</v>
      </c>
    </row>
    <row r="9" spans="2:7" ht="22.5" x14ac:dyDescent="0.2">
      <c r="B9" s="1420" t="s">
        <v>1588</v>
      </c>
      <c r="C9" s="1448" t="s">
        <v>1825</v>
      </c>
      <c r="D9" s="1420" t="s">
        <v>1824</v>
      </c>
      <c r="E9" s="1420">
        <v>2</v>
      </c>
      <c r="F9" s="1421">
        <v>4500</v>
      </c>
      <c r="G9" s="1422">
        <f t="shared" si="0"/>
        <v>18000</v>
      </c>
    </row>
    <row r="10" spans="2:7" x14ac:dyDescent="0.2">
      <c r="B10" s="1420" t="s">
        <v>1590</v>
      </c>
      <c r="C10" s="1448" t="s">
        <v>1826</v>
      </c>
      <c r="D10" s="1420" t="s">
        <v>1824</v>
      </c>
      <c r="E10" s="1420">
        <v>2</v>
      </c>
      <c r="F10" s="1421">
        <v>350</v>
      </c>
      <c r="G10" s="1422">
        <f t="shared" si="0"/>
        <v>1400</v>
      </c>
    </row>
    <row r="11" spans="2:7" ht="22.5" x14ac:dyDescent="0.2">
      <c r="B11" s="1420" t="s">
        <v>1683</v>
      </c>
      <c r="C11" s="1448" t="s">
        <v>1827</v>
      </c>
      <c r="D11" s="1420" t="s">
        <v>1824</v>
      </c>
      <c r="E11" s="1420">
        <v>2</v>
      </c>
      <c r="F11" s="1421">
        <v>600</v>
      </c>
      <c r="G11" s="1422">
        <f t="shared" si="0"/>
        <v>2400</v>
      </c>
    </row>
    <row r="12" spans="2:7" x14ac:dyDescent="0.2">
      <c r="B12" s="1417">
        <v>1.2</v>
      </c>
      <c r="C12" s="1446" t="s">
        <v>1828</v>
      </c>
      <c r="D12" s="1417"/>
      <c r="E12" s="1417"/>
      <c r="F12" s="1423"/>
      <c r="G12" s="1419">
        <f>+G13+G14</f>
        <v>22400</v>
      </c>
    </row>
    <row r="13" spans="2:7" ht="22.5" x14ac:dyDescent="0.2">
      <c r="B13" s="1420" t="s">
        <v>1592</v>
      </c>
      <c r="C13" s="1448" t="s">
        <v>1829</v>
      </c>
      <c r="D13" s="1420" t="s">
        <v>1830</v>
      </c>
      <c r="E13" s="1420">
        <v>7</v>
      </c>
      <c r="F13" s="1421">
        <v>1500</v>
      </c>
      <c r="G13" s="1422">
        <f>+F13*E13</f>
        <v>10500</v>
      </c>
    </row>
    <row r="14" spans="2:7" ht="22.5" x14ac:dyDescent="0.2">
      <c r="B14" s="1420" t="s">
        <v>1592</v>
      </c>
      <c r="C14" s="1448" t="s">
        <v>1831</v>
      </c>
      <c r="D14" s="1420" t="s">
        <v>1832</v>
      </c>
      <c r="E14" s="1420">
        <v>14</v>
      </c>
      <c r="F14" s="1421">
        <v>850</v>
      </c>
      <c r="G14" s="1422">
        <f>+F14*E14</f>
        <v>11900</v>
      </c>
    </row>
    <row r="15" spans="2:7" x14ac:dyDescent="0.2">
      <c r="B15" s="1424">
        <v>1.3</v>
      </c>
      <c r="C15" s="1446" t="s">
        <v>1833</v>
      </c>
      <c r="D15" s="1424"/>
      <c r="E15" s="1424"/>
      <c r="F15" s="1425"/>
      <c r="G15" s="1419">
        <f>+G16+G17+G18+G19+G20+G21</f>
        <v>120367.00000000001</v>
      </c>
    </row>
    <row r="16" spans="2:7" ht="22.5" x14ac:dyDescent="0.2">
      <c r="B16" s="1420" t="s">
        <v>1596</v>
      </c>
      <c r="C16" s="1447" t="s">
        <v>1834</v>
      </c>
      <c r="D16" s="1420" t="s">
        <v>1103</v>
      </c>
      <c r="E16" s="1420">
        <v>185</v>
      </c>
      <c r="F16" s="1421">
        <v>50</v>
      </c>
      <c r="G16" s="1422">
        <f>+F16*E16</f>
        <v>9250</v>
      </c>
    </row>
    <row r="17" spans="2:7" ht="22.5" x14ac:dyDescent="0.2">
      <c r="B17" s="1420" t="s">
        <v>598</v>
      </c>
      <c r="C17" s="1447" t="s">
        <v>1835</v>
      </c>
      <c r="D17" s="1420" t="s">
        <v>1836</v>
      </c>
      <c r="E17" s="1420">
        <v>365</v>
      </c>
      <c r="F17" s="1421">
        <v>15</v>
      </c>
      <c r="G17" s="1422">
        <f t="shared" ref="G17:G21" si="1">+F17*E17</f>
        <v>5475</v>
      </c>
    </row>
    <row r="18" spans="2:7" ht="22.5" x14ac:dyDescent="0.2">
      <c r="B18" s="1420" t="s">
        <v>1645</v>
      </c>
      <c r="C18" s="1447" t="s">
        <v>1837</v>
      </c>
      <c r="D18" s="1420" t="s">
        <v>1838</v>
      </c>
      <c r="E18" s="1420">
        <v>360</v>
      </c>
      <c r="F18" s="1421">
        <v>257.70000000000005</v>
      </c>
      <c r="G18" s="1422">
        <f t="shared" si="1"/>
        <v>92772.000000000015</v>
      </c>
    </row>
    <row r="19" spans="2:7" x14ac:dyDescent="0.2">
      <c r="B19" s="1420" t="s">
        <v>1646</v>
      </c>
      <c r="C19" s="1447" t="s">
        <v>1839</v>
      </c>
      <c r="D19" s="1420" t="s">
        <v>1838</v>
      </c>
      <c r="E19" s="1420">
        <v>21</v>
      </c>
      <c r="F19" s="1421">
        <v>300</v>
      </c>
      <c r="G19" s="1422">
        <f t="shared" si="1"/>
        <v>6300</v>
      </c>
    </row>
    <row r="20" spans="2:7" x14ac:dyDescent="0.2">
      <c r="B20" s="1420" t="s">
        <v>1647</v>
      </c>
      <c r="C20" s="1447" t="s">
        <v>1840</v>
      </c>
      <c r="D20" s="1420" t="s">
        <v>1824</v>
      </c>
      <c r="E20" s="1420">
        <v>21</v>
      </c>
      <c r="F20" s="1421">
        <v>50</v>
      </c>
      <c r="G20" s="1422">
        <f t="shared" si="1"/>
        <v>1050</v>
      </c>
    </row>
    <row r="21" spans="2:7" ht="33.75" x14ac:dyDescent="0.2">
      <c r="B21" s="1420" t="s">
        <v>1648</v>
      </c>
      <c r="C21" s="1447" t="s">
        <v>1841</v>
      </c>
      <c r="D21" s="1420" t="s">
        <v>666</v>
      </c>
      <c r="E21" s="1420">
        <v>1840</v>
      </c>
      <c r="F21" s="1421">
        <v>3</v>
      </c>
      <c r="G21" s="1422">
        <f t="shared" si="1"/>
        <v>5520</v>
      </c>
    </row>
    <row r="22" spans="2:7" x14ac:dyDescent="0.2">
      <c r="B22" s="1417">
        <v>1.4</v>
      </c>
      <c r="C22" s="1446" t="s">
        <v>796</v>
      </c>
      <c r="D22" s="1417"/>
      <c r="E22" s="1417"/>
      <c r="F22" s="1423"/>
      <c r="G22" s="1419">
        <f>+G23+G24</f>
        <v>17938.900000000001</v>
      </c>
    </row>
    <row r="23" spans="2:7" ht="22.5" x14ac:dyDescent="0.2">
      <c r="B23" s="1420" t="s">
        <v>1867</v>
      </c>
      <c r="C23" s="1447" t="s">
        <v>1842</v>
      </c>
      <c r="D23" s="1420" t="s">
        <v>1824</v>
      </c>
      <c r="E23" s="1420">
        <v>7</v>
      </c>
      <c r="F23" s="1421">
        <v>1912.7</v>
      </c>
      <c r="G23" s="1422">
        <f>+F23*E23</f>
        <v>13388.9</v>
      </c>
    </row>
    <row r="24" spans="2:7" x14ac:dyDescent="0.2">
      <c r="B24" s="1420" t="s">
        <v>1868</v>
      </c>
      <c r="C24" s="1447" t="s">
        <v>1843</v>
      </c>
      <c r="D24" s="1420" t="s">
        <v>1838</v>
      </c>
      <c r="E24" s="1420">
        <v>7</v>
      </c>
      <c r="F24" s="1421">
        <v>650</v>
      </c>
      <c r="G24" s="1422">
        <f>+F24*E24</f>
        <v>4550</v>
      </c>
    </row>
    <row r="25" spans="2:7" x14ac:dyDescent="0.2">
      <c r="B25" s="1417">
        <v>1.5</v>
      </c>
      <c r="C25" s="1446" t="s">
        <v>1844</v>
      </c>
      <c r="D25" s="1417"/>
      <c r="E25" s="1417"/>
      <c r="F25" s="1423"/>
      <c r="G25" s="1419">
        <f>+G26+G30</f>
        <v>46530</v>
      </c>
    </row>
    <row r="26" spans="2:7" x14ac:dyDescent="0.2">
      <c r="B26" s="1420" t="s">
        <v>1689</v>
      </c>
      <c r="C26" s="1447" t="s">
        <v>1845</v>
      </c>
      <c r="D26" s="1420"/>
      <c r="E26" s="1420"/>
      <c r="F26" s="1421"/>
      <c r="G26" s="1422">
        <f>+G27+G28+G29</f>
        <v>26530</v>
      </c>
    </row>
    <row r="27" spans="2:7" ht="22.5" x14ac:dyDescent="0.2">
      <c r="B27" s="1456" t="s">
        <v>1869</v>
      </c>
      <c r="C27" s="1449" t="s">
        <v>1846</v>
      </c>
      <c r="D27" s="1426" t="s">
        <v>1838</v>
      </c>
      <c r="E27" s="1426">
        <v>18</v>
      </c>
      <c r="F27" s="1427">
        <v>1050</v>
      </c>
      <c r="G27" s="1428">
        <f t="shared" ref="G27:G29" si="2">+F27*E27</f>
        <v>18900</v>
      </c>
    </row>
    <row r="28" spans="2:7" ht="22.5" x14ac:dyDescent="0.2">
      <c r="B28" s="1456" t="s">
        <v>1870</v>
      </c>
      <c r="C28" s="1449" t="s">
        <v>1847</v>
      </c>
      <c r="D28" s="1426" t="s">
        <v>1838</v>
      </c>
      <c r="E28" s="1426">
        <v>7</v>
      </c>
      <c r="F28" s="1427">
        <v>490</v>
      </c>
      <c r="G28" s="1428">
        <f t="shared" si="2"/>
        <v>3430</v>
      </c>
    </row>
    <row r="29" spans="2:7" ht="22.5" x14ac:dyDescent="0.2">
      <c r="B29" s="1456" t="s">
        <v>1871</v>
      </c>
      <c r="C29" s="1449" t="s">
        <v>1848</v>
      </c>
      <c r="D29" s="1426" t="s">
        <v>1838</v>
      </c>
      <c r="E29" s="1426">
        <v>28</v>
      </c>
      <c r="F29" s="1427">
        <v>150</v>
      </c>
      <c r="G29" s="1428">
        <f t="shared" si="2"/>
        <v>4200</v>
      </c>
    </row>
    <row r="30" spans="2:7" x14ac:dyDescent="0.2">
      <c r="B30" s="1420" t="s">
        <v>1690</v>
      </c>
      <c r="C30" s="1447" t="s">
        <v>1849</v>
      </c>
      <c r="D30" s="1420"/>
      <c r="E30" s="1420"/>
      <c r="F30" s="1421"/>
      <c r="G30" s="1422">
        <f>+G31</f>
        <v>20000</v>
      </c>
    </row>
    <row r="31" spans="2:7" x14ac:dyDescent="0.2">
      <c r="B31" s="1426" t="s">
        <v>1872</v>
      </c>
      <c r="C31" s="1450" t="s">
        <v>1850</v>
      </c>
      <c r="D31" s="1429" t="s">
        <v>1838</v>
      </c>
      <c r="E31" s="1429">
        <v>8</v>
      </c>
      <c r="F31" s="1430">
        <v>2500</v>
      </c>
      <c r="G31" s="1428">
        <f>+F31*E31</f>
        <v>20000</v>
      </c>
    </row>
    <row r="32" spans="2:7" ht="22.5" x14ac:dyDescent="0.2">
      <c r="B32" s="1417">
        <v>1.6</v>
      </c>
      <c r="C32" s="1446" t="s">
        <v>1851</v>
      </c>
      <c r="D32" s="1417"/>
      <c r="E32" s="1417"/>
      <c r="F32" s="1417"/>
      <c r="G32" s="1419">
        <f>+G33</f>
        <v>9500</v>
      </c>
    </row>
    <row r="33" spans="2:7" x14ac:dyDescent="0.2">
      <c r="B33" s="1420" t="s">
        <v>1692</v>
      </c>
      <c r="C33" s="1448" t="s">
        <v>1852</v>
      </c>
      <c r="D33" s="1420" t="s">
        <v>1838</v>
      </c>
      <c r="E33" s="1420">
        <v>1</v>
      </c>
      <c r="F33" s="1431">
        <v>9500</v>
      </c>
      <c r="G33" s="1422">
        <f>+F33*E33</f>
        <v>9500</v>
      </c>
    </row>
    <row r="34" spans="2:7" x14ac:dyDescent="0.2">
      <c r="B34" s="1417">
        <v>1.8</v>
      </c>
      <c r="C34" s="1446" t="s">
        <v>1853</v>
      </c>
      <c r="D34" s="1417"/>
      <c r="E34" s="1417"/>
      <c r="F34" s="1417"/>
      <c r="G34" s="1419">
        <f>+G35+G36+G37</f>
        <v>11622.75</v>
      </c>
    </row>
    <row r="35" spans="2:7" ht="22.5" x14ac:dyDescent="0.2">
      <c r="B35" s="1420" t="s">
        <v>1873</v>
      </c>
      <c r="C35" s="1447" t="s">
        <v>1879</v>
      </c>
      <c r="D35" s="1420" t="s">
        <v>1824</v>
      </c>
      <c r="E35" s="1420">
        <v>7</v>
      </c>
      <c r="F35" s="1421">
        <v>300</v>
      </c>
      <c r="G35" s="1422">
        <f>+F35*E35</f>
        <v>2100</v>
      </c>
    </row>
    <row r="36" spans="2:7" x14ac:dyDescent="0.2">
      <c r="B36" s="1420" t="s">
        <v>1874</v>
      </c>
      <c r="C36" s="1447" t="s">
        <v>1854</v>
      </c>
      <c r="D36" s="1420" t="s">
        <v>666</v>
      </c>
      <c r="E36" s="1420">
        <v>226.91</v>
      </c>
      <c r="F36" s="1421">
        <v>25</v>
      </c>
      <c r="G36" s="1422">
        <f t="shared" ref="G36:G37" si="3">+F36*E36</f>
        <v>5672.75</v>
      </c>
    </row>
    <row r="37" spans="2:7" ht="33.75" x14ac:dyDescent="0.2">
      <c r="B37" s="1420" t="s">
        <v>1875</v>
      </c>
      <c r="C37" s="1447" t="s">
        <v>1855</v>
      </c>
      <c r="D37" s="1420" t="s">
        <v>1830</v>
      </c>
      <c r="E37" s="1420">
        <v>7</v>
      </c>
      <c r="F37" s="1421">
        <v>550</v>
      </c>
      <c r="G37" s="1422">
        <f t="shared" si="3"/>
        <v>3850</v>
      </c>
    </row>
    <row r="38" spans="2:7" x14ac:dyDescent="0.2">
      <c r="B38" s="1457"/>
      <c r="C38" s="1451" t="s">
        <v>1856</v>
      </c>
      <c r="D38" s="1764">
        <f>+G7+G12+G15+G22+G25+G32+G34</f>
        <v>256558.65</v>
      </c>
      <c r="E38" s="1765"/>
      <c r="F38" s="1765"/>
      <c r="G38" s="1766"/>
    </row>
    <row r="39" spans="2:7" ht="22.5" x14ac:dyDescent="0.2">
      <c r="B39" s="1426"/>
      <c r="C39" s="1452" t="s">
        <v>1857</v>
      </c>
      <c r="D39" s="1432" t="s">
        <v>1858</v>
      </c>
      <c r="E39" s="1432">
        <v>1</v>
      </c>
      <c r="F39" s="1433">
        <v>65000</v>
      </c>
      <c r="G39" s="1434">
        <f>+F39*E39</f>
        <v>65000</v>
      </c>
    </row>
    <row r="40" spans="2:7" x14ac:dyDescent="0.2">
      <c r="B40" s="1432"/>
      <c r="C40" s="1452" t="s">
        <v>1859</v>
      </c>
      <c r="D40" s="1432"/>
      <c r="E40" s="1432"/>
      <c r="F40" s="1432"/>
      <c r="G40" s="1434">
        <f>+D38*0.08</f>
        <v>20524.691999999999</v>
      </c>
    </row>
    <row r="41" spans="2:7" x14ac:dyDescent="0.2">
      <c r="B41" s="1432"/>
      <c r="C41" s="1452" t="s">
        <v>1860</v>
      </c>
      <c r="D41" s="1432"/>
      <c r="E41" s="1432"/>
      <c r="F41" s="1432"/>
      <c r="G41" s="1434">
        <f>+D38*0.08</f>
        <v>20524.691999999999</v>
      </c>
    </row>
    <row r="42" spans="2:7" x14ac:dyDescent="0.2">
      <c r="B42" s="1432"/>
      <c r="C42" s="1453" t="s">
        <v>1861</v>
      </c>
      <c r="D42" s="1432"/>
      <c r="E42" s="1432"/>
      <c r="F42" s="1432"/>
      <c r="G42" s="1435">
        <f>+D38+G39+G40+G41</f>
        <v>362608.03399999999</v>
      </c>
    </row>
    <row r="43" spans="2:7" x14ac:dyDescent="0.2">
      <c r="B43" s="1432"/>
      <c r="C43" s="1452" t="s">
        <v>1862</v>
      </c>
      <c r="D43" s="1432"/>
      <c r="E43" s="1432"/>
      <c r="F43" s="1432"/>
      <c r="G43" s="1434">
        <f>+G42*0.18</f>
        <v>65269.446119999993</v>
      </c>
    </row>
    <row r="44" spans="2:7" x14ac:dyDescent="0.2">
      <c r="B44" s="1432"/>
      <c r="C44" s="1452" t="s">
        <v>1863</v>
      </c>
      <c r="D44" s="1432"/>
      <c r="E44" s="1432"/>
      <c r="F44" s="1432"/>
      <c r="G44" s="1434">
        <f>+G42+G43</f>
        <v>427877.48011999996</v>
      </c>
    </row>
    <row r="45" spans="2:7" x14ac:dyDescent="0.2">
      <c r="B45" s="1432"/>
      <c r="C45" s="1453" t="s">
        <v>1864</v>
      </c>
      <c r="D45" s="1432"/>
      <c r="E45" s="1432"/>
      <c r="F45" s="1432"/>
      <c r="G45" s="1434">
        <f>+G44*0.03</f>
        <v>12836.324403599998</v>
      </c>
    </row>
    <row r="46" spans="2:7" x14ac:dyDescent="0.2">
      <c r="B46" s="1767" t="s">
        <v>1865</v>
      </c>
      <c r="C46" s="1767"/>
      <c r="D46" s="1767"/>
      <c r="E46" s="1767"/>
      <c r="F46" s="1767"/>
      <c r="G46" s="1436">
        <f>+G44+G45</f>
        <v>440713.80452359997</v>
      </c>
    </row>
    <row r="48" spans="2:7" ht="13.5" thickBot="1" x14ac:dyDescent="0.25"/>
    <row r="49" spans="2:4" ht="15.75" thickBot="1" x14ac:dyDescent="0.3">
      <c r="B49" s="1458" t="s">
        <v>545</v>
      </c>
      <c r="C49" s="1437" t="s">
        <v>1876</v>
      </c>
      <c r="D49" s="1438" t="s">
        <v>1877</v>
      </c>
    </row>
    <row r="50" spans="2:4" x14ac:dyDescent="0.2">
      <c r="B50" s="1459">
        <v>1</v>
      </c>
      <c r="C50" s="1439" t="s">
        <v>1822</v>
      </c>
      <c r="D50" s="1440">
        <f>+G7</f>
        <v>28200</v>
      </c>
    </row>
    <row r="51" spans="2:4" x14ac:dyDescent="0.2">
      <c r="B51" s="1460">
        <v>2</v>
      </c>
      <c r="C51" s="1441" t="s">
        <v>1828</v>
      </c>
      <c r="D51" s="1442">
        <f>+G12</f>
        <v>22400</v>
      </c>
    </row>
    <row r="52" spans="2:4" x14ac:dyDescent="0.2">
      <c r="B52" s="1460">
        <v>3</v>
      </c>
      <c r="C52" s="1441" t="s">
        <v>1833</v>
      </c>
      <c r="D52" s="1442">
        <f>+G15</f>
        <v>120367.00000000001</v>
      </c>
    </row>
    <row r="53" spans="2:4" x14ac:dyDescent="0.2">
      <c r="B53" s="1460">
        <v>4</v>
      </c>
      <c r="C53" s="1441" t="s">
        <v>796</v>
      </c>
      <c r="D53" s="1442">
        <f>+G22</f>
        <v>17938.900000000001</v>
      </c>
    </row>
    <row r="54" spans="2:4" x14ac:dyDescent="0.2">
      <c r="B54" s="1460">
        <v>5</v>
      </c>
      <c r="C54" s="1441" t="s">
        <v>1844</v>
      </c>
      <c r="D54" s="1442">
        <f>+G25</f>
        <v>46530</v>
      </c>
    </row>
    <row r="55" spans="2:4" x14ac:dyDescent="0.2">
      <c r="B55" s="1460">
        <v>6</v>
      </c>
      <c r="C55" s="1441" t="s">
        <v>1851</v>
      </c>
      <c r="D55" s="1442">
        <f>+G32</f>
        <v>9500</v>
      </c>
    </row>
    <row r="56" spans="2:4" ht="13.5" thickBot="1" x14ac:dyDescent="0.25">
      <c r="B56" s="1460">
        <v>7</v>
      </c>
      <c r="C56" s="1441" t="s">
        <v>1853</v>
      </c>
      <c r="D56" s="1442">
        <f>+G34</f>
        <v>11622.75</v>
      </c>
    </row>
    <row r="57" spans="2:4" ht="13.5" thickBot="1" x14ac:dyDescent="0.25">
      <c r="B57" s="1461"/>
      <c r="C57" s="1443" t="s">
        <v>1878</v>
      </c>
      <c r="D57" s="1444">
        <f>SUM(D50:D56)</f>
        <v>256558.65</v>
      </c>
    </row>
  </sheetData>
  <mergeCells count="2">
    <mergeCell ref="D38:G38"/>
    <mergeCell ref="B46:F46"/>
  </mergeCells>
  <pageMargins left="0.7" right="0.7" top="0.75" bottom="0.75" header="0.3" footer="0.3"/>
  <pageSetup paperSize="9" scale="89" orientation="portrait" r:id="rId1"/>
  <rowBreaks count="1" manualBreakCount="1">
    <brk id="48" min="1"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0"/>
  <sheetViews>
    <sheetView workbookViewId="0">
      <selection activeCell="R15" sqref="R15"/>
    </sheetView>
  </sheetViews>
  <sheetFormatPr baseColWidth="10" defaultRowHeight="15" x14ac:dyDescent="0.25"/>
  <cols>
    <col min="1" max="1" width="11.5703125" customWidth="1"/>
    <col min="9" max="9" width="13.140625" customWidth="1"/>
  </cols>
  <sheetData>
    <row r="1" spans="1:14" x14ac:dyDescent="0.25">
      <c r="A1" t="s">
        <v>0</v>
      </c>
    </row>
    <row r="3" spans="1:14" x14ac:dyDescent="0.25">
      <c r="A3" s="17" t="s">
        <v>15</v>
      </c>
      <c r="B3" s="17" t="s">
        <v>40</v>
      </c>
      <c r="C3" s="17" t="s">
        <v>45</v>
      </c>
      <c r="D3" s="17" t="s">
        <v>2</v>
      </c>
      <c r="E3" s="17" t="s">
        <v>3</v>
      </c>
      <c r="F3" s="17" t="s">
        <v>42</v>
      </c>
      <c r="G3" s="17" t="s">
        <v>4</v>
      </c>
      <c r="H3" s="17" t="s">
        <v>5</v>
      </c>
      <c r="I3" s="17" t="s">
        <v>6</v>
      </c>
      <c r="J3" s="17" t="s">
        <v>16</v>
      </c>
      <c r="K3" s="17" t="s">
        <v>17</v>
      </c>
      <c r="L3" s="17" t="s">
        <v>7</v>
      </c>
      <c r="M3" s="17" t="s">
        <v>8</v>
      </c>
      <c r="N3" s="17" t="s">
        <v>49</v>
      </c>
    </row>
    <row r="4" spans="1:14" x14ac:dyDescent="0.25">
      <c r="A4" s="3" t="s">
        <v>24</v>
      </c>
      <c r="B4" s="3">
        <v>1264</v>
      </c>
      <c r="C4" s="3">
        <v>1309</v>
      </c>
      <c r="D4" s="3">
        <v>647</v>
      </c>
      <c r="E4" s="3">
        <v>157</v>
      </c>
      <c r="F4" s="3">
        <v>1416</v>
      </c>
      <c r="G4" s="3">
        <v>2209</v>
      </c>
      <c r="H4" s="3">
        <v>324</v>
      </c>
      <c r="I4" s="3">
        <v>147</v>
      </c>
      <c r="J4" s="3">
        <v>629</v>
      </c>
      <c r="K4" s="3">
        <v>1569</v>
      </c>
      <c r="L4" s="3">
        <v>332</v>
      </c>
      <c r="M4" s="3">
        <v>688</v>
      </c>
      <c r="N4" s="9"/>
    </row>
    <row r="5" spans="1:14" x14ac:dyDescent="0.25">
      <c r="A5" s="3" t="s">
        <v>25</v>
      </c>
      <c r="B5" s="3">
        <v>1228</v>
      </c>
      <c r="C5" s="3">
        <v>1267</v>
      </c>
      <c r="D5" s="3">
        <v>671</v>
      </c>
      <c r="E5" s="3">
        <v>149</v>
      </c>
      <c r="F5" s="3">
        <v>1211</v>
      </c>
      <c r="G5" s="3">
        <v>2024</v>
      </c>
      <c r="H5" s="3">
        <v>310</v>
      </c>
      <c r="I5" s="3">
        <v>158</v>
      </c>
      <c r="J5" s="3">
        <v>536</v>
      </c>
      <c r="K5" s="3">
        <v>1668</v>
      </c>
      <c r="L5" s="3">
        <v>278</v>
      </c>
      <c r="M5" s="3">
        <v>689</v>
      </c>
      <c r="N5" s="9"/>
    </row>
    <row r="6" spans="1:14" x14ac:dyDescent="0.25">
      <c r="A6" s="3" t="s">
        <v>26</v>
      </c>
      <c r="B6" s="3">
        <v>1060</v>
      </c>
      <c r="C6" s="3">
        <v>980</v>
      </c>
      <c r="D6" s="3">
        <v>676</v>
      </c>
      <c r="E6" s="3">
        <v>145</v>
      </c>
      <c r="F6" s="3">
        <v>887</v>
      </c>
      <c r="G6" s="3">
        <v>1618</v>
      </c>
      <c r="H6" s="3">
        <v>312</v>
      </c>
      <c r="I6" s="3">
        <v>117</v>
      </c>
      <c r="J6" s="3">
        <v>458</v>
      </c>
      <c r="K6" s="3">
        <v>1471</v>
      </c>
      <c r="L6" s="3">
        <v>256</v>
      </c>
      <c r="M6" s="3">
        <v>584</v>
      </c>
      <c r="N6" s="9"/>
    </row>
    <row r="7" spans="1:14" x14ac:dyDescent="0.25">
      <c r="A7" s="3" t="s">
        <v>27</v>
      </c>
      <c r="B7" s="3">
        <v>588</v>
      </c>
      <c r="C7" s="3">
        <v>542</v>
      </c>
      <c r="D7" s="3">
        <v>386</v>
      </c>
      <c r="E7" s="3">
        <v>68</v>
      </c>
      <c r="F7" s="3">
        <v>532</v>
      </c>
      <c r="G7" s="3">
        <v>1146</v>
      </c>
      <c r="H7" s="3">
        <v>226</v>
      </c>
      <c r="I7" s="3">
        <v>55</v>
      </c>
      <c r="J7" s="3">
        <v>328</v>
      </c>
      <c r="K7" s="3">
        <v>980</v>
      </c>
      <c r="L7" s="3">
        <v>168</v>
      </c>
      <c r="M7" s="3">
        <v>394</v>
      </c>
      <c r="N7" s="9"/>
    </row>
    <row r="8" spans="1:14" x14ac:dyDescent="0.25">
      <c r="A8" s="3" t="s">
        <v>28</v>
      </c>
      <c r="B8" s="3">
        <v>473</v>
      </c>
      <c r="C8" s="3">
        <v>503</v>
      </c>
      <c r="D8" s="3">
        <v>235</v>
      </c>
      <c r="E8" s="3">
        <v>55</v>
      </c>
      <c r="F8" s="3">
        <v>551</v>
      </c>
      <c r="G8" s="3">
        <v>993</v>
      </c>
      <c r="H8" s="3">
        <v>146</v>
      </c>
      <c r="I8" s="3">
        <v>53</v>
      </c>
      <c r="J8" s="3">
        <v>261</v>
      </c>
      <c r="K8" s="3">
        <v>671</v>
      </c>
      <c r="L8" s="3">
        <v>101</v>
      </c>
      <c r="M8" s="3">
        <v>273</v>
      </c>
      <c r="N8" s="9"/>
    </row>
    <row r="9" spans="1:14" x14ac:dyDescent="0.25">
      <c r="A9" s="3" t="s">
        <v>29</v>
      </c>
      <c r="B9" s="3">
        <v>452</v>
      </c>
      <c r="C9" s="3">
        <v>489</v>
      </c>
      <c r="D9" s="3">
        <v>271</v>
      </c>
      <c r="E9" s="3">
        <v>47</v>
      </c>
      <c r="F9" s="3">
        <v>503</v>
      </c>
      <c r="G9" s="3">
        <v>855</v>
      </c>
      <c r="H9" s="3">
        <v>124</v>
      </c>
      <c r="I9" s="3">
        <v>59</v>
      </c>
      <c r="J9" s="3">
        <v>235</v>
      </c>
      <c r="K9" s="3">
        <v>559</v>
      </c>
      <c r="L9" s="3">
        <v>111</v>
      </c>
      <c r="M9" s="3">
        <v>268</v>
      </c>
      <c r="N9" s="9"/>
    </row>
    <row r="10" spans="1:14" x14ac:dyDescent="0.25">
      <c r="A10" s="3" t="s">
        <v>30</v>
      </c>
      <c r="B10" s="3">
        <v>360</v>
      </c>
      <c r="C10" s="3">
        <v>417</v>
      </c>
      <c r="D10" s="3">
        <v>236</v>
      </c>
      <c r="E10" s="3">
        <v>37</v>
      </c>
      <c r="F10" s="3">
        <v>353</v>
      </c>
      <c r="G10" s="3">
        <v>686</v>
      </c>
      <c r="H10" s="3">
        <v>124</v>
      </c>
      <c r="I10" s="3">
        <v>55</v>
      </c>
      <c r="J10" s="3">
        <v>182</v>
      </c>
      <c r="K10" s="3">
        <v>497</v>
      </c>
      <c r="L10" s="3">
        <v>112</v>
      </c>
      <c r="M10" s="3">
        <v>210</v>
      </c>
      <c r="N10" s="9"/>
    </row>
    <row r="11" spans="1:14" x14ac:dyDescent="0.25">
      <c r="A11" s="3" t="s">
        <v>31</v>
      </c>
      <c r="B11" s="3">
        <v>361</v>
      </c>
      <c r="C11" s="3">
        <v>338</v>
      </c>
      <c r="D11" s="3">
        <v>194</v>
      </c>
      <c r="E11" s="3">
        <v>31</v>
      </c>
      <c r="F11" s="3">
        <v>306</v>
      </c>
      <c r="G11" s="3">
        <v>586</v>
      </c>
      <c r="H11" s="3">
        <v>100</v>
      </c>
      <c r="I11" s="3">
        <v>41</v>
      </c>
      <c r="J11" s="3">
        <v>108</v>
      </c>
      <c r="K11" s="3">
        <v>437</v>
      </c>
      <c r="L11" s="3">
        <v>97</v>
      </c>
      <c r="M11" s="3">
        <v>191</v>
      </c>
      <c r="N11" s="9"/>
    </row>
    <row r="12" spans="1:14" x14ac:dyDescent="0.25">
      <c r="A12" s="3" t="s">
        <v>32</v>
      </c>
      <c r="B12" s="3">
        <v>336</v>
      </c>
      <c r="C12" s="3">
        <v>308</v>
      </c>
      <c r="D12" s="3">
        <v>195</v>
      </c>
      <c r="E12" s="3">
        <v>35</v>
      </c>
      <c r="F12" s="3">
        <v>256</v>
      </c>
      <c r="G12" s="3">
        <v>510</v>
      </c>
      <c r="H12" s="3">
        <v>73</v>
      </c>
      <c r="I12" s="3">
        <v>40</v>
      </c>
      <c r="J12" s="3">
        <v>112</v>
      </c>
      <c r="K12" s="3">
        <v>420</v>
      </c>
      <c r="L12" s="3">
        <v>93</v>
      </c>
      <c r="M12" s="3">
        <v>165</v>
      </c>
      <c r="N12" s="9"/>
    </row>
    <row r="13" spans="1:14" x14ac:dyDescent="0.25">
      <c r="A13" s="3" t="s">
        <v>33</v>
      </c>
      <c r="B13" s="3">
        <v>290</v>
      </c>
      <c r="C13" s="3">
        <v>268</v>
      </c>
      <c r="D13" s="3">
        <v>199</v>
      </c>
      <c r="E13" s="3">
        <v>47</v>
      </c>
      <c r="F13" s="3">
        <v>225</v>
      </c>
      <c r="G13" s="3">
        <v>522</v>
      </c>
      <c r="H13" s="3">
        <v>99</v>
      </c>
      <c r="I13" s="3">
        <v>38</v>
      </c>
      <c r="J13" s="3">
        <v>134</v>
      </c>
      <c r="K13" s="3">
        <v>368</v>
      </c>
      <c r="L13" s="3">
        <v>81</v>
      </c>
      <c r="M13" s="3">
        <v>181</v>
      </c>
      <c r="N13" s="9"/>
    </row>
    <row r="14" spans="1:14" x14ac:dyDescent="0.25">
      <c r="A14" s="3" t="s">
        <v>34</v>
      </c>
      <c r="B14" s="3">
        <v>300</v>
      </c>
      <c r="C14" s="3">
        <v>232</v>
      </c>
      <c r="D14" s="3">
        <v>175</v>
      </c>
      <c r="E14" s="3">
        <v>36</v>
      </c>
      <c r="F14" s="3">
        <v>203</v>
      </c>
      <c r="G14" s="3">
        <v>424</v>
      </c>
      <c r="H14" s="3">
        <v>107</v>
      </c>
      <c r="I14" s="3">
        <v>41</v>
      </c>
      <c r="J14" s="3">
        <v>165</v>
      </c>
      <c r="K14" s="3">
        <v>336</v>
      </c>
      <c r="L14" s="3">
        <v>85</v>
      </c>
      <c r="M14" s="3">
        <v>179</v>
      </c>
      <c r="N14" s="9"/>
    </row>
    <row r="15" spans="1:14" x14ac:dyDescent="0.25">
      <c r="A15" s="3" t="s">
        <v>35</v>
      </c>
      <c r="B15" s="3">
        <v>213</v>
      </c>
      <c r="C15" s="3">
        <v>191</v>
      </c>
      <c r="D15" s="3">
        <v>153</v>
      </c>
      <c r="E15" s="3">
        <v>50</v>
      </c>
      <c r="F15" s="3">
        <v>183</v>
      </c>
      <c r="G15" s="3">
        <v>294</v>
      </c>
      <c r="H15" s="3">
        <v>87</v>
      </c>
      <c r="I15" s="3">
        <v>28</v>
      </c>
      <c r="J15" s="3">
        <v>109</v>
      </c>
      <c r="K15" s="3">
        <v>217</v>
      </c>
      <c r="L15" s="3">
        <v>78</v>
      </c>
      <c r="M15" s="3">
        <v>144</v>
      </c>
      <c r="N15" s="9"/>
    </row>
    <row r="16" spans="1:14" x14ac:dyDescent="0.25">
      <c r="A16" s="3" t="s">
        <v>36</v>
      </c>
      <c r="B16" s="3">
        <v>205</v>
      </c>
      <c r="C16" s="3">
        <v>164</v>
      </c>
      <c r="D16" s="3">
        <v>161</v>
      </c>
      <c r="E16" s="3">
        <v>28</v>
      </c>
      <c r="F16" s="3">
        <v>159</v>
      </c>
      <c r="G16" s="3">
        <v>306</v>
      </c>
      <c r="H16" s="3">
        <v>96</v>
      </c>
      <c r="I16" s="3">
        <v>39</v>
      </c>
      <c r="J16" s="3">
        <v>102</v>
      </c>
      <c r="K16" s="3">
        <v>228</v>
      </c>
      <c r="L16" s="3">
        <v>56</v>
      </c>
      <c r="M16" s="3">
        <v>122</v>
      </c>
      <c r="N16" s="9"/>
    </row>
    <row r="17" spans="1:14" x14ac:dyDescent="0.25">
      <c r="A17" s="3" t="s">
        <v>37</v>
      </c>
      <c r="B17" s="3">
        <v>119</v>
      </c>
      <c r="C17" s="3">
        <v>132</v>
      </c>
      <c r="D17" s="3">
        <v>104</v>
      </c>
      <c r="E17" s="3">
        <v>22</v>
      </c>
      <c r="F17" s="3">
        <v>121</v>
      </c>
      <c r="G17" s="3">
        <v>247</v>
      </c>
      <c r="H17" s="3">
        <v>60</v>
      </c>
      <c r="I17" s="3">
        <v>25</v>
      </c>
      <c r="J17" s="3">
        <v>77</v>
      </c>
      <c r="K17" s="3">
        <v>177</v>
      </c>
      <c r="L17" s="3">
        <v>50</v>
      </c>
      <c r="M17" s="3">
        <v>105</v>
      </c>
      <c r="N17" s="9"/>
    </row>
    <row r="18" spans="1:14" x14ac:dyDescent="0.25">
      <c r="A18" s="3" t="s">
        <v>38</v>
      </c>
      <c r="B18" s="3">
        <v>138</v>
      </c>
      <c r="C18" s="3">
        <v>109</v>
      </c>
      <c r="D18" s="3">
        <v>117</v>
      </c>
      <c r="E18" s="3">
        <v>31</v>
      </c>
      <c r="F18" s="3">
        <v>69</v>
      </c>
      <c r="G18" s="3">
        <v>203</v>
      </c>
      <c r="H18" s="3">
        <v>41</v>
      </c>
      <c r="I18" s="3">
        <v>34</v>
      </c>
      <c r="J18" s="3">
        <v>76</v>
      </c>
      <c r="K18" s="3">
        <v>152</v>
      </c>
      <c r="L18" s="3">
        <v>62</v>
      </c>
      <c r="M18" s="3">
        <v>94</v>
      </c>
      <c r="N18" s="9"/>
    </row>
    <row r="19" spans="1:14" x14ac:dyDescent="0.25">
      <c r="A19" s="3" t="s">
        <v>39</v>
      </c>
      <c r="B19" s="3">
        <v>73</v>
      </c>
      <c r="C19" s="3">
        <v>65</v>
      </c>
      <c r="D19" s="3">
        <v>66</v>
      </c>
      <c r="E19" s="3">
        <v>13</v>
      </c>
      <c r="F19" s="3">
        <v>45</v>
      </c>
      <c r="G19" s="3">
        <v>127</v>
      </c>
      <c r="H19" s="3">
        <v>34</v>
      </c>
      <c r="I19" s="3">
        <v>7</v>
      </c>
      <c r="J19" s="3">
        <v>27</v>
      </c>
      <c r="K19" s="3">
        <v>80</v>
      </c>
      <c r="L19" s="3">
        <v>25</v>
      </c>
      <c r="M19" s="3">
        <v>59</v>
      </c>
      <c r="N19" s="9"/>
    </row>
    <row r="20" spans="1:14" x14ac:dyDescent="0.25">
      <c r="A20" s="3" t="s">
        <v>48</v>
      </c>
      <c r="B20" s="3">
        <v>96</v>
      </c>
      <c r="C20" s="3">
        <v>118</v>
      </c>
      <c r="D20" s="3">
        <v>97</v>
      </c>
      <c r="E20" s="3">
        <v>27</v>
      </c>
      <c r="F20" s="3">
        <v>88</v>
      </c>
      <c r="G20" s="3">
        <v>168</v>
      </c>
      <c r="H20" s="3">
        <v>54</v>
      </c>
      <c r="I20" s="3">
        <v>18</v>
      </c>
      <c r="J20" s="3">
        <v>38</v>
      </c>
      <c r="K20" s="3">
        <v>98</v>
      </c>
      <c r="L20" s="3">
        <v>31</v>
      </c>
      <c r="M20" s="3">
        <v>84</v>
      </c>
      <c r="N20" s="9"/>
    </row>
    <row r="21" spans="1:14" x14ac:dyDescent="0.25">
      <c r="A21" s="3" t="s">
        <v>1</v>
      </c>
      <c r="B21" s="3">
        <v>7556</v>
      </c>
      <c r="C21" s="3">
        <v>7432</v>
      </c>
      <c r="D21" s="3">
        <v>4583</v>
      </c>
      <c r="E21" s="3">
        <v>978</v>
      </c>
      <c r="F21" s="3">
        <v>7108</v>
      </c>
      <c r="G21" s="3">
        <v>12918</v>
      </c>
      <c r="H21" s="3">
        <v>2317</v>
      </c>
      <c r="I21" s="3">
        <v>955</v>
      </c>
      <c r="J21" s="3">
        <v>3577</v>
      </c>
      <c r="K21" s="3">
        <v>9928</v>
      </c>
      <c r="L21" s="3">
        <v>2016</v>
      </c>
      <c r="M21" s="3">
        <v>4430</v>
      </c>
      <c r="N21" s="9"/>
    </row>
    <row r="24" spans="1:14" x14ac:dyDescent="0.25">
      <c r="A24" t="s">
        <v>9</v>
      </c>
      <c r="B24" t="s">
        <v>10</v>
      </c>
    </row>
    <row r="26" spans="1:14" x14ac:dyDescent="0.25">
      <c r="A26" s="17" t="s">
        <v>15</v>
      </c>
      <c r="B26" s="17" t="s">
        <v>10</v>
      </c>
      <c r="C26" s="17" t="s">
        <v>11</v>
      </c>
      <c r="D26" s="17" t="s">
        <v>12</v>
      </c>
      <c r="E26" s="17" t="s">
        <v>13</v>
      </c>
      <c r="F26" s="17" t="s">
        <v>14</v>
      </c>
      <c r="G26" s="17" t="s">
        <v>43</v>
      </c>
      <c r="J26" s="14" t="s">
        <v>18</v>
      </c>
      <c r="K26" s="15"/>
      <c r="L26" s="16"/>
    </row>
    <row r="27" spans="1:14" x14ac:dyDescent="0.25">
      <c r="A27" s="3" t="s">
        <v>24</v>
      </c>
      <c r="B27" s="3">
        <v>710</v>
      </c>
      <c r="C27" s="3">
        <v>1512</v>
      </c>
      <c r="D27" s="3">
        <v>1459</v>
      </c>
      <c r="E27" s="3">
        <v>1317</v>
      </c>
      <c r="F27" s="3">
        <v>426</v>
      </c>
      <c r="G27" s="9"/>
      <c r="J27" s="17" t="s">
        <v>19</v>
      </c>
      <c r="K27" s="17" t="s">
        <v>20</v>
      </c>
      <c r="L27" s="17" t="s">
        <v>21</v>
      </c>
    </row>
    <row r="28" spans="1:14" x14ac:dyDescent="0.25">
      <c r="A28" s="3" t="s">
        <v>25</v>
      </c>
      <c r="B28" s="3">
        <v>679</v>
      </c>
      <c r="C28" s="3">
        <v>1577</v>
      </c>
      <c r="D28" s="3">
        <v>1483</v>
      </c>
      <c r="E28" s="3">
        <v>1245</v>
      </c>
      <c r="F28" s="3">
        <v>425</v>
      </c>
      <c r="G28" s="9"/>
      <c r="J28" s="1526" t="s">
        <v>0</v>
      </c>
      <c r="K28" s="1" t="s">
        <v>40</v>
      </c>
      <c r="L28" s="9">
        <f>B21</f>
        <v>7556</v>
      </c>
    </row>
    <row r="29" spans="1:14" x14ac:dyDescent="0.25">
      <c r="A29" s="3" t="s">
        <v>26</v>
      </c>
      <c r="B29" s="3">
        <v>748</v>
      </c>
      <c r="C29" s="3">
        <v>1408</v>
      </c>
      <c r="D29" s="3">
        <v>1186</v>
      </c>
      <c r="E29" s="3">
        <v>1072</v>
      </c>
      <c r="F29" s="3">
        <v>353</v>
      </c>
      <c r="G29" s="9"/>
      <c r="J29" s="1526"/>
      <c r="K29" s="1" t="s">
        <v>41</v>
      </c>
      <c r="L29" s="9">
        <f>C21</f>
        <v>7432</v>
      </c>
    </row>
    <row r="30" spans="1:14" x14ac:dyDescent="0.25">
      <c r="A30" s="3" t="s">
        <v>27</v>
      </c>
      <c r="B30" s="3">
        <v>499</v>
      </c>
      <c r="C30" s="3">
        <v>1000</v>
      </c>
      <c r="D30" s="3">
        <v>711</v>
      </c>
      <c r="E30" s="3">
        <v>612</v>
      </c>
      <c r="F30" s="3">
        <v>203</v>
      </c>
      <c r="G30" s="9"/>
      <c r="J30" s="1526"/>
      <c r="K30" s="1" t="s">
        <v>2</v>
      </c>
      <c r="L30" s="9">
        <f>D21</f>
        <v>4583</v>
      </c>
    </row>
    <row r="31" spans="1:14" x14ac:dyDescent="0.25">
      <c r="A31" s="3" t="s">
        <v>28</v>
      </c>
      <c r="B31" s="3">
        <v>318</v>
      </c>
      <c r="C31" s="3">
        <v>689</v>
      </c>
      <c r="D31" s="3">
        <v>524</v>
      </c>
      <c r="E31" s="3">
        <v>449</v>
      </c>
      <c r="F31" s="3">
        <v>189</v>
      </c>
      <c r="G31" s="9"/>
      <c r="J31" s="1526"/>
      <c r="K31" s="1" t="s">
        <v>3</v>
      </c>
      <c r="L31" s="9">
        <f>E21</f>
        <v>978</v>
      </c>
    </row>
    <row r="32" spans="1:14" x14ac:dyDescent="0.25">
      <c r="A32" s="3" t="s">
        <v>29</v>
      </c>
      <c r="B32" s="3">
        <v>313</v>
      </c>
      <c r="C32" s="3">
        <v>629</v>
      </c>
      <c r="D32" s="3">
        <v>555</v>
      </c>
      <c r="E32" s="3">
        <v>405</v>
      </c>
      <c r="F32" s="3">
        <v>158</v>
      </c>
      <c r="G32" s="9"/>
      <c r="J32" s="1526"/>
      <c r="K32" s="1" t="s">
        <v>42</v>
      </c>
      <c r="L32" s="9">
        <f>F21</f>
        <v>7108</v>
      </c>
    </row>
    <row r="33" spans="1:12" x14ac:dyDescent="0.25">
      <c r="A33" s="3" t="s">
        <v>30</v>
      </c>
      <c r="B33" s="3">
        <v>257</v>
      </c>
      <c r="C33" s="3">
        <v>493</v>
      </c>
      <c r="D33" s="3">
        <v>462</v>
      </c>
      <c r="E33" s="3">
        <v>345</v>
      </c>
      <c r="F33" s="3">
        <v>119</v>
      </c>
      <c r="G33" s="9"/>
      <c r="J33" s="1526"/>
      <c r="K33" s="1" t="s">
        <v>4</v>
      </c>
      <c r="L33" s="9">
        <f>G21</f>
        <v>12918</v>
      </c>
    </row>
    <row r="34" spans="1:12" x14ac:dyDescent="0.25">
      <c r="A34" s="3" t="s">
        <v>31</v>
      </c>
      <c r="B34" s="3">
        <v>204</v>
      </c>
      <c r="C34" s="3">
        <v>421</v>
      </c>
      <c r="D34" s="3">
        <v>383</v>
      </c>
      <c r="E34" s="3">
        <v>288</v>
      </c>
      <c r="F34" s="3">
        <v>96</v>
      </c>
      <c r="G34" s="9"/>
      <c r="J34" s="1526"/>
      <c r="K34" s="1" t="s">
        <v>5</v>
      </c>
      <c r="L34" s="9">
        <f>H21</f>
        <v>2317</v>
      </c>
    </row>
    <row r="35" spans="1:12" x14ac:dyDescent="0.25">
      <c r="A35" s="3" t="s">
        <v>32</v>
      </c>
      <c r="B35" s="3">
        <v>194</v>
      </c>
      <c r="C35" s="3">
        <v>413</v>
      </c>
      <c r="D35" s="3">
        <v>345</v>
      </c>
      <c r="E35" s="3">
        <v>345</v>
      </c>
      <c r="F35" s="3">
        <v>85</v>
      </c>
      <c r="G35" s="9"/>
      <c r="J35" s="1526"/>
      <c r="K35" s="1" t="s">
        <v>6</v>
      </c>
      <c r="L35" s="9">
        <f>I21</f>
        <v>955</v>
      </c>
    </row>
    <row r="36" spans="1:12" x14ac:dyDescent="0.25">
      <c r="A36" s="3" t="s">
        <v>33</v>
      </c>
      <c r="B36" s="3">
        <v>199</v>
      </c>
      <c r="C36" s="3">
        <v>323</v>
      </c>
      <c r="D36" s="3">
        <v>317</v>
      </c>
      <c r="E36" s="3">
        <v>270</v>
      </c>
      <c r="F36" s="3">
        <v>99</v>
      </c>
      <c r="G36" s="9"/>
      <c r="J36" s="1526"/>
      <c r="K36" s="1" t="s">
        <v>16</v>
      </c>
      <c r="L36" s="9">
        <f>J21</f>
        <v>3577</v>
      </c>
    </row>
    <row r="37" spans="1:12" x14ac:dyDescent="0.25">
      <c r="A37" s="3" t="s">
        <v>34</v>
      </c>
      <c r="B37" s="3">
        <v>206</v>
      </c>
      <c r="C37" s="3">
        <v>312</v>
      </c>
      <c r="D37" s="3">
        <v>327</v>
      </c>
      <c r="E37" s="3">
        <v>235</v>
      </c>
      <c r="F37" s="3">
        <v>97</v>
      </c>
      <c r="G37" s="9"/>
      <c r="J37" s="1526"/>
      <c r="K37" s="1" t="s">
        <v>17</v>
      </c>
      <c r="L37" s="9">
        <f>K21</f>
        <v>9928</v>
      </c>
    </row>
    <row r="38" spans="1:12" x14ac:dyDescent="0.25">
      <c r="A38" s="3" t="s">
        <v>35</v>
      </c>
      <c r="B38" s="3">
        <v>123</v>
      </c>
      <c r="C38" s="3">
        <v>265</v>
      </c>
      <c r="D38" s="3">
        <v>246</v>
      </c>
      <c r="E38" s="3">
        <v>167</v>
      </c>
      <c r="F38" s="3">
        <v>80</v>
      </c>
      <c r="G38" s="9"/>
      <c r="J38" s="1526"/>
      <c r="K38" s="1" t="s">
        <v>7</v>
      </c>
      <c r="L38" s="9">
        <f>L21</f>
        <v>2016</v>
      </c>
    </row>
    <row r="39" spans="1:12" x14ac:dyDescent="0.25">
      <c r="A39" s="3" t="s">
        <v>36</v>
      </c>
      <c r="B39" s="3">
        <v>127</v>
      </c>
      <c r="C39" s="3">
        <v>243</v>
      </c>
      <c r="D39" s="3">
        <v>280</v>
      </c>
      <c r="E39" s="3">
        <v>181</v>
      </c>
      <c r="F39" s="3">
        <v>84</v>
      </c>
      <c r="G39" s="9"/>
      <c r="J39" s="1526"/>
      <c r="K39" s="1" t="s">
        <v>8</v>
      </c>
      <c r="L39" s="9">
        <f>M21</f>
        <v>4430</v>
      </c>
    </row>
    <row r="40" spans="1:12" x14ac:dyDescent="0.25">
      <c r="A40" s="3" t="s">
        <v>37</v>
      </c>
      <c r="B40" s="3">
        <v>82</v>
      </c>
      <c r="C40" s="3">
        <v>138</v>
      </c>
      <c r="D40" s="3">
        <v>165</v>
      </c>
      <c r="E40" s="3">
        <v>116</v>
      </c>
      <c r="F40" s="3">
        <v>59</v>
      </c>
      <c r="G40" s="9"/>
      <c r="J40" s="1526"/>
      <c r="K40" s="1" t="s">
        <v>49</v>
      </c>
      <c r="L40" s="9"/>
    </row>
    <row r="41" spans="1:12" x14ac:dyDescent="0.25">
      <c r="A41" s="3" t="s">
        <v>38</v>
      </c>
      <c r="B41" s="3">
        <v>99</v>
      </c>
      <c r="C41" s="3">
        <v>116</v>
      </c>
      <c r="D41" s="3">
        <v>166</v>
      </c>
      <c r="E41" s="3">
        <v>102</v>
      </c>
      <c r="F41" s="3">
        <v>46</v>
      </c>
      <c r="G41" s="9"/>
      <c r="J41" s="5"/>
      <c r="K41" s="5"/>
      <c r="L41" s="5"/>
    </row>
    <row r="42" spans="1:12" x14ac:dyDescent="0.25">
      <c r="A42" s="3" t="s">
        <v>39</v>
      </c>
      <c r="B42" s="3">
        <v>63</v>
      </c>
      <c r="C42" s="3">
        <v>72</v>
      </c>
      <c r="D42" s="3">
        <v>102</v>
      </c>
      <c r="E42" s="3">
        <v>58</v>
      </c>
      <c r="F42" s="3">
        <v>31</v>
      </c>
      <c r="G42" s="9"/>
      <c r="J42" s="5"/>
      <c r="K42" s="5"/>
      <c r="L42" s="5"/>
    </row>
    <row r="43" spans="1:12" x14ac:dyDescent="0.25">
      <c r="A43" s="3" t="s">
        <v>48</v>
      </c>
      <c r="B43" s="3">
        <v>68</v>
      </c>
      <c r="C43" s="3">
        <v>129</v>
      </c>
      <c r="D43" s="3">
        <v>155</v>
      </c>
      <c r="E43" s="3">
        <v>85</v>
      </c>
      <c r="F43" s="3">
        <v>25</v>
      </c>
      <c r="G43" s="9"/>
      <c r="J43" s="10" t="s">
        <v>18</v>
      </c>
      <c r="K43" s="11"/>
      <c r="L43" s="12"/>
    </row>
    <row r="44" spans="1:12" x14ac:dyDescent="0.25">
      <c r="A44" s="3" t="s">
        <v>1</v>
      </c>
      <c r="B44" s="3">
        <v>4889</v>
      </c>
      <c r="C44" s="3">
        <v>9740</v>
      </c>
      <c r="D44" s="3">
        <v>8866</v>
      </c>
      <c r="E44" s="3">
        <v>7292</v>
      </c>
      <c r="F44" s="3">
        <v>2575</v>
      </c>
      <c r="G44" s="9"/>
      <c r="J44" s="8" t="s">
        <v>19</v>
      </c>
      <c r="K44" s="8" t="s">
        <v>20</v>
      </c>
      <c r="L44" s="8" t="s">
        <v>22</v>
      </c>
    </row>
    <row r="45" spans="1:12" x14ac:dyDescent="0.25">
      <c r="J45" s="1520" t="s">
        <v>10</v>
      </c>
      <c r="K45" s="1" t="s">
        <v>10</v>
      </c>
      <c r="L45" s="9">
        <f>B44</f>
        <v>4889</v>
      </c>
    </row>
    <row r="46" spans="1:12" x14ac:dyDescent="0.25">
      <c r="J46" s="1521"/>
      <c r="K46" s="1" t="s">
        <v>11</v>
      </c>
      <c r="L46" s="9">
        <f>C44</f>
        <v>9740</v>
      </c>
    </row>
    <row r="47" spans="1:12" x14ac:dyDescent="0.25">
      <c r="J47" s="1521"/>
      <c r="K47" s="1" t="s">
        <v>12</v>
      </c>
      <c r="L47" s="9">
        <f>D44</f>
        <v>8866</v>
      </c>
    </row>
    <row r="48" spans="1:12" x14ac:dyDescent="0.25">
      <c r="J48" s="1521"/>
      <c r="K48" s="1" t="s">
        <v>13</v>
      </c>
      <c r="L48" s="9">
        <f>E44</f>
        <v>7292</v>
      </c>
    </row>
    <row r="49" spans="10:12" x14ac:dyDescent="0.25">
      <c r="J49" s="1521"/>
      <c r="K49" s="1" t="s">
        <v>14</v>
      </c>
      <c r="L49" s="9">
        <f>F44</f>
        <v>2575</v>
      </c>
    </row>
    <row r="50" spans="10:12" x14ac:dyDescent="0.25">
      <c r="J50" s="1522"/>
      <c r="K50" s="1" t="s">
        <v>43</v>
      </c>
      <c r="L50" s="9"/>
    </row>
  </sheetData>
  <mergeCells count="2">
    <mergeCell ref="J45:J50"/>
    <mergeCell ref="J28:J4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249977111117893"/>
  </sheetPr>
  <dimension ref="B4:G18"/>
  <sheetViews>
    <sheetView view="pageBreakPreview" zoomScale="80" zoomScaleNormal="100" zoomScaleSheetLayoutView="80" workbookViewId="0">
      <selection activeCell="F18" sqref="F18"/>
    </sheetView>
  </sheetViews>
  <sheetFormatPr baseColWidth="10" defaultRowHeight="12.75" x14ac:dyDescent="0.25"/>
  <cols>
    <col min="1" max="1" width="11.42578125" style="222"/>
    <col min="2" max="2" width="5.140625" style="222" customWidth="1"/>
    <col min="3" max="3" width="28.28515625" style="222" customWidth="1"/>
    <col min="4" max="4" width="12.85546875" style="222" bestFit="1" customWidth="1"/>
    <col min="5" max="16384" width="11.42578125" style="222"/>
  </cols>
  <sheetData>
    <row r="4" spans="2:7" x14ac:dyDescent="0.25">
      <c r="B4" s="389" t="s">
        <v>1239</v>
      </c>
    </row>
    <row r="7" spans="2:7" x14ac:dyDescent="0.25">
      <c r="B7" s="432" t="s">
        <v>398</v>
      </c>
      <c r="C7" s="432" t="s">
        <v>649</v>
      </c>
      <c r="D7" s="432" t="s">
        <v>801</v>
      </c>
    </row>
    <row r="8" spans="2:7" x14ac:dyDescent="0.25">
      <c r="B8" s="356">
        <v>1</v>
      </c>
      <c r="C8" s="357" t="s">
        <v>798</v>
      </c>
      <c r="D8" s="437">
        <v>16000</v>
      </c>
    </row>
    <row r="9" spans="2:7" x14ac:dyDescent="0.25">
      <c r="B9" s="356">
        <v>2</v>
      </c>
      <c r="C9" s="357" t="s">
        <v>1066</v>
      </c>
      <c r="D9" s="437">
        <v>15000</v>
      </c>
    </row>
    <row r="10" spans="2:7" x14ac:dyDescent="0.25">
      <c r="B10" s="356">
        <v>3</v>
      </c>
      <c r="C10" s="357" t="s">
        <v>1068</v>
      </c>
      <c r="D10" s="437">
        <v>10000</v>
      </c>
    </row>
    <row r="11" spans="2:7" x14ac:dyDescent="0.25">
      <c r="B11" s="356">
        <v>4</v>
      </c>
      <c r="C11" s="357" t="s">
        <v>1067</v>
      </c>
      <c r="D11" s="437">
        <v>5000</v>
      </c>
    </row>
    <row r="12" spans="2:7" ht="25.5" x14ac:dyDescent="0.25">
      <c r="B12" s="356">
        <v>5</v>
      </c>
      <c r="C12" s="357" t="s">
        <v>799</v>
      </c>
      <c r="D12" s="437">
        <f>+F12+G12</f>
        <v>216607.38699999999</v>
      </c>
      <c r="E12" s="251"/>
      <c r="F12" s="222">
        <v>206607.38699999999</v>
      </c>
      <c r="G12" s="222">
        <v>10000</v>
      </c>
    </row>
    <row r="13" spans="2:7" x14ac:dyDescent="0.25">
      <c r="B13" s="356">
        <v>6</v>
      </c>
      <c r="C13" s="357" t="s">
        <v>800</v>
      </c>
      <c r="D13" s="437">
        <f>+F13+G13</f>
        <v>128134.06325196289</v>
      </c>
      <c r="E13" s="251"/>
      <c r="F13" s="222">
        <v>123134.06325196289</v>
      </c>
      <c r="G13" s="222">
        <v>5000</v>
      </c>
    </row>
    <row r="14" spans="2:7" ht="25.5" x14ac:dyDescent="0.25">
      <c r="B14" s="356">
        <v>7</v>
      </c>
      <c r="C14" s="357" t="s">
        <v>1217</v>
      </c>
      <c r="D14" s="437">
        <v>15000</v>
      </c>
    </row>
    <row r="15" spans="2:7" ht="26.25" customHeight="1" x14ac:dyDescent="0.25">
      <c r="B15" s="356">
        <v>8</v>
      </c>
      <c r="C15" s="357" t="s">
        <v>1218</v>
      </c>
      <c r="D15" s="437">
        <v>15000</v>
      </c>
    </row>
    <row r="16" spans="2:7" x14ac:dyDescent="0.25">
      <c r="B16" s="356">
        <v>9</v>
      </c>
      <c r="C16" s="357" t="s">
        <v>802</v>
      </c>
      <c r="D16" s="437">
        <v>20000</v>
      </c>
    </row>
    <row r="17" spans="2:4" x14ac:dyDescent="0.25">
      <c r="B17" s="356">
        <v>10</v>
      </c>
      <c r="C17" s="357" t="s">
        <v>803</v>
      </c>
      <c r="D17" s="437">
        <v>5000</v>
      </c>
    </row>
    <row r="18" spans="2:4" ht="15" customHeight="1" x14ac:dyDescent="0.25">
      <c r="B18" s="1768" t="s">
        <v>44</v>
      </c>
      <c r="C18" s="1768"/>
      <c r="D18" s="438">
        <f>SUM(D8:D17)</f>
        <v>445741.45025196287</v>
      </c>
    </row>
  </sheetData>
  <mergeCells count="1">
    <mergeCell ref="B18:C18"/>
  </mergeCell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249977111117893"/>
  </sheetPr>
  <dimension ref="A1:J227"/>
  <sheetViews>
    <sheetView view="pageBreakPreview" zoomScale="80" zoomScaleNormal="100" zoomScaleSheetLayoutView="80" workbookViewId="0">
      <selection activeCell="B224" sqref="B224:F224"/>
    </sheetView>
  </sheetViews>
  <sheetFormatPr baseColWidth="10" defaultRowHeight="12.75" x14ac:dyDescent="0.25"/>
  <cols>
    <col min="1" max="1" width="11.42578125" style="222"/>
    <col min="2" max="2" width="8.42578125" style="261" customWidth="1"/>
    <col min="3" max="3" width="34.7109375" style="261" customWidth="1"/>
    <col min="4" max="9" width="11.42578125" style="261"/>
    <col min="10" max="16384" width="11.42578125" style="222"/>
  </cols>
  <sheetData>
    <row r="1" spans="1:10" x14ac:dyDescent="0.25">
      <c r="A1" s="532"/>
      <c r="B1" s="1777" t="s">
        <v>1240</v>
      </c>
      <c r="C1" s="1778"/>
      <c r="D1" s="1778"/>
      <c r="E1" s="1778"/>
      <c r="F1" s="1778"/>
      <c r="G1" s="1778"/>
      <c r="H1" s="1778"/>
      <c r="I1" s="1778"/>
    </row>
    <row r="2" spans="1:10" x14ac:dyDescent="0.25">
      <c r="A2" s="532"/>
      <c r="B2" s="460"/>
      <c r="C2" s="461"/>
      <c r="D2" s="461"/>
      <c r="E2" s="462"/>
      <c r="F2" s="463"/>
      <c r="G2" s="463"/>
      <c r="H2" s="464"/>
      <c r="I2" s="465"/>
    </row>
    <row r="3" spans="1:10" x14ac:dyDescent="0.25">
      <c r="A3" s="532"/>
      <c r="B3" s="1779" t="s">
        <v>805</v>
      </c>
      <c r="C3" s="1779"/>
      <c r="D3" s="1779"/>
      <c r="E3" s="1779"/>
      <c r="F3" s="1779"/>
      <c r="G3" s="1779"/>
      <c r="H3" s="1779"/>
      <c r="I3" s="1779"/>
    </row>
    <row r="4" spans="1:10" x14ac:dyDescent="0.25">
      <c r="A4" s="532"/>
      <c r="B4" s="460"/>
      <c r="C4" s="461"/>
      <c r="D4" s="461"/>
      <c r="E4" s="462"/>
      <c r="F4" s="463"/>
      <c r="G4" s="463"/>
      <c r="H4" s="464"/>
      <c r="I4" s="465"/>
    </row>
    <row r="5" spans="1:10" x14ac:dyDescent="0.25">
      <c r="A5" s="532"/>
      <c r="B5" s="460"/>
      <c r="C5" s="461" t="s">
        <v>806</v>
      </c>
      <c r="D5" s="466" t="s">
        <v>807</v>
      </c>
      <c r="E5" s="465"/>
      <c r="F5" s="463"/>
      <c r="G5" s="463"/>
      <c r="H5" s="464"/>
      <c r="I5" s="464"/>
    </row>
    <row r="6" spans="1:10" x14ac:dyDescent="0.25">
      <c r="A6" s="532"/>
      <c r="B6" s="460"/>
      <c r="C6" s="461" t="s">
        <v>808</v>
      </c>
      <c r="D6" s="462"/>
      <c r="E6" s="465"/>
      <c r="F6" s="467"/>
      <c r="G6" s="467"/>
      <c r="H6" s="465"/>
      <c r="I6" s="466" t="s">
        <v>422</v>
      </c>
    </row>
    <row r="7" spans="1:10" x14ac:dyDescent="0.25">
      <c r="A7" s="532"/>
      <c r="B7" s="460"/>
      <c r="C7" s="461" t="s">
        <v>923</v>
      </c>
      <c r="D7" s="466"/>
      <c r="E7" s="465"/>
      <c r="F7" s="467"/>
      <c r="G7" s="467"/>
      <c r="H7" s="465"/>
      <c r="I7" s="466" t="s">
        <v>422</v>
      </c>
    </row>
    <row r="8" spans="1:10" x14ac:dyDescent="0.25">
      <c r="A8" s="532"/>
      <c r="B8" s="460"/>
      <c r="C8" s="461" t="s">
        <v>922</v>
      </c>
      <c r="D8" s="466" t="s">
        <v>669</v>
      </c>
      <c r="E8" s="465"/>
      <c r="F8" s="467"/>
      <c r="G8" s="467"/>
      <c r="H8" s="465"/>
      <c r="I8" s="466"/>
    </row>
    <row r="9" spans="1:10" x14ac:dyDescent="0.25">
      <c r="A9" s="532"/>
      <c r="B9" s="460"/>
      <c r="C9" s="461" t="s">
        <v>921</v>
      </c>
      <c r="D9" s="466" t="s">
        <v>669</v>
      </c>
      <c r="E9" s="465"/>
      <c r="F9" s="467"/>
      <c r="G9" s="467"/>
      <c r="H9" s="465"/>
      <c r="I9" s="465"/>
    </row>
    <row r="10" spans="1:10" ht="27.75" customHeight="1" x14ac:dyDescent="0.25">
      <c r="B10" s="496"/>
      <c r="C10" s="1780" t="s">
        <v>987</v>
      </c>
      <c r="D10" s="1780"/>
      <c r="E10" s="1780"/>
      <c r="F10" s="1780"/>
      <c r="G10" s="1780"/>
      <c r="H10" s="1780"/>
      <c r="I10" s="1780"/>
      <c r="J10" s="1780"/>
    </row>
    <row r="11" spans="1:10" x14ac:dyDescent="0.25">
      <c r="B11" s="496"/>
      <c r="C11" s="497"/>
      <c r="D11" s="623"/>
      <c r="E11" s="623"/>
      <c r="F11" s="623"/>
      <c r="G11" s="623"/>
      <c r="H11" s="623"/>
      <c r="I11" s="623"/>
    </row>
    <row r="12" spans="1:10" x14ac:dyDescent="0.25">
      <c r="B12" s="496"/>
      <c r="C12" s="497"/>
      <c r="D12" s="497"/>
      <c r="E12" s="500"/>
      <c r="F12" s="498"/>
      <c r="G12" s="501"/>
      <c r="H12" s="499"/>
      <c r="I12" s="499"/>
    </row>
    <row r="13" spans="1:10" x14ac:dyDescent="0.25">
      <c r="B13" s="494" t="s">
        <v>813</v>
      </c>
      <c r="C13" s="495" t="s">
        <v>814</v>
      </c>
      <c r="D13" s="490" t="s">
        <v>815</v>
      </c>
      <c r="E13" s="502"/>
      <c r="F13" s="502"/>
      <c r="G13" s="429"/>
      <c r="H13" s="503"/>
    </row>
    <row r="14" spans="1:10" x14ac:dyDescent="0.25">
      <c r="B14" s="491">
        <v>1</v>
      </c>
      <c r="C14" s="533" t="str">
        <f>C24</f>
        <v>REMUNERACIONES</v>
      </c>
      <c r="D14" s="536">
        <f>+I24</f>
        <v>106645.96875</v>
      </c>
      <c r="E14" s="504"/>
      <c r="F14" s="505"/>
      <c r="G14" s="429"/>
      <c r="H14" s="506"/>
    </row>
    <row r="15" spans="1:10" x14ac:dyDescent="0.25">
      <c r="B15" s="491">
        <v>2</v>
      </c>
      <c r="C15" s="533" t="str">
        <f>C134</f>
        <v>BIENES</v>
      </c>
      <c r="D15" s="536">
        <f>+I134</f>
        <v>15939</v>
      </c>
      <c r="E15" s="504"/>
      <c r="F15" s="505"/>
      <c r="G15" s="429"/>
      <c r="H15" s="506"/>
    </row>
    <row r="16" spans="1:10" x14ac:dyDescent="0.25">
      <c r="B16" s="491">
        <v>3</v>
      </c>
      <c r="C16" s="533" t="str">
        <f>C192</f>
        <v>SERVICIOS</v>
      </c>
      <c r="D16" s="536">
        <f>+I192</f>
        <v>48970</v>
      </c>
      <c r="E16" s="504"/>
      <c r="F16" s="505"/>
      <c r="G16" s="429"/>
      <c r="H16" s="506"/>
    </row>
    <row r="17" spans="2:9" x14ac:dyDescent="0.25">
      <c r="B17" s="1784" t="s">
        <v>820</v>
      </c>
      <c r="C17" s="1785"/>
      <c r="D17" s="543">
        <f>SUM(D14:H16)</f>
        <v>171554.96875</v>
      </c>
      <c r="E17" s="502"/>
      <c r="F17" s="502"/>
      <c r="G17" s="429"/>
      <c r="H17" s="507"/>
    </row>
    <row r="18" spans="2:9" x14ac:dyDescent="0.25">
      <c r="B18" s="496"/>
      <c r="C18" s="497"/>
      <c r="D18" s="497"/>
      <c r="E18" s="508"/>
      <c r="F18" s="504"/>
      <c r="G18" s="505"/>
      <c r="H18" s="509"/>
      <c r="I18" s="499"/>
    </row>
    <row r="19" spans="2:9" x14ac:dyDescent="0.25">
      <c r="B19" s="496"/>
      <c r="C19" s="497"/>
      <c r="D19" s="497"/>
      <c r="E19" s="500"/>
      <c r="F19" s="498"/>
      <c r="G19" s="501"/>
      <c r="H19" s="499"/>
      <c r="I19" s="499"/>
    </row>
    <row r="20" spans="2:9" x14ac:dyDescent="0.25">
      <c r="B20" s="1774" t="s">
        <v>804</v>
      </c>
      <c r="C20" s="1775"/>
      <c r="D20" s="1775"/>
      <c r="E20" s="1775"/>
      <c r="F20" s="1775"/>
      <c r="G20" s="1775"/>
      <c r="H20" s="1775"/>
      <c r="I20" s="1775"/>
    </row>
    <row r="21" spans="2:9" x14ac:dyDescent="0.25">
      <c r="B21" s="461"/>
      <c r="C21" s="468"/>
      <c r="D21" s="468"/>
      <c r="E21" s="468"/>
      <c r="F21" s="468"/>
      <c r="G21" s="468"/>
      <c r="H21" s="468"/>
      <c r="I21" s="468"/>
    </row>
    <row r="22" spans="2:9" x14ac:dyDescent="0.25">
      <c r="B22" s="1774" t="s">
        <v>821</v>
      </c>
      <c r="C22" s="1775"/>
      <c r="D22" s="1775"/>
      <c r="E22" s="1775"/>
      <c r="F22" s="1775"/>
      <c r="G22" s="1775"/>
      <c r="H22" s="1775"/>
      <c r="I22" s="1775"/>
    </row>
    <row r="23" spans="2:9" x14ac:dyDescent="0.25">
      <c r="B23" s="469"/>
      <c r="C23" s="470"/>
      <c r="D23" s="470"/>
      <c r="E23" s="471"/>
      <c r="F23" s="463"/>
      <c r="G23" s="463"/>
      <c r="H23" s="470"/>
      <c r="I23" s="532"/>
    </row>
    <row r="24" spans="2:9" x14ac:dyDescent="0.25">
      <c r="B24" s="439" t="s">
        <v>822</v>
      </c>
      <c r="C24" s="440" t="s">
        <v>823</v>
      </c>
      <c r="D24" s="440"/>
      <c r="E24" s="441"/>
      <c r="F24" s="442"/>
      <c r="G24" s="443"/>
      <c r="H24" s="444" t="s">
        <v>797</v>
      </c>
      <c r="I24" s="445">
        <f>+I26+I45+I80+I99</f>
        <v>106645.96875</v>
      </c>
    </row>
    <row r="25" spans="2:9" x14ac:dyDescent="0.25">
      <c r="B25" s="466"/>
      <c r="C25" s="464"/>
      <c r="D25" s="464"/>
      <c r="E25" s="472"/>
      <c r="F25" s="463"/>
      <c r="G25" s="463"/>
      <c r="H25" s="464"/>
      <c r="I25" s="464"/>
    </row>
    <row r="26" spans="2:9" x14ac:dyDescent="0.25">
      <c r="B26" s="446" t="s">
        <v>824</v>
      </c>
      <c r="C26" s="447" t="s">
        <v>825</v>
      </c>
      <c r="D26" s="447"/>
      <c r="E26" s="448"/>
      <c r="F26" s="449"/>
      <c r="G26" s="449"/>
      <c r="H26" s="450" t="s">
        <v>797</v>
      </c>
      <c r="I26" s="451">
        <f>+I28</f>
        <v>78350</v>
      </c>
    </row>
    <row r="27" spans="2:9" x14ac:dyDescent="0.25">
      <c r="B27" s="461"/>
      <c r="C27" s="473"/>
      <c r="D27" s="473"/>
      <c r="E27" s="474"/>
      <c r="F27" s="475"/>
      <c r="G27" s="475"/>
      <c r="H27" s="474"/>
      <c r="I27" s="474"/>
    </row>
    <row r="28" spans="2:9" x14ac:dyDescent="0.25">
      <c r="B28" s="469"/>
      <c r="C28" s="1773" t="s">
        <v>826</v>
      </c>
      <c r="D28" s="1773"/>
      <c r="E28" s="1773"/>
      <c r="F28" s="1773"/>
      <c r="G28" s="1773"/>
      <c r="H28" s="476" t="s">
        <v>797</v>
      </c>
      <c r="I28" s="477">
        <f>+G42</f>
        <v>78350</v>
      </c>
    </row>
    <row r="29" spans="2:9" x14ac:dyDescent="0.25">
      <c r="B29" s="500"/>
      <c r="C29" s="517"/>
      <c r="D29" s="517"/>
      <c r="E29" s="517"/>
      <c r="F29" s="517"/>
      <c r="G29" s="518"/>
      <c r="H29" s="519"/>
      <c r="I29" s="519"/>
    </row>
    <row r="30" spans="2:9" ht="25.5" x14ac:dyDescent="0.25">
      <c r="B30" s="534" t="s">
        <v>398</v>
      </c>
      <c r="C30" s="534" t="s">
        <v>827</v>
      </c>
      <c r="D30" s="534" t="s">
        <v>828</v>
      </c>
      <c r="E30" s="534" t="s">
        <v>769</v>
      </c>
      <c r="F30" s="534" t="s">
        <v>829</v>
      </c>
      <c r="G30" s="534" t="s">
        <v>830</v>
      </c>
      <c r="H30" s="222"/>
      <c r="I30" s="517"/>
    </row>
    <row r="31" spans="2:9" ht="38.25" x14ac:dyDescent="0.25">
      <c r="B31" s="491">
        <v>1</v>
      </c>
      <c r="C31" s="538" t="s">
        <v>924</v>
      </c>
      <c r="D31" s="535">
        <v>1</v>
      </c>
      <c r="E31" s="535">
        <v>4</v>
      </c>
      <c r="F31" s="536">
        <v>4500</v>
      </c>
      <c r="G31" s="456">
        <f>+D31*E31*F31</f>
        <v>18000</v>
      </c>
      <c r="H31" s="222"/>
      <c r="I31" s="517"/>
    </row>
    <row r="32" spans="2:9" ht="38.25" x14ac:dyDescent="0.25">
      <c r="B32" s="491">
        <v>2</v>
      </c>
      <c r="C32" s="538" t="s">
        <v>929</v>
      </c>
      <c r="D32" s="535">
        <v>1</v>
      </c>
      <c r="E32" s="535">
        <v>2</v>
      </c>
      <c r="F32" s="536">
        <v>4000</v>
      </c>
      <c r="G32" s="456">
        <f>+D32*E32*F32</f>
        <v>8000</v>
      </c>
      <c r="H32" s="222"/>
      <c r="I32" s="517"/>
    </row>
    <row r="33" spans="2:9" x14ac:dyDescent="0.25">
      <c r="B33" s="491">
        <v>3</v>
      </c>
      <c r="C33" s="537" t="s">
        <v>925</v>
      </c>
      <c r="D33" s="535">
        <v>1</v>
      </c>
      <c r="E33" s="535">
        <v>2</v>
      </c>
      <c r="F33" s="536">
        <v>4000</v>
      </c>
      <c r="G33" s="456">
        <f>+D33*E33*F33</f>
        <v>8000</v>
      </c>
      <c r="H33" s="222"/>
      <c r="I33" s="517"/>
    </row>
    <row r="34" spans="2:9" x14ac:dyDescent="0.25">
      <c r="B34" s="491">
        <v>4</v>
      </c>
      <c r="C34" s="537" t="s">
        <v>831</v>
      </c>
      <c r="D34" s="535">
        <v>1</v>
      </c>
      <c r="E34" s="535">
        <v>2</v>
      </c>
      <c r="F34" s="536">
        <v>4000</v>
      </c>
      <c r="G34" s="456">
        <f t="shared" ref="G34:G41" si="0">+D34*E34*F34</f>
        <v>8000</v>
      </c>
      <c r="H34" s="222"/>
      <c r="I34" s="517"/>
    </row>
    <row r="35" spans="2:9" ht="25.5" x14ac:dyDescent="0.25">
      <c r="B35" s="491">
        <v>5</v>
      </c>
      <c r="C35" s="537" t="s">
        <v>997</v>
      </c>
      <c r="D35" s="535">
        <v>1</v>
      </c>
      <c r="E35" s="535">
        <v>1</v>
      </c>
      <c r="F35" s="536">
        <v>4000</v>
      </c>
      <c r="G35" s="456">
        <f t="shared" si="0"/>
        <v>4000</v>
      </c>
      <c r="H35" s="222"/>
      <c r="I35" s="517"/>
    </row>
    <row r="36" spans="2:9" ht="25.5" x14ac:dyDescent="0.25">
      <c r="B36" s="491">
        <v>6</v>
      </c>
      <c r="C36" s="537" t="s">
        <v>832</v>
      </c>
      <c r="D36" s="535">
        <v>1</v>
      </c>
      <c r="E36" s="535">
        <v>1</v>
      </c>
      <c r="F36" s="536">
        <v>4000</v>
      </c>
      <c r="G36" s="456">
        <f t="shared" si="0"/>
        <v>4000</v>
      </c>
      <c r="H36" s="222"/>
      <c r="I36" s="517"/>
    </row>
    <row r="37" spans="2:9" x14ac:dyDescent="0.25">
      <c r="B37" s="491">
        <v>7</v>
      </c>
      <c r="C37" s="537" t="s">
        <v>926</v>
      </c>
      <c r="D37" s="535">
        <v>1</v>
      </c>
      <c r="E37" s="535">
        <v>1</v>
      </c>
      <c r="F37" s="536">
        <v>4000</v>
      </c>
      <c r="G37" s="456">
        <f t="shared" si="0"/>
        <v>4000</v>
      </c>
      <c r="H37" s="222"/>
      <c r="I37" s="517"/>
    </row>
    <row r="38" spans="2:9" ht="38.25" x14ac:dyDescent="0.25">
      <c r="B38" s="491">
        <v>8</v>
      </c>
      <c r="C38" s="250" t="s">
        <v>927</v>
      </c>
      <c r="D38" s="535">
        <v>1</v>
      </c>
      <c r="E38" s="535">
        <v>2</v>
      </c>
      <c r="F38" s="536">
        <v>4000</v>
      </c>
      <c r="G38" s="456">
        <f t="shared" si="0"/>
        <v>8000</v>
      </c>
      <c r="H38" s="222"/>
      <c r="I38" s="517"/>
    </row>
    <row r="39" spans="2:9" x14ac:dyDescent="0.25">
      <c r="B39" s="491">
        <v>9</v>
      </c>
      <c r="C39" s="537" t="s">
        <v>833</v>
      </c>
      <c r="D39" s="535">
        <v>1</v>
      </c>
      <c r="E39" s="535">
        <v>2</v>
      </c>
      <c r="F39" s="536">
        <v>2700</v>
      </c>
      <c r="G39" s="456">
        <f t="shared" si="0"/>
        <v>5400</v>
      </c>
      <c r="H39" s="222"/>
      <c r="I39" s="517"/>
    </row>
    <row r="40" spans="2:9" x14ac:dyDescent="0.25">
      <c r="B40" s="491">
        <v>10</v>
      </c>
      <c r="C40" s="538" t="s">
        <v>834</v>
      </c>
      <c r="D40" s="535">
        <v>1</v>
      </c>
      <c r="E40" s="535">
        <v>0.5</v>
      </c>
      <c r="F40" s="536">
        <v>2700</v>
      </c>
      <c r="G40" s="456">
        <f t="shared" si="0"/>
        <v>1350</v>
      </c>
      <c r="H40" s="222"/>
      <c r="I40" s="517"/>
    </row>
    <row r="41" spans="2:9" x14ac:dyDescent="0.25">
      <c r="B41" s="491">
        <v>11</v>
      </c>
      <c r="C41" s="538" t="s">
        <v>928</v>
      </c>
      <c r="D41" s="535">
        <v>1</v>
      </c>
      <c r="E41" s="535">
        <v>4</v>
      </c>
      <c r="F41" s="536">
        <v>2400</v>
      </c>
      <c r="G41" s="456">
        <f t="shared" si="0"/>
        <v>9600</v>
      </c>
      <c r="H41" s="222"/>
      <c r="I41" s="517"/>
    </row>
    <row r="42" spans="2:9" ht="15" customHeight="1" x14ac:dyDescent="0.25">
      <c r="B42" s="1772" t="s">
        <v>44</v>
      </c>
      <c r="C42" s="1772"/>
      <c r="D42" s="1772"/>
      <c r="E42" s="1772"/>
      <c r="F42" s="1772"/>
      <c r="G42" s="487">
        <f>SUM(G31:G41)</f>
        <v>78350</v>
      </c>
      <c r="H42" s="222"/>
      <c r="I42" s="517"/>
    </row>
    <row r="43" spans="2:9" x14ac:dyDescent="0.25">
      <c r="B43" s="500"/>
      <c r="C43" s="517"/>
      <c r="D43" s="517"/>
      <c r="E43" s="517"/>
      <c r="F43" s="518"/>
      <c r="G43" s="518"/>
      <c r="H43" s="517"/>
      <c r="I43" s="517"/>
    </row>
    <row r="44" spans="2:9" x14ac:dyDescent="0.25">
      <c r="B44" s="500"/>
      <c r="C44" s="517"/>
      <c r="D44" s="517"/>
      <c r="E44" s="517"/>
      <c r="F44" s="518"/>
      <c r="G44" s="518"/>
      <c r="H44" s="517"/>
      <c r="I44" s="517"/>
    </row>
    <row r="45" spans="2:9" x14ac:dyDescent="0.25">
      <c r="B45" s="446" t="s">
        <v>835</v>
      </c>
      <c r="C45" s="447" t="s">
        <v>836</v>
      </c>
      <c r="D45" s="447"/>
      <c r="E45" s="448"/>
      <c r="F45" s="449"/>
      <c r="G45" s="449"/>
      <c r="H45" s="450" t="s">
        <v>797</v>
      </c>
      <c r="I45" s="451">
        <f>+I47+I64</f>
        <v>13058.333333333332</v>
      </c>
    </row>
    <row r="46" spans="2:9" x14ac:dyDescent="0.25">
      <c r="B46" s="497"/>
      <c r="C46" s="516"/>
      <c r="D46" s="516"/>
      <c r="E46" s="517"/>
      <c r="F46" s="518"/>
      <c r="G46" s="518"/>
      <c r="H46" s="517"/>
      <c r="I46" s="517"/>
    </row>
    <row r="47" spans="2:9" x14ac:dyDescent="0.25">
      <c r="B47" s="479"/>
      <c r="C47" s="480" t="s">
        <v>837</v>
      </c>
      <c r="D47" s="480"/>
      <c r="E47" s="474"/>
      <c r="F47" s="475"/>
      <c r="G47" s="475"/>
      <c r="H47" s="476" t="s">
        <v>797</v>
      </c>
      <c r="I47" s="477">
        <f>+G61</f>
        <v>6529.1666666666661</v>
      </c>
    </row>
    <row r="48" spans="2:9" x14ac:dyDescent="0.25">
      <c r="B48" s="461"/>
      <c r="C48" s="473"/>
      <c r="D48" s="473"/>
      <c r="E48" s="474"/>
      <c r="F48" s="475"/>
      <c r="G48" s="475"/>
      <c r="H48" s="474"/>
      <c r="I48" s="474"/>
    </row>
    <row r="49" spans="2:9" ht="25.5" x14ac:dyDescent="0.25">
      <c r="B49" s="534" t="s">
        <v>398</v>
      </c>
      <c r="C49" s="453" t="s">
        <v>827</v>
      </c>
      <c r="D49" s="534" t="s">
        <v>828</v>
      </c>
      <c r="E49" s="454" t="s">
        <v>769</v>
      </c>
      <c r="F49" s="454" t="s">
        <v>829</v>
      </c>
      <c r="G49" s="454" t="s">
        <v>830</v>
      </c>
      <c r="H49" s="532"/>
      <c r="I49" s="474"/>
    </row>
    <row r="50" spans="2:9" ht="38.25" x14ac:dyDescent="0.25">
      <c r="B50" s="491">
        <v>1</v>
      </c>
      <c r="C50" s="538" t="str">
        <f>C31</f>
        <v>ING. AGROINDUSTRIAL Y/O ING. EN INDUSTRIAS ALIMENTARIAS - JEFE DE PROYECTO</v>
      </c>
      <c r="D50" s="535">
        <f t="shared" ref="D50:E60" si="1">+D31</f>
        <v>1</v>
      </c>
      <c r="E50" s="535">
        <f t="shared" si="1"/>
        <v>4</v>
      </c>
      <c r="F50" s="535">
        <f>+F31/12</f>
        <v>375</v>
      </c>
      <c r="G50" s="456">
        <f>+D50*E50*F50</f>
        <v>1500</v>
      </c>
      <c r="H50" s="532"/>
      <c r="I50" s="474"/>
    </row>
    <row r="51" spans="2:9" ht="38.25" x14ac:dyDescent="0.25">
      <c r="B51" s="491">
        <v>2</v>
      </c>
      <c r="C51" s="538" t="str">
        <f t="shared" ref="C51:C60" si="2">C32</f>
        <v>ING. AGROINDUSTRIAL Y/O ING. EN INDUSTRIAS ALIMENTARIAS - ESPECIALISTA EN PROCESOS</v>
      </c>
      <c r="D51" s="535">
        <f t="shared" si="1"/>
        <v>1</v>
      </c>
      <c r="E51" s="535">
        <f t="shared" si="1"/>
        <v>2</v>
      </c>
      <c r="F51" s="535">
        <f t="shared" ref="F51:F60" si="3">+F32/12</f>
        <v>333.33333333333331</v>
      </c>
      <c r="G51" s="456">
        <f t="shared" ref="G51:G60" si="4">+D51*E51*F51</f>
        <v>666.66666666666663</v>
      </c>
      <c r="H51" s="532"/>
      <c r="I51" s="474"/>
    </row>
    <row r="52" spans="2:9" x14ac:dyDescent="0.25">
      <c r="B52" s="491">
        <v>3</v>
      </c>
      <c r="C52" s="538" t="str">
        <f t="shared" si="2"/>
        <v xml:space="preserve">ARQUITECTO </v>
      </c>
      <c r="D52" s="535">
        <f t="shared" si="1"/>
        <v>1</v>
      </c>
      <c r="E52" s="535">
        <f t="shared" si="1"/>
        <v>2</v>
      </c>
      <c r="F52" s="535">
        <f t="shared" si="3"/>
        <v>333.33333333333331</v>
      </c>
      <c r="G52" s="456">
        <f t="shared" si="4"/>
        <v>666.66666666666663</v>
      </c>
      <c r="H52" s="532"/>
      <c r="I52" s="474"/>
    </row>
    <row r="53" spans="2:9" x14ac:dyDescent="0.25">
      <c r="B53" s="491">
        <v>4</v>
      </c>
      <c r="C53" s="538" t="str">
        <f t="shared" si="2"/>
        <v>ING. ESPECIALISTA EN ESTRUCTURAS</v>
      </c>
      <c r="D53" s="535">
        <f t="shared" si="1"/>
        <v>1</v>
      </c>
      <c r="E53" s="535">
        <f t="shared" si="1"/>
        <v>2</v>
      </c>
      <c r="F53" s="535">
        <f t="shared" si="3"/>
        <v>333.33333333333331</v>
      </c>
      <c r="G53" s="456">
        <f t="shared" si="4"/>
        <v>666.66666666666663</v>
      </c>
      <c r="H53" s="532"/>
      <c r="I53" s="474"/>
    </row>
    <row r="54" spans="2:9" ht="25.5" x14ac:dyDescent="0.25">
      <c r="B54" s="491">
        <v>5</v>
      </c>
      <c r="C54" s="538" t="str">
        <f t="shared" si="2"/>
        <v>ING. ESPECIALISTA EN INSTALACIONES SANITARIAS Y/O MECÁNICA DE FLUIDOS</v>
      </c>
      <c r="D54" s="535">
        <f t="shared" si="1"/>
        <v>1</v>
      </c>
      <c r="E54" s="535">
        <f t="shared" si="1"/>
        <v>1</v>
      </c>
      <c r="F54" s="535">
        <f t="shared" si="3"/>
        <v>333.33333333333331</v>
      </c>
      <c r="G54" s="456">
        <f t="shared" si="4"/>
        <v>333.33333333333331</v>
      </c>
      <c r="H54" s="532"/>
      <c r="I54" s="474"/>
    </row>
    <row r="55" spans="2:9" ht="25.5" x14ac:dyDescent="0.25">
      <c r="B55" s="491">
        <v>6</v>
      </c>
      <c r="C55" s="538" t="str">
        <f t="shared" si="2"/>
        <v>ING.ESPECIALISTA EN INSTALACIONES ELECTRICAS</v>
      </c>
      <c r="D55" s="535">
        <f t="shared" si="1"/>
        <v>1</v>
      </c>
      <c r="E55" s="535">
        <f t="shared" si="1"/>
        <v>1</v>
      </c>
      <c r="F55" s="535">
        <f t="shared" si="3"/>
        <v>333.33333333333331</v>
      </c>
      <c r="G55" s="456">
        <f t="shared" si="4"/>
        <v>333.33333333333331</v>
      </c>
      <c r="H55" s="532"/>
      <c r="I55" s="474"/>
    </row>
    <row r="56" spans="2:9" x14ac:dyDescent="0.25">
      <c r="B56" s="491">
        <v>7</v>
      </c>
      <c r="C56" s="538" t="str">
        <f t="shared" si="2"/>
        <v>ESPECIALISTA COSTOS Y PESUPUESTO</v>
      </c>
      <c r="D56" s="535">
        <f t="shared" si="1"/>
        <v>1</v>
      </c>
      <c r="E56" s="535">
        <f t="shared" si="1"/>
        <v>1</v>
      </c>
      <c r="F56" s="535">
        <f t="shared" si="3"/>
        <v>333.33333333333331</v>
      </c>
      <c r="G56" s="456">
        <f t="shared" si="4"/>
        <v>333.33333333333331</v>
      </c>
      <c r="H56" s="532"/>
      <c r="I56" s="474"/>
    </row>
    <row r="57" spans="2:9" ht="38.25" x14ac:dyDescent="0.25">
      <c r="B57" s="491">
        <v>8</v>
      </c>
      <c r="C57" s="538" t="str">
        <f t="shared" si="2"/>
        <v>ING. AGROINDUSTRIAL Y/O ING. EN INDUSTRIAS ALIMENTARIAS - ESPECIALISTA EN DISEÑO DE PLANTAS</v>
      </c>
      <c r="D57" s="535">
        <f t="shared" si="1"/>
        <v>1</v>
      </c>
      <c r="E57" s="535">
        <f t="shared" si="1"/>
        <v>2</v>
      </c>
      <c r="F57" s="535">
        <f t="shared" si="3"/>
        <v>333.33333333333331</v>
      </c>
      <c r="G57" s="456">
        <f t="shared" si="4"/>
        <v>666.66666666666663</v>
      </c>
      <c r="H57" s="532"/>
      <c r="I57" s="474"/>
    </row>
    <row r="58" spans="2:9" x14ac:dyDescent="0.25">
      <c r="B58" s="491">
        <v>9</v>
      </c>
      <c r="C58" s="538" t="str">
        <f t="shared" si="2"/>
        <v>TECNICO ESPECIALISTA EN AUTOCAD</v>
      </c>
      <c r="D58" s="535">
        <f t="shared" si="1"/>
        <v>1</v>
      </c>
      <c r="E58" s="535">
        <f t="shared" si="1"/>
        <v>2</v>
      </c>
      <c r="F58" s="535">
        <f t="shared" si="3"/>
        <v>225</v>
      </c>
      <c r="G58" s="456">
        <f t="shared" si="4"/>
        <v>450</v>
      </c>
      <c r="H58" s="532"/>
      <c r="I58" s="474"/>
    </row>
    <row r="59" spans="2:9" x14ac:dyDescent="0.25">
      <c r="B59" s="491">
        <v>10</v>
      </c>
      <c r="C59" s="538" t="str">
        <f t="shared" si="2"/>
        <v>TOPOGRAFO</v>
      </c>
      <c r="D59" s="535">
        <f t="shared" si="1"/>
        <v>1</v>
      </c>
      <c r="E59" s="535">
        <f t="shared" si="1"/>
        <v>0.5</v>
      </c>
      <c r="F59" s="535">
        <f t="shared" si="3"/>
        <v>225</v>
      </c>
      <c r="G59" s="456">
        <f t="shared" si="4"/>
        <v>112.5</v>
      </c>
      <c r="H59" s="532"/>
      <c r="I59" s="474"/>
    </row>
    <row r="60" spans="2:9" x14ac:dyDescent="0.25">
      <c r="B60" s="491">
        <v>11</v>
      </c>
      <c r="C60" s="538" t="str">
        <f t="shared" si="2"/>
        <v>ASISTENTE ADMINISTRATIVO</v>
      </c>
      <c r="D60" s="535">
        <f t="shared" si="1"/>
        <v>1</v>
      </c>
      <c r="E60" s="535">
        <f t="shared" si="1"/>
        <v>4</v>
      </c>
      <c r="F60" s="535">
        <f t="shared" si="3"/>
        <v>200</v>
      </c>
      <c r="G60" s="456">
        <f t="shared" si="4"/>
        <v>800</v>
      </c>
      <c r="H60" s="532"/>
      <c r="I60" s="474"/>
    </row>
    <row r="61" spans="2:9" ht="15" customHeight="1" x14ac:dyDescent="0.25">
      <c r="B61" s="1772" t="s">
        <v>44</v>
      </c>
      <c r="C61" s="1772"/>
      <c r="D61" s="1772"/>
      <c r="E61" s="1772"/>
      <c r="F61" s="1772"/>
      <c r="G61" s="487">
        <f>SUM(G50:G60)</f>
        <v>6529.1666666666661</v>
      </c>
      <c r="H61" s="532"/>
      <c r="I61" s="474"/>
    </row>
    <row r="62" spans="2:9" x14ac:dyDescent="0.25">
      <c r="B62" s="497"/>
      <c r="C62" s="516"/>
      <c r="D62" s="516"/>
      <c r="E62" s="517"/>
      <c r="F62" s="518"/>
      <c r="G62" s="518"/>
      <c r="H62" s="517"/>
      <c r="I62" s="517"/>
    </row>
    <row r="63" spans="2:9" x14ac:dyDescent="0.25">
      <c r="B63" s="497"/>
      <c r="C63" s="516"/>
      <c r="D63" s="516"/>
      <c r="E63" s="517"/>
      <c r="F63" s="518"/>
      <c r="G63" s="518"/>
      <c r="H63" s="517"/>
      <c r="I63" s="517"/>
    </row>
    <row r="64" spans="2:9" x14ac:dyDescent="0.25">
      <c r="B64" s="520"/>
      <c r="C64" s="480" t="s">
        <v>838</v>
      </c>
      <c r="D64" s="480"/>
      <c r="E64" s="474"/>
      <c r="F64" s="475"/>
      <c r="G64" s="475"/>
      <c r="H64" s="476" t="s">
        <v>797</v>
      </c>
      <c r="I64" s="477">
        <f>+G78</f>
        <v>6529.1666666666661</v>
      </c>
    </row>
    <row r="65" spans="2:9" x14ac:dyDescent="0.25">
      <c r="B65" s="497"/>
      <c r="C65" s="473"/>
      <c r="D65" s="473"/>
      <c r="E65" s="474"/>
      <c r="F65" s="475"/>
      <c r="G65" s="475"/>
      <c r="H65" s="517"/>
      <c r="I65" s="517"/>
    </row>
    <row r="66" spans="2:9" ht="25.5" x14ac:dyDescent="0.25">
      <c r="B66" s="534" t="s">
        <v>398</v>
      </c>
      <c r="C66" s="453" t="s">
        <v>827</v>
      </c>
      <c r="D66" s="534" t="s">
        <v>828</v>
      </c>
      <c r="E66" s="454" t="s">
        <v>769</v>
      </c>
      <c r="F66" s="454" t="s">
        <v>829</v>
      </c>
      <c r="G66" s="454" t="s">
        <v>830</v>
      </c>
      <c r="H66" s="222"/>
      <c r="I66" s="517"/>
    </row>
    <row r="67" spans="2:9" ht="38.25" x14ac:dyDescent="0.25">
      <c r="B67" s="491">
        <v>1</v>
      </c>
      <c r="C67" s="538" t="str">
        <f>C31</f>
        <v>ING. AGROINDUSTRIAL Y/O ING. EN INDUSTRIAS ALIMENTARIAS - JEFE DE PROYECTO</v>
      </c>
      <c r="D67" s="535">
        <f t="shared" ref="D67:E77" si="5">+D31</f>
        <v>1</v>
      </c>
      <c r="E67" s="535">
        <f t="shared" si="5"/>
        <v>4</v>
      </c>
      <c r="F67" s="535">
        <f>+F31/12</f>
        <v>375</v>
      </c>
      <c r="G67" s="456">
        <f>+D67*E67*F67</f>
        <v>1500</v>
      </c>
      <c r="H67" s="222"/>
      <c r="I67" s="517"/>
    </row>
    <row r="68" spans="2:9" ht="38.25" x14ac:dyDescent="0.25">
      <c r="B68" s="491">
        <v>2</v>
      </c>
      <c r="C68" s="538" t="str">
        <f t="shared" ref="C68:C77" si="6">C32</f>
        <v>ING. AGROINDUSTRIAL Y/O ING. EN INDUSTRIAS ALIMENTARIAS - ESPECIALISTA EN PROCESOS</v>
      </c>
      <c r="D68" s="535">
        <f t="shared" si="5"/>
        <v>1</v>
      </c>
      <c r="E68" s="535">
        <f t="shared" si="5"/>
        <v>2</v>
      </c>
      <c r="F68" s="535">
        <f t="shared" ref="F68:F77" si="7">+F32/12</f>
        <v>333.33333333333331</v>
      </c>
      <c r="G68" s="456">
        <f t="shared" ref="G68:G77" si="8">+D68*E68*F68</f>
        <v>666.66666666666663</v>
      </c>
      <c r="H68" s="222"/>
      <c r="I68" s="517"/>
    </row>
    <row r="69" spans="2:9" x14ac:dyDescent="0.25">
      <c r="B69" s="491">
        <v>3</v>
      </c>
      <c r="C69" s="538" t="str">
        <f t="shared" si="6"/>
        <v xml:space="preserve">ARQUITECTO </v>
      </c>
      <c r="D69" s="535">
        <f t="shared" si="5"/>
        <v>1</v>
      </c>
      <c r="E69" s="535">
        <f t="shared" si="5"/>
        <v>2</v>
      </c>
      <c r="F69" s="535">
        <f t="shared" si="7"/>
        <v>333.33333333333331</v>
      </c>
      <c r="G69" s="456">
        <f t="shared" si="8"/>
        <v>666.66666666666663</v>
      </c>
      <c r="H69" s="222"/>
      <c r="I69" s="517"/>
    </row>
    <row r="70" spans="2:9" x14ac:dyDescent="0.25">
      <c r="B70" s="491">
        <v>4</v>
      </c>
      <c r="C70" s="538" t="str">
        <f t="shared" si="6"/>
        <v>ING. ESPECIALISTA EN ESTRUCTURAS</v>
      </c>
      <c r="D70" s="535">
        <f t="shared" si="5"/>
        <v>1</v>
      </c>
      <c r="E70" s="535">
        <f t="shared" si="5"/>
        <v>2</v>
      </c>
      <c r="F70" s="535">
        <f t="shared" si="7"/>
        <v>333.33333333333331</v>
      </c>
      <c r="G70" s="456">
        <f t="shared" si="8"/>
        <v>666.66666666666663</v>
      </c>
      <c r="H70" s="222"/>
      <c r="I70" s="517"/>
    </row>
    <row r="71" spans="2:9" ht="25.5" x14ac:dyDescent="0.25">
      <c r="B71" s="491">
        <v>5</v>
      </c>
      <c r="C71" s="538" t="str">
        <f t="shared" si="6"/>
        <v>ING. ESPECIALISTA EN INSTALACIONES SANITARIAS Y/O MECÁNICA DE FLUIDOS</v>
      </c>
      <c r="D71" s="535">
        <f t="shared" si="5"/>
        <v>1</v>
      </c>
      <c r="E71" s="535">
        <f t="shared" si="5"/>
        <v>1</v>
      </c>
      <c r="F71" s="535">
        <f t="shared" si="7"/>
        <v>333.33333333333331</v>
      </c>
      <c r="G71" s="456">
        <f t="shared" si="8"/>
        <v>333.33333333333331</v>
      </c>
      <c r="H71" s="222"/>
      <c r="I71" s="517"/>
    </row>
    <row r="72" spans="2:9" ht="25.5" x14ac:dyDescent="0.25">
      <c r="B72" s="491">
        <v>6</v>
      </c>
      <c r="C72" s="538" t="str">
        <f t="shared" si="6"/>
        <v>ING.ESPECIALISTA EN INSTALACIONES ELECTRICAS</v>
      </c>
      <c r="D72" s="535">
        <f t="shared" si="5"/>
        <v>1</v>
      </c>
      <c r="E72" s="535">
        <f t="shared" si="5"/>
        <v>1</v>
      </c>
      <c r="F72" s="535">
        <f t="shared" si="7"/>
        <v>333.33333333333331</v>
      </c>
      <c r="G72" s="456">
        <f t="shared" si="8"/>
        <v>333.33333333333331</v>
      </c>
      <c r="H72" s="222"/>
      <c r="I72" s="517"/>
    </row>
    <row r="73" spans="2:9" x14ac:dyDescent="0.25">
      <c r="B73" s="491">
        <v>7</v>
      </c>
      <c r="C73" s="538" t="str">
        <f t="shared" si="6"/>
        <v>ESPECIALISTA COSTOS Y PESUPUESTO</v>
      </c>
      <c r="D73" s="535">
        <f t="shared" si="5"/>
        <v>1</v>
      </c>
      <c r="E73" s="535">
        <f t="shared" si="5"/>
        <v>1</v>
      </c>
      <c r="F73" s="535">
        <f t="shared" si="7"/>
        <v>333.33333333333331</v>
      </c>
      <c r="G73" s="456">
        <f t="shared" si="8"/>
        <v>333.33333333333331</v>
      </c>
      <c r="H73" s="222"/>
      <c r="I73" s="517"/>
    </row>
    <row r="74" spans="2:9" ht="38.25" x14ac:dyDescent="0.25">
      <c r="B74" s="491">
        <v>8</v>
      </c>
      <c r="C74" s="538" t="str">
        <f t="shared" si="6"/>
        <v>ING. AGROINDUSTRIAL Y/O ING. EN INDUSTRIAS ALIMENTARIAS - ESPECIALISTA EN DISEÑO DE PLANTAS</v>
      </c>
      <c r="D74" s="535">
        <f t="shared" si="5"/>
        <v>1</v>
      </c>
      <c r="E74" s="535">
        <f t="shared" si="5"/>
        <v>2</v>
      </c>
      <c r="F74" s="535">
        <f t="shared" si="7"/>
        <v>333.33333333333331</v>
      </c>
      <c r="G74" s="456">
        <f t="shared" si="8"/>
        <v>666.66666666666663</v>
      </c>
      <c r="H74" s="222"/>
      <c r="I74" s="517"/>
    </row>
    <row r="75" spans="2:9" x14ac:dyDescent="0.25">
      <c r="B75" s="491">
        <v>9</v>
      </c>
      <c r="C75" s="538" t="str">
        <f t="shared" si="6"/>
        <v>TECNICO ESPECIALISTA EN AUTOCAD</v>
      </c>
      <c r="D75" s="535">
        <f t="shared" si="5"/>
        <v>1</v>
      </c>
      <c r="E75" s="535">
        <f t="shared" si="5"/>
        <v>2</v>
      </c>
      <c r="F75" s="535">
        <f t="shared" si="7"/>
        <v>225</v>
      </c>
      <c r="G75" s="456">
        <f t="shared" si="8"/>
        <v>450</v>
      </c>
      <c r="H75" s="222"/>
      <c r="I75" s="517"/>
    </row>
    <row r="76" spans="2:9" x14ac:dyDescent="0.25">
      <c r="B76" s="491">
        <v>10</v>
      </c>
      <c r="C76" s="538" t="str">
        <f t="shared" si="6"/>
        <v>TOPOGRAFO</v>
      </c>
      <c r="D76" s="535">
        <f t="shared" si="5"/>
        <v>1</v>
      </c>
      <c r="E76" s="535">
        <f t="shared" si="5"/>
        <v>0.5</v>
      </c>
      <c r="F76" s="535">
        <f t="shared" si="7"/>
        <v>225</v>
      </c>
      <c r="G76" s="456">
        <f t="shared" si="8"/>
        <v>112.5</v>
      </c>
      <c r="H76" s="222"/>
      <c r="I76" s="517"/>
    </row>
    <row r="77" spans="2:9" x14ac:dyDescent="0.25">
      <c r="B77" s="491">
        <v>11</v>
      </c>
      <c r="C77" s="538" t="str">
        <f t="shared" si="6"/>
        <v>ASISTENTE ADMINISTRATIVO</v>
      </c>
      <c r="D77" s="535">
        <f t="shared" si="5"/>
        <v>1</v>
      </c>
      <c r="E77" s="535">
        <f t="shared" si="5"/>
        <v>4</v>
      </c>
      <c r="F77" s="535">
        <f t="shared" si="7"/>
        <v>200</v>
      </c>
      <c r="G77" s="456">
        <f t="shared" si="8"/>
        <v>800</v>
      </c>
      <c r="H77" s="222"/>
      <c r="I77" s="517"/>
    </row>
    <row r="78" spans="2:9" ht="15" customHeight="1" x14ac:dyDescent="0.25">
      <c r="B78" s="1772" t="s">
        <v>44</v>
      </c>
      <c r="C78" s="1772"/>
      <c r="D78" s="1772"/>
      <c r="E78" s="1772"/>
      <c r="F78" s="1772"/>
      <c r="G78" s="487">
        <f>SUM(G67:G77)</f>
        <v>6529.1666666666661</v>
      </c>
      <c r="H78" s="222"/>
      <c r="I78" s="517"/>
    </row>
    <row r="79" spans="2:9" x14ac:dyDescent="0.25">
      <c r="B79" s="461"/>
      <c r="C79" s="473"/>
      <c r="D79" s="473"/>
      <c r="E79" s="474"/>
      <c r="F79" s="475"/>
      <c r="G79" s="475"/>
      <c r="H79" s="517"/>
      <c r="I79" s="517"/>
    </row>
    <row r="80" spans="2:9" x14ac:dyDescent="0.25">
      <c r="B80" s="446" t="s">
        <v>839</v>
      </c>
      <c r="C80" s="447" t="s">
        <v>840</v>
      </c>
      <c r="D80" s="447"/>
      <c r="E80" s="448"/>
      <c r="F80" s="449"/>
      <c r="G80" s="449"/>
      <c r="H80" s="450"/>
      <c r="I80" s="451">
        <f>I82</f>
        <v>1869.1666666666661</v>
      </c>
    </row>
    <row r="81" spans="2:9" x14ac:dyDescent="0.25">
      <c r="B81" s="461"/>
      <c r="C81" s="473"/>
      <c r="D81" s="473"/>
      <c r="E81" s="474"/>
      <c r="F81" s="475"/>
      <c r="G81" s="475"/>
      <c r="H81" s="474"/>
      <c r="I81" s="474"/>
    </row>
    <row r="82" spans="2:9" x14ac:dyDescent="0.25">
      <c r="B82" s="479"/>
      <c r="C82" s="480" t="s">
        <v>841</v>
      </c>
      <c r="D82" s="480"/>
      <c r="E82" s="474"/>
      <c r="F82" s="475"/>
      <c r="G82" s="475"/>
      <c r="H82" s="476" t="s">
        <v>797</v>
      </c>
      <c r="I82" s="477">
        <f>G96</f>
        <v>1869.1666666666661</v>
      </c>
    </row>
    <row r="83" spans="2:9" x14ac:dyDescent="0.25">
      <c r="B83" s="497"/>
      <c r="C83" s="516"/>
      <c r="D83" s="516"/>
      <c r="E83" s="517"/>
      <c r="F83" s="518"/>
      <c r="G83" s="518"/>
      <c r="H83" s="517"/>
      <c r="I83" s="517"/>
    </row>
    <row r="84" spans="2:9" ht="25.5" x14ac:dyDescent="0.25">
      <c r="B84" s="534" t="s">
        <v>398</v>
      </c>
      <c r="C84" s="453" t="s">
        <v>827</v>
      </c>
      <c r="D84" s="534" t="s">
        <v>828</v>
      </c>
      <c r="E84" s="454" t="s">
        <v>769</v>
      </c>
      <c r="F84" s="454" t="s">
        <v>829</v>
      </c>
      <c r="G84" s="454" t="s">
        <v>830</v>
      </c>
      <c r="H84" s="222"/>
      <c r="I84" s="517"/>
    </row>
    <row r="85" spans="2:9" ht="38.25" x14ac:dyDescent="0.25">
      <c r="B85" s="491">
        <v>1</v>
      </c>
      <c r="C85" s="538" t="str">
        <f>C31</f>
        <v>ING. AGROINDUSTRIAL Y/O ING. EN INDUSTRIAS ALIMENTARIAS - JEFE DE PROYECTO</v>
      </c>
      <c r="D85" s="535">
        <f>+D31</f>
        <v>1</v>
      </c>
      <c r="E85" s="535">
        <f>+E31</f>
        <v>4</v>
      </c>
      <c r="F85" s="535">
        <v>83.333333333333329</v>
      </c>
      <c r="G85" s="456">
        <f>+D85*E85*F85</f>
        <v>333.33333333333331</v>
      </c>
      <c r="H85" s="222"/>
      <c r="I85" s="517"/>
    </row>
    <row r="86" spans="2:9" ht="38.25" x14ac:dyDescent="0.25">
      <c r="B86" s="491">
        <v>2</v>
      </c>
      <c r="C86" s="538" t="str">
        <f t="shared" ref="C86:C95" si="9">C32</f>
        <v>ING. AGROINDUSTRIAL Y/O ING. EN INDUSTRIAS ALIMENTARIAS - ESPECIALISTA EN PROCESOS</v>
      </c>
      <c r="D86" s="535">
        <f>+D32</f>
        <v>1</v>
      </c>
      <c r="E86" s="535">
        <f>+E32</f>
        <v>2</v>
      </c>
      <c r="F86" s="535">
        <v>83.333333333333329</v>
      </c>
      <c r="G86" s="456">
        <f t="shared" ref="G86:G95" si="10">+D86*E86*F86</f>
        <v>166.66666666666666</v>
      </c>
      <c r="H86" s="222"/>
      <c r="I86" s="517"/>
    </row>
    <row r="87" spans="2:9" x14ac:dyDescent="0.25">
      <c r="B87" s="491">
        <v>3</v>
      </c>
      <c r="C87" s="538" t="str">
        <f t="shared" si="9"/>
        <v xml:space="preserve">ARQUITECTO </v>
      </c>
      <c r="D87" s="535">
        <f t="shared" ref="D87:D95" si="11">+D33</f>
        <v>1</v>
      </c>
      <c r="E87" s="535">
        <f t="shared" ref="E87:E95" si="12">+E33</f>
        <v>2</v>
      </c>
      <c r="F87" s="535">
        <v>84.3333333333333</v>
      </c>
      <c r="G87" s="456">
        <f t="shared" si="10"/>
        <v>168.6666666666666</v>
      </c>
      <c r="H87" s="222"/>
      <c r="I87" s="517"/>
    </row>
    <row r="88" spans="2:9" x14ac:dyDescent="0.25">
      <c r="B88" s="491">
        <v>4</v>
      </c>
      <c r="C88" s="538" t="str">
        <f t="shared" si="9"/>
        <v>ING. ESPECIALISTA EN ESTRUCTURAS</v>
      </c>
      <c r="D88" s="535">
        <f t="shared" si="11"/>
        <v>1</v>
      </c>
      <c r="E88" s="535">
        <f t="shared" si="12"/>
        <v>2</v>
      </c>
      <c r="F88" s="535">
        <v>85.3333333333333</v>
      </c>
      <c r="G88" s="456">
        <f t="shared" si="10"/>
        <v>170.6666666666666</v>
      </c>
      <c r="H88" s="222"/>
      <c r="I88" s="517"/>
    </row>
    <row r="89" spans="2:9" ht="25.5" x14ac:dyDescent="0.25">
      <c r="B89" s="491">
        <v>5</v>
      </c>
      <c r="C89" s="538" t="str">
        <f t="shared" si="9"/>
        <v>ING. ESPECIALISTA EN INSTALACIONES SANITARIAS Y/O MECÁNICA DE FLUIDOS</v>
      </c>
      <c r="D89" s="535">
        <f t="shared" si="11"/>
        <v>1</v>
      </c>
      <c r="E89" s="535">
        <f t="shared" si="12"/>
        <v>1</v>
      </c>
      <c r="F89" s="535">
        <v>86.3333333333333</v>
      </c>
      <c r="G89" s="456">
        <f t="shared" si="10"/>
        <v>86.3333333333333</v>
      </c>
      <c r="H89" s="222"/>
      <c r="I89" s="517"/>
    </row>
    <row r="90" spans="2:9" ht="25.5" x14ac:dyDescent="0.25">
      <c r="B90" s="491">
        <v>6</v>
      </c>
      <c r="C90" s="538" t="str">
        <f t="shared" si="9"/>
        <v>ING.ESPECIALISTA EN INSTALACIONES ELECTRICAS</v>
      </c>
      <c r="D90" s="535">
        <f t="shared" si="11"/>
        <v>1</v>
      </c>
      <c r="E90" s="535">
        <f t="shared" si="12"/>
        <v>1</v>
      </c>
      <c r="F90" s="535">
        <v>87.3333333333333</v>
      </c>
      <c r="G90" s="456">
        <f t="shared" si="10"/>
        <v>87.3333333333333</v>
      </c>
      <c r="H90" s="222"/>
      <c r="I90" s="517"/>
    </row>
    <row r="91" spans="2:9" x14ac:dyDescent="0.25">
      <c r="B91" s="491">
        <v>7</v>
      </c>
      <c r="C91" s="538" t="str">
        <f t="shared" si="9"/>
        <v>ESPECIALISTA COSTOS Y PESUPUESTO</v>
      </c>
      <c r="D91" s="535">
        <f t="shared" si="11"/>
        <v>1</v>
      </c>
      <c r="E91" s="535">
        <f t="shared" si="12"/>
        <v>1</v>
      </c>
      <c r="F91" s="535">
        <v>88.3333333333333</v>
      </c>
      <c r="G91" s="456">
        <f t="shared" si="10"/>
        <v>88.3333333333333</v>
      </c>
      <c r="H91" s="222"/>
      <c r="I91" s="517"/>
    </row>
    <row r="92" spans="2:9" ht="38.25" x14ac:dyDescent="0.25">
      <c r="B92" s="491">
        <v>8</v>
      </c>
      <c r="C92" s="538" t="str">
        <f t="shared" si="9"/>
        <v>ING. AGROINDUSTRIAL Y/O ING. EN INDUSTRIAS ALIMENTARIAS - ESPECIALISTA EN DISEÑO DE PLANTAS</v>
      </c>
      <c r="D92" s="535">
        <f t="shared" si="11"/>
        <v>1</v>
      </c>
      <c r="E92" s="535">
        <f t="shared" si="12"/>
        <v>2</v>
      </c>
      <c r="F92" s="535">
        <v>89.3333333333333</v>
      </c>
      <c r="G92" s="456">
        <f t="shared" si="10"/>
        <v>178.6666666666666</v>
      </c>
      <c r="H92" s="222"/>
      <c r="I92" s="517"/>
    </row>
    <row r="93" spans="2:9" x14ac:dyDescent="0.25">
      <c r="B93" s="491">
        <v>9</v>
      </c>
      <c r="C93" s="538" t="str">
        <f t="shared" si="9"/>
        <v>TECNICO ESPECIALISTA EN AUTOCAD</v>
      </c>
      <c r="D93" s="535">
        <f t="shared" si="11"/>
        <v>1</v>
      </c>
      <c r="E93" s="535">
        <f t="shared" si="12"/>
        <v>2</v>
      </c>
      <c r="F93" s="535">
        <v>89.3333333333333</v>
      </c>
      <c r="G93" s="456">
        <f t="shared" si="10"/>
        <v>178.6666666666666</v>
      </c>
      <c r="H93" s="222"/>
      <c r="I93" s="517"/>
    </row>
    <row r="94" spans="2:9" x14ac:dyDescent="0.25">
      <c r="B94" s="491">
        <v>10</v>
      </c>
      <c r="C94" s="538" t="str">
        <f t="shared" si="9"/>
        <v>TOPOGRAFO</v>
      </c>
      <c r="D94" s="535">
        <f t="shared" si="11"/>
        <v>1</v>
      </c>
      <c r="E94" s="535">
        <f t="shared" si="12"/>
        <v>0.5</v>
      </c>
      <c r="F94" s="535">
        <v>90.3333333333333</v>
      </c>
      <c r="G94" s="456">
        <f t="shared" si="10"/>
        <v>45.16666666666665</v>
      </c>
      <c r="H94" s="222"/>
      <c r="I94" s="517"/>
    </row>
    <row r="95" spans="2:9" x14ac:dyDescent="0.25">
      <c r="B95" s="491">
        <v>11</v>
      </c>
      <c r="C95" s="538" t="str">
        <f t="shared" si="9"/>
        <v>ASISTENTE ADMINISTRATIVO</v>
      </c>
      <c r="D95" s="535">
        <f t="shared" si="11"/>
        <v>1</v>
      </c>
      <c r="E95" s="535">
        <f t="shared" si="12"/>
        <v>4</v>
      </c>
      <c r="F95" s="535">
        <v>91.3333333333333</v>
      </c>
      <c r="G95" s="456">
        <f t="shared" si="10"/>
        <v>365.3333333333332</v>
      </c>
      <c r="H95" s="222"/>
      <c r="I95" s="517"/>
    </row>
    <row r="96" spans="2:9" ht="15" customHeight="1" x14ac:dyDescent="0.25">
      <c r="B96" s="1772" t="s">
        <v>44</v>
      </c>
      <c r="C96" s="1772"/>
      <c r="D96" s="1772"/>
      <c r="E96" s="1772"/>
      <c r="F96" s="1772"/>
      <c r="G96" s="487">
        <f>SUM(G85:G95)</f>
        <v>1869.1666666666661</v>
      </c>
      <c r="H96" s="222"/>
      <c r="I96" s="517"/>
    </row>
    <row r="97" spans="2:10" x14ac:dyDescent="0.25">
      <c r="B97" s="497"/>
      <c r="C97" s="516"/>
      <c r="D97" s="516"/>
      <c r="E97" s="517"/>
      <c r="F97" s="518"/>
      <c r="G97" s="518"/>
      <c r="H97" s="517"/>
      <c r="I97" s="517"/>
    </row>
    <row r="98" spans="2:10" x14ac:dyDescent="0.25">
      <c r="B98" s="497"/>
      <c r="C98" s="516"/>
      <c r="D98" s="516"/>
      <c r="E98" s="517"/>
      <c r="F98" s="518"/>
      <c r="G98" s="518"/>
      <c r="H98" s="517"/>
      <c r="I98" s="517"/>
    </row>
    <row r="99" spans="2:10" x14ac:dyDescent="0.25">
      <c r="B99" s="446" t="s">
        <v>842</v>
      </c>
      <c r="C99" s="447" t="s">
        <v>843</v>
      </c>
      <c r="D99" s="447"/>
      <c r="E99" s="448"/>
      <c r="F99" s="515"/>
      <c r="G99" s="515"/>
      <c r="H99" s="450" t="s">
        <v>797</v>
      </c>
      <c r="I99" s="451">
        <f>+I101+I118</f>
        <v>13368.46875</v>
      </c>
    </row>
    <row r="100" spans="2:10" x14ac:dyDescent="0.25">
      <c r="B100" s="461"/>
      <c r="C100" s="473"/>
      <c r="D100" s="473"/>
      <c r="E100" s="474"/>
      <c r="F100" s="518"/>
      <c r="G100" s="518"/>
      <c r="H100" s="517"/>
      <c r="I100" s="517"/>
    </row>
    <row r="101" spans="2:10" x14ac:dyDescent="0.25">
      <c r="B101" s="479"/>
      <c r="C101" s="473" t="s">
        <v>844</v>
      </c>
      <c r="D101" s="473"/>
      <c r="E101" s="474"/>
      <c r="F101" s="518"/>
      <c r="G101" s="518"/>
      <c r="H101" s="476" t="s">
        <v>797</v>
      </c>
      <c r="I101" s="477">
        <f>+G115</f>
        <v>5729.34375</v>
      </c>
      <c r="J101" s="532"/>
    </row>
    <row r="102" spans="2:10" x14ac:dyDescent="0.25">
      <c r="B102" s="497"/>
      <c r="C102" s="516"/>
      <c r="D102" s="516"/>
      <c r="E102" s="517"/>
      <c r="F102" s="518"/>
      <c r="G102" s="518"/>
      <c r="H102" s="517"/>
      <c r="I102" s="517"/>
    </row>
    <row r="103" spans="2:10" ht="25.5" x14ac:dyDescent="0.25">
      <c r="B103" s="539" t="s">
        <v>398</v>
      </c>
      <c r="C103" s="453" t="s">
        <v>827</v>
      </c>
      <c r="D103" s="534" t="s">
        <v>828</v>
      </c>
      <c r="E103" s="454" t="s">
        <v>769</v>
      </c>
      <c r="F103" s="454" t="s">
        <v>829</v>
      </c>
      <c r="G103" s="454" t="s">
        <v>830</v>
      </c>
      <c r="H103" s="222"/>
      <c r="I103" s="517"/>
    </row>
    <row r="104" spans="2:10" ht="38.25" x14ac:dyDescent="0.25">
      <c r="B104" s="491">
        <v>1</v>
      </c>
      <c r="C104" s="538" t="str">
        <f>C31</f>
        <v>ING. AGROINDUSTRIAL Y/O ING. EN INDUSTRIAS ALIMENTARIAS - JEFE DE PROYECTO</v>
      </c>
      <c r="D104" s="535">
        <f>+D31</f>
        <v>1</v>
      </c>
      <c r="E104" s="535">
        <f>+E31</f>
        <v>4</v>
      </c>
      <c r="F104" s="535">
        <f>+(F31+F50)*0.0675</f>
        <v>329.0625</v>
      </c>
      <c r="G104" s="456">
        <f>+D104*E104*F104</f>
        <v>1316.25</v>
      </c>
      <c r="H104" s="222"/>
      <c r="I104" s="517"/>
    </row>
    <row r="105" spans="2:10" ht="38.25" x14ac:dyDescent="0.25">
      <c r="B105" s="491">
        <v>2</v>
      </c>
      <c r="C105" s="538" t="str">
        <f t="shared" ref="C105:C114" si="13">C32</f>
        <v>ING. AGROINDUSTRIAL Y/O ING. EN INDUSTRIAS ALIMENTARIAS - ESPECIALISTA EN PROCESOS</v>
      </c>
      <c r="D105" s="535">
        <f t="shared" ref="D105:E114" si="14">+D32</f>
        <v>1</v>
      </c>
      <c r="E105" s="535">
        <f t="shared" si="14"/>
        <v>2</v>
      </c>
      <c r="F105" s="535">
        <f t="shared" ref="F105:F114" si="15">+(F32+F51)*0.0675</f>
        <v>292.5</v>
      </c>
      <c r="G105" s="456">
        <f t="shared" ref="G105:G114" si="16">+D105*E105*F105</f>
        <v>585</v>
      </c>
      <c r="H105" s="222"/>
      <c r="I105" s="517"/>
    </row>
    <row r="106" spans="2:10" x14ac:dyDescent="0.25">
      <c r="B106" s="491">
        <v>3</v>
      </c>
      <c r="C106" s="538" t="str">
        <f t="shared" si="13"/>
        <v xml:space="preserve">ARQUITECTO </v>
      </c>
      <c r="D106" s="535">
        <f t="shared" si="14"/>
        <v>1</v>
      </c>
      <c r="E106" s="535">
        <f t="shared" si="14"/>
        <v>2</v>
      </c>
      <c r="F106" s="535">
        <f t="shared" si="15"/>
        <v>292.5</v>
      </c>
      <c r="G106" s="456">
        <f t="shared" si="16"/>
        <v>585</v>
      </c>
      <c r="H106" s="222"/>
      <c r="I106" s="517"/>
    </row>
    <row r="107" spans="2:10" x14ac:dyDescent="0.25">
      <c r="B107" s="491">
        <v>4</v>
      </c>
      <c r="C107" s="538" t="str">
        <f t="shared" si="13"/>
        <v>ING. ESPECIALISTA EN ESTRUCTURAS</v>
      </c>
      <c r="D107" s="535">
        <f t="shared" si="14"/>
        <v>1</v>
      </c>
      <c r="E107" s="535">
        <f t="shared" si="14"/>
        <v>2</v>
      </c>
      <c r="F107" s="535">
        <f t="shared" si="15"/>
        <v>292.5</v>
      </c>
      <c r="G107" s="456">
        <f t="shared" si="16"/>
        <v>585</v>
      </c>
      <c r="H107" s="222"/>
      <c r="I107" s="517"/>
    </row>
    <row r="108" spans="2:10" ht="25.5" x14ac:dyDescent="0.25">
      <c r="B108" s="491">
        <v>5</v>
      </c>
      <c r="C108" s="538" t="str">
        <f t="shared" si="13"/>
        <v>ING. ESPECIALISTA EN INSTALACIONES SANITARIAS Y/O MECÁNICA DE FLUIDOS</v>
      </c>
      <c r="D108" s="535">
        <f t="shared" si="14"/>
        <v>1</v>
      </c>
      <c r="E108" s="535">
        <f t="shared" si="14"/>
        <v>1</v>
      </c>
      <c r="F108" s="535">
        <f t="shared" si="15"/>
        <v>292.5</v>
      </c>
      <c r="G108" s="456">
        <f t="shared" si="16"/>
        <v>292.5</v>
      </c>
      <c r="H108" s="222"/>
      <c r="I108" s="517"/>
    </row>
    <row r="109" spans="2:10" ht="25.5" x14ac:dyDescent="0.25">
      <c r="B109" s="491">
        <v>6</v>
      </c>
      <c r="C109" s="538" t="str">
        <f t="shared" si="13"/>
        <v>ING.ESPECIALISTA EN INSTALACIONES ELECTRICAS</v>
      </c>
      <c r="D109" s="535">
        <f t="shared" si="14"/>
        <v>1</v>
      </c>
      <c r="E109" s="535">
        <f t="shared" si="14"/>
        <v>1</v>
      </c>
      <c r="F109" s="535">
        <f t="shared" si="15"/>
        <v>292.5</v>
      </c>
      <c r="G109" s="456">
        <f t="shared" si="16"/>
        <v>292.5</v>
      </c>
      <c r="H109" s="222"/>
      <c r="I109" s="517"/>
    </row>
    <row r="110" spans="2:10" x14ac:dyDescent="0.25">
      <c r="B110" s="491">
        <v>7</v>
      </c>
      <c r="C110" s="538" t="str">
        <f t="shared" si="13"/>
        <v>ESPECIALISTA COSTOS Y PESUPUESTO</v>
      </c>
      <c r="D110" s="535">
        <f t="shared" si="14"/>
        <v>1</v>
      </c>
      <c r="E110" s="535">
        <f t="shared" si="14"/>
        <v>1</v>
      </c>
      <c r="F110" s="535">
        <f t="shared" si="15"/>
        <v>292.5</v>
      </c>
      <c r="G110" s="456">
        <f t="shared" si="16"/>
        <v>292.5</v>
      </c>
      <c r="H110" s="222"/>
      <c r="I110" s="517"/>
    </row>
    <row r="111" spans="2:10" ht="38.25" x14ac:dyDescent="0.25">
      <c r="B111" s="491">
        <v>8</v>
      </c>
      <c r="C111" s="538" t="str">
        <f t="shared" si="13"/>
        <v>ING. AGROINDUSTRIAL Y/O ING. EN INDUSTRIAS ALIMENTARIAS - ESPECIALISTA EN DISEÑO DE PLANTAS</v>
      </c>
      <c r="D111" s="535">
        <f t="shared" si="14"/>
        <v>1</v>
      </c>
      <c r="E111" s="535">
        <f t="shared" si="14"/>
        <v>2</v>
      </c>
      <c r="F111" s="535">
        <f t="shared" si="15"/>
        <v>292.5</v>
      </c>
      <c r="G111" s="456">
        <f t="shared" si="16"/>
        <v>585</v>
      </c>
      <c r="H111" s="222"/>
      <c r="I111" s="517"/>
    </row>
    <row r="112" spans="2:10" x14ac:dyDescent="0.25">
      <c r="B112" s="491">
        <v>9</v>
      </c>
      <c r="C112" s="538" t="str">
        <f t="shared" si="13"/>
        <v>TECNICO ESPECIALISTA EN AUTOCAD</v>
      </c>
      <c r="D112" s="535">
        <f t="shared" si="14"/>
        <v>1</v>
      </c>
      <c r="E112" s="535">
        <f t="shared" si="14"/>
        <v>2</v>
      </c>
      <c r="F112" s="535">
        <f t="shared" si="15"/>
        <v>197.4375</v>
      </c>
      <c r="G112" s="456">
        <f t="shared" si="16"/>
        <v>394.875</v>
      </c>
      <c r="H112" s="222"/>
      <c r="I112" s="517"/>
    </row>
    <row r="113" spans="2:9" x14ac:dyDescent="0.25">
      <c r="B113" s="491">
        <v>10</v>
      </c>
      <c r="C113" s="538" t="str">
        <f t="shared" si="13"/>
        <v>TOPOGRAFO</v>
      </c>
      <c r="D113" s="535">
        <f t="shared" si="14"/>
        <v>1</v>
      </c>
      <c r="E113" s="535">
        <f t="shared" si="14"/>
        <v>0.5</v>
      </c>
      <c r="F113" s="535">
        <f t="shared" si="15"/>
        <v>197.4375</v>
      </c>
      <c r="G113" s="456">
        <f t="shared" si="16"/>
        <v>98.71875</v>
      </c>
      <c r="H113" s="222"/>
      <c r="I113" s="517"/>
    </row>
    <row r="114" spans="2:9" x14ac:dyDescent="0.25">
      <c r="B114" s="491">
        <v>11</v>
      </c>
      <c r="C114" s="538" t="str">
        <f t="shared" si="13"/>
        <v>ASISTENTE ADMINISTRATIVO</v>
      </c>
      <c r="D114" s="535">
        <f t="shared" si="14"/>
        <v>1</v>
      </c>
      <c r="E114" s="535">
        <f t="shared" si="14"/>
        <v>4</v>
      </c>
      <c r="F114" s="535">
        <f t="shared" si="15"/>
        <v>175.5</v>
      </c>
      <c r="G114" s="456">
        <f t="shared" si="16"/>
        <v>702</v>
      </c>
      <c r="H114" s="222"/>
      <c r="I114" s="517"/>
    </row>
    <row r="115" spans="2:9" ht="15" customHeight="1" x14ac:dyDescent="0.25">
      <c r="B115" s="1769" t="s">
        <v>44</v>
      </c>
      <c r="C115" s="1770"/>
      <c r="D115" s="1770"/>
      <c r="E115" s="1770"/>
      <c r="F115" s="1771"/>
      <c r="G115" s="487">
        <f>SUM(G104:G114)</f>
        <v>5729.34375</v>
      </c>
      <c r="H115" s="222"/>
      <c r="I115" s="517"/>
    </row>
    <row r="116" spans="2:9" x14ac:dyDescent="0.25">
      <c r="B116" s="497"/>
      <c r="C116" s="516"/>
      <c r="D116" s="516"/>
      <c r="E116" s="517"/>
      <c r="F116" s="518"/>
      <c r="G116" s="518"/>
      <c r="H116" s="517"/>
      <c r="I116" s="517"/>
    </row>
    <row r="117" spans="2:9" x14ac:dyDescent="0.25">
      <c r="B117" s="497"/>
      <c r="C117" s="516"/>
      <c r="D117" s="516"/>
      <c r="E117" s="517"/>
      <c r="F117" s="518"/>
      <c r="G117" s="518"/>
      <c r="H117" s="517"/>
      <c r="I117" s="517"/>
    </row>
    <row r="118" spans="2:9" x14ac:dyDescent="0.25">
      <c r="B118" s="479"/>
      <c r="C118" s="473" t="s">
        <v>845</v>
      </c>
      <c r="D118" s="473"/>
      <c r="E118" s="474"/>
      <c r="F118" s="475"/>
      <c r="G118" s="475"/>
      <c r="H118" s="476" t="s">
        <v>797</v>
      </c>
      <c r="I118" s="477">
        <f>+G132</f>
        <v>7639.125</v>
      </c>
    </row>
    <row r="119" spans="2:9" x14ac:dyDescent="0.25">
      <c r="B119" s="461"/>
      <c r="C119" s="473"/>
      <c r="D119" s="473"/>
      <c r="E119" s="474"/>
      <c r="F119" s="475"/>
      <c r="G119" s="475"/>
      <c r="H119" s="517"/>
      <c r="I119" s="517"/>
    </row>
    <row r="120" spans="2:9" ht="25.5" x14ac:dyDescent="0.25">
      <c r="B120" s="539" t="s">
        <v>398</v>
      </c>
      <c r="C120" s="453" t="s">
        <v>827</v>
      </c>
      <c r="D120" s="534" t="s">
        <v>828</v>
      </c>
      <c r="E120" s="454" t="s">
        <v>769</v>
      </c>
      <c r="F120" s="454" t="s">
        <v>829</v>
      </c>
      <c r="G120" s="454" t="s">
        <v>830</v>
      </c>
      <c r="I120" s="517"/>
    </row>
    <row r="121" spans="2:9" ht="38.25" x14ac:dyDescent="0.25">
      <c r="B121" s="491">
        <v>1</v>
      </c>
      <c r="C121" s="538" t="str">
        <f>C31</f>
        <v>ING. AGROINDUSTRIAL Y/O ING. EN INDUSTRIAS ALIMENTARIAS - JEFE DE PROYECTO</v>
      </c>
      <c r="D121" s="535">
        <f>+D31</f>
        <v>1</v>
      </c>
      <c r="E121" s="535">
        <f>+E31</f>
        <v>4</v>
      </c>
      <c r="F121" s="535">
        <f>+(F31+F50)*0.09</f>
        <v>438.75</v>
      </c>
      <c r="G121" s="456">
        <f>+D121*E121*F121</f>
        <v>1755</v>
      </c>
      <c r="I121" s="517"/>
    </row>
    <row r="122" spans="2:9" ht="38.25" x14ac:dyDescent="0.25">
      <c r="B122" s="491">
        <v>2</v>
      </c>
      <c r="C122" s="538" t="str">
        <f t="shared" ref="C122:C131" si="17">C32</f>
        <v>ING. AGROINDUSTRIAL Y/O ING. EN INDUSTRIAS ALIMENTARIAS - ESPECIALISTA EN PROCESOS</v>
      </c>
      <c r="D122" s="535">
        <f t="shared" ref="D122:E131" si="18">+D32</f>
        <v>1</v>
      </c>
      <c r="E122" s="535">
        <f t="shared" si="18"/>
        <v>2</v>
      </c>
      <c r="F122" s="535">
        <f t="shared" ref="F122:F131" si="19">+(F32+F51)*0.09</f>
        <v>389.99999999999994</v>
      </c>
      <c r="G122" s="456">
        <f t="shared" ref="G122:G131" si="20">+D122*E122*F122</f>
        <v>779.99999999999989</v>
      </c>
      <c r="I122" s="517"/>
    </row>
    <row r="123" spans="2:9" x14ac:dyDescent="0.25">
      <c r="B123" s="491">
        <v>3</v>
      </c>
      <c r="C123" s="538" t="str">
        <f t="shared" si="17"/>
        <v xml:space="preserve">ARQUITECTO </v>
      </c>
      <c r="D123" s="535">
        <f t="shared" si="18"/>
        <v>1</v>
      </c>
      <c r="E123" s="535">
        <f t="shared" si="18"/>
        <v>2</v>
      </c>
      <c r="F123" s="535">
        <f t="shared" si="19"/>
        <v>389.99999999999994</v>
      </c>
      <c r="G123" s="456">
        <f t="shared" si="20"/>
        <v>779.99999999999989</v>
      </c>
      <c r="I123" s="517"/>
    </row>
    <row r="124" spans="2:9" x14ac:dyDescent="0.25">
      <c r="B124" s="491">
        <v>4</v>
      </c>
      <c r="C124" s="538" t="str">
        <f t="shared" si="17"/>
        <v>ING. ESPECIALISTA EN ESTRUCTURAS</v>
      </c>
      <c r="D124" s="535">
        <f t="shared" si="18"/>
        <v>1</v>
      </c>
      <c r="E124" s="535">
        <f t="shared" si="18"/>
        <v>2</v>
      </c>
      <c r="F124" s="535">
        <f t="shared" si="19"/>
        <v>389.99999999999994</v>
      </c>
      <c r="G124" s="456">
        <f t="shared" si="20"/>
        <v>779.99999999999989</v>
      </c>
      <c r="I124" s="517"/>
    </row>
    <row r="125" spans="2:9" ht="25.5" x14ac:dyDescent="0.25">
      <c r="B125" s="491">
        <v>5</v>
      </c>
      <c r="C125" s="538" t="str">
        <f t="shared" si="17"/>
        <v>ING. ESPECIALISTA EN INSTALACIONES SANITARIAS Y/O MECÁNICA DE FLUIDOS</v>
      </c>
      <c r="D125" s="535">
        <f t="shared" si="18"/>
        <v>1</v>
      </c>
      <c r="E125" s="535">
        <f t="shared" si="18"/>
        <v>1</v>
      </c>
      <c r="F125" s="535">
        <f t="shared" si="19"/>
        <v>389.99999999999994</v>
      </c>
      <c r="G125" s="456">
        <f t="shared" si="20"/>
        <v>389.99999999999994</v>
      </c>
      <c r="I125" s="517"/>
    </row>
    <row r="126" spans="2:9" ht="25.5" x14ac:dyDescent="0.25">
      <c r="B126" s="491">
        <v>6</v>
      </c>
      <c r="C126" s="538" t="str">
        <f t="shared" si="17"/>
        <v>ING.ESPECIALISTA EN INSTALACIONES ELECTRICAS</v>
      </c>
      <c r="D126" s="535">
        <f t="shared" si="18"/>
        <v>1</v>
      </c>
      <c r="E126" s="535">
        <f t="shared" si="18"/>
        <v>1</v>
      </c>
      <c r="F126" s="535">
        <f t="shared" si="19"/>
        <v>389.99999999999994</v>
      </c>
      <c r="G126" s="456">
        <f t="shared" si="20"/>
        <v>389.99999999999994</v>
      </c>
      <c r="I126" s="517"/>
    </row>
    <row r="127" spans="2:9" x14ac:dyDescent="0.25">
      <c r="B127" s="491">
        <v>7</v>
      </c>
      <c r="C127" s="538" t="str">
        <f t="shared" si="17"/>
        <v>ESPECIALISTA COSTOS Y PESUPUESTO</v>
      </c>
      <c r="D127" s="535">
        <f t="shared" si="18"/>
        <v>1</v>
      </c>
      <c r="E127" s="535">
        <f t="shared" si="18"/>
        <v>1</v>
      </c>
      <c r="F127" s="535">
        <f t="shared" si="19"/>
        <v>389.99999999999994</v>
      </c>
      <c r="G127" s="456">
        <f t="shared" si="20"/>
        <v>389.99999999999994</v>
      </c>
      <c r="I127" s="517"/>
    </row>
    <row r="128" spans="2:9" ht="38.25" x14ac:dyDescent="0.25">
      <c r="B128" s="491">
        <v>8</v>
      </c>
      <c r="C128" s="538" t="str">
        <f t="shared" si="17"/>
        <v>ING. AGROINDUSTRIAL Y/O ING. EN INDUSTRIAS ALIMENTARIAS - ESPECIALISTA EN DISEÑO DE PLANTAS</v>
      </c>
      <c r="D128" s="535">
        <f t="shared" si="18"/>
        <v>1</v>
      </c>
      <c r="E128" s="535">
        <f t="shared" si="18"/>
        <v>2</v>
      </c>
      <c r="F128" s="535">
        <f t="shared" si="19"/>
        <v>389.99999999999994</v>
      </c>
      <c r="G128" s="456">
        <f t="shared" si="20"/>
        <v>779.99999999999989</v>
      </c>
      <c r="I128" s="517"/>
    </row>
    <row r="129" spans="2:9" x14ac:dyDescent="0.25">
      <c r="B129" s="491">
        <v>9</v>
      </c>
      <c r="C129" s="538" t="str">
        <f t="shared" si="17"/>
        <v>TECNICO ESPECIALISTA EN AUTOCAD</v>
      </c>
      <c r="D129" s="535">
        <f t="shared" si="18"/>
        <v>1</v>
      </c>
      <c r="E129" s="535">
        <f t="shared" si="18"/>
        <v>2</v>
      </c>
      <c r="F129" s="535">
        <f t="shared" si="19"/>
        <v>263.25</v>
      </c>
      <c r="G129" s="456">
        <f t="shared" si="20"/>
        <v>526.5</v>
      </c>
      <c r="I129" s="517"/>
    </row>
    <row r="130" spans="2:9" x14ac:dyDescent="0.25">
      <c r="B130" s="491">
        <v>10</v>
      </c>
      <c r="C130" s="538" t="str">
        <f t="shared" si="17"/>
        <v>TOPOGRAFO</v>
      </c>
      <c r="D130" s="535">
        <f t="shared" si="18"/>
        <v>1</v>
      </c>
      <c r="E130" s="535">
        <f t="shared" si="18"/>
        <v>0.5</v>
      </c>
      <c r="F130" s="535">
        <f t="shared" si="19"/>
        <v>263.25</v>
      </c>
      <c r="G130" s="456">
        <f t="shared" si="20"/>
        <v>131.625</v>
      </c>
      <c r="I130" s="517"/>
    </row>
    <row r="131" spans="2:9" x14ac:dyDescent="0.25">
      <c r="B131" s="491">
        <v>11</v>
      </c>
      <c r="C131" s="538" t="str">
        <f t="shared" si="17"/>
        <v>ASISTENTE ADMINISTRATIVO</v>
      </c>
      <c r="D131" s="535">
        <f t="shared" si="18"/>
        <v>1</v>
      </c>
      <c r="E131" s="535">
        <f t="shared" si="18"/>
        <v>4</v>
      </c>
      <c r="F131" s="535">
        <f t="shared" si="19"/>
        <v>234</v>
      </c>
      <c r="G131" s="456">
        <f t="shared" si="20"/>
        <v>936</v>
      </c>
      <c r="I131" s="517"/>
    </row>
    <row r="132" spans="2:9" ht="15" customHeight="1" x14ac:dyDescent="0.25">
      <c r="B132" s="1772" t="s">
        <v>44</v>
      </c>
      <c r="C132" s="1772"/>
      <c r="D132" s="1772"/>
      <c r="E132" s="1772"/>
      <c r="F132" s="1772"/>
      <c r="G132" s="487">
        <f>SUM(G121:G131)</f>
        <v>7639.125</v>
      </c>
      <c r="I132" s="517"/>
    </row>
    <row r="133" spans="2:9" x14ac:dyDescent="0.25">
      <c r="B133" s="497"/>
      <c r="C133" s="516"/>
      <c r="D133" s="516"/>
      <c r="E133" s="517"/>
      <c r="F133" s="518"/>
      <c r="G133" s="518"/>
      <c r="H133" s="517"/>
      <c r="I133" s="517"/>
    </row>
    <row r="134" spans="2:9" x14ac:dyDescent="0.25">
      <c r="B134" s="439" t="s">
        <v>846</v>
      </c>
      <c r="C134" s="440" t="s">
        <v>847</v>
      </c>
      <c r="D134" s="440"/>
      <c r="E134" s="441"/>
      <c r="F134" s="511"/>
      <c r="G134" s="512"/>
      <c r="H134" s="444" t="s">
        <v>797</v>
      </c>
      <c r="I134" s="445">
        <f>I136+I144</f>
        <v>15939</v>
      </c>
    </row>
    <row r="135" spans="2:9" x14ac:dyDescent="0.25">
      <c r="B135" s="481"/>
      <c r="C135" s="482"/>
      <c r="D135" s="478"/>
      <c r="E135" s="478"/>
      <c r="F135" s="524"/>
      <c r="G135" s="519"/>
      <c r="H135" s="519"/>
    </row>
    <row r="136" spans="2:9" x14ac:dyDescent="0.25">
      <c r="B136" s="446" t="s">
        <v>848</v>
      </c>
      <c r="C136" s="447" t="s">
        <v>849</v>
      </c>
      <c r="D136" s="447"/>
      <c r="E136" s="448"/>
      <c r="F136" s="515"/>
      <c r="G136" s="515"/>
      <c r="H136" s="450" t="s">
        <v>797</v>
      </c>
      <c r="I136" s="451">
        <f>+G142</f>
        <v>6735</v>
      </c>
    </row>
    <row r="137" spans="2:9" x14ac:dyDescent="0.25">
      <c r="B137" s="522"/>
      <c r="C137" s="523"/>
      <c r="D137" s="519"/>
      <c r="E137" s="519"/>
      <c r="F137" s="524"/>
      <c r="G137" s="519"/>
      <c r="H137" s="519"/>
    </row>
    <row r="138" spans="2:9" x14ac:dyDescent="0.25">
      <c r="B138" s="539" t="s">
        <v>398</v>
      </c>
      <c r="C138" s="453" t="s">
        <v>649</v>
      </c>
      <c r="D138" s="454" t="s">
        <v>850</v>
      </c>
      <c r="E138" s="454" t="s">
        <v>650</v>
      </c>
      <c r="F138" s="454" t="s">
        <v>851</v>
      </c>
      <c r="G138" s="454" t="s">
        <v>830</v>
      </c>
      <c r="H138" s="222"/>
      <c r="I138" s="517"/>
    </row>
    <row r="139" spans="2:9" x14ac:dyDescent="0.25">
      <c r="B139" s="491">
        <v>1</v>
      </c>
      <c r="C139" s="538" t="s">
        <v>852</v>
      </c>
      <c r="D139" s="535" t="s">
        <v>853</v>
      </c>
      <c r="E139" s="540">
        <v>11</v>
      </c>
      <c r="F139" s="535">
        <v>350</v>
      </c>
      <c r="G139" s="456">
        <f>+E139*F139</f>
        <v>3850</v>
      </c>
      <c r="H139" s="222"/>
      <c r="I139" s="525"/>
    </row>
    <row r="140" spans="2:9" ht="25.5" x14ac:dyDescent="0.25">
      <c r="B140" s="491">
        <v>2</v>
      </c>
      <c r="C140" s="538" t="s">
        <v>854</v>
      </c>
      <c r="D140" s="535" t="s">
        <v>855</v>
      </c>
      <c r="E140" s="540">
        <v>11</v>
      </c>
      <c r="F140" s="535">
        <v>35</v>
      </c>
      <c r="G140" s="456">
        <f>+E140*F140</f>
        <v>385</v>
      </c>
      <c r="H140" s="222"/>
      <c r="I140" s="525"/>
    </row>
    <row r="141" spans="2:9" x14ac:dyDescent="0.25">
      <c r="B141" s="491">
        <v>3</v>
      </c>
      <c r="C141" s="538" t="s">
        <v>856</v>
      </c>
      <c r="D141" s="535" t="s">
        <v>857</v>
      </c>
      <c r="E141" s="540">
        <v>1</v>
      </c>
      <c r="F141" s="535">
        <v>2500</v>
      </c>
      <c r="G141" s="456">
        <f>+E141*F141</f>
        <v>2500</v>
      </c>
      <c r="H141" s="222"/>
      <c r="I141" s="525"/>
    </row>
    <row r="142" spans="2:9" ht="15" customHeight="1" x14ac:dyDescent="0.25">
      <c r="B142" s="1776" t="s">
        <v>44</v>
      </c>
      <c r="C142" s="1776"/>
      <c r="D142" s="1776"/>
      <c r="E142" s="1776"/>
      <c r="F142" s="1776"/>
      <c r="G142" s="457">
        <f>SUM(G139:G141)</f>
        <v>6735</v>
      </c>
      <c r="H142" s="222"/>
      <c r="I142" s="517"/>
    </row>
    <row r="143" spans="2:9" x14ac:dyDescent="0.25">
      <c r="B143" s="500"/>
      <c r="C143" s="517"/>
      <c r="D143" s="517"/>
      <c r="E143" s="518"/>
      <c r="F143" s="518"/>
      <c r="G143" s="518"/>
      <c r="H143" s="517"/>
      <c r="I143" s="517"/>
    </row>
    <row r="144" spans="2:9" x14ac:dyDescent="0.25">
      <c r="B144" s="446" t="s">
        <v>858</v>
      </c>
      <c r="C144" s="447" t="s">
        <v>859</v>
      </c>
      <c r="D144" s="447"/>
      <c r="E144" s="448"/>
      <c r="F144" s="449"/>
      <c r="G144" s="449"/>
      <c r="H144" s="450" t="s">
        <v>797</v>
      </c>
      <c r="I144" s="451">
        <f>I146+I156+I163++I186</f>
        <v>9204</v>
      </c>
    </row>
    <row r="145" spans="2:9" x14ac:dyDescent="0.25">
      <c r="B145" s="461"/>
      <c r="C145" s="480"/>
      <c r="D145" s="480"/>
      <c r="E145" s="474"/>
      <c r="F145" s="475"/>
      <c r="G145" s="484"/>
      <c r="H145" s="527"/>
      <c r="I145" s="516"/>
    </row>
    <row r="146" spans="2:9" x14ac:dyDescent="0.25">
      <c r="B146" s="469"/>
      <c r="C146" s="480" t="s">
        <v>860</v>
      </c>
      <c r="D146" s="480"/>
      <c r="E146" s="474"/>
      <c r="F146" s="475"/>
      <c r="G146" s="475"/>
      <c r="H146" s="476" t="s">
        <v>797</v>
      </c>
      <c r="I146" s="477">
        <f>+G154</f>
        <v>181.5</v>
      </c>
    </row>
    <row r="147" spans="2:9" x14ac:dyDescent="0.25">
      <c r="B147" s="461"/>
      <c r="C147" s="480"/>
      <c r="D147" s="480"/>
      <c r="E147" s="474"/>
      <c r="F147" s="475"/>
      <c r="G147" s="475"/>
      <c r="H147" s="517"/>
      <c r="I147" s="517"/>
    </row>
    <row r="148" spans="2:9" x14ac:dyDescent="0.25">
      <c r="B148" s="539" t="s">
        <v>398</v>
      </c>
      <c r="C148" s="453" t="s">
        <v>649</v>
      </c>
      <c r="D148" s="454" t="s">
        <v>850</v>
      </c>
      <c r="E148" s="454" t="s">
        <v>650</v>
      </c>
      <c r="F148" s="454" t="s">
        <v>851</v>
      </c>
      <c r="G148" s="454" t="s">
        <v>830</v>
      </c>
      <c r="H148" s="222"/>
      <c r="I148" s="517"/>
    </row>
    <row r="149" spans="2:9" x14ac:dyDescent="0.25">
      <c r="B149" s="491">
        <v>1</v>
      </c>
      <c r="C149" s="456" t="s">
        <v>861</v>
      </c>
      <c r="D149" s="535" t="s">
        <v>862</v>
      </c>
      <c r="E149" s="540">
        <v>11</v>
      </c>
      <c r="F149" s="535">
        <v>1.5</v>
      </c>
      <c r="G149" s="536">
        <f>+E149*F149</f>
        <v>16.5</v>
      </c>
      <c r="H149" s="222"/>
      <c r="I149" s="517"/>
    </row>
    <row r="150" spans="2:9" x14ac:dyDescent="0.25">
      <c r="B150" s="491">
        <v>2</v>
      </c>
      <c r="C150" s="456" t="s">
        <v>863</v>
      </c>
      <c r="D150" s="535" t="s">
        <v>864</v>
      </c>
      <c r="E150" s="540">
        <v>4</v>
      </c>
      <c r="F150" s="535">
        <v>6</v>
      </c>
      <c r="G150" s="536">
        <f>+E150*F150</f>
        <v>24</v>
      </c>
      <c r="H150" s="222"/>
      <c r="I150" s="517"/>
    </row>
    <row r="151" spans="2:9" x14ac:dyDescent="0.25">
      <c r="B151" s="491">
        <v>3</v>
      </c>
      <c r="C151" s="456" t="s">
        <v>865</v>
      </c>
      <c r="D151" s="535" t="s">
        <v>866</v>
      </c>
      <c r="E151" s="540">
        <v>11</v>
      </c>
      <c r="F151" s="535">
        <v>5</v>
      </c>
      <c r="G151" s="536">
        <f>+E151*F151</f>
        <v>55</v>
      </c>
      <c r="H151" s="222"/>
      <c r="I151" s="517"/>
    </row>
    <row r="152" spans="2:9" x14ac:dyDescent="0.25">
      <c r="B152" s="491">
        <v>4</v>
      </c>
      <c r="C152" s="456" t="s">
        <v>867</v>
      </c>
      <c r="D152" s="535" t="s">
        <v>866</v>
      </c>
      <c r="E152" s="540">
        <v>11</v>
      </c>
      <c r="F152" s="535">
        <v>2</v>
      </c>
      <c r="G152" s="536">
        <f>+E152*F152</f>
        <v>22</v>
      </c>
      <c r="H152" s="222"/>
      <c r="I152" s="517"/>
    </row>
    <row r="153" spans="2:9" x14ac:dyDescent="0.25">
      <c r="B153" s="491">
        <v>5</v>
      </c>
      <c r="C153" s="456" t="s">
        <v>868</v>
      </c>
      <c r="D153" s="535" t="s">
        <v>864</v>
      </c>
      <c r="E153" s="540">
        <v>4</v>
      </c>
      <c r="F153" s="535">
        <v>16</v>
      </c>
      <c r="G153" s="536">
        <f>+E153*F153</f>
        <v>64</v>
      </c>
      <c r="H153" s="222"/>
      <c r="I153" s="517"/>
    </row>
    <row r="154" spans="2:9" ht="15" customHeight="1" x14ac:dyDescent="0.25">
      <c r="B154" s="1776" t="s">
        <v>44</v>
      </c>
      <c r="C154" s="1776"/>
      <c r="D154" s="1776"/>
      <c r="E154" s="1776"/>
      <c r="F154" s="1776"/>
      <c r="G154" s="457">
        <f>SUM(G149:G153)</f>
        <v>181.5</v>
      </c>
      <c r="H154" s="222"/>
      <c r="I154" s="517"/>
    </row>
    <row r="155" spans="2:9" x14ac:dyDescent="0.25">
      <c r="B155" s="500" t="s">
        <v>422</v>
      </c>
      <c r="C155" s="528"/>
      <c r="D155" s="528"/>
      <c r="E155" s="517"/>
      <c r="F155" s="518"/>
      <c r="G155" s="518"/>
      <c r="H155" s="517"/>
      <c r="I155" s="517"/>
    </row>
    <row r="156" spans="2:9" x14ac:dyDescent="0.25">
      <c r="B156" s="510"/>
      <c r="C156" s="480" t="s">
        <v>869</v>
      </c>
      <c r="D156" s="480"/>
      <c r="E156" s="474"/>
      <c r="F156" s="475"/>
      <c r="G156" s="475"/>
      <c r="H156" s="476" t="s">
        <v>797</v>
      </c>
      <c r="I156" s="477">
        <f>+G161</f>
        <v>220</v>
      </c>
    </row>
    <row r="157" spans="2:9" x14ac:dyDescent="0.25">
      <c r="B157" s="497"/>
      <c r="C157" s="480"/>
      <c r="D157" s="480"/>
      <c r="E157" s="474"/>
      <c r="F157" s="475"/>
      <c r="G157" s="475"/>
      <c r="H157" s="517"/>
      <c r="I157" s="517"/>
    </row>
    <row r="158" spans="2:9" x14ac:dyDescent="0.25">
      <c r="B158" s="539" t="s">
        <v>398</v>
      </c>
      <c r="C158" s="453" t="s">
        <v>649</v>
      </c>
      <c r="D158" s="454" t="s">
        <v>850</v>
      </c>
      <c r="E158" s="454" t="s">
        <v>650</v>
      </c>
      <c r="F158" s="454" t="s">
        <v>851</v>
      </c>
      <c r="G158" s="454" t="s">
        <v>830</v>
      </c>
      <c r="H158" s="222"/>
      <c r="I158" s="517"/>
    </row>
    <row r="159" spans="2:9" x14ac:dyDescent="0.25">
      <c r="B159" s="491">
        <v>1</v>
      </c>
      <c r="C159" s="541" t="s">
        <v>870</v>
      </c>
      <c r="D159" s="535" t="s">
        <v>855</v>
      </c>
      <c r="E159" s="535">
        <v>2</v>
      </c>
      <c r="F159" s="535">
        <v>50</v>
      </c>
      <c r="G159" s="456">
        <f>F159*E159</f>
        <v>100</v>
      </c>
      <c r="H159" s="222"/>
      <c r="I159" s="517"/>
    </row>
    <row r="160" spans="2:9" x14ac:dyDescent="0.25">
      <c r="B160" s="491">
        <v>2</v>
      </c>
      <c r="C160" s="456" t="s">
        <v>871</v>
      </c>
      <c r="D160" s="535" t="s">
        <v>855</v>
      </c>
      <c r="E160" s="535">
        <v>2</v>
      </c>
      <c r="F160" s="535">
        <v>60</v>
      </c>
      <c r="G160" s="536">
        <f>+E160*F160</f>
        <v>120</v>
      </c>
      <c r="H160" s="222"/>
      <c r="I160" s="517"/>
    </row>
    <row r="161" spans="2:9" ht="15" customHeight="1" x14ac:dyDescent="0.25">
      <c r="B161" s="1772" t="s">
        <v>44</v>
      </c>
      <c r="C161" s="1772"/>
      <c r="D161" s="1772"/>
      <c r="E161" s="1772"/>
      <c r="F161" s="1772"/>
      <c r="G161" s="487">
        <f>SUM(G159:G160)</f>
        <v>220</v>
      </c>
      <c r="H161" s="222"/>
      <c r="I161" s="517"/>
    </row>
    <row r="162" spans="2:9" x14ac:dyDescent="0.25">
      <c r="B162" s="500"/>
      <c r="C162" s="526"/>
      <c r="D162" s="526"/>
      <c r="E162" s="526"/>
      <c r="F162" s="526"/>
      <c r="G162" s="526"/>
      <c r="H162" s="528"/>
      <c r="I162" s="517"/>
    </row>
    <row r="163" spans="2:9" x14ac:dyDescent="0.25">
      <c r="B163" s="510"/>
      <c r="C163" s="480" t="s">
        <v>723</v>
      </c>
      <c r="D163" s="521"/>
      <c r="E163" s="517"/>
      <c r="F163" s="518"/>
      <c r="G163" s="518"/>
      <c r="H163" s="476" t="s">
        <v>797</v>
      </c>
      <c r="I163" s="477">
        <f>+G184</f>
        <v>3802.5</v>
      </c>
    </row>
    <row r="164" spans="2:9" x14ac:dyDescent="0.25">
      <c r="B164" s="497"/>
      <c r="C164" s="521"/>
      <c r="D164" s="521"/>
      <c r="E164" s="517"/>
      <c r="F164" s="518"/>
      <c r="G164" s="518"/>
      <c r="H164" s="517"/>
      <c r="I164" s="517"/>
    </row>
    <row r="165" spans="2:9" x14ac:dyDescent="0.25">
      <c r="B165" s="539" t="s">
        <v>398</v>
      </c>
      <c r="C165" s="453" t="s">
        <v>649</v>
      </c>
      <c r="D165" s="454" t="s">
        <v>850</v>
      </c>
      <c r="E165" s="454" t="s">
        <v>650</v>
      </c>
      <c r="F165" s="454" t="s">
        <v>851</v>
      </c>
      <c r="G165" s="454" t="s">
        <v>830</v>
      </c>
      <c r="H165" s="222"/>
      <c r="I165" s="517"/>
    </row>
    <row r="166" spans="2:9" x14ac:dyDescent="0.25">
      <c r="B166" s="491">
        <v>1</v>
      </c>
      <c r="C166" s="542" t="s">
        <v>872</v>
      </c>
      <c r="D166" s="544" t="s">
        <v>855</v>
      </c>
      <c r="E166" s="544">
        <v>20</v>
      </c>
      <c r="F166" s="544">
        <v>1</v>
      </c>
      <c r="G166" s="545">
        <f>+E166*F166</f>
        <v>20</v>
      </c>
      <c r="H166" s="222"/>
      <c r="I166" s="525"/>
    </row>
    <row r="167" spans="2:9" x14ac:dyDescent="0.25">
      <c r="B167" s="491">
        <v>2</v>
      </c>
      <c r="C167" s="542" t="s">
        <v>873</v>
      </c>
      <c r="D167" s="544" t="s">
        <v>855</v>
      </c>
      <c r="E167" s="544">
        <v>100</v>
      </c>
      <c r="F167" s="544">
        <v>1</v>
      </c>
      <c r="G167" s="545">
        <f t="shared" ref="G167:G183" si="21">+E167*F167</f>
        <v>100</v>
      </c>
      <c r="H167" s="222"/>
      <c r="I167" s="525"/>
    </row>
    <row r="168" spans="2:9" x14ac:dyDescent="0.25">
      <c r="B168" s="491">
        <v>3</v>
      </c>
      <c r="C168" s="542" t="s">
        <v>874</v>
      </c>
      <c r="D168" s="544" t="s">
        <v>855</v>
      </c>
      <c r="E168" s="544">
        <v>10</v>
      </c>
      <c r="F168" s="544">
        <v>2.5</v>
      </c>
      <c r="G168" s="545">
        <f t="shared" si="21"/>
        <v>25</v>
      </c>
      <c r="H168" s="222"/>
      <c r="I168" s="525"/>
    </row>
    <row r="169" spans="2:9" x14ac:dyDescent="0.25">
      <c r="B169" s="491">
        <v>4</v>
      </c>
      <c r="C169" s="542" t="s">
        <v>875</v>
      </c>
      <c r="D169" s="544" t="s">
        <v>855</v>
      </c>
      <c r="E169" s="544">
        <v>10</v>
      </c>
      <c r="F169" s="544">
        <v>3.5</v>
      </c>
      <c r="G169" s="545">
        <f t="shared" si="21"/>
        <v>35</v>
      </c>
      <c r="H169" s="222"/>
      <c r="I169" s="525"/>
    </row>
    <row r="170" spans="2:9" x14ac:dyDescent="0.25">
      <c r="B170" s="491">
        <v>5</v>
      </c>
      <c r="C170" s="542" t="s">
        <v>876</v>
      </c>
      <c r="D170" s="544" t="s">
        <v>855</v>
      </c>
      <c r="E170" s="544">
        <v>10</v>
      </c>
      <c r="F170" s="544">
        <v>10</v>
      </c>
      <c r="G170" s="545">
        <f t="shared" si="21"/>
        <v>100</v>
      </c>
      <c r="H170" s="222"/>
      <c r="I170" s="525"/>
    </row>
    <row r="171" spans="2:9" x14ac:dyDescent="0.25">
      <c r="B171" s="491">
        <v>6</v>
      </c>
      <c r="C171" s="542" t="s">
        <v>877</v>
      </c>
      <c r="D171" s="544" t="s">
        <v>855</v>
      </c>
      <c r="E171" s="544">
        <v>30</v>
      </c>
      <c r="F171" s="544">
        <v>1</v>
      </c>
      <c r="G171" s="545">
        <f t="shared" si="21"/>
        <v>30</v>
      </c>
      <c r="H171" s="222"/>
      <c r="I171" s="525"/>
    </row>
    <row r="172" spans="2:9" x14ac:dyDescent="0.25">
      <c r="B172" s="491">
        <v>7</v>
      </c>
      <c r="C172" s="542" t="s">
        <v>878</v>
      </c>
      <c r="D172" s="544" t="s">
        <v>855</v>
      </c>
      <c r="E172" s="544">
        <v>30</v>
      </c>
      <c r="F172" s="544">
        <v>0.2</v>
      </c>
      <c r="G172" s="545">
        <f t="shared" si="21"/>
        <v>6</v>
      </c>
      <c r="H172" s="222"/>
      <c r="I172" s="525"/>
    </row>
    <row r="173" spans="2:9" x14ac:dyDescent="0.25">
      <c r="B173" s="491">
        <v>8</v>
      </c>
      <c r="C173" s="542" t="s">
        <v>879</v>
      </c>
      <c r="D173" s="544" t="s">
        <v>855</v>
      </c>
      <c r="E173" s="544">
        <v>30</v>
      </c>
      <c r="F173" s="544">
        <v>0.5</v>
      </c>
      <c r="G173" s="545">
        <f t="shared" si="21"/>
        <v>15</v>
      </c>
      <c r="H173" s="222"/>
      <c r="I173" s="525"/>
    </row>
    <row r="174" spans="2:9" ht="25.5" x14ac:dyDescent="0.25">
      <c r="B174" s="491">
        <v>9</v>
      </c>
      <c r="C174" s="542" t="s">
        <v>880</v>
      </c>
      <c r="D174" s="544" t="s">
        <v>855</v>
      </c>
      <c r="E174" s="544">
        <v>30</v>
      </c>
      <c r="F174" s="544">
        <v>2</v>
      </c>
      <c r="G174" s="545">
        <f t="shared" si="21"/>
        <v>60</v>
      </c>
      <c r="H174" s="222"/>
      <c r="I174" s="525"/>
    </row>
    <row r="175" spans="2:9" x14ac:dyDescent="0.25">
      <c r="B175" s="491">
        <v>10</v>
      </c>
      <c r="C175" s="542" t="s">
        <v>881</v>
      </c>
      <c r="D175" s="544" t="s">
        <v>855</v>
      </c>
      <c r="E175" s="544">
        <v>10</v>
      </c>
      <c r="F175" s="544">
        <v>3.5</v>
      </c>
      <c r="G175" s="545">
        <f t="shared" si="21"/>
        <v>35</v>
      </c>
      <c r="H175" s="222"/>
      <c r="I175" s="525"/>
    </row>
    <row r="176" spans="2:9" x14ac:dyDescent="0.25">
      <c r="B176" s="491">
        <v>11</v>
      </c>
      <c r="C176" s="542" t="s">
        <v>882</v>
      </c>
      <c r="D176" s="544" t="s">
        <v>883</v>
      </c>
      <c r="E176" s="544">
        <v>3</v>
      </c>
      <c r="F176" s="544">
        <v>30</v>
      </c>
      <c r="G176" s="545">
        <f t="shared" si="21"/>
        <v>90</v>
      </c>
      <c r="H176" s="222"/>
      <c r="I176" s="525"/>
    </row>
    <row r="177" spans="2:9" x14ac:dyDescent="0.25">
      <c r="B177" s="491">
        <v>12</v>
      </c>
      <c r="C177" s="542" t="s">
        <v>884</v>
      </c>
      <c r="D177" s="544" t="s">
        <v>885</v>
      </c>
      <c r="E177" s="544">
        <v>1</v>
      </c>
      <c r="F177" s="544">
        <v>180</v>
      </c>
      <c r="G177" s="545">
        <f t="shared" si="21"/>
        <v>180</v>
      </c>
      <c r="H177" s="222"/>
      <c r="I177" s="525"/>
    </row>
    <row r="178" spans="2:9" x14ac:dyDescent="0.25">
      <c r="B178" s="491">
        <v>13</v>
      </c>
      <c r="C178" s="542" t="s">
        <v>886</v>
      </c>
      <c r="D178" s="544" t="s">
        <v>855</v>
      </c>
      <c r="E178" s="544">
        <v>2</v>
      </c>
      <c r="F178" s="544">
        <v>4.5</v>
      </c>
      <c r="G178" s="545">
        <f t="shared" si="21"/>
        <v>9</v>
      </c>
      <c r="H178" s="222"/>
      <c r="I178" s="525"/>
    </row>
    <row r="179" spans="2:9" x14ac:dyDescent="0.25">
      <c r="B179" s="491">
        <v>14</v>
      </c>
      <c r="C179" s="542" t="s">
        <v>887</v>
      </c>
      <c r="D179" s="544" t="s">
        <v>855</v>
      </c>
      <c r="E179" s="544">
        <v>25</v>
      </c>
      <c r="F179" s="544">
        <v>0.5</v>
      </c>
      <c r="G179" s="545">
        <f t="shared" si="21"/>
        <v>12.5</v>
      </c>
      <c r="H179" s="222"/>
      <c r="I179" s="525"/>
    </row>
    <row r="180" spans="2:9" ht="25.5" x14ac:dyDescent="0.25">
      <c r="B180" s="491">
        <v>15</v>
      </c>
      <c r="C180" s="542" t="s">
        <v>888</v>
      </c>
      <c r="D180" s="544" t="s">
        <v>855</v>
      </c>
      <c r="E180" s="544">
        <v>5</v>
      </c>
      <c r="F180" s="544">
        <v>5</v>
      </c>
      <c r="G180" s="545">
        <f t="shared" si="21"/>
        <v>25</v>
      </c>
      <c r="H180" s="222"/>
      <c r="I180" s="525"/>
    </row>
    <row r="181" spans="2:9" x14ac:dyDescent="0.25">
      <c r="B181" s="491">
        <v>16</v>
      </c>
      <c r="C181" s="542" t="s">
        <v>889</v>
      </c>
      <c r="D181" s="544" t="s">
        <v>855</v>
      </c>
      <c r="E181" s="544">
        <v>2</v>
      </c>
      <c r="F181" s="544">
        <v>5</v>
      </c>
      <c r="G181" s="545">
        <f t="shared" si="21"/>
        <v>10</v>
      </c>
      <c r="H181" s="222"/>
      <c r="I181" s="525"/>
    </row>
    <row r="182" spans="2:9" x14ac:dyDescent="0.25">
      <c r="B182" s="491">
        <v>17</v>
      </c>
      <c r="C182" s="542" t="s">
        <v>890</v>
      </c>
      <c r="D182" s="544" t="s">
        <v>855</v>
      </c>
      <c r="E182" s="544">
        <v>1</v>
      </c>
      <c r="F182" s="544">
        <v>350</v>
      </c>
      <c r="G182" s="545">
        <f t="shared" si="21"/>
        <v>350</v>
      </c>
      <c r="H182" s="222"/>
      <c r="I182" s="525"/>
    </row>
    <row r="183" spans="2:9" x14ac:dyDescent="0.25">
      <c r="B183" s="491">
        <v>18</v>
      </c>
      <c r="C183" s="542" t="s">
        <v>891</v>
      </c>
      <c r="D183" s="544" t="s">
        <v>855</v>
      </c>
      <c r="E183" s="544">
        <v>3</v>
      </c>
      <c r="F183" s="544">
        <v>900</v>
      </c>
      <c r="G183" s="545">
        <f t="shared" si="21"/>
        <v>2700</v>
      </c>
      <c r="H183" s="222"/>
      <c r="I183" s="525"/>
    </row>
    <row r="184" spans="2:9" ht="15" customHeight="1" x14ac:dyDescent="0.25">
      <c r="B184" s="1772" t="s">
        <v>44</v>
      </c>
      <c r="C184" s="1772"/>
      <c r="D184" s="1772"/>
      <c r="E184" s="1772"/>
      <c r="F184" s="1772"/>
      <c r="G184" s="487">
        <f>SUM(G166:G183)</f>
        <v>3802.5</v>
      </c>
      <c r="H184" s="222"/>
      <c r="I184" s="517"/>
    </row>
    <row r="185" spans="2:9" x14ac:dyDescent="0.25">
      <c r="B185" s="500"/>
      <c r="C185" s="526"/>
      <c r="D185" s="526"/>
      <c r="E185" s="526"/>
      <c r="F185" s="526"/>
      <c r="G185" s="526"/>
      <c r="H185" s="517"/>
      <c r="I185" s="517"/>
    </row>
    <row r="186" spans="2:9" x14ac:dyDescent="0.25">
      <c r="B186" s="510"/>
      <c r="C186" s="480" t="s">
        <v>892</v>
      </c>
      <c r="D186" s="480"/>
      <c r="E186" s="474"/>
      <c r="F186" s="475"/>
      <c r="G186" s="475"/>
      <c r="H186" s="476" t="s">
        <v>797</v>
      </c>
      <c r="I186" s="477">
        <f>+G190</f>
        <v>5000</v>
      </c>
    </row>
    <row r="187" spans="2:9" x14ac:dyDescent="0.25">
      <c r="B187" s="510"/>
      <c r="C187" s="480"/>
      <c r="D187" s="480"/>
      <c r="E187" s="474"/>
      <c r="F187" s="475"/>
      <c r="G187" s="475"/>
      <c r="H187" s="474"/>
      <c r="I187" s="517"/>
    </row>
    <row r="188" spans="2:9" x14ac:dyDescent="0.25">
      <c r="B188" s="539" t="s">
        <v>398</v>
      </c>
      <c r="C188" s="453" t="s">
        <v>649</v>
      </c>
      <c r="D188" s="454" t="s">
        <v>850</v>
      </c>
      <c r="E188" s="454" t="s">
        <v>650</v>
      </c>
      <c r="F188" s="454" t="s">
        <v>851</v>
      </c>
      <c r="G188" s="454" t="s">
        <v>830</v>
      </c>
      <c r="H188" s="222"/>
      <c r="I188" s="517"/>
    </row>
    <row r="189" spans="2:9" x14ac:dyDescent="0.25">
      <c r="B189" s="491">
        <v>1</v>
      </c>
      <c r="C189" s="485" t="s">
        <v>893</v>
      </c>
      <c r="D189" s="455" t="s">
        <v>857</v>
      </c>
      <c r="E189" s="455">
        <v>1</v>
      </c>
      <c r="F189" s="455">
        <v>5000</v>
      </c>
      <c r="G189" s="486">
        <f>F189*E189</f>
        <v>5000</v>
      </c>
      <c r="H189" s="222"/>
      <c r="I189" s="517"/>
    </row>
    <row r="190" spans="2:9" ht="15" customHeight="1" x14ac:dyDescent="0.25">
      <c r="B190" s="1769" t="s">
        <v>44</v>
      </c>
      <c r="C190" s="1770"/>
      <c r="D190" s="1770"/>
      <c r="E190" s="1770"/>
      <c r="F190" s="1771"/>
      <c r="G190" s="487">
        <f>SUM(G189:G189)</f>
        <v>5000</v>
      </c>
      <c r="H190" s="222"/>
      <c r="I190" s="517"/>
    </row>
    <row r="191" spans="2:9" x14ac:dyDescent="0.25">
      <c r="B191" s="500"/>
      <c r="C191" s="526"/>
      <c r="D191" s="526"/>
      <c r="E191" s="526"/>
      <c r="F191" s="526"/>
      <c r="G191" s="526"/>
      <c r="H191" s="517"/>
      <c r="I191" s="517"/>
    </row>
    <row r="192" spans="2:9" x14ac:dyDescent="0.25">
      <c r="B192" s="439" t="s">
        <v>894</v>
      </c>
      <c r="C192" s="440" t="s">
        <v>765</v>
      </c>
      <c r="D192" s="440"/>
      <c r="E192" s="441"/>
      <c r="F192" s="442"/>
      <c r="G192" s="443"/>
      <c r="H192" s="444" t="s">
        <v>797</v>
      </c>
      <c r="I192" s="445">
        <f>+I194+I208+I220</f>
        <v>48970</v>
      </c>
    </row>
    <row r="193" spans="2:9" x14ac:dyDescent="0.25">
      <c r="B193" s="461"/>
      <c r="C193" s="480"/>
      <c r="D193" s="480"/>
      <c r="E193" s="474"/>
      <c r="F193" s="475"/>
      <c r="G193" s="475"/>
      <c r="H193" s="517"/>
      <c r="I193" s="517"/>
    </row>
    <row r="194" spans="2:9" x14ac:dyDescent="0.25">
      <c r="B194" s="446" t="s">
        <v>895</v>
      </c>
      <c r="C194" s="447" t="s">
        <v>896</v>
      </c>
      <c r="D194" s="447"/>
      <c r="E194" s="448"/>
      <c r="F194" s="449"/>
      <c r="G194" s="449"/>
      <c r="H194" s="450" t="s">
        <v>797</v>
      </c>
      <c r="I194" s="451">
        <f>+G205</f>
        <v>19570</v>
      </c>
    </row>
    <row r="195" spans="2:9" x14ac:dyDescent="0.25">
      <c r="B195" s="461"/>
      <c r="C195" s="480"/>
      <c r="D195" s="480"/>
      <c r="E195" s="474"/>
      <c r="F195" s="475"/>
      <c r="G195" s="475"/>
      <c r="H195" s="517"/>
      <c r="I195" s="517"/>
    </row>
    <row r="196" spans="2:9" x14ac:dyDescent="0.25">
      <c r="B196" s="539" t="s">
        <v>398</v>
      </c>
      <c r="C196" s="454" t="s">
        <v>649</v>
      </c>
      <c r="D196" s="454" t="s">
        <v>850</v>
      </c>
      <c r="E196" s="454" t="s">
        <v>650</v>
      </c>
      <c r="F196" s="454" t="s">
        <v>851</v>
      </c>
      <c r="G196" s="454" t="s">
        <v>830</v>
      </c>
      <c r="H196" s="222"/>
      <c r="I196" s="517"/>
    </row>
    <row r="197" spans="2:9" ht="24" customHeight="1" x14ac:dyDescent="0.25">
      <c r="B197" s="491">
        <v>1</v>
      </c>
      <c r="C197" s="538" t="s">
        <v>1763</v>
      </c>
      <c r="D197" s="535" t="s">
        <v>897</v>
      </c>
      <c r="E197" s="535">
        <v>4</v>
      </c>
      <c r="F197" s="535">
        <v>800</v>
      </c>
      <c r="G197" s="536">
        <f>+E197*F197</f>
        <v>3200</v>
      </c>
      <c r="H197" s="222"/>
      <c r="I197" s="499"/>
    </row>
    <row r="198" spans="2:9" x14ac:dyDescent="0.25">
      <c r="B198" s="491">
        <v>2</v>
      </c>
      <c r="C198" s="538" t="s">
        <v>898</v>
      </c>
      <c r="D198" s="535" t="s">
        <v>897</v>
      </c>
      <c r="E198" s="535">
        <v>1</v>
      </c>
      <c r="F198" s="535">
        <v>4500</v>
      </c>
      <c r="G198" s="536">
        <f>+E198*F198</f>
        <v>4500</v>
      </c>
      <c r="H198" s="222"/>
      <c r="I198" s="517"/>
    </row>
    <row r="199" spans="2:9" x14ac:dyDescent="0.25">
      <c r="B199" s="491">
        <v>3</v>
      </c>
      <c r="C199" s="538" t="s">
        <v>899</v>
      </c>
      <c r="D199" s="535" t="s">
        <v>897</v>
      </c>
      <c r="E199" s="535">
        <v>1</v>
      </c>
      <c r="F199" s="535">
        <v>3000</v>
      </c>
      <c r="G199" s="536">
        <f>+E199*F199</f>
        <v>3000</v>
      </c>
      <c r="H199" s="222"/>
      <c r="I199" s="517"/>
    </row>
    <row r="200" spans="2:9" ht="25.5" x14ac:dyDescent="0.25">
      <c r="B200" s="491">
        <v>4</v>
      </c>
      <c r="C200" s="538" t="s">
        <v>900</v>
      </c>
      <c r="D200" s="535" t="s">
        <v>897</v>
      </c>
      <c r="E200" s="535">
        <v>1</v>
      </c>
      <c r="F200" s="535">
        <v>5000</v>
      </c>
      <c r="G200" s="536">
        <f>+E200*F200</f>
        <v>5000</v>
      </c>
      <c r="H200" s="222"/>
      <c r="I200" s="517"/>
    </row>
    <row r="201" spans="2:9" x14ac:dyDescent="0.25">
      <c r="B201" s="491">
        <v>5</v>
      </c>
      <c r="C201" s="538" t="s">
        <v>901</v>
      </c>
      <c r="D201" s="535" t="s">
        <v>902</v>
      </c>
      <c r="E201" s="535">
        <v>1</v>
      </c>
      <c r="F201" s="535">
        <v>250</v>
      </c>
      <c r="G201" s="536">
        <f>E201*F201</f>
        <v>250</v>
      </c>
      <c r="H201" s="222"/>
      <c r="I201" s="517"/>
    </row>
    <row r="202" spans="2:9" x14ac:dyDescent="0.25">
      <c r="B202" s="491">
        <v>6</v>
      </c>
      <c r="C202" s="538" t="s">
        <v>903</v>
      </c>
      <c r="D202" s="535" t="s">
        <v>904</v>
      </c>
      <c r="E202" s="535">
        <v>4</v>
      </c>
      <c r="F202" s="535">
        <v>600</v>
      </c>
      <c r="G202" s="536">
        <f>E202*F202</f>
        <v>2400</v>
      </c>
      <c r="H202" s="222"/>
      <c r="I202" s="517"/>
    </row>
    <row r="203" spans="2:9" x14ac:dyDescent="0.25">
      <c r="B203" s="491">
        <v>7</v>
      </c>
      <c r="C203" s="538" t="s">
        <v>905</v>
      </c>
      <c r="D203" s="535" t="s">
        <v>904</v>
      </c>
      <c r="E203" s="535">
        <v>4</v>
      </c>
      <c r="F203" s="535">
        <v>180</v>
      </c>
      <c r="G203" s="536">
        <f>E203*F203</f>
        <v>720</v>
      </c>
      <c r="H203" s="222"/>
      <c r="I203" s="517"/>
    </row>
    <row r="204" spans="2:9" x14ac:dyDescent="0.25">
      <c r="B204" s="491">
        <v>8</v>
      </c>
      <c r="C204" s="538" t="s">
        <v>906</v>
      </c>
      <c r="D204" s="535" t="s">
        <v>904</v>
      </c>
      <c r="E204" s="535">
        <v>1</v>
      </c>
      <c r="F204" s="535">
        <v>500</v>
      </c>
      <c r="G204" s="536">
        <f>E204*F204</f>
        <v>500</v>
      </c>
      <c r="H204" s="222"/>
      <c r="I204" s="517"/>
    </row>
    <row r="205" spans="2:9" ht="15" customHeight="1" x14ac:dyDescent="0.25">
      <c r="B205" s="1772" t="s">
        <v>44</v>
      </c>
      <c r="C205" s="1772"/>
      <c r="D205" s="1772"/>
      <c r="E205" s="1772"/>
      <c r="F205" s="1772"/>
      <c r="G205" s="487">
        <f>SUM(G197:G204)</f>
        <v>19570</v>
      </c>
      <c r="H205" s="222"/>
      <c r="I205" s="517"/>
    </row>
    <row r="206" spans="2:9" x14ac:dyDescent="0.25">
      <c r="B206" s="500"/>
      <c r="C206" s="526"/>
      <c r="D206" s="526"/>
      <c r="E206" s="526"/>
      <c r="F206" s="526"/>
      <c r="G206" s="526"/>
      <c r="H206" s="517"/>
      <c r="I206" s="516"/>
    </row>
    <row r="207" spans="2:9" x14ac:dyDescent="0.25">
      <c r="B207" s="500"/>
      <c r="C207" s="526"/>
      <c r="D207" s="526"/>
      <c r="E207" s="526"/>
      <c r="F207" s="526"/>
      <c r="G207" s="526"/>
      <c r="H207" s="517"/>
      <c r="I207" s="517"/>
    </row>
    <row r="208" spans="2:9" x14ac:dyDescent="0.25">
      <c r="B208" s="446" t="s">
        <v>907</v>
      </c>
      <c r="C208" s="447" t="s">
        <v>908</v>
      </c>
      <c r="D208" s="513"/>
      <c r="E208" s="514"/>
      <c r="F208" s="515"/>
      <c r="G208" s="515"/>
      <c r="H208" s="450" t="s">
        <v>797</v>
      </c>
      <c r="I208" s="451">
        <f>G218</f>
        <v>26900</v>
      </c>
    </row>
    <row r="209" spans="2:9" x14ac:dyDescent="0.25">
      <c r="B209" s="461"/>
      <c r="C209" s="480"/>
      <c r="D209" s="521"/>
      <c r="E209" s="517"/>
      <c r="F209" s="518"/>
      <c r="G209" s="518"/>
      <c r="H209" s="517"/>
      <c r="I209" s="517"/>
    </row>
    <row r="210" spans="2:9" x14ac:dyDescent="0.25">
      <c r="B210" s="539" t="s">
        <v>398</v>
      </c>
      <c r="C210" s="453" t="s">
        <v>649</v>
      </c>
      <c r="D210" s="454" t="s">
        <v>850</v>
      </c>
      <c r="E210" s="454" t="s">
        <v>650</v>
      </c>
      <c r="F210" s="454" t="s">
        <v>851</v>
      </c>
      <c r="G210" s="454" t="s">
        <v>830</v>
      </c>
      <c r="I210" s="517"/>
    </row>
    <row r="211" spans="2:9" x14ac:dyDescent="0.25">
      <c r="B211" s="491">
        <v>1</v>
      </c>
      <c r="C211" s="493" t="s">
        <v>909</v>
      </c>
      <c r="D211" s="492" t="s">
        <v>850</v>
      </c>
      <c r="E211" s="535">
        <v>5</v>
      </c>
      <c r="F211" s="535">
        <v>4500</v>
      </c>
      <c r="G211" s="536">
        <f t="shared" ref="G211:G217" si="22">E211*F211</f>
        <v>22500</v>
      </c>
      <c r="I211" s="517"/>
    </row>
    <row r="212" spans="2:9" x14ac:dyDescent="0.25">
      <c r="B212" s="491">
        <v>2</v>
      </c>
      <c r="C212" s="493" t="s">
        <v>910</v>
      </c>
      <c r="D212" s="492" t="s">
        <v>850</v>
      </c>
      <c r="E212" s="535">
        <v>5</v>
      </c>
      <c r="F212" s="535">
        <v>400</v>
      </c>
      <c r="G212" s="536">
        <f t="shared" si="22"/>
        <v>2000</v>
      </c>
      <c r="I212" s="517"/>
    </row>
    <row r="213" spans="2:9" x14ac:dyDescent="0.25">
      <c r="B213" s="491">
        <v>3</v>
      </c>
      <c r="C213" s="493" t="s">
        <v>911</v>
      </c>
      <c r="D213" s="492" t="s">
        <v>850</v>
      </c>
      <c r="E213" s="535">
        <v>10</v>
      </c>
      <c r="F213" s="535">
        <v>40</v>
      </c>
      <c r="G213" s="536">
        <f t="shared" si="22"/>
        <v>400</v>
      </c>
      <c r="I213" s="517"/>
    </row>
    <row r="214" spans="2:9" x14ac:dyDescent="0.25">
      <c r="B214" s="491">
        <v>4</v>
      </c>
      <c r="C214" s="541" t="s">
        <v>912</v>
      </c>
      <c r="D214" s="492" t="s">
        <v>850</v>
      </c>
      <c r="E214" s="535">
        <v>1</v>
      </c>
      <c r="F214" s="535">
        <v>600</v>
      </c>
      <c r="G214" s="536">
        <f t="shared" si="22"/>
        <v>600</v>
      </c>
      <c r="I214" s="517"/>
    </row>
    <row r="215" spans="2:9" x14ac:dyDescent="0.25">
      <c r="B215" s="491">
        <v>5</v>
      </c>
      <c r="C215" s="541" t="s">
        <v>913</v>
      </c>
      <c r="D215" s="492" t="s">
        <v>850</v>
      </c>
      <c r="E215" s="535">
        <v>10</v>
      </c>
      <c r="F215" s="535">
        <v>25</v>
      </c>
      <c r="G215" s="536">
        <f t="shared" si="22"/>
        <v>250</v>
      </c>
      <c r="I215" s="517"/>
    </row>
    <row r="216" spans="2:9" x14ac:dyDescent="0.25">
      <c r="B216" s="491">
        <v>6</v>
      </c>
      <c r="C216" s="541" t="s">
        <v>914</v>
      </c>
      <c r="D216" s="492" t="s">
        <v>850</v>
      </c>
      <c r="E216" s="535">
        <v>1</v>
      </c>
      <c r="F216" s="535">
        <v>350</v>
      </c>
      <c r="G216" s="536">
        <f t="shared" si="22"/>
        <v>350</v>
      </c>
      <c r="I216" s="517"/>
    </row>
    <row r="217" spans="2:9" x14ac:dyDescent="0.25">
      <c r="B217" s="491">
        <v>7</v>
      </c>
      <c r="C217" s="493" t="s">
        <v>915</v>
      </c>
      <c r="D217" s="492" t="s">
        <v>850</v>
      </c>
      <c r="E217" s="535">
        <v>1</v>
      </c>
      <c r="F217" s="535">
        <v>800</v>
      </c>
      <c r="G217" s="536">
        <f t="shared" si="22"/>
        <v>800</v>
      </c>
      <c r="I217" s="517"/>
    </row>
    <row r="218" spans="2:9" ht="15" customHeight="1" x14ac:dyDescent="0.25">
      <c r="B218" s="1772" t="s">
        <v>44</v>
      </c>
      <c r="C218" s="1772"/>
      <c r="D218" s="1772"/>
      <c r="E218" s="1772"/>
      <c r="F218" s="1772"/>
      <c r="G218" s="487">
        <f>SUM(G211:G217)</f>
        <v>26900</v>
      </c>
      <c r="I218" s="517"/>
    </row>
    <row r="219" spans="2:9" x14ac:dyDescent="0.25">
      <c r="B219" s="500"/>
      <c r="C219" s="526"/>
      <c r="D219" s="526"/>
      <c r="E219" s="526"/>
      <c r="F219" s="526"/>
      <c r="G219" s="526"/>
      <c r="H219" s="517"/>
      <c r="I219" s="517"/>
    </row>
    <row r="220" spans="2:9" x14ac:dyDescent="0.25">
      <c r="B220" s="446" t="s">
        <v>916</v>
      </c>
      <c r="C220" s="447" t="s">
        <v>917</v>
      </c>
      <c r="D220" s="447"/>
      <c r="E220" s="448"/>
      <c r="F220" s="449"/>
      <c r="G220" s="515"/>
      <c r="H220" s="450" t="s">
        <v>797</v>
      </c>
      <c r="I220" s="451">
        <f>+G224</f>
        <v>2500</v>
      </c>
    </row>
    <row r="221" spans="2:9" x14ac:dyDescent="0.25">
      <c r="B221" s="461"/>
      <c r="C221" s="480"/>
      <c r="D221" s="480"/>
      <c r="E221" s="475"/>
      <c r="F221" s="475"/>
      <c r="G221" s="518"/>
      <c r="H221" s="527"/>
      <c r="I221" s="517"/>
    </row>
    <row r="222" spans="2:9" x14ac:dyDescent="0.25">
      <c r="B222" s="539" t="s">
        <v>398</v>
      </c>
      <c r="C222" s="453" t="s">
        <v>649</v>
      </c>
      <c r="D222" s="454" t="s">
        <v>918</v>
      </c>
      <c r="E222" s="454" t="s">
        <v>650</v>
      </c>
      <c r="F222" s="454" t="s">
        <v>851</v>
      </c>
      <c r="G222" s="454" t="s">
        <v>830</v>
      </c>
      <c r="I222" s="517"/>
    </row>
    <row r="223" spans="2:9" x14ac:dyDescent="0.25">
      <c r="B223" s="491">
        <v>1</v>
      </c>
      <c r="C223" s="456" t="s">
        <v>919</v>
      </c>
      <c r="D223" s="535">
        <v>10</v>
      </c>
      <c r="E223" s="535">
        <v>1</v>
      </c>
      <c r="F223" s="535">
        <v>250</v>
      </c>
      <c r="G223" s="536">
        <f>F223*E223*D223</f>
        <v>2500</v>
      </c>
      <c r="I223" s="517"/>
    </row>
    <row r="224" spans="2:9" ht="15" customHeight="1" x14ac:dyDescent="0.25">
      <c r="B224" s="1772" t="s">
        <v>44</v>
      </c>
      <c r="C224" s="1772"/>
      <c r="D224" s="1772"/>
      <c r="E224" s="1772"/>
      <c r="F224" s="1772"/>
      <c r="G224" s="487">
        <f>SUM(G223:G223)</f>
        <v>2500</v>
      </c>
      <c r="I224" s="517"/>
    </row>
    <row r="225" spans="2:9" ht="13.5" thickBot="1" x14ac:dyDescent="0.3">
      <c r="B225" s="500"/>
      <c r="C225" s="517"/>
      <c r="D225" s="517"/>
      <c r="E225" s="518"/>
      <c r="F225" s="518"/>
      <c r="G225" s="518"/>
      <c r="H225" s="517"/>
      <c r="I225" s="517"/>
    </row>
    <row r="226" spans="2:9" ht="13.5" thickBot="1" x14ac:dyDescent="0.3">
      <c r="B226" s="1781" t="s">
        <v>920</v>
      </c>
      <c r="C226" s="1782"/>
      <c r="D226" s="1782"/>
      <c r="E226" s="1782"/>
      <c r="F226" s="1782"/>
      <c r="G226" s="1782"/>
      <c r="H226" s="458" t="s">
        <v>797</v>
      </c>
      <c r="I226" s="459">
        <f>+I192+I134+I24</f>
        <v>171554.96875</v>
      </c>
    </row>
    <row r="227" spans="2:9" x14ac:dyDescent="0.25">
      <c r="B227" s="529"/>
      <c r="C227" s="1783"/>
      <c r="D227" s="1783"/>
      <c r="E227" s="530"/>
      <c r="F227" s="526"/>
      <c r="G227" s="518"/>
      <c r="H227" s="518"/>
      <c r="I227" s="531"/>
    </row>
  </sheetData>
  <mergeCells count="23">
    <mergeCell ref="B1:I1"/>
    <mergeCell ref="B3:I3"/>
    <mergeCell ref="C10:J10"/>
    <mergeCell ref="B226:G226"/>
    <mergeCell ref="C227:D227"/>
    <mergeCell ref="B218:F218"/>
    <mergeCell ref="B224:F224"/>
    <mergeCell ref="B115:F115"/>
    <mergeCell ref="B132:F132"/>
    <mergeCell ref="B142:F142"/>
    <mergeCell ref="B17:C17"/>
    <mergeCell ref="B42:F42"/>
    <mergeCell ref="B61:F61"/>
    <mergeCell ref="B78:F78"/>
    <mergeCell ref="B96:F96"/>
    <mergeCell ref="B22:I22"/>
    <mergeCell ref="B190:F190"/>
    <mergeCell ref="B205:F205"/>
    <mergeCell ref="C28:G28"/>
    <mergeCell ref="B20:I20"/>
    <mergeCell ref="B154:F154"/>
    <mergeCell ref="B161:F161"/>
    <mergeCell ref="B184:F184"/>
  </mergeCells>
  <pageMargins left="0.7" right="0.7" top="0.75" bottom="0.75" header="0.3" footer="0.3"/>
  <pageSetup scale="68" orientation="portrait" horizontalDpi="4294967295" verticalDpi="4294967295" r:id="rId1"/>
  <rowBreaks count="3" manualBreakCount="3">
    <brk id="43" min="1" max="9" man="1"/>
    <brk id="97" min="1" max="9" man="1"/>
    <brk id="116" min="1" max="9" man="1"/>
  </row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tint="-0.249977111117893"/>
  </sheetPr>
  <dimension ref="B3:AT191"/>
  <sheetViews>
    <sheetView view="pageBreakPreview" topLeftCell="A4" zoomScale="80" zoomScaleNormal="100" zoomScaleSheetLayoutView="80" workbookViewId="0">
      <selection activeCell="D17" sqref="D17"/>
    </sheetView>
  </sheetViews>
  <sheetFormatPr baseColWidth="10" defaultRowHeight="12.75" x14ac:dyDescent="0.25"/>
  <cols>
    <col min="1" max="2" width="11.42578125" style="222"/>
    <col min="3" max="3" width="32.28515625" style="222" customWidth="1"/>
    <col min="4" max="9" width="11.42578125" style="222"/>
    <col min="10" max="10" width="45" style="222" customWidth="1"/>
    <col min="11" max="19" width="2.140625" style="222" bestFit="1" customWidth="1"/>
    <col min="20" max="46" width="3" style="222" bestFit="1" customWidth="1"/>
    <col min="47" max="16384" width="11.42578125" style="222"/>
  </cols>
  <sheetData>
    <row r="3" spans="2:8" x14ac:dyDescent="0.25">
      <c r="B3" s="1796" t="s">
        <v>1241</v>
      </c>
      <c r="C3" s="1796"/>
      <c r="D3" s="1796"/>
      <c r="E3" s="1796"/>
      <c r="F3" s="1796"/>
      <c r="G3" s="1796"/>
      <c r="H3" s="1796"/>
    </row>
    <row r="4" spans="2:8" x14ac:dyDescent="0.25">
      <c r="B4" s="549"/>
      <c r="C4" s="546"/>
      <c r="D4" s="546"/>
      <c r="E4" s="547"/>
      <c r="F4" s="547"/>
      <c r="G4" s="546"/>
      <c r="H4" s="546"/>
    </row>
    <row r="5" spans="2:8" x14ac:dyDescent="0.25">
      <c r="B5" s="603"/>
      <c r="C5" s="548" t="s">
        <v>806</v>
      </c>
      <c r="D5" s="549" t="s">
        <v>930</v>
      </c>
      <c r="E5" s="546"/>
      <c r="F5" s="546"/>
      <c r="G5" s="546"/>
      <c r="H5" s="546"/>
    </row>
    <row r="6" spans="2:8" x14ac:dyDescent="0.25">
      <c r="B6" s="603"/>
      <c r="C6" s="548" t="s">
        <v>809</v>
      </c>
      <c r="D6" s="549" t="s">
        <v>977</v>
      </c>
      <c r="E6" s="532"/>
      <c r="F6" s="532"/>
      <c r="G6" s="532"/>
      <c r="H6" s="549" t="s">
        <v>422</v>
      </c>
    </row>
    <row r="7" spans="2:8" x14ac:dyDescent="0.25">
      <c r="B7" s="603"/>
      <c r="C7" s="548" t="s">
        <v>810</v>
      </c>
      <c r="D7" s="549" t="s">
        <v>977</v>
      </c>
      <c r="E7" s="532"/>
      <c r="F7" s="532"/>
      <c r="G7" s="532"/>
      <c r="H7" s="549"/>
    </row>
    <row r="8" spans="2:8" x14ac:dyDescent="0.25">
      <c r="B8" s="603"/>
      <c r="C8" s="548" t="s">
        <v>811</v>
      </c>
      <c r="D8" s="549" t="s">
        <v>977</v>
      </c>
      <c r="E8" s="532"/>
      <c r="F8" s="532"/>
      <c r="G8" s="532"/>
      <c r="H8" s="532"/>
    </row>
    <row r="9" spans="2:8" x14ac:dyDescent="0.25">
      <c r="B9" s="603"/>
      <c r="C9" s="548" t="s">
        <v>812</v>
      </c>
      <c r="D9" s="1797" t="s">
        <v>930</v>
      </c>
      <c r="E9" s="1797"/>
      <c r="F9" s="1797"/>
      <c r="G9" s="1797"/>
      <c r="H9" s="1797"/>
    </row>
    <row r="10" spans="2:8" x14ac:dyDescent="0.25">
      <c r="B10" s="603"/>
      <c r="C10" s="548"/>
      <c r="D10" s="1797"/>
      <c r="E10" s="1797"/>
      <c r="F10" s="1797"/>
      <c r="G10" s="1797"/>
      <c r="H10" s="1797"/>
    </row>
    <row r="11" spans="2:8" x14ac:dyDescent="0.25">
      <c r="B11" s="603"/>
      <c r="C11" s="548"/>
      <c r="D11" s="549"/>
      <c r="E11" s="549"/>
      <c r="F11" s="549"/>
      <c r="G11" s="549"/>
      <c r="H11" s="549"/>
    </row>
    <row r="12" spans="2:8" x14ac:dyDescent="0.25">
      <c r="B12" s="597" t="s">
        <v>813</v>
      </c>
      <c r="C12" s="598" t="s">
        <v>814</v>
      </c>
      <c r="D12" s="599" t="s">
        <v>931</v>
      </c>
      <c r="F12" s="593"/>
      <c r="G12" s="593"/>
      <c r="H12" s="264"/>
    </row>
    <row r="13" spans="2:8" ht="25.5" x14ac:dyDescent="0.25">
      <c r="B13" s="602" t="s">
        <v>822</v>
      </c>
      <c r="C13" s="601" t="s">
        <v>816</v>
      </c>
      <c r="D13" s="604">
        <f>+H22</f>
        <v>958472.51249999995</v>
      </c>
      <c r="F13" s="594"/>
      <c r="G13" s="605"/>
      <c r="H13" s="264"/>
    </row>
    <row r="14" spans="2:8" ht="25.5" x14ac:dyDescent="0.25">
      <c r="B14" s="602" t="s">
        <v>846</v>
      </c>
      <c r="C14" s="601" t="s">
        <v>817</v>
      </c>
      <c r="D14" s="604">
        <f>+H128</f>
        <v>28213.5</v>
      </c>
      <c r="F14" s="594"/>
      <c r="G14" s="605"/>
      <c r="H14" s="264"/>
    </row>
    <row r="15" spans="2:8" ht="25.5" x14ac:dyDescent="0.25">
      <c r="B15" s="602" t="s">
        <v>894</v>
      </c>
      <c r="C15" s="601" t="s">
        <v>818</v>
      </c>
      <c r="D15" s="604">
        <f>+H174</f>
        <v>65270</v>
      </c>
      <c r="F15" s="595"/>
      <c r="G15" s="605"/>
      <c r="H15" s="264"/>
    </row>
    <row r="16" spans="2:8" ht="25.5" x14ac:dyDescent="0.25">
      <c r="B16" s="602" t="s">
        <v>932</v>
      </c>
      <c r="C16" s="601" t="s">
        <v>819</v>
      </c>
      <c r="D16" s="606">
        <v>0</v>
      </c>
      <c r="F16" s="594"/>
      <c r="G16" s="605"/>
      <c r="H16" s="264"/>
    </row>
    <row r="17" spans="2:46" ht="15" customHeight="1" x14ac:dyDescent="0.25">
      <c r="B17" s="1789" t="s">
        <v>976</v>
      </c>
      <c r="C17" s="1790"/>
      <c r="D17" s="600">
        <f>SUM(D13:D16)</f>
        <v>1051956.0125</v>
      </c>
      <c r="F17" s="596"/>
      <c r="G17" s="596"/>
      <c r="H17" s="264"/>
    </row>
    <row r="18" spans="2:46" x14ac:dyDescent="0.25">
      <c r="B18" s="549"/>
      <c r="C18" s="549"/>
      <c r="D18" s="478"/>
      <c r="E18" s="552"/>
      <c r="F18" s="591"/>
      <c r="G18" s="211"/>
      <c r="H18" s="592"/>
    </row>
    <row r="19" spans="2:46" x14ac:dyDescent="0.25">
      <c r="B19" s="549"/>
      <c r="C19" s="549"/>
      <c r="D19" s="478"/>
      <c r="E19" s="552"/>
      <c r="F19" s="552"/>
      <c r="G19" s="478"/>
      <c r="H19" s="532"/>
    </row>
    <row r="20" spans="2:46" x14ac:dyDescent="0.25">
      <c r="B20" s="1798" t="s">
        <v>934</v>
      </c>
      <c r="C20" s="1798"/>
      <c r="D20" s="1798"/>
      <c r="E20" s="1798"/>
      <c r="F20" s="1798"/>
      <c r="G20" s="1798"/>
      <c r="H20" s="1798"/>
    </row>
    <row r="21" spans="2:46" x14ac:dyDescent="0.25">
      <c r="B21" s="607"/>
      <c r="C21" s="553"/>
      <c r="D21" s="554"/>
      <c r="E21" s="547"/>
      <c r="F21" s="547"/>
      <c r="G21" s="553"/>
      <c r="H21" s="553"/>
    </row>
    <row r="22" spans="2:46" x14ac:dyDescent="0.25">
      <c r="B22" s="608" t="s">
        <v>822</v>
      </c>
      <c r="C22" s="609" t="s">
        <v>823</v>
      </c>
      <c r="D22" s="610"/>
      <c r="E22" s="610"/>
      <c r="F22" s="611"/>
      <c r="G22" s="611" t="s">
        <v>797</v>
      </c>
      <c r="H22" s="612">
        <f>+H24+H42+H76+H110</f>
        <v>958472.51249999995</v>
      </c>
    </row>
    <row r="23" spans="2:46" x14ac:dyDescent="0.25">
      <c r="B23" s="613"/>
      <c r="C23" s="319"/>
      <c r="D23" s="614"/>
      <c r="E23" s="614"/>
      <c r="F23" s="615"/>
      <c r="G23" s="615"/>
      <c r="H23" s="616"/>
    </row>
    <row r="24" spans="2:46" x14ac:dyDescent="0.25">
      <c r="B24" s="617" t="s">
        <v>824</v>
      </c>
      <c r="C24" s="561" t="s">
        <v>825</v>
      </c>
      <c r="D24" s="562"/>
      <c r="E24" s="563"/>
      <c r="F24" s="564"/>
      <c r="G24" s="450" t="s">
        <v>797</v>
      </c>
      <c r="H24" s="451">
        <f>+H26</f>
        <v>662100</v>
      </c>
    </row>
    <row r="25" spans="2:46" x14ac:dyDescent="0.25">
      <c r="B25" s="548"/>
      <c r="C25" s="477"/>
      <c r="D25" s="478"/>
      <c r="E25" s="483"/>
      <c r="F25" s="483"/>
      <c r="G25" s="478"/>
      <c r="H25" s="478"/>
    </row>
    <row r="26" spans="2:46" x14ac:dyDescent="0.25">
      <c r="B26" s="607"/>
      <c r="C26" s="482" t="s">
        <v>935</v>
      </c>
      <c r="D26" s="478"/>
      <c r="E26" s="483"/>
      <c r="F26" s="483"/>
      <c r="G26" s="476" t="s">
        <v>797</v>
      </c>
      <c r="H26" s="477">
        <f>+G40</f>
        <v>662100</v>
      </c>
    </row>
    <row r="27" spans="2:46" x14ac:dyDescent="0.25">
      <c r="B27" s="549"/>
      <c r="C27" s="478"/>
      <c r="D27" s="478"/>
      <c r="E27" s="483"/>
      <c r="F27" s="483"/>
      <c r="G27" s="478"/>
      <c r="H27" s="478"/>
    </row>
    <row r="28" spans="2:46" ht="25.5" x14ac:dyDescent="0.25">
      <c r="B28" s="597" t="s">
        <v>813</v>
      </c>
      <c r="C28" s="597" t="s">
        <v>827</v>
      </c>
      <c r="D28" s="627" t="s">
        <v>828</v>
      </c>
      <c r="E28" s="597" t="s">
        <v>769</v>
      </c>
      <c r="F28" s="597" t="s">
        <v>829</v>
      </c>
      <c r="G28" s="597" t="s">
        <v>830</v>
      </c>
      <c r="H28" s="478"/>
      <c r="O28" s="222">
        <v>1</v>
      </c>
      <c r="P28" s="222">
        <v>2</v>
      </c>
      <c r="Q28" s="222">
        <v>3</v>
      </c>
      <c r="R28" s="222">
        <v>4</v>
      </c>
      <c r="S28" s="222">
        <v>5</v>
      </c>
      <c r="T28" s="222">
        <v>6</v>
      </c>
      <c r="U28" s="222">
        <v>7</v>
      </c>
      <c r="V28" s="222">
        <v>8</v>
      </c>
      <c r="W28" s="222">
        <v>9</v>
      </c>
      <c r="X28" s="222">
        <v>10</v>
      </c>
      <c r="Y28" s="222">
        <v>11</v>
      </c>
      <c r="Z28" s="222">
        <v>12</v>
      </c>
      <c r="AA28" s="222">
        <v>13</v>
      </c>
      <c r="AB28" s="222">
        <v>14</v>
      </c>
      <c r="AC28" s="222">
        <v>15</v>
      </c>
      <c r="AD28" s="222">
        <v>16</v>
      </c>
      <c r="AE28" s="222">
        <v>17</v>
      </c>
      <c r="AF28" s="222">
        <v>18</v>
      </c>
      <c r="AG28" s="222">
        <v>19</v>
      </c>
      <c r="AH28" s="222">
        <v>20</v>
      </c>
      <c r="AI28" s="222">
        <v>21</v>
      </c>
      <c r="AJ28" s="222">
        <v>22</v>
      </c>
      <c r="AK28" s="222">
        <v>23</v>
      </c>
      <c r="AL28" s="222">
        <v>24</v>
      </c>
      <c r="AM28" s="222">
        <v>25</v>
      </c>
      <c r="AN28" s="222">
        <v>26</v>
      </c>
      <c r="AO28" s="222">
        <v>27</v>
      </c>
      <c r="AP28" s="222">
        <v>28</v>
      </c>
      <c r="AQ28" s="222">
        <v>29</v>
      </c>
      <c r="AR28" s="222">
        <v>30</v>
      </c>
      <c r="AS28" s="222">
        <v>31</v>
      </c>
      <c r="AT28" s="222">
        <v>32</v>
      </c>
    </row>
    <row r="29" spans="2:46" x14ac:dyDescent="0.25">
      <c r="B29" s="602" t="s">
        <v>822</v>
      </c>
      <c r="C29" s="624" t="s">
        <v>986</v>
      </c>
      <c r="D29" s="625">
        <v>1</v>
      </c>
      <c r="E29" s="625">
        <v>32</v>
      </c>
      <c r="F29" s="625">
        <v>4500</v>
      </c>
      <c r="G29" s="435">
        <f>+D29*E29*F29</f>
        <v>144000</v>
      </c>
      <c r="H29" s="478"/>
      <c r="J29" s="256" t="s">
        <v>988</v>
      </c>
      <c r="K29" s="256">
        <v>1</v>
      </c>
      <c r="L29" s="256">
        <v>2</v>
      </c>
      <c r="M29" s="256">
        <v>3</v>
      </c>
      <c r="N29" s="256">
        <v>4</v>
      </c>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row>
    <row r="30" spans="2:46" ht="51" x14ac:dyDescent="0.25">
      <c r="B30" s="602" t="s">
        <v>846</v>
      </c>
      <c r="C30" s="626" t="s">
        <v>999</v>
      </c>
      <c r="D30" s="625">
        <v>1</v>
      </c>
      <c r="E30" s="433">
        <v>32</v>
      </c>
      <c r="F30" s="433">
        <v>4500</v>
      </c>
      <c r="G30" s="435">
        <f>+D30*E30*F30</f>
        <v>144000</v>
      </c>
      <c r="H30" s="478"/>
      <c r="J30" s="256" t="s">
        <v>992</v>
      </c>
      <c r="K30" s="256"/>
      <c r="L30" s="256"/>
      <c r="M30" s="256"/>
      <c r="N30" s="256"/>
      <c r="O30" s="256">
        <v>5</v>
      </c>
      <c r="P30" s="256">
        <v>6</v>
      </c>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row>
    <row r="31" spans="2:46" x14ac:dyDescent="0.25">
      <c r="B31" s="602" t="s">
        <v>894</v>
      </c>
      <c r="C31" s="626" t="s">
        <v>996</v>
      </c>
      <c r="D31" s="625">
        <v>1</v>
      </c>
      <c r="E31" s="433">
        <v>5</v>
      </c>
      <c r="F31" s="433">
        <v>4500</v>
      </c>
      <c r="G31" s="435">
        <f>+D31*E31*F31</f>
        <v>22500</v>
      </c>
      <c r="H31" s="478"/>
      <c r="J31" s="256" t="s">
        <v>994</v>
      </c>
      <c r="K31" s="256"/>
      <c r="L31" s="256"/>
      <c r="M31" s="256"/>
      <c r="N31" s="256"/>
      <c r="O31" s="256"/>
      <c r="P31" s="256"/>
      <c r="Q31" s="632" t="s">
        <v>995</v>
      </c>
      <c r="R31" s="256"/>
      <c r="S31" s="256"/>
      <c r="T31" s="256"/>
      <c r="U31" s="256"/>
      <c r="V31" s="256"/>
      <c r="W31" s="256"/>
      <c r="X31" s="256"/>
      <c r="Y31" s="256"/>
      <c r="Z31" s="256"/>
      <c r="AA31" s="256"/>
      <c r="AB31" s="256"/>
      <c r="AC31" s="256"/>
      <c r="AD31" s="256"/>
      <c r="AE31" s="256"/>
      <c r="AF31" s="256"/>
      <c r="AG31" s="256"/>
      <c r="AH31" s="256"/>
      <c r="AI31" s="256"/>
      <c r="AJ31" s="256"/>
      <c r="AK31" s="256"/>
      <c r="AL31" s="256"/>
      <c r="AM31" s="256"/>
      <c r="AN31" s="256"/>
      <c r="AO31" s="256"/>
      <c r="AP31" s="256"/>
      <c r="AQ31" s="256"/>
      <c r="AR31" s="256"/>
      <c r="AS31" s="256"/>
      <c r="AT31" s="256"/>
    </row>
    <row r="32" spans="2:46" ht="25.5" x14ac:dyDescent="0.25">
      <c r="B32" s="602" t="s">
        <v>932</v>
      </c>
      <c r="C32" s="626" t="s">
        <v>998</v>
      </c>
      <c r="D32" s="625">
        <v>1</v>
      </c>
      <c r="E32" s="433">
        <v>5</v>
      </c>
      <c r="F32" s="433">
        <v>4000</v>
      </c>
      <c r="G32" s="435">
        <f>+D32*E32*F32</f>
        <v>20000</v>
      </c>
      <c r="H32" s="478"/>
      <c r="J32" s="256" t="s">
        <v>989</v>
      </c>
      <c r="K32" s="256"/>
      <c r="L32" s="256"/>
      <c r="M32" s="256"/>
      <c r="N32" s="256"/>
      <c r="O32" s="256"/>
      <c r="P32" s="256"/>
      <c r="Q32" s="256">
        <v>7</v>
      </c>
      <c r="R32" s="256">
        <v>8</v>
      </c>
      <c r="S32" s="256">
        <v>9</v>
      </c>
      <c r="T32" s="256">
        <v>10</v>
      </c>
      <c r="U32" s="256">
        <v>11</v>
      </c>
      <c r="V32" s="256">
        <v>12</v>
      </c>
      <c r="W32" s="256">
        <v>13</v>
      </c>
      <c r="X32" s="256">
        <v>14</v>
      </c>
      <c r="Y32" s="256">
        <v>15</v>
      </c>
      <c r="Z32" s="256">
        <v>16</v>
      </c>
      <c r="AA32" s="256">
        <v>17</v>
      </c>
      <c r="AB32" s="256">
        <v>18</v>
      </c>
      <c r="AC32" s="256">
        <v>19</v>
      </c>
      <c r="AD32" s="256">
        <v>20</v>
      </c>
      <c r="AE32" s="256">
        <v>21</v>
      </c>
      <c r="AF32" s="256">
        <v>22</v>
      </c>
      <c r="AG32" s="256">
        <v>23</v>
      </c>
      <c r="AH32" s="256">
        <v>24</v>
      </c>
      <c r="AI32" s="256">
        <v>25</v>
      </c>
      <c r="AJ32" s="256">
        <v>26</v>
      </c>
      <c r="AK32" s="256">
        <v>27</v>
      </c>
      <c r="AL32" s="256">
        <v>28</v>
      </c>
      <c r="AM32" s="256">
        <v>29</v>
      </c>
      <c r="AN32" s="256">
        <v>30</v>
      </c>
      <c r="AO32" s="256">
        <v>31</v>
      </c>
      <c r="AP32" s="256">
        <v>32</v>
      </c>
      <c r="AQ32" s="256">
        <v>33</v>
      </c>
      <c r="AR32" s="256">
        <v>34</v>
      </c>
      <c r="AS32" s="256">
        <v>35</v>
      </c>
      <c r="AT32" s="256">
        <v>36</v>
      </c>
    </row>
    <row r="33" spans="2:46" ht="25.5" x14ac:dyDescent="0.25">
      <c r="B33" s="602" t="s">
        <v>978</v>
      </c>
      <c r="C33" s="626" t="s">
        <v>1039</v>
      </c>
      <c r="D33" s="625">
        <v>1</v>
      </c>
      <c r="E33" s="433">
        <v>3</v>
      </c>
      <c r="F33" s="433">
        <v>4000</v>
      </c>
      <c r="G33" s="435">
        <f>+D33*E33*F33</f>
        <v>12000</v>
      </c>
      <c r="H33" s="478"/>
      <c r="J33" s="256"/>
      <c r="K33" s="256"/>
      <c r="L33" s="256"/>
      <c r="M33" s="256"/>
      <c r="N33" s="256"/>
      <c r="O33" s="256"/>
      <c r="P33" s="256"/>
      <c r="Q33" s="256"/>
      <c r="R33" s="256"/>
      <c r="S33" s="256"/>
      <c r="T33" s="256"/>
      <c r="U33" s="256"/>
      <c r="V33" s="256"/>
      <c r="W33" s="256"/>
      <c r="X33" s="256"/>
      <c r="Y33" s="256"/>
      <c r="Z33" s="632" t="s">
        <v>995</v>
      </c>
      <c r="AA33" s="256"/>
      <c r="AB33" s="256"/>
      <c r="AC33" s="256"/>
      <c r="AD33" s="256"/>
      <c r="AE33" s="256"/>
      <c r="AF33" s="256"/>
      <c r="AG33" s="256"/>
      <c r="AH33" s="256"/>
      <c r="AI33" s="256"/>
      <c r="AJ33" s="256"/>
      <c r="AK33" s="256"/>
      <c r="AL33" s="256"/>
      <c r="AM33" s="256"/>
      <c r="AN33" s="256"/>
      <c r="AO33" s="256"/>
      <c r="AP33" s="256"/>
      <c r="AQ33" s="256"/>
      <c r="AR33" s="256"/>
      <c r="AS33" s="256"/>
      <c r="AT33" s="256"/>
    </row>
    <row r="34" spans="2:46" x14ac:dyDescent="0.25">
      <c r="B34" s="602" t="s">
        <v>979</v>
      </c>
      <c r="C34" s="624" t="s">
        <v>936</v>
      </c>
      <c r="D34" s="625">
        <v>1</v>
      </c>
      <c r="E34" s="625">
        <v>32</v>
      </c>
      <c r="F34" s="625">
        <v>2700</v>
      </c>
      <c r="G34" s="435">
        <f t="shared" ref="G34:G39" si="0">+D34*E34*F34</f>
        <v>86400</v>
      </c>
      <c r="H34" s="478"/>
      <c r="J34" s="256" t="s">
        <v>990</v>
      </c>
      <c r="K34" s="256"/>
      <c r="L34" s="256"/>
      <c r="M34" s="256"/>
      <c r="N34" s="256"/>
      <c r="O34" s="256"/>
      <c r="P34" s="256"/>
      <c r="Q34" s="256"/>
      <c r="R34" s="256"/>
      <c r="S34" s="256"/>
      <c r="T34" s="256"/>
      <c r="U34" s="256"/>
      <c r="V34" s="256"/>
      <c r="W34" s="256"/>
      <c r="X34" s="256"/>
      <c r="Y34" s="256"/>
      <c r="Z34" s="256"/>
      <c r="AA34" s="256">
        <v>17</v>
      </c>
      <c r="AB34" s="256">
        <v>18</v>
      </c>
      <c r="AC34" s="256">
        <v>19</v>
      </c>
      <c r="AD34" s="256">
        <v>20</v>
      </c>
      <c r="AE34" s="256">
        <v>21</v>
      </c>
      <c r="AF34" s="256">
        <v>22</v>
      </c>
      <c r="AG34" s="256"/>
      <c r="AH34" s="256"/>
      <c r="AI34" s="256"/>
      <c r="AJ34" s="256"/>
      <c r="AK34" s="256"/>
      <c r="AL34" s="256"/>
      <c r="AM34" s="256"/>
      <c r="AN34" s="256"/>
      <c r="AO34" s="256"/>
      <c r="AP34" s="256"/>
      <c r="AQ34" s="256"/>
      <c r="AR34" s="256"/>
      <c r="AS34" s="256"/>
      <c r="AT34" s="256"/>
    </row>
    <row r="35" spans="2:46" x14ac:dyDescent="0.25">
      <c r="B35" s="602" t="s">
        <v>980</v>
      </c>
      <c r="C35" s="624" t="s">
        <v>928</v>
      </c>
      <c r="D35" s="625">
        <v>1</v>
      </c>
      <c r="E35" s="625">
        <v>32</v>
      </c>
      <c r="F35" s="625">
        <v>2400</v>
      </c>
      <c r="G35" s="435">
        <f t="shared" si="0"/>
        <v>76800</v>
      </c>
      <c r="H35" s="478"/>
      <c r="J35" s="256" t="s">
        <v>1000</v>
      </c>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v>23</v>
      </c>
      <c r="AH35" s="256">
        <v>24</v>
      </c>
      <c r="AI35" s="256">
        <v>25</v>
      </c>
      <c r="AJ35" s="256">
        <v>26</v>
      </c>
      <c r="AK35" s="256"/>
      <c r="AL35" s="256"/>
      <c r="AM35" s="256"/>
      <c r="AN35" s="256"/>
      <c r="AO35" s="256"/>
      <c r="AP35" s="256"/>
      <c r="AQ35" s="256"/>
      <c r="AR35" s="256"/>
      <c r="AS35" s="256"/>
      <c r="AT35" s="256"/>
    </row>
    <row r="36" spans="2:46" ht="25.5" x14ac:dyDescent="0.25">
      <c r="B36" s="602" t="s">
        <v>981</v>
      </c>
      <c r="C36" s="624" t="s">
        <v>937</v>
      </c>
      <c r="D36" s="625">
        <v>1</v>
      </c>
      <c r="E36" s="625">
        <v>1.5</v>
      </c>
      <c r="F36" s="625">
        <v>4000</v>
      </c>
      <c r="G36" s="435">
        <f>+D36*E36*F36</f>
        <v>6000</v>
      </c>
      <c r="H36" s="478"/>
      <c r="J36" s="256" t="s">
        <v>993</v>
      </c>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v>27</v>
      </c>
      <c r="AL36" s="256">
        <v>28</v>
      </c>
      <c r="AM36" s="256"/>
      <c r="AN36" s="256"/>
      <c r="AO36" s="256"/>
      <c r="AP36" s="256"/>
      <c r="AQ36" s="256"/>
      <c r="AR36" s="256"/>
      <c r="AS36" s="256"/>
      <c r="AT36" s="256"/>
    </row>
    <row r="37" spans="2:46" x14ac:dyDescent="0.25">
      <c r="B37" s="602" t="s">
        <v>982</v>
      </c>
      <c r="C37" s="624" t="s">
        <v>938</v>
      </c>
      <c r="D37" s="625">
        <v>1</v>
      </c>
      <c r="E37" s="625">
        <v>12</v>
      </c>
      <c r="F37" s="625">
        <v>2400</v>
      </c>
      <c r="G37" s="435">
        <f t="shared" si="0"/>
        <v>28800</v>
      </c>
      <c r="H37" s="478"/>
      <c r="J37" s="256" t="s">
        <v>991</v>
      </c>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v>29</v>
      </c>
      <c r="AN37" s="256">
        <v>30</v>
      </c>
      <c r="AO37" s="256">
        <v>31</v>
      </c>
      <c r="AP37" s="256">
        <v>32</v>
      </c>
      <c r="AQ37" s="256">
        <v>33</v>
      </c>
      <c r="AR37" s="256">
        <v>34</v>
      </c>
      <c r="AS37" s="256">
        <v>35</v>
      </c>
      <c r="AT37" s="256">
        <v>36</v>
      </c>
    </row>
    <row r="38" spans="2:46" x14ac:dyDescent="0.25">
      <c r="B38" s="602" t="s">
        <v>983</v>
      </c>
      <c r="C38" s="624" t="s">
        <v>939</v>
      </c>
      <c r="D38" s="625">
        <v>1</v>
      </c>
      <c r="E38" s="625">
        <v>32</v>
      </c>
      <c r="F38" s="625">
        <v>1600</v>
      </c>
      <c r="G38" s="435">
        <f t="shared" si="0"/>
        <v>51200</v>
      </c>
      <c r="H38" s="478"/>
      <c r="J38" s="256" t="s">
        <v>1042</v>
      </c>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v>35</v>
      </c>
      <c r="AT38" s="256">
        <v>36</v>
      </c>
    </row>
    <row r="39" spans="2:46" x14ac:dyDescent="0.25">
      <c r="B39" s="602" t="s">
        <v>984</v>
      </c>
      <c r="C39" s="624" t="s">
        <v>940</v>
      </c>
      <c r="D39" s="625">
        <v>1</v>
      </c>
      <c r="E39" s="625">
        <v>32</v>
      </c>
      <c r="F39" s="625">
        <v>2200</v>
      </c>
      <c r="G39" s="435">
        <f t="shared" si="0"/>
        <v>70400</v>
      </c>
      <c r="H39" s="478"/>
      <c r="K39" s="222">
        <v>1</v>
      </c>
      <c r="L39" s="222">
        <v>2</v>
      </c>
      <c r="M39" s="222">
        <v>3</v>
      </c>
      <c r="N39" s="222">
        <v>4</v>
      </c>
      <c r="O39" s="222">
        <v>5</v>
      </c>
      <c r="P39" s="222">
        <v>6</v>
      </c>
      <c r="Q39" s="222">
        <v>7</v>
      </c>
      <c r="R39" s="222">
        <v>8</v>
      </c>
      <c r="S39" s="222">
        <v>9</v>
      </c>
      <c r="T39" s="222">
        <v>10</v>
      </c>
      <c r="U39" s="222">
        <v>11</v>
      </c>
      <c r="V39" s="222">
        <v>12</v>
      </c>
      <c r="W39" s="222">
        <v>13</v>
      </c>
      <c r="X39" s="222">
        <v>14</v>
      </c>
      <c r="Y39" s="222">
        <v>15</v>
      </c>
      <c r="Z39" s="222">
        <v>16</v>
      </c>
      <c r="AA39" s="222">
        <v>17</v>
      </c>
      <c r="AB39" s="222">
        <v>18</v>
      </c>
      <c r="AC39" s="222">
        <v>19</v>
      </c>
      <c r="AD39" s="222">
        <v>20</v>
      </c>
      <c r="AE39" s="222">
        <v>21</v>
      </c>
      <c r="AF39" s="222">
        <v>22</v>
      </c>
      <c r="AG39" s="222">
        <v>23</v>
      </c>
      <c r="AH39" s="222">
        <v>24</v>
      </c>
      <c r="AI39" s="222">
        <v>25</v>
      </c>
      <c r="AJ39" s="222">
        <v>26</v>
      </c>
      <c r="AK39" s="222">
        <v>27</v>
      </c>
      <c r="AL39" s="222">
        <v>28</v>
      </c>
      <c r="AM39" s="222">
        <v>29</v>
      </c>
      <c r="AN39" s="222">
        <v>30</v>
      </c>
      <c r="AO39" s="222">
        <v>31</v>
      </c>
      <c r="AP39" s="222">
        <v>32</v>
      </c>
      <c r="AQ39" s="222">
        <v>33</v>
      </c>
      <c r="AR39" s="222">
        <v>34</v>
      </c>
      <c r="AS39" s="222">
        <v>35</v>
      </c>
      <c r="AT39" s="222">
        <v>36</v>
      </c>
    </row>
    <row r="40" spans="2:46" ht="15" customHeight="1" x14ac:dyDescent="0.25">
      <c r="B40" s="1791" t="s">
        <v>44</v>
      </c>
      <c r="C40" s="1792"/>
      <c r="D40" s="1792"/>
      <c r="E40" s="1792"/>
      <c r="F40" s="1793"/>
      <c r="G40" s="436">
        <f>SUM(G29:G39)</f>
        <v>662100</v>
      </c>
      <c r="H40" s="478"/>
    </row>
    <row r="41" spans="2:46" x14ac:dyDescent="0.25">
      <c r="B41" s="549"/>
      <c r="C41" s="478"/>
      <c r="D41" s="478"/>
      <c r="E41" s="483"/>
      <c r="F41" s="483"/>
      <c r="G41" s="478"/>
      <c r="H41" s="478"/>
    </row>
    <row r="42" spans="2:46" x14ac:dyDescent="0.25">
      <c r="B42" s="617" t="s">
        <v>835</v>
      </c>
      <c r="C42" s="561" t="s">
        <v>843</v>
      </c>
      <c r="D42" s="562"/>
      <c r="E42" s="563"/>
      <c r="F42" s="564"/>
      <c r="G42" s="450" t="s">
        <v>797</v>
      </c>
      <c r="H42" s="451">
        <f>+H44+H60</f>
        <v>75672.512499999997</v>
      </c>
    </row>
    <row r="43" spans="2:46" x14ac:dyDescent="0.25">
      <c r="B43" s="548"/>
      <c r="C43" s="477"/>
      <c r="D43" s="478"/>
      <c r="E43" s="483"/>
      <c r="F43" s="483"/>
      <c r="G43" s="478"/>
      <c r="H43" s="478"/>
    </row>
    <row r="44" spans="2:46" x14ac:dyDescent="0.25">
      <c r="B44" s="607"/>
      <c r="C44" s="482" t="s">
        <v>941</v>
      </c>
      <c r="D44" s="478"/>
      <c r="E44" s="483"/>
      <c r="F44" s="483"/>
      <c r="G44" s="476" t="s">
        <v>797</v>
      </c>
      <c r="H44" s="477">
        <f>+G58</f>
        <v>64554.75</v>
      </c>
    </row>
    <row r="45" spans="2:46" x14ac:dyDescent="0.25">
      <c r="B45" s="548"/>
      <c r="C45" s="482"/>
      <c r="D45" s="478"/>
      <c r="E45" s="483"/>
      <c r="F45" s="483"/>
      <c r="G45" s="478"/>
      <c r="H45" s="478"/>
    </row>
    <row r="46" spans="2:46" ht="25.5" x14ac:dyDescent="0.25">
      <c r="B46" s="597" t="s">
        <v>813</v>
      </c>
      <c r="C46" s="629" t="s">
        <v>827</v>
      </c>
      <c r="D46" s="630" t="s">
        <v>828</v>
      </c>
      <c r="E46" s="631" t="s">
        <v>769</v>
      </c>
      <c r="F46" s="631" t="s">
        <v>829</v>
      </c>
      <c r="G46" s="631" t="s">
        <v>830</v>
      </c>
      <c r="H46" s="478"/>
    </row>
    <row r="47" spans="2:46" x14ac:dyDescent="0.25">
      <c r="B47" s="602" t="s">
        <v>822</v>
      </c>
      <c r="C47" s="628" t="str">
        <f>C29</f>
        <v>ING. CIVIL RESIDENTE DE OBRA</v>
      </c>
      <c r="D47" s="338">
        <f>D29</f>
        <v>1</v>
      </c>
      <c r="E47" s="338">
        <f>E29</f>
        <v>32</v>
      </c>
      <c r="F47" s="338">
        <f>+(F29+F97)*0.09</f>
        <v>438.75</v>
      </c>
      <c r="G47" s="586">
        <f>+D47*E47*F47</f>
        <v>14040</v>
      </c>
      <c r="H47" s="478"/>
    </row>
    <row r="48" spans="2:46" ht="51" x14ac:dyDescent="0.25">
      <c r="B48" s="602" t="s">
        <v>846</v>
      </c>
      <c r="C48" s="628" t="str">
        <f>C30</f>
        <v>ING. AGROINDUSTRIAL Y/O ING. EN INDUSTRIAS ALIMENTARIAS - ESPECIALISTA EN INSTALACIÓN DE PROYECTOS AGROINDUSTRIALES</v>
      </c>
      <c r="D48" s="338">
        <f t="shared" ref="D48:E57" si="1">D30</f>
        <v>1</v>
      </c>
      <c r="E48" s="338">
        <f t="shared" si="1"/>
        <v>32</v>
      </c>
      <c r="F48" s="338">
        <f t="shared" ref="F48:F57" si="2">+(F30+F98)*0.09</f>
        <v>438.75</v>
      </c>
      <c r="G48" s="586">
        <f t="shared" ref="G48:G57" si="3">+D48*E48*F48</f>
        <v>14040</v>
      </c>
      <c r="H48" s="478"/>
    </row>
    <row r="49" spans="2:8" x14ac:dyDescent="0.25">
      <c r="B49" s="602" t="s">
        <v>894</v>
      </c>
      <c r="C49" s="628" t="str">
        <f t="shared" ref="C49:C57" si="4">C31</f>
        <v>ING. AGRÓNOMO</v>
      </c>
      <c r="D49" s="338">
        <f t="shared" si="1"/>
        <v>1</v>
      </c>
      <c r="E49" s="338">
        <f t="shared" si="1"/>
        <v>5</v>
      </c>
      <c r="F49" s="338">
        <f t="shared" si="2"/>
        <v>438.75</v>
      </c>
      <c r="G49" s="586">
        <f t="shared" si="3"/>
        <v>2193.75</v>
      </c>
      <c r="H49" s="478"/>
    </row>
    <row r="50" spans="2:8" ht="25.5" x14ac:dyDescent="0.25">
      <c r="B50" s="602" t="s">
        <v>932</v>
      </c>
      <c r="C50" s="628" t="str">
        <f t="shared" si="4"/>
        <v>ING. MECÁNICO ELECTRICISTA - INSTALACIONES ESPECIALES</v>
      </c>
      <c r="D50" s="338">
        <f t="shared" si="1"/>
        <v>1</v>
      </c>
      <c r="E50" s="338">
        <f t="shared" si="1"/>
        <v>5</v>
      </c>
      <c r="F50" s="338">
        <f t="shared" si="2"/>
        <v>389.99999999999994</v>
      </c>
      <c r="G50" s="586">
        <f t="shared" si="3"/>
        <v>1949.9999999999998</v>
      </c>
      <c r="H50" s="478"/>
    </row>
    <row r="51" spans="2:8" ht="25.5" x14ac:dyDescent="0.25">
      <c r="B51" s="602" t="s">
        <v>978</v>
      </c>
      <c r="C51" s="628" t="str">
        <f t="shared" si="4"/>
        <v>ING. SANITARIO Y/O MECÁNICO DE FLUIDOS</v>
      </c>
      <c r="D51" s="338">
        <f t="shared" si="1"/>
        <v>1</v>
      </c>
      <c r="E51" s="338">
        <f t="shared" si="1"/>
        <v>3</v>
      </c>
      <c r="F51" s="338">
        <f t="shared" si="2"/>
        <v>389.99999999999994</v>
      </c>
      <c r="G51" s="586">
        <f t="shared" si="3"/>
        <v>1169.9999999999998</v>
      </c>
      <c r="H51" s="478"/>
    </row>
    <row r="52" spans="2:8" x14ac:dyDescent="0.25">
      <c r="B52" s="602" t="s">
        <v>979</v>
      </c>
      <c r="C52" s="628" t="str">
        <f t="shared" si="4"/>
        <v>ASISTENTE TECNICO</v>
      </c>
      <c r="D52" s="338">
        <f t="shared" si="1"/>
        <v>1</v>
      </c>
      <c r="E52" s="338">
        <f t="shared" si="1"/>
        <v>32</v>
      </c>
      <c r="F52" s="338">
        <f t="shared" si="2"/>
        <v>263.25</v>
      </c>
      <c r="G52" s="586">
        <f t="shared" si="3"/>
        <v>8424</v>
      </c>
      <c r="H52" s="478"/>
    </row>
    <row r="53" spans="2:8" x14ac:dyDescent="0.25">
      <c r="B53" s="602" t="s">
        <v>980</v>
      </c>
      <c r="C53" s="628" t="str">
        <f t="shared" si="4"/>
        <v>ASISTENTE ADMINISTRATIVO</v>
      </c>
      <c r="D53" s="338">
        <f t="shared" si="1"/>
        <v>1</v>
      </c>
      <c r="E53" s="338">
        <f t="shared" si="1"/>
        <v>32</v>
      </c>
      <c r="F53" s="338">
        <f t="shared" si="2"/>
        <v>234</v>
      </c>
      <c r="G53" s="586">
        <f t="shared" si="3"/>
        <v>7488</v>
      </c>
      <c r="H53" s="478"/>
    </row>
    <row r="54" spans="2:8" ht="25.5" x14ac:dyDescent="0.25">
      <c r="B54" s="602" t="s">
        <v>981</v>
      </c>
      <c r="C54" s="628" t="str">
        <f t="shared" si="4"/>
        <v xml:space="preserve">ESPECIALISTA CAPACITACION DE PLANTRAS INDUSTRIALES </v>
      </c>
      <c r="D54" s="338">
        <f t="shared" si="1"/>
        <v>1</v>
      </c>
      <c r="E54" s="338">
        <f t="shared" si="1"/>
        <v>1.5</v>
      </c>
      <c r="F54" s="338">
        <f t="shared" si="2"/>
        <v>389.99999999999994</v>
      </c>
      <c r="G54" s="586">
        <f t="shared" si="3"/>
        <v>584.99999999999989</v>
      </c>
      <c r="H54" s="478"/>
    </row>
    <row r="55" spans="2:8" x14ac:dyDescent="0.25">
      <c r="B55" s="602" t="s">
        <v>982</v>
      </c>
      <c r="C55" s="628" t="str">
        <f t="shared" si="4"/>
        <v xml:space="preserve">MAESTRO DE OBRA </v>
      </c>
      <c r="D55" s="338">
        <f t="shared" si="1"/>
        <v>1</v>
      </c>
      <c r="E55" s="338">
        <f t="shared" si="1"/>
        <v>12</v>
      </c>
      <c r="F55" s="338">
        <f t="shared" si="2"/>
        <v>234</v>
      </c>
      <c r="G55" s="586">
        <f t="shared" si="3"/>
        <v>2808</v>
      </c>
      <c r="H55" s="478"/>
    </row>
    <row r="56" spans="2:8" x14ac:dyDescent="0.25">
      <c r="B56" s="602" t="s">
        <v>983</v>
      </c>
      <c r="C56" s="628" t="str">
        <f t="shared" si="4"/>
        <v>GUARDIAN</v>
      </c>
      <c r="D56" s="338">
        <f t="shared" si="1"/>
        <v>1</v>
      </c>
      <c r="E56" s="338">
        <f t="shared" si="1"/>
        <v>32</v>
      </c>
      <c r="F56" s="338">
        <f t="shared" si="2"/>
        <v>156</v>
      </c>
      <c r="G56" s="586">
        <f t="shared" si="3"/>
        <v>4992</v>
      </c>
      <c r="H56" s="478"/>
    </row>
    <row r="57" spans="2:8" x14ac:dyDescent="0.25">
      <c r="B57" s="602" t="s">
        <v>984</v>
      </c>
      <c r="C57" s="628" t="str">
        <f t="shared" si="4"/>
        <v xml:space="preserve">ALMACENERO </v>
      </c>
      <c r="D57" s="338">
        <f t="shared" si="1"/>
        <v>1</v>
      </c>
      <c r="E57" s="338">
        <f t="shared" si="1"/>
        <v>32</v>
      </c>
      <c r="F57" s="338">
        <f t="shared" si="2"/>
        <v>214.5</v>
      </c>
      <c r="G57" s="586">
        <f t="shared" si="3"/>
        <v>6864</v>
      </c>
      <c r="H57" s="478"/>
    </row>
    <row r="58" spans="2:8" ht="15" customHeight="1" x14ac:dyDescent="0.25">
      <c r="B58" s="1794" t="s">
        <v>44</v>
      </c>
      <c r="C58" s="1794"/>
      <c r="D58" s="1794"/>
      <c r="E58" s="1794"/>
      <c r="F58" s="1794"/>
      <c r="G58" s="567">
        <f>SUM(G47:G57)</f>
        <v>64554.75</v>
      </c>
      <c r="H58" s="478"/>
    </row>
    <row r="59" spans="2:8" x14ac:dyDescent="0.25">
      <c r="B59" s="549"/>
      <c r="C59" s="568"/>
      <c r="D59" s="568"/>
      <c r="E59" s="483"/>
      <c r="F59" s="483"/>
      <c r="G59" s="478"/>
      <c r="H59" s="478"/>
    </row>
    <row r="60" spans="2:8" x14ac:dyDescent="0.25">
      <c r="B60" s="607"/>
      <c r="C60" s="482" t="s">
        <v>942</v>
      </c>
      <c r="D60" s="478"/>
      <c r="E60" s="483"/>
      <c r="F60" s="483"/>
      <c r="G60" s="476" t="s">
        <v>797</v>
      </c>
      <c r="H60" s="477">
        <f>+G74</f>
        <v>11117.762500000001</v>
      </c>
    </row>
    <row r="61" spans="2:8" x14ac:dyDescent="0.25">
      <c r="B61" s="548"/>
      <c r="C61" s="482"/>
      <c r="D61" s="478"/>
      <c r="E61" s="483"/>
      <c r="F61" s="483"/>
      <c r="G61" s="478"/>
      <c r="H61" s="478"/>
    </row>
    <row r="62" spans="2:8" ht="25.5" x14ac:dyDescent="0.25">
      <c r="B62" s="597" t="s">
        <v>813</v>
      </c>
      <c r="C62" s="629" t="s">
        <v>827</v>
      </c>
      <c r="D62" s="630" t="s">
        <v>828</v>
      </c>
      <c r="E62" s="631" t="s">
        <v>769</v>
      </c>
      <c r="F62" s="631" t="s">
        <v>829</v>
      </c>
      <c r="G62" s="631" t="s">
        <v>830</v>
      </c>
      <c r="H62" s="478"/>
    </row>
    <row r="63" spans="2:8" x14ac:dyDescent="0.25">
      <c r="B63" s="602" t="s">
        <v>822</v>
      </c>
      <c r="C63" s="628" t="str">
        <f>C47</f>
        <v>ING. CIVIL RESIDENTE DE OBRA</v>
      </c>
      <c r="D63" s="338">
        <f>D29</f>
        <v>1</v>
      </c>
      <c r="E63" s="338">
        <f>E29</f>
        <v>32</v>
      </c>
      <c r="F63" s="338">
        <f>+(F29+F97)*0.0155</f>
        <v>75.5625</v>
      </c>
      <c r="G63" s="586">
        <f t="shared" ref="G63:G73" si="5">+D63*E63*F63</f>
        <v>2418</v>
      </c>
      <c r="H63" s="478"/>
    </row>
    <row r="64" spans="2:8" ht="51" x14ac:dyDescent="0.25">
      <c r="B64" s="602" t="s">
        <v>846</v>
      </c>
      <c r="C64" s="628" t="str">
        <f t="shared" ref="C64:C73" si="6">C48</f>
        <v>ING. AGROINDUSTRIAL Y/O ING. EN INDUSTRIAS ALIMENTARIAS - ESPECIALISTA EN INSTALACIÓN DE PROYECTOS AGROINDUSTRIALES</v>
      </c>
      <c r="D64" s="338">
        <f t="shared" ref="D64:E73" si="7">D30</f>
        <v>1</v>
      </c>
      <c r="E64" s="338">
        <f t="shared" si="7"/>
        <v>32</v>
      </c>
      <c r="F64" s="338">
        <f t="shared" ref="F64:F73" si="8">+(F30+F98)*0.0155</f>
        <v>75.5625</v>
      </c>
      <c r="G64" s="586">
        <f t="shared" si="5"/>
        <v>2418</v>
      </c>
      <c r="H64" s="478"/>
    </row>
    <row r="65" spans="2:8" x14ac:dyDescent="0.25">
      <c r="B65" s="602" t="s">
        <v>894</v>
      </c>
      <c r="C65" s="628" t="str">
        <f t="shared" si="6"/>
        <v>ING. AGRÓNOMO</v>
      </c>
      <c r="D65" s="338">
        <f t="shared" si="7"/>
        <v>1</v>
      </c>
      <c r="E65" s="338">
        <f t="shared" si="7"/>
        <v>5</v>
      </c>
      <c r="F65" s="338">
        <f t="shared" si="8"/>
        <v>75.5625</v>
      </c>
      <c r="G65" s="586">
        <f t="shared" si="5"/>
        <v>377.8125</v>
      </c>
      <c r="H65" s="478"/>
    </row>
    <row r="66" spans="2:8" ht="25.5" x14ac:dyDescent="0.25">
      <c r="B66" s="602" t="s">
        <v>932</v>
      </c>
      <c r="C66" s="628" t="str">
        <f t="shared" si="6"/>
        <v>ING. MECÁNICO ELECTRICISTA - INSTALACIONES ESPECIALES</v>
      </c>
      <c r="D66" s="338">
        <f t="shared" si="7"/>
        <v>1</v>
      </c>
      <c r="E66" s="338">
        <f t="shared" si="7"/>
        <v>5</v>
      </c>
      <c r="F66" s="338">
        <f t="shared" si="8"/>
        <v>67.166666666666657</v>
      </c>
      <c r="G66" s="586">
        <f t="shared" si="5"/>
        <v>335.83333333333326</v>
      </c>
      <c r="H66" s="478"/>
    </row>
    <row r="67" spans="2:8" ht="25.5" x14ac:dyDescent="0.25">
      <c r="B67" s="602" t="s">
        <v>978</v>
      </c>
      <c r="C67" s="628" t="str">
        <f t="shared" si="6"/>
        <v>ING. SANITARIO Y/O MECÁNICO DE FLUIDOS</v>
      </c>
      <c r="D67" s="338">
        <f t="shared" si="7"/>
        <v>1</v>
      </c>
      <c r="E67" s="338">
        <f t="shared" si="7"/>
        <v>3</v>
      </c>
      <c r="F67" s="338">
        <f t="shared" si="8"/>
        <v>67.166666666666657</v>
      </c>
      <c r="G67" s="586">
        <f t="shared" si="5"/>
        <v>201.49999999999997</v>
      </c>
      <c r="H67" s="478"/>
    </row>
    <row r="68" spans="2:8" x14ac:dyDescent="0.25">
      <c r="B68" s="602" t="s">
        <v>979</v>
      </c>
      <c r="C68" s="628" t="str">
        <f t="shared" si="6"/>
        <v>ASISTENTE TECNICO</v>
      </c>
      <c r="D68" s="338">
        <f t="shared" si="7"/>
        <v>1</v>
      </c>
      <c r="E68" s="338">
        <f t="shared" si="7"/>
        <v>32</v>
      </c>
      <c r="F68" s="338">
        <f t="shared" si="8"/>
        <v>45.337499999999999</v>
      </c>
      <c r="G68" s="586">
        <f t="shared" si="5"/>
        <v>1450.8</v>
      </c>
      <c r="H68" s="478"/>
    </row>
    <row r="69" spans="2:8" x14ac:dyDescent="0.25">
      <c r="B69" s="602" t="s">
        <v>980</v>
      </c>
      <c r="C69" s="628" t="str">
        <f t="shared" si="6"/>
        <v>ASISTENTE ADMINISTRATIVO</v>
      </c>
      <c r="D69" s="338">
        <f t="shared" si="7"/>
        <v>1</v>
      </c>
      <c r="E69" s="338">
        <f t="shared" si="7"/>
        <v>32</v>
      </c>
      <c r="F69" s="338">
        <f t="shared" si="8"/>
        <v>40.299999999999997</v>
      </c>
      <c r="G69" s="586">
        <f t="shared" si="5"/>
        <v>1289.5999999999999</v>
      </c>
      <c r="H69" s="478"/>
    </row>
    <row r="70" spans="2:8" ht="25.5" x14ac:dyDescent="0.25">
      <c r="B70" s="602" t="s">
        <v>981</v>
      </c>
      <c r="C70" s="628" t="str">
        <f t="shared" si="6"/>
        <v xml:space="preserve">ESPECIALISTA CAPACITACION DE PLANTRAS INDUSTRIALES </v>
      </c>
      <c r="D70" s="338">
        <f t="shared" si="7"/>
        <v>1</v>
      </c>
      <c r="E70" s="338">
        <f t="shared" si="7"/>
        <v>1.5</v>
      </c>
      <c r="F70" s="338">
        <f t="shared" si="8"/>
        <v>67.166666666666657</v>
      </c>
      <c r="G70" s="586">
        <f t="shared" si="5"/>
        <v>100.74999999999999</v>
      </c>
      <c r="H70" s="478"/>
    </row>
    <row r="71" spans="2:8" x14ac:dyDescent="0.25">
      <c r="B71" s="602" t="s">
        <v>982</v>
      </c>
      <c r="C71" s="628" t="str">
        <f t="shared" si="6"/>
        <v xml:space="preserve">MAESTRO DE OBRA </v>
      </c>
      <c r="D71" s="338">
        <f t="shared" si="7"/>
        <v>1</v>
      </c>
      <c r="E71" s="338">
        <f t="shared" si="7"/>
        <v>12</v>
      </c>
      <c r="F71" s="338">
        <f t="shared" si="8"/>
        <v>40.299999999999997</v>
      </c>
      <c r="G71" s="586">
        <f t="shared" si="5"/>
        <v>483.59999999999997</v>
      </c>
      <c r="H71" s="478"/>
    </row>
    <row r="72" spans="2:8" x14ac:dyDescent="0.25">
      <c r="B72" s="602" t="s">
        <v>983</v>
      </c>
      <c r="C72" s="628" t="str">
        <f t="shared" si="6"/>
        <v>GUARDIAN</v>
      </c>
      <c r="D72" s="338">
        <f t="shared" si="7"/>
        <v>1</v>
      </c>
      <c r="E72" s="338">
        <f t="shared" si="7"/>
        <v>32</v>
      </c>
      <c r="F72" s="338">
        <f t="shared" si="8"/>
        <v>26.866666666666664</v>
      </c>
      <c r="G72" s="586">
        <f t="shared" si="5"/>
        <v>859.73333333333323</v>
      </c>
      <c r="H72" s="478"/>
    </row>
    <row r="73" spans="2:8" x14ac:dyDescent="0.25">
      <c r="B73" s="602" t="s">
        <v>984</v>
      </c>
      <c r="C73" s="628" t="str">
        <f t="shared" si="6"/>
        <v xml:space="preserve">ALMACENERO </v>
      </c>
      <c r="D73" s="338">
        <f t="shared" si="7"/>
        <v>1</v>
      </c>
      <c r="E73" s="338">
        <f t="shared" si="7"/>
        <v>32</v>
      </c>
      <c r="F73" s="338">
        <f t="shared" si="8"/>
        <v>36.94166666666667</v>
      </c>
      <c r="G73" s="586">
        <f t="shared" si="5"/>
        <v>1182.1333333333334</v>
      </c>
      <c r="H73" s="478"/>
    </row>
    <row r="74" spans="2:8" ht="15" customHeight="1" x14ac:dyDescent="0.25">
      <c r="B74" s="1795" t="s">
        <v>44</v>
      </c>
      <c r="C74" s="1795"/>
      <c r="D74" s="1795"/>
      <c r="E74" s="1795"/>
      <c r="F74" s="1795"/>
      <c r="G74" s="567">
        <f>SUM(G63:G73)</f>
        <v>11117.762500000001</v>
      </c>
      <c r="H74" s="478"/>
    </row>
    <row r="75" spans="2:8" x14ac:dyDescent="0.25">
      <c r="B75" s="549"/>
      <c r="C75" s="569"/>
      <c r="D75" s="569"/>
      <c r="E75" s="569"/>
      <c r="F75" s="569"/>
      <c r="G75" s="478"/>
      <c r="H75" s="478"/>
    </row>
    <row r="76" spans="2:8" x14ac:dyDescent="0.25">
      <c r="B76" s="617" t="s">
        <v>842</v>
      </c>
      <c r="C76" s="561" t="s">
        <v>943</v>
      </c>
      <c r="D76" s="562"/>
      <c r="E76" s="563"/>
      <c r="F76" s="564"/>
      <c r="G76" s="450" t="s">
        <v>797</v>
      </c>
      <c r="H76" s="451">
        <f>+H78+H94</f>
        <v>110350</v>
      </c>
    </row>
    <row r="77" spans="2:8" x14ac:dyDescent="0.25">
      <c r="B77" s="548"/>
      <c r="C77" s="482"/>
      <c r="D77" s="478"/>
      <c r="E77" s="478"/>
      <c r="F77" s="569"/>
      <c r="G77" s="476"/>
      <c r="H77" s="477"/>
    </row>
    <row r="78" spans="2:8" x14ac:dyDescent="0.25">
      <c r="B78" s="548"/>
      <c r="C78" s="482" t="s">
        <v>944</v>
      </c>
      <c r="D78" s="478"/>
      <c r="E78" s="483"/>
      <c r="F78" s="483"/>
      <c r="G78" s="476" t="s">
        <v>797</v>
      </c>
      <c r="H78" s="477">
        <f>+G92</f>
        <v>55175</v>
      </c>
    </row>
    <row r="79" spans="2:8" x14ac:dyDescent="0.25">
      <c r="B79" s="548"/>
      <c r="C79" s="482"/>
      <c r="D79" s="478"/>
      <c r="E79" s="483"/>
      <c r="F79" s="483"/>
      <c r="G79" s="478"/>
      <c r="H79" s="478"/>
    </row>
    <row r="80" spans="2:8" ht="25.5" x14ac:dyDescent="0.25">
      <c r="B80" s="597" t="s">
        <v>813</v>
      </c>
      <c r="C80" s="629" t="s">
        <v>827</v>
      </c>
      <c r="D80" s="630" t="s">
        <v>828</v>
      </c>
      <c r="E80" s="631" t="s">
        <v>769</v>
      </c>
      <c r="F80" s="631" t="s">
        <v>829</v>
      </c>
      <c r="G80" s="631" t="s">
        <v>830</v>
      </c>
      <c r="H80" s="478"/>
    </row>
    <row r="81" spans="2:8" x14ac:dyDescent="0.25">
      <c r="B81" s="602" t="s">
        <v>822</v>
      </c>
      <c r="C81" s="628" t="str">
        <f>C29</f>
        <v>ING. CIVIL RESIDENTE DE OBRA</v>
      </c>
      <c r="D81" s="1327">
        <f>D29</f>
        <v>1</v>
      </c>
      <c r="E81" s="1327">
        <f>E29</f>
        <v>32</v>
      </c>
      <c r="F81" s="1327">
        <f>+F29/12</f>
        <v>375</v>
      </c>
      <c r="G81" s="586">
        <f>+D81*E81*F81</f>
        <v>12000</v>
      </c>
      <c r="H81" s="478"/>
    </row>
    <row r="82" spans="2:8" ht="51" x14ac:dyDescent="0.25">
      <c r="B82" s="602" t="s">
        <v>846</v>
      </c>
      <c r="C82" s="628" t="str">
        <f t="shared" ref="C82:E91" si="9">C30</f>
        <v>ING. AGROINDUSTRIAL Y/O ING. EN INDUSTRIAS ALIMENTARIAS - ESPECIALISTA EN INSTALACIÓN DE PROYECTOS AGROINDUSTRIALES</v>
      </c>
      <c r="D82" s="1327">
        <f t="shared" si="9"/>
        <v>1</v>
      </c>
      <c r="E82" s="1327">
        <f t="shared" si="9"/>
        <v>32</v>
      </c>
      <c r="F82" s="1327">
        <f t="shared" ref="F82:F91" si="10">+F30/12</f>
        <v>375</v>
      </c>
      <c r="G82" s="586">
        <f t="shared" ref="G82:G91" si="11">+D82*E82*F82</f>
        <v>12000</v>
      </c>
      <c r="H82" s="478"/>
    </row>
    <row r="83" spans="2:8" x14ac:dyDescent="0.25">
      <c r="B83" s="602" t="s">
        <v>894</v>
      </c>
      <c r="C83" s="628" t="str">
        <f t="shared" si="9"/>
        <v>ING. AGRÓNOMO</v>
      </c>
      <c r="D83" s="1327">
        <f t="shared" si="9"/>
        <v>1</v>
      </c>
      <c r="E83" s="1327">
        <f t="shared" si="9"/>
        <v>5</v>
      </c>
      <c r="F83" s="1327">
        <f t="shared" si="10"/>
        <v>375</v>
      </c>
      <c r="G83" s="586">
        <f t="shared" si="11"/>
        <v>1875</v>
      </c>
      <c r="H83" s="478"/>
    </row>
    <row r="84" spans="2:8" ht="25.5" x14ac:dyDescent="0.25">
      <c r="B84" s="602" t="s">
        <v>932</v>
      </c>
      <c r="C84" s="628" t="str">
        <f t="shared" si="9"/>
        <v>ING. MECÁNICO ELECTRICISTA - INSTALACIONES ESPECIALES</v>
      </c>
      <c r="D84" s="1327">
        <f t="shared" si="9"/>
        <v>1</v>
      </c>
      <c r="E84" s="1327">
        <f t="shared" si="9"/>
        <v>5</v>
      </c>
      <c r="F84" s="1327">
        <f t="shared" si="10"/>
        <v>333.33333333333331</v>
      </c>
      <c r="G84" s="586">
        <f t="shared" si="11"/>
        <v>1666.6666666666665</v>
      </c>
      <c r="H84" s="478"/>
    </row>
    <row r="85" spans="2:8" ht="25.5" x14ac:dyDescent="0.25">
      <c r="B85" s="602" t="s">
        <v>978</v>
      </c>
      <c r="C85" s="628" t="str">
        <f t="shared" si="9"/>
        <v>ING. SANITARIO Y/O MECÁNICO DE FLUIDOS</v>
      </c>
      <c r="D85" s="1327">
        <f t="shared" si="9"/>
        <v>1</v>
      </c>
      <c r="E85" s="1327">
        <f t="shared" si="9"/>
        <v>3</v>
      </c>
      <c r="F85" s="1327">
        <f t="shared" si="10"/>
        <v>333.33333333333331</v>
      </c>
      <c r="G85" s="586">
        <f t="shared" si="11"/>
        <v>1000</v>
      </c>
      <c r="H85" s="478"/>
    </row>
    <row r="86" spans="2:8" x14ac:dyDescent="0.25">
      <c r="B86" s="602" t="s">
        <v>979</v>
      </c>
      <c r="C86" s="628" t="str">
        <f t="shared" si="9"/>
        <v>ASISTENTE TECNICO</v>
      </c>
      <c r="D86" s="1327">
        <f t="shared" si="9"/>
        <v>1</v>
      </c>
      <c r="E86" s="1327">
        <f t="shared" si="9"/>
        <v>32</v>
      </c>
      <c r="F86" s="1327">
        <f t="shared" si="10"/>
        <v>225</v>
      </c>
      <c r="G86" s="586">
        <f t="shared" si="11"/>
        <v>7200</v>
      </c>
      <c r="H86" s="478"/>
    </row>
    <row r="87" spans="2:8" x14ac:dyDescent="0.25">
      <c r="B87" s="602" t="s">
        <v>980</v>
      </c>
      <c r="C87" s="628" t="str">
        <f t="shared" si="9"/>
        <v>ASISTENTE ADMINISTRATIVO</v>
      </c>
      <c r="D87" s="1327">
        <f t="shared" si="9"/>
        <v>1</v>
      </c>
      <c r="E87" s="1327">
        <f t="shared" si="9"/>
        <v>32</v>
      </c>
      <c r="F87" s="1327">
        <f t="shared" si="10"/>
        <v>200</v>
      </c>
      <c r="G87" s="586">
        <f t="shared" si="11"/>
        <v>6400</v>
      </c>
      <c r="H87" s="478"/>
    </row>
    <row r="88" spans="2:8" ht="25.5" x14ac:dyDescent="0.25">
      <c r="B88" s="602" t="s">
        <v>981</v>
      </c>
      <c r="C88" s="628" t="str">
        <f t="shared" si="9"/>
        <v xml:space="preserve">ESPECIALISTA CAPACITACION DE PLANTRAS INDUSTRIALES </v>
      </c>
      <c r="D88" s="1327">
        <f t="shared" si="9"/>
        <v>1</v>
      </c>
      <c r="E88" s="1327">
        <f t="shared" si="9"/>
        <v>1.5</v>
      </c>
      <c r="F88" s="1327">
        <f t="shared" si="10"/>
        <v>333.33333333333331</v>
      </c>
      <c r="G88" s="586">
        <f t="shared" si="11"/>
        <v>500</v>
      </c>
      <c r="H88" s="478"/>
    </row>
    <row r="89" spans="2:8" x14ac:dyDescent="0.25">
      <c r="B89" s="602" t="s">
        <v>982</v>
      </c>
      <c r="C89" s="628" t="str">
        <f t="shared" si="9"/>
        <v xml:space="preserve">MAESTRO DE OBRA </v>
      </c>
      <c r="D89" s="1327">
        <f t="shared" si="9"/>
        <v>1</v>
      </c>
      <c r="E89" s="1327">
        <f t="shared" si="9"/>
        <v>12</v>
      </c>
      <c r="F89" s="1327">
        <f t="shared" si="10"/>
        <v>200</v>
      </c>
      <c r="G89" s="586">
        <f t="shared" si="11"/>
        <v>2400</v>
      </c>
      <c r="H89" s="478"/>
    </row>
    <row r="90" spans="2:8" x14ac:dyDescent="0.25">
      <c r="B90" s="602" t="s">
        <v>983</v>
      </c>
      <c r="C90" s="628" t="str">
        <f t="shared" si="9"/>
        <v>GUARDIAN</v>
      </c>
      <c r="D90" s="1327">
        <f t="shared" si="9"/>
        <v>1</v>
      </c>
      <c r="E90" s="1327">
        <f t="shared" si="9"/>
        <v>32</v>
      </c>
      <c r="F90" s="1327">
        <f t="shared" si="10"/>
        <v>133.33333333333334</v>
      </c>
      <c r="G90" s="586">
        <f t="shared" si="11"/>
        <v>4266.666666666667</v>
      </c>
      <c r="H90" s="478"/>
    </row>
    <row r="91" spans="2:8" x14ac:dyDescent="0.25">
      <c r="B91" s="602" t="s">
        <v>984</v>
      </c>
      <c r="C91" s="628" t="str">
        <f t="shared" si="9"/>
        <v xml:space="preserve">ALMACENERO </v>
      </c>
      <c r="D91" s="1327">
        <f t="shared" si="9"/>
        <v>1</v>
      </c>
      <c r="E91" s="1327">
        <f t="shared" si="9"/>
        <v>32</v>
      </c>
      <c r="F91" s="1327">
        <f t="shared" si="10"/>
        <v>183.33333333333334</v>
      </c>
      <c r="G91" s="586">
        <f t="shared" si="11"/>
        <v>5866.666666666667</v>
      </c>
      <c r="H91" s="478"/>
    </row>
    <row r="92" spans="2:8" ht="15" customHeight="1" x14ac:dyDescent="0.25">
      <c r="B92" s="1786" t="s">
        <v>44</v>
      </c>
      <c r="C92" s="1786"/>
      <c r="D92" s="1786"/>
      <c r="E92" s="1786"/>
      <c r="F92" s="1786"/>
      <c r="G92" s="567">
        <f>SUM(G81:G91)</f>
        <v>55175</v>
      </c>
      <c r="H92" s="478"/>
    </row>
    <row r="93" spans="2:8" x14ac:dyDescent="0.25">
      <c r="B93" s="549"/>
      <c r="C93" s="478"/>
      <c r="D93" s="478"/>
      <c r="E93" s="483"/>
      <c r="F93" s="483"/>
      <c r="G93" s="478"/>
      <c r="H93" s="478"/>
    </row>
    <row r="94" spans="2:8" x14ac:dyDescent="0.25">
      <c r="B94" s="549"/>
      <c r="C94" s="482" t="s">
        <v>945</v>
      </c>
      <c r="D94" s="478"/>
      <c r="E94" s="483"/>
      <c r="F94" s="483"/>
      <c r="G94" s="476" t="s">
        <v>797</v>
      </c>
      <c r="H94" s="477">
        <f>+G108</f>
        <v>55175</v>
      </c>
    </row>
    <row r="95" spans="2:8" x14ac:dyDescent="0.25">
      <c r="B95" s="549"/>
      <c r="C95" s="482"/>
      <c r="D95" s="478"/>
      <c r="E95" s="483"/>
      <c r="F95" s="483"/>
      <c r="G95" s="478"/>
      <c r="H95" s="478"/>
    </row>
    <row r="96" spans="2:8" ht="25.5" x14ac:dyDescent="0.25">
      <c r="B96" s="597" t="s">
        <v>813</v>
      </c>
      <c r="C96" s="629" t="s">
        <v>827</v>
      </c>
      <c r="D96" s="630" t="s">
        <v>828</v>
      </c>
      <c r="E96" s="631" t="s">
        <v>769</v>
      </c>
      <c r="F96" s="631" t="s">
        <v>829</v>
      </c>
      <c r="G96" s="631" t="s">
        <v>830</v>
      </c>
      <c r="H96" s="478"/>
    </row>
    <row r="97" spans="2:8" x14ac:dyDescent="0.25">
      <c r="B97" s="602" t="s">
        <v>822</v>
      </c>
      <c r="C97" s="628" t="str">
        <f>C29</f>
        <v>ING. CIVIL RESIDENTE DE OBRA</v>
      </c>
      <c r="D97" s="1327">
        <f>D29</f>
        <v>1</v>
      </c>
      <c r="E97" s="1327">
        <f>E29</f>
        <v>32</v>
      </c>
      <c r="F97" s="1327">
        <f>+F29/12</f>
        <v>375</v>
      </c>
      <c r="G97" s="586">
        <f>+D97*E97*F97</f>
        <v>12000</v>
      </c>
      <c r="H97" s="478"/>
    </row>
    <row r="98" spans="2:8" ht="51" x14ac:dyDescent="0.25">
      <c r="B98" s="602" t="s">
        <v>846</v>
      </c>
      <c r="C98" s="628" t="str">
        <f t="shared" ref="C98:E107" si="12">C30</f>
        <v>ING. AGROINDUSTRIAL Y/O ING. EN INDUSTRIAS ALIMENTARIAS - ESPECIALISTA EN INSTALACIÓN DE PROYECTOS AGROINDUSTRIALES</v>
      </c>
      <c r="D98" s="1327">
        <f t="shared" si="12"/>
        <v>1</v>
      </c>
      <c r="E98" s="1327">
        <f t="shared" si="12"/>
        <v>32</v>
      </c>
      <c r="F98" s="1327">
        <f t="shared" ref="F98:F107" si="13">+F30/12</f>
        <v>375</v>
      </c>
      <c r="G98" s="586">
        <f t="shared" ref="G98:G107" si="14">+D98*E98*F98</f>
        <v>12000</v>
      </c>
      <c r="H98" s="478"/>
    </row>
    <row r="99" spans="2:8" x14ac:dyDescent="0.25">
      <c r="B99" s="602" t="s">
        <v>894</v>
      </c>
      <c r="C99" s="628" t="str">
        <f t="shared" si="12"/>
        <v>ING. AGRÓNOMO</v>
      </c>
      <c r="D99" s="1327">
        <f t="shared" si="12"/>
        <v>1</v>
      </c>
      <c r="E99" s="1327">
        <f t="shared" si="12"/>
        <v>5</v>
      </c>
      <c r="F99" s="1327">
        <f t="shared" si="13"/>
        <v>375</v>
      </c>
      <c r="G99" s="586">
        <f t="shared" si="14"/>
        <v>1875</v>
      </c>
      <c r="H99" s="478"/>
    </row>
    <row r="100" spans="2:8" ht="25.5" x14ac:dyDescent="0.25">
      <c r="B100" s="602" t="s">
        <v>932</v>
      </c>
      <c r="C100" s="628" t="str">
        <f t="shared" si="12"/>
        <v>ING. MECÁNICO ELECTRICISTA - INSTALACIONES ESPECIALES</v>
      </c>
      <c r="D100" s="1327">
        <f t="shared" si="12"/>
        <v>1</v>
      </c>
      <c r="E100" s="1327">
        <f t="shared" si="12"/>
        <v>5</v>
      </c>
      <c r="F100" s="1327">
        <f t="shared" si="13"/>
        <v>333.33333333333331</v>
      </c>
      <c r="G100" s="586">
        <f t="shared" si="14"/>
        <v>1666.6666666666665</v>
      </c>
      <c r="H100" s="478"/>
    </row>
    <row r="101" spans="2:8" ht="25.5" x14ac:dyDescent="0.25">
      <c r="B101" s="602" t="s">
        <v>978</v>
      </c>
      <c r="C101" s="628" t="str">
        <f t="shared" si="12"/>
        <v>ING. SANITARIO Y/O MECÁNICO DE FLUIDOS</v>
      </c>
      <c r="D101" s="1327">
        <f t="shared" si="12"/>
        <v>1</v>
      </c>
      <c r="E101" s="1327">
        <f t="shared" si="12"/>
        <v>3</v>
      </c>
      <c r="F101" s="1327">
        <f t="shared" si="13"/>
        <v>333.33333333333331</v>
      </c>
      <c r="G101" s="586">
        <f t="shared" si="14"/>
        <v>1000</v>
      </c>
      <c r="H101" s="478"/>
    </row>
    <row r="102" spans="2:8" x14ac:dyDescent="0.25">
      <c r="B102" s="602" t="s">
        <v>979</v>
      </c>
      <c r="C102" s="628" t="str">
        <f t="shared" si="12"/>
        <v>ASISTENTE TECNICO</v>
      </c>
      <c r="D102" s="1327">
        <f t="shared" si="12"/>
        <v>1</v>
      </c>
      <c r="E102" s="1327">
        <f t="shared" si="12"/>
        <v>32</v>
      </c>
      <c r="F102" s="1327">
        <f t="shared" si="13"/>
        <v>225</v>
      </c>
      <c r="G102" s="586">
        <f t="shared" si="14"/>
        <v>7200</v>
      </c>
      <c r="H102" s="478"/>
    </row>
    <row r="103" spans="2:8" x14ac:dyDescent="0.25">
      <c r="B103" s="602" t="s">
        <v>980</v>
      </c>
      <c r="C103" s="628" t="str">
        <f t="shared" si="12"/>
        <v>ASISTENTE ADMINISTRATIVO</v>
      </c>
      <c r="D103" s="1327">
        <f t="shared" si="12"/>
        <v>1</v>
      </c>
      <c r="E103" s="1327">
        <f t="shared" si="12"/>
        <v>32</v>
      </c>
      <c r="F103" s="1327">
        <f t="shared" si="13"/>
        <v>200</v>
      </c>
      <c r="G103" s="586">
        <f t="shared" si="14"/>
        <v>6400</v>
      </c>
      <c r="H103" s="478"/>
    </row>
    <row r="104" spans="2:8" ht="25.5" x14ac:dyDescent="0.25">
      <c r="B104" s="602" t="s">
        <v>981</v>
      </c>
      <c r="C104" s="628" t="str">
        <f t="shared" si="12"/>
        <v xml:space="preserve">ESPECIALISTA CAPACITACION DE PLANTRAS INDUSTRIALES </v>
      </c>
      <c r="D104" s="1327">
        <f t="shared" si="12"/>
        <v>1</v>
      </c>
      <c r="E104" s="1327">
        <f t="shared" si="12"/>
        <v>1.5</v>
      </c>
      <c r="F104" s="1327">
        <f t="shared" si="13"/>
        <v>333.33333333333331</v>
      </c>
      <c r="G104" s="586">
        <f t="shared" si="14"/>
        <v>500</v>
      </c>
      <c r="H104" s="478"/>
    </row>
    <row r="105" spans="2:8" x14ac:dyDescent="0.25">
      <c r="B105" s="602" t="s">
        <v>982</v>
      </c>
      <c r="C105" s="628" t="str">
        <f t="shared" si="12"/>
        <v xml:space="preserve">MAESTRO DE OBRA </v>
      </c>
      <c r="D105" s="1327">
        <f t="shared" si="12"/>
        <v>1</v>
      </c>
      <c r="E105" s="1327">
        <f t="shared" si="12"/>
        <v>12</v>
      </c>
      <c r="F105" s="1327">
        <f t="shared" si="13"/>
        <v>200</v>
      </c>
      <c r="G105" s="586">
        <f t="shared" si="14"/>
        <v>2400</v>
      </c>
      <c r="H105" s="478"/>
    </row>
    <row r="106" spans="2:8" x14ac:dyDescent="0.25">
      <c r="B106" s="602" t="s">
        <v>983</v>
      </c>
      <c r="C106" s="628" t="str">
        <f t="shared" si="12"/>
        <v>GUARDIAN</v>
      </c>
      <c r="D106" s="1327">
        <f t="shared" si="12"/>
        <v>1</v>
      </c>
      <c r="E106" s="1327">
        <f t="shared" si="12"/>
        <v>32</v>
      </c>
      <c r="F106" s="1327">
        <f t="shared" si="13"/>
        <v>133.33333333333334</v>
      </c>
      <c r="G106" s="586">
        <f t="shared" si="14"/>
        <v>4266.666666666667</v>
      </c>
      <c r="H106" s="478"/>
    </row>
    <row r="107" spans="2:8" x14ac:dyDescent="0.25">
      <c r="B107" s="602" t="s">
        <v>984</v>
      </c>
      <c r="C107" s="628" t="str">
        <f t="shared" si="12"/>
        <v xml:space="preserve">ALMACENERO </v>
      </c>
      <c r="D107" s="1327">
        <f t="shared" si="12"/>
        <v>1</v>
      </c>
      <c r="E107" s="1327">
        <f t="shared" si="12"/>
        <v>32</v>
      </c>
      <c r="F107" s="1327">
        <f t="shared" si="13"/>
        <v>183.33333333333334</v>
      </c>
      <c r="G107" s="586">
        <f t="shared" si="14"/>
        <v>5866.666666666667</v>
      </c>
      <c r="H107" s="478"/>
    </row>
    <row r="108" spans="2:8" ht="15" customHeight="1" x14ac:dyDescent="0.25">
      <c r="B108" s="1786" t="s">
        <v>44</v>
      </c>
      <c r="C108" s="1786"/>
      <c r="D108" s="1786"/>
      <c r="E108" s="1786"/>
      <c r="F108" s="1786"/>
      <c r="G108" s="567">
        <f>SUM(G97:G107)</f>
        <v>55175</v>
      </c>
      <c r="H108" s="478"/>
    </row>
    <row r="109" spans="2:8" x14ac:dyDescent="0.25">
      <c r="B109" s="549"/>
      <c r="C109" s="478"/>
      <c r="D109" s="478"/>
      <c r="E109" s="483"/>
      <c r="F109" s="483"/>
      <c r="G109" s="478"/>
      <c r="H109" s="478"/>
    </row>
    <row r="110" spans="2:8" x14ac:dyDescent="0.25">
      <c r="B110" s="617" t="s">
        <v>946</v>
      </c>
      <c r="C110" s="561" t="s">
        <v>947</v>
      </c>
      <c r="D110" s="562"/>
      <c r="E110" s="563"/>
      <c r="F110" s="564"/>
      <c r="G110" s="450" t="s">
        <v>797</v>
      </c>
      <c r="H110" s="451">
        <f>+H112</f>
        <v>110350</v>
      </c>
    </row>
    <row r="111" spans="2:8" x14ac:dyDescent="0.25">
      <c r="B111" s="548"/>
      <c r="C111" s="482"/>
      <c r="D111" s="478"/>
      <c r="E111" s="478"/>
      <c r="F111" s="569"/>
      <c r="G111" s="476"/>
      <c r="H111" s="477"/>
    </row>
    <row r="112" spans="2:8" x14ac:dyDescent="0.25">
      <c r="B112" s="548"/>
      <c r="C112" s="482" t="s">
        <v>948</v>
      </c>
      <c r="D112" s="478"/>
      <c r="E112" s="483"/>
      <c r="F112" s="483"/>
      <c r="G112" s="476" t="s">
        <v>797</v>
      </c>
      <c r="H112" s="477">
        <f>+G126</f>
        <v>110350</v>
      </c>
    </row>
    <row r="113" spans="2:8" x14ac:dyDescent="0.25">
      <c r="B113" s="548"/>
      <c r="C113" s="482"/>
      <c r="D113" s="478"/>
      <c r="E113" s="483"/>
      <c r="F113" s="483"/>
      <c r="G113" s="478"/>
      <c r="H113" s="478"/>
    </row>
    <row r="114" spans="2:8" ht="25.5" x14ac:dyDescent="0.25">
      <c r="B114" s="597" t="s">
        <v>813</v>
      </c>
      <c r="C114" s="629" t="s">
        <v>827</v>
      </c>
      <c r="D114" s="630" t="s">
        <v>828</v>
      </c>
      <c r="E114" s="629" t="s">
        <v>769</v>
      </c>
      <c r="F114" s="629" t="s">
        <v>829</v>
      </c>
      <c r="G114" s="629" t="s">
        <v>830</v>
      </c>
      <c r="H114" s="478"/>
    </row>
    <row r="115" spans="2:8" x14ac:dyDescent="0.25">
      <c r="B115" s="602" t="s">
        <v>822</v>
      </c>
      <c r="C115" s="628" t="str">
        <f>C29</f>
        <v>ING. CIVIL RESIDENTE DE OBRA</v>
      </c>
      <c r="D115" s="338">
        <f>D29</f>
        <v>1</v>
      </c>
      <c r="E115" s="338">
        <f>E29</f>
        <v>32</v>
      </c>
      <c r="F115" s="338">
        <f>+F29/12*2</f>
        <v>750</v>
      </c>
      <c r="G115" s="586">
        <f>+D115*E115*F115</f>
        <v>24000</v>
      </c>
      <c r="H115" s="478"/>
    </row>
    <row r="116" spans="2:8" ht="51" x14ac:dyDescent="0.25">
      <c r="B116" s="602" t="s">
        <v>846</v>
      </c>
      <c r="C116" s="628" t="str">
        <f t="shared" ref="C116:E125" si="15">C30</f>
        <v>ING. AGROINDUSTRIAL Y/O ING. EN INDUSTRIAS ALIMENTARIAS - ESPECIALISTA EN INSTALACIÓN DE PROYECTOS AGROINDUSTRIALES</v>
      </c>
      <c r="D116" s="338">
        <f t="shared" si="15"/>
        <v>1</v>
      </c>
      <c r="E116" s="338">
        <f t="shared" si="15"/>
        <v>32</v>
      </c>
      <c r="F116" s="338">
        <f>+F30/12*2</f>
        <v>750</v>
      </c>
      <c r="G116" s="586">
        <f t="shared" ref="G116:G125" si="16">+D116*E116*F116</f>
        <v>24000</v>
      </c>
      <c r="H116" s="478"/>
    </row>
    <row r="117" spans="2:8" x14ac:dyDescent="0.25">
      <c r="B117" s="602" t="s">
        <v>894</v>
      </c>
      <c r="C117" s="628" t="str">
        <f t="shared" si="15"/>
        <v>ING. AGRÓNOMO</v>
      </c>
      <c r="D117" s="338">
        <f t="shared" si="15"/>
        <v>1</v>
      </c>
      <c r="E117" s="338">
        <f t="shared" si="15"/>
        <v>5</v>
      </c>
      <c r="F117" s="338">
        <f t="shared" ref="F117:F125" si="17">+F31/12*2</f>
        <v>750</v>
      </c>
      <c r="G117" s="586">
        <f t="shared" si="16"/>
        <v>3750</v>
      </c>
      <c r="H117" s="478"/>
    </row>
    <row r="118" spans="2:8" ht="25.5" x14ac:dyDescent="0.25">
      <c r="B118" s="602" t="s">
        <v>932</v>
      </c>
      <c r="C118" s="628" t="str">
        <f t="shared" si="15"/>
        <v>ING. MECÁNICO ELECTRICISTA - INSTALACIONES ESPECIALES</v>
      </c>
      <c r="D118" s="338">
        <f t="shared" si="15"/>
        <v>1</v>
      </c>
      <c r="E118" s="338">
        <f t="shared" si="15"/>
        <v>5</v>
      </c>
      <c r="F118" s="338">
        <f t="shared" si="17"/>
        <v>666.66666666666663</v>
      </c>
      <c r="G118" s="586">
        <f t="shared" si="16"/>
        <v>3333.333333333333</v>
      </c>
      <c r="H118" s="478"/>
    </row>
    <row r="119" spans="2:8" ht="25.5" x14ac:dyDescent="0.25">
      <c r="B119" s="602" t="s">
        <v>978</v>
      </c>
      <c r="C119" s="628" t="str">
        <f t="shared" si="15"/>
        <v>ING. SANITARIO Y/O MECÁNICO DE FLUIDOS</v>
      </c>
      <c r="D119" s="338">
        <f t="shared" si="15"/>
        <v>1</v>
      </c>
      <c r="E119" s="338">
        <f t="shared" si="15"/>
        <v>3</v>
      </c>
      <c r="F119" s="338">
        <f t="shared" si="17"/>
        <v>666.66666666666663</v>
      </c>
      <c r="G119" s="586">
        <f t="shared" si="16"/>
        <v>2000</v>
      </c>
      <c r="H119" s="478"/>
    </row>
    <row r="120" spans="2:8" x14ac:dyDescent="0.25">
      <c r="B120" s="602" t="s">
        <v>979</v>
      </c>
      <c r="C120" s="628" t="str">
        <f t="shared" si="15"/>
        <v>ASISTENTE TECNICO</v>
      </c>
      <c r="D120" s="338">
        <f t="shared" si="15"/>
        <v>1</v>
      </c>
      <c r="E120" s="338">
        <f t="shared" si="15"/>
        <v>32</v>
      </c>
      <c r="F120" s="338">
        <f t="shared" si="17"/>
        <v>450</v>
      </c>
      <c r="G120" s="586">
        <f t="shared" si="16"/>
        <v>14400</v>
      </c>
      <c r="H120" s="478"/>
    </row>
    <row r="121" spans="2:8" x14ac:dyDescent="0.25">
      <c r="B121" s="602" t="s">
        <v>980</v>
      </c>
      <c r="C121" s="628" t="str">
        <f t="shared" si="15"/>
        <v>ASISTENTE ADMINISTRATIVO</v>
      </c>
      <c r="D121" s="338">
        <f t="shared" si="15"/>
        <v>1</v>
      </c>
      <c r="E121" s="338">
        <f t="shared" si="15"/>
        <v>32</v>
      </c>
      <c r="F121" s="338">
        <f t="shared" si="17"/>
        <v>400</v>
      </c>
      <c r="G121" s="586">
        <f t="shared" si="16"/>
        <v>12800</v>
      </c>
      <c r="H121" s="478"/>
    </row>
    <row r="122" spans="2:8" ht="25.5" x14ac:dyDescent="0.25">
      <c r="B122" s="602" t="s">
        <v>981</v>
      </c>
      <c r="C122" s="628" t="str">
        <f t="shared" si="15"/>
        <v xml:space="preserve">ESPECIALISTA CAPACITACION DE PLANTRAS INDUSTRIALES </v>
      </c>
      <c r="D122" s="338">
        <f t="shared" si="15"/>
        <v>1</v>
      </c>
      <c r="E122" s="338">
        <f t="shared" si="15"/>
        <v>1.5</v>
      </c>
      <c r="F122" s="338">
        <f t="shared" si="17"/>
        <v>666.66666666666663</v>
      </c>
      <c r="G122" s="586">
        <f t="shared" si="16"/>
        <v>1000</v>
      </c>
      <c r="H122" s="478"/>
    </row>
    <row r="123" spans="2:8" x14ac:dyDescent="0.25">
      <c r="B123" s="602" t="s">
        <v>982</v>
      </c>
      <c r="C123" s="628" t="str">
        <f t="shared" si="15"/>
        <v xml:space="preserve">MAESTRO DE OBRA </v>
      </c>
      <c r="D123" s="338">
        <f t="shared" si="15"/>
        <v>1</v>
      </c>
      <c r="E123" s="338">
        <f t="shared" si="15"/>
        <v>12</v>
      </c>
      <c r="F123" s="338">
        <f t="shared" si="17"/>
        <v>400</v>
      </c>
      <c r="G123" s="586">
        <f t="shared" si="16"/>
        <v>4800</v>
      </c>
      <c r="H123" s="478"/>
    </row>
    <row r="124" spans="2:8" x14ac:dyDescent="0.25">
      <c r="B124" s="602" t="s">
        <v>983</v>
      </c>
      <c r="C124" s="628" t="str">
        <f t="shared" si="15"/>
        <v>GUARDIAN</v>
      </c>
      <c r="D124" s="338">
        <f t="shared" si="15"/>
        <v>1</v>
      </c>
      <c r="E124" s="338">
        <f t="shared" si="15"/>
        <v>32</v>
      </c>
      <c r="F124" s="338">
        <f t="shared" si="17"/>
        <v>266.66666666666669</v>
      </c>
      <c r="G124" s="586">
        <f t="shared" si="16"/>
        <v>8533.3333333333339</v>
      </c>
      <c r="H124" s="478"/>
    </row>
    <row r="125" spans="2:8" x14ac:dyDescent="0.25">
      <c r="B125" s="602" t="s">
        <v>984</v>
      </c>
      <c r="C125" s="628" t="str">
        <f t="shared" si="15"/>
        <v xml:space="preserve">ALMACENERO </v>
      </c>
      <c r="D125" s="338">
        <f t="shared" si="15"/>
        <v>1</v>
      </c>
      <c r="E125" s="338">
        <f t="shared" si="15"/>
        <v>32</v>
      </c>
      <c r="F125" s="338">
        <f t="shared" si="17"/>
        <v>366.66666666666669</v>
      </c>
      <c r="G125" s="586">
        <f t="shared" si="16"/>
        <v>11733.333333333334</v>
      </c>
      <c r="H125" s="478"/>
    </row>
    <row r="126" spans="2:8" ht="15" customHeight="1" x14ac:dyDescent="0.25">
      <c r="B126" s="1786" t="s">
        <v>44</v>
      </c>
      <c r="C126" s="1786"/>
      <c r="D126" s="1786"/>
      <c r="E126" s="1786"/>
      <c r="F126" s="1786"/>
      <c r="G126" s="567">
        <f>SUM(G115:G125)</f>
        <v>110350</v>
      </c>
      <c r="H126" s="478"/>
    </row>
    <row r="127" spans="2:8" x14ac:dyDescent="0.25">
      <c r="B127" s="549"/>
      <c r="C127" s="478"/>
      <c r="D127" s="478"/>
      <c r="E127" s="483"/>
      <c r="F127" s="483"/>
      <c r="G127" s="478"/>
      <c r="H127" s="478"/>
    </row>
    <row r="128" spans="2:8" x14ac:dyDescent="0.25">
      <c r="B128" s="618" t="s">
        <v>846</v>
      </c>
      <c r="C128" s="619" t="s">
        <v>847</v>
      </c>
      <c r="D128" s="610"/>
      <c r="E128" s="610"/>
      <c r="F128" s="611"/>
      <c r="G128" s="611" t="s">
        <v>797</v>
      </c>
      <c r="H128" s="612">
        <f>+H130+H137</f>
        <v>28213.5</v>
      </c>
    </row>
    <row r="129" spans="2:8" x14ac:dyDescent="0.25">
      <c r="B129" s="621"/>
      <c r="C129" s="613"/>
      <c r="D129" s="614"/>
      <c r="E129" s="614"/>
      <c r="F129" s="615"/>
      <c r="G129" s="615"/>
      <c r="H129" s="616"/>
    </row>
    <row r="130" spans="2:8" x14ac:dyDescent="0.25">
      <c r="B130" s="620" t="s">
        <v>848</v>
      </c>
      <c r="C130" s="570" t="s">
        <v>509</v>
      </c>
      <c r="D130" s="571"/>
      <c r="E130" s="572"/>
      <c r="F130" s="573"/>
      <c r="G130" s="574" t="s">
        <v>797</v>
      </c>
      <c r="H130" s="575">
        <f>G135</f>
        <v>3135</v>
      </c>
    </row>
    <row r="131" spans="2:8" x14ac:dyDescent="0.25">
      <c r="B131" s="548"/>
      <c r="C131" s="482"/>
      <c r="D131" s="478"/>
      <c r="E131" s="478"/>
      <c r="F131" s="483"/>
      <c r="G131" s="478"/>
      <c r="H131" s="478"/>
    </row>
    <row r="132" spans="2:8" x14ac:dyDescent="0.25">
      <c r="B132" s="597" t="s">
        <v>813</v>
      </c>
      <c r="C132" s="629" t="s">
        <v>792</v>
      </c>
      <c r="D132" s="629" t="s">
        <v>855</v>
      </c>
      <c r="E132" s="629" t="s">
        <v>650</v>
      </c>
      <c r="F132" s="629" t="s">
        <v>851</v>
      </c>
      <c r="G132" s="629" t="s">
        <v>830</v>
      </c>
      <c r="H132" s="569"/>
    </row>
    <row r="133" spans="2:8" x14ac:dyDescent="0.25">
      <c r="B133" s="602" t="s">
        <v>822</v>
      </c>
      <c r="C133" s="576" t="s">
        <v>852</v>
      </c>
      <c r="D133" s="577" t="s">
        <v>853</v>
      </c>
      <c r="E133" s="577">
        <v>11</v>
      </c>
      <c r="F133" s="578">
        <v>250</v>
      </c>
      <c r="G133" s="579">
        <f>+E133*F133</f>
        <v>2750</v>
      </c>
      <c r="H133" s="478"/>
    </row>
    <row r="134" spans="2:8" x14ac:dyDescent="0.25">
      <c r="B134" s="602" t="s">
        <v>846</v>
      </c>
      <c r="C134" s="580" t="s">
        <v>854</v>
      </c>
      <c r="D134" s="581" t="s">
        <v>855</v>
      </c>
      <c r="E134" s="581">
        <v>11</v>
      </c>
      <c r="F134" s="581">
        <v>35</v>
      </c>
      <c r="G134" s="582">
        <f>+E134*F134</f>
        <v>385</v>
      </c>
      <c r="H134" s="583"/>
    </row>
    <row r="135" spans="2:8" ht="15" customHeight="1" x14ac:dyDescent="0.25">
      <c r="B135" s="1786" t="s">
        <v>44</v>
      </c>
      <c r="C135" s="1786"/>
      <c r="D135" s="1786"/>
      <c r="E135" s="1786"/>
      <c r="F135" s="1786"/>
      <c r="G135" s="584">
        <f>SUM(G133:G134)</f>
        <v>3135</v>
      </c>
      <c r="H135" s="583"/>
    </row>
    <row r="136" spans="2:8" x14ac:dyDescent="0.25">
      <c r="B136" s="549"/>
      <c r="C136" s="569"/>
      <c r="D136" s="569"/>
      <c r="E136" s="569"/>
      <c r="F136" s="569"/>
      <c r="G136" s="478"/>
      <c r="H136" s="478"/>
    </row>
    <row r="137" spans="2:8" x14ac:dyDescent="0.25">
      <c r="B137" s="620" t="s">
        <v>858</v>
      </c>
      <c r="C137" s="570" t="s">
        <v>723</v>
      </c>
      <c r="D137" s="571"/>
      <c r="E137" s="572"/>
      <c r="F137" s="573"/>
      <c r="G137" s="574" t="s">
        <v>797</v>
      </c>
      <c r="H137" s="575">
        <f>+G171</f>
        <v>25078.5</v>
      </c>
    </row>
    <row r="138" spans="2:8" x14ac:dyDescent="0.25">
      <c r="B138" s="548"/>
      <c r="C138" s="482"/>
      <c r="D138" s="478"/>
      <c r="E138" s="483"/>
      <c r="F138" s="569"/>
      <c r="G138" s="476"/>
      <c r="H138" s="477"/>
    </row>
    <row r="139" spans="2:8" x14ac:dyDescent="0.25">
      <c r="B139" s="597" t="s">
        <v>813</v>
      </c>
      <c r="C139" s="629" t="s">
        <v>649</v>
      </c>
      <c r="D139" s="629" t="s">
        <v>850</v>
      </c>
      <c r="E139" s="629" t="s">
        <v>650</v>
      </c>
      <c r="F139" s="629" t="s">
        <v>851</v>
      </c>
      <c r="G139" s="629" t="s">
        <v>830</v>
      </c>
      <c r="H139" s="478"/>
    </row>
    <row r="140" spans="2:8" x14ac:dyDescent="0.25">
      <c r="B140" s="602" t="s">
        <v>822</v>
      </c>
      <c r="C140" s="586" t="s">
        <v>949</v>
      </c>
      <c r="D140" s="338" t="s">
        <v>855</v>
      </c>
      <c r="E140" s="338">
        <v>5</v>
      </c>
      <c r="F140" s="338">
        <v>4500</v>
      </c>
      <c r="G140" s="586">
        <f t="shared" ref="G140:G170" si="18">+E140*F140</f>
        <v>22500</v>
      </c>
      <c r="H140" s="478"/>
    </row>
    <row r="141" spans="2:8" x14ac:dyDescent="0.25">
      <c r="B141" s="602" t="s">
        <v>846</v>
      </c>
      <c r="C141" s="586" t="s">
        <v>950</v>
      </c>
      <c r="D141" s="338" t="s">
        <v>904</v>
      </c>
      <c r="E141" s="338">
        <v>6</v>
      </c>
      <c r="F141" s="338">
        <v>80</v>
      </c>
      <c r="G141" s="586">
        <f t="shared" si="18"/>
        <v>480</v>
      </c>
      <c r="H141" s="478"/>
    </row>
    <row r="142" spans="2:8" x14ac:dyDescent="0.25">
      <c r="B142" s="602" t="s">
        <v>894</v>
      </c>
      <c r="C142" s="653" t="s">
        <v>890</v>
      </c>
      <c r="D142" s="338" t="s">
        <v>855</v>
      </c>
      <c r="E142" s="338">
        <v>3</v>
      </c>
      <c r="F142" s="338">
        <v>350</v>
      </c>
      <c r="G142" s="393">
        <f>+E142*F142</f>
        <v>1050</v>
      </c>
      <c r="H142" s="478"/>
    </row>
    <row r="143" spans="2:8" x14ac:dyDescent="0.25">
      <c r="B143" s="602" t="s">
        <v>932</v>
      </c>
      <c r="C143" s="586" t="s">
        <v>951</v>
      </c>
      <c r="D143" s="338" t="s">
        <v>855</v>
      </c>
      <c r="E143" s="338">
        <v>6</v>
      </c>
      <c r="F143" s="338">
        <v>25</v>
      </c>
      <c r="G143" s="586">
        <f t="shared" si="18"/>
        <v>150</v>
      </c>
      <c r="H143" s="478"/>
    </row>
    <row r="144" spans="2:8" x14ac:dyDescent="0.25">
      <c r="B144" s="602" t="s">
        <v>978</v>
      </c>
      <c r="C144" s="586" t="s">
        <v>952</v>
      </c>
      <c r="D144" s="338" t="s">
        <v>855</v>
      </c>
      <c r="E144" s="338">
        <v>10</v>
      </c>
      <c r="F144" s="338">
        <v>1</v>
      </c>
      <c r="G144" s="586">
        <f t="shared" si="18"/>
        <v>10</v>
      </c>
      <c r="H144" s="478"/>
    </row>
    <row r="145" spans="2:8" x14ac:dyDescent="0.25">
      <c r="B145" s="602" t="s">
        <v>979</v>
      </c>
      <c r="C145" s="586" t="s">
        <v>872</v>
      </c>
      <c r="D145" s="338" t="s">
        <v>855</v>
      </c>
      <c r="E145" s="338">
        <v>5</v>
      </c>
      <c r="F145" s="338">
        <v>1</v>
      </c>
      <c r="G145" s="586">
        <f t="shared" si="18"/>
        <v>5</v>
      </c>
      <c r="H145" s="478"/>
    </row>
    <row r="146" spans="2:8" x14ac:dyDescent="0.25">
      <c r="B146" s="602" t="s">
        <v>980</v>
      </c>
      <c r="C146" s="586" t="s">
        <v>953</v>
      </c>
      <c r="D146" s="338" t="s">
        <v>855</v>
      </c>
      <c r="E146" s="338">
        <v>20</v>
      </c>
      <c r="F146" s="338">
        <v>2</v>
      </c>
      <c r="G146" s="586">
        <f t="shared" si="18"/>
        <v>40</v>
      </c>
      <c r="H146" s="478"/>
    </row>
    <row r="147" spans="2:8" x14ac:dyDescent="0.25">
      <c r="B147" s="602" t="s">
        <v>981</v>
      </c>
      <c r="C147" s="586" t="s">
        <v>874</v>
      </c>
      <c r="D147" s="338" t="s">
        <v>855</v>
      </c>
      <c r="E147" s="338">
        <v>5</v>
      </c>
      <c r="F147" s="338">
        <v>2.5</v>
      </c>
      <c r="G147" s="586">
        <f t="shared" si="18"/>
        <v>12.5</v>
      </c>
      <c r="H147" s="478"/>
    </row>
    <row r="148" spans="2:8" x14ac:dyDescent="0.25">
      <c r="B148" s="602" t="s">
        <v>982</v>
      </c>
      <c r="C148" s="586" t="s">
        <v>876</v>
      </c>
      <c r="D148" s="338" t="s">
        <v>855</v>
      </c>
      <c r="E148" s="338">
        <v>2</v>
      </c>
      <c r="F148" s="338">
        <v>10</v>
      </c>
      <c r="G148" s="586">
        <f t="shared" si="18"/>
        <v>20</v>
      </c>
      <c r="H148" s="478"/>
    </row>
    <row r="149" spans="2:8" x14ac:dyDescent="0.25">
      <c r="B149" s="602" t="s">
        <v>983</v>
      </c>
      <c r="C149" s="586" t="s">
        <v>954</v>
      </c>
      <c r="D149" s="338" t="s">
        <v>855</v>
      </c>
      <c r="E149" s="338">
        <v>1</v>
      </c>
      <c r="F149" s="338">
        <v>3.5</v>
      </c>
      <c r="G149" s="586">
        <f t="shared" si="18"/>
        <v>3.5</v>
      </c>
      <c r="H149" s="478"/>
    </row>
    <row r="150" spans="2:8" x14ac:dyDescent="0.25">
      <c r="B150" s="602" t="s">
        <v>984</v>
      </c>
      <c r="C150" s="586" t="s">
        <v>882</v>
      </c>
      <c r="D150" s="338" t="s">
        <v>883</v>
      </c>
      <c r="E150" s="338">
        <v>3</v>
      </c>
      <c r="F150" s="338">
        <v>30</v>
      </c>
      <c r="G150" s="586">
        <f>+E150*F150</f>
        <v>90</v>
      </c>
      <c r="H150" s="478"/>
    </row>
    <row r="151" spans="2:8" x14ac:dyDescent="0.25">
      <c r="B151" s="602" t="s">
        <v>985</v>
      </c>
      <c r="C151" s="586" t="s">
        <v>955</v>
      </c>
      <c r="D151" s="338" t="s">
        <v>855</v>
      </c>
      <c r="E151" s="338">
        <v>10</v>
      </c>
      <c r="F151" s="338">
        <v>2</v>
      </c>
      <c r="G151" s="586">
        <f t="shared" si="18"/>
        <v>20</v>
      </c>
      <c r="H151" s="478"/>
    </row>
    <row r="152" spans="2:8" x14ac:dyDescent="0.25">
      <c r="B152" s="602" t="s">
        <v>1018</v>
      </c>
      <c r="C152" s="586" t="s">
        <v>956</v>
      </c>
      <c r="D152" s="338" t="s">
        <v>855</v>
      </c>
      <c r="E152" s="338">
        <v>3</v>
      </c>
      <c r="F152" s="338">
        <v>50</v>
      </c>
      <c r="G152" s="586">
        <f t="shared" si="18"/>
        <v>150</v>
      </c>
      <c r="H152" s="478"/>
    </row>
    <row r="153" spans="2:8" x14ac:dyDescent="0.25">
      <c r="B153" s="602" t="s">
        <v>1019</v>
      </c>
      <c r="C153" s="586" t="s">
        <v>957</v>
      </c>
      <c r="D153" s="338" t="s">
        <v>855</v>
      </c>
      <c r="E153" s="338">
        <v>10</v>
      </c>
      <c r="F153" s="338">
        <v>5</v>
      </c>
      <c r="G153" s="586">
        <f t="shared" si="18"/>
        <v>50</v>
      </c>
      <c r="H153" s="478"/>
    </row>
    <row r="154" spans="2:8" x14ac:dyDescent="0.25">
      <c r="B154" s="602" t="s">
        <v>1020</v>
      </c>
      <c r="C154" s="586" t="s">
        <v>958</v>
      </c>
      <c r="D154" s="338" t="s">
        <v>855</v>
      </c>
      <c r="E154" s="338">
        <v>1</v>
      </c>
      <c r="F154" s="338">
        <v>8</v>
      </c>
      <c r="G154" s="586">
        <f t="shared" si="18"/>
        <v>8</v>
      </c>
      <c r="H154" s="478"/>
    </row>
    <row r="155" spans="2:8" x14ac:dyDescent="0.25">
      <c r="B155" s="602" t="s">
        <v>1021</v>
      </c>
      <c r="C155" s="586" t="s">
        <v>959</v>
      </c>
      <c r="D155" s="338" t="s">
        <v>855</v>
      </c>
      <c r="E155" s="338">
        <v>1</v>
      </c>
      <c r="F155" s="338">
        <v>25</v>
      </c>
      <c r="G155" s="586">
        <f t="shared" si="18"/>
        <v>25</v>
      </c>
      <c r="H155" s="478"/>
    </row>
    <row r="156" spans="2:8" x14ac:dyDescent="0.25">
      <c r="B156" s="602" t="s">
        <v>1022</v>
      </c>
      <c r="C156" s="586" t="s">
        <v>878</v>
      </c>
      <c r="D156" s="338" t="s">
        <v>855</v>
      </c>
      <c r="E156" s="338">
        <v>50</v>
      </c>
      <c r="F156" s="338">
        <v>0.2</v>
      </c>
      <c r="G156" s="586">
        <f t="shared" si="18"/>
        <v>10</v>
      </c>
      <c r="H156" s="478"/>
    </row>
    <row r="157" spans="2:8" x14ac:dyDescent="0.25">
      <c r="B157" s="602" t="s">
        <v>1023</v>
      </c>
      <c r="C157" s="586" t="s">
        <v>960</v>
      </c>
      <c r="D157" s="338" t="s">
        <v>855</v>
      </c>
      <c r="E157" s="338">
        <v>50</v>
      </c>
      <c r="F157" s="338">
        <v>0.5</v>
      </c>
      <c r="G157" s="586">
        <f t="shared" si="18"/>
        <v>25</v>
      </c>
      <c r="H157" s="478"/>
    </row>
    <row r="158" spans="2:8" x14ac:dyDescent="0.25">
      <c r="B158" s="602" t="s">
        <v>1024</v>
      </c>
      <c r="C158" s="586" t="s">
        <v>880</v>
      </c>
      <c r="D158" s="338" t="s">
        <v>855</v>
      </c>
      <c r="E158" s="338">
        <v>20</v>
      </c>
      <c r="F158" s="338">
        <v>2</v>
      </c>
      <c r="G158" s="586">
        <f t="shared" si="18"/>
        <v>40</v>
      </c>
      <c r="H158" s="478"/>
    </row>
    <row r="159" spans="2:8" x14ac:dyDescent="0.25">
      <c r="B159" s="602" t="s">
        <v>1025</v>
      </c>
      <c r="C159" s="586" t="s">
        <v>881</v>
      </c>
      <c r="D159" s="338" t="s">
        <v>855</v>
      </c>
      <c r="E159" s="338">
        <v>1</v>
      </c>
      <c r="F159" s="338">
        <v>3.5</v>
      </c>
      <c r="G159" s="586">
        <f t="shared" si="18"/>
        <v>3.5</v>
      </c>
      <c r="H159" s="478"/>
    </row>
    <row r="160" spans="2:8" x14ac:dyDescent="0.25">
      <c r="B160" s="602" t="s">
        <v>1026</v>
      </c>
      <c r="C160" s="586" t="s">
        <v>961</v>
      </c>
      <c r="D160" s="338" t="s">
        <v>962</v>
      </c>
      <c r="E160" s="338">
        <v>2</v>
      </c>
      <c r="F160" s="338">
        <v>30</v>
      </c>
      <c r="G160" s="586">
        <f t="shared" si="18"/>
        <v>60</v>
      </c>
      <c r="H160" s="478"/>
    </row>
    <row r="161" spans="2:8" x14ac:dyDescent="0.25">
      <c r="B161" s="602" t="s">
        <v>1027</v>
      </c>
      <c r="C161" s="586" t="s">
        <v>963</v>
      </c>
      <c r="D161" s="338" t="s">
        <v>962</v>
      </c>
      <c r="E161" s="338">
        <v>2</v>
      </c>
      <c r="F161" s="338">
        <v>25</v>
      </c>
      <c r="G161" s="586">
        <f t="shared" si="18"/>
        <v>50</v>
      </c>
      <c r="H161" s="478"/>
    </row>
    <row r="162" spans="2:8" x14ac:dyDescent="0.25">
      <c r="B162" s="602" t="s">
        <v>1028</v>
      </c>
      <c r="C162" s="586" t="s">
        <v>964</v>
      </c>
      <c r="D162" s="338" t="s">
        <v>962</v>
      </c>
      <c r="E162" s="338">
        <v>2</v>
      </c>
      <c r="F162" s="338">
        <v>25</v>
      </c>
      <c r="G162" s="586">
        <f t="shared" si="18"/>
        <v>50</v>
      </c>
      <c r="H162" s="478"/>
    </row>
    <row r="163" spans="2:8" x14ac:dyDescent="0.25">
      <c r="B163" s="602" t="s">
        <v>1029</v>
      </c>
      <c r="C163" s="586" t="s">
        <v>965</v>
      </c>
      <c r="D163" s="338" t="s">
        <v>855</v>
      </c>
      <c r="E163" s="338">
        <v>100</v>
      </c>
      <c r="F163" s="338">
        <v>1</v>
      </c>
      <c r="G163" s="586">
        <f t="shared" si="18"/>
        <v>100</v>
      </c>
      <c r="H163" s="478"/>
    </row>
    <row r="164" spans="2:8" x14ac:dyDescent="0.25">
      <c r="B164" s="602" t="s">
        <v>1030</v>
      </c>
      <c r="C164" s="586" t="s">
        <v>886</v>
      </c>
      <c r="D164" s="338" t="s">
        <v>855</v>
      </c>
      <c r="E164" s="338">
        <v>2</v>
      </c>
      <c r="F164" s="338">
        <v>4.5</v>
      </c>
      <c r="G164" s="586">
        <f t="shared" si="18"/>
        <v>9</v>
      </c>
      <c r="H164" s="478"/>
    </row>
    <row r="165" spans="2:8" x14ac:dyDescent="0.25">
      <c r="B165" s="602" t="s">
        <v>1031</v>
      </c>
      <c r="C165" s="586" t="s">
        <v>966</v>
      </c>
      <c r="D165" s="338" t="s">
        <v>855</v>
      </c>
      <c r="E165" s="338">
        <v>5</v>
      </c>
      <c r="F165" s="338">
        <v>1</v>
      </c>
      <c r="G165" s="586">
        <f t="shared" si="18"/>
        <v>5</v>
      </c>
      <c r="H165" s="478"/>
    </row>
    <row r="166" spans="2:8" x14ac:dyDescent="0.25">
      <c r="B166" s="602" t="s">
        <v>1032</v>
      </c>
      <c r="C166" s="586" t="s">
        <v>967</v>
      </c>
      <c r="D166" s="338" t="s">
        <v>855</v>
      </c>
      <c r="E166" s="338">
        <v>5</v>
      </c>
      <c r="F166" s="338">
        <v>5</v>
      </c>
      <c r="G166" s="586">
        <f t="shared" si="18"/>
        <v>25</v>
      </c>
      <c r="H166" s="478"/>
    </row>
    <row r="167" spans="2:8" x14ac:dyDescent="0.25">
      <c r="B167" s="602" t="s">
        <v>1033</v>
      </c>
      <c r="C167" s="586" t="s">
        <v>968</v>
      </c>
      <c r="D167" s="338" t="s">
        <v>855</v>
      </c>
      <c r="E167" s="338">
        <v>2</v>
      </c>
      <c r="F167" s="338">
        <v>10</v>
      </c>
      <c r="G167" s="586">
        <f>+E167*F167</f>
        <v>20</v>
      </c>
      <c r="H167" s="478"/>
    </row>
    <row r="168" spans="2:8" x14ac:dyDescent="0.25">
      <c r="B168" s="602" t="s">
        <v>1034</v>
      </c>
      <c r="C168" s="586" t="s">
        <v>969</v>
      </c>
      <c r="D168" s="338" t="s">
        <v>855</v>
      </c>
      <c r="E168" s="338">
        <v>6</v>
      </c>
      <c r="F168" s="338">
        <v>2</v>
      </c>
      <c r="G168" s="586">
        <f t="shared" si="18"/>
        <v>12</v>
      </c>
      <c r="H168" s="478"/>
    </row>
    <row r="169" spans="2:8" x14ac:dyDescent="0.25">
      <c r="B169" s="602" t="s">
        <v>1035</v>
      </c>
      <c r="C169" s="586" t="s">
        <v>889</v>
      </c>
      <c r="D169" s="338" t="s">
        <v>855</v>
      </c>
      <c r="E169" s="338">
        <v>4</v>
      </c>
      <c r="F169" s="338">
        <v>5</v>
      </c>
      <c r="G169" s="586">
        <f t="shared" si="18"/>
        <v>20</v>
      </c>
      <c r="H169" s="478"/>
    </row>
    <row r="170" spans="2:8" x14ac:dyDescent="0.25">
      <c r="B170" s="602" t="s">
        <v>1036</v>
      </c>
      <c r="C170" s="586" t="s">
        <v>970</v>
      </c>
      <c r="D170" s="654" t="s">
        <v>855</v>
      </c>
      <c r="E170" s="338">
        <v>1</v>
      </c>
      <c r="F170" s="338">
        <v>35</v>
      </c>
      <c r="G170" s="586">
        <f t="shared" si="18"/>
        <v>35</v>
      </c>
      <c r="H170" s="478"/>
    </row>
    <row r="171" spans="2:8" ht="15" customHeight="1" x14ac:dyDescent="0.25">
      <c r="B171" s="1786" t="s">
        <v>44</v>
      </c>
      <c r="C171" s="1786"/>
      <c r="D171" s="1786"/>
      <c r="E171" s="1786"/>
      <c r="F171" s="1786"/>
      <c r="G171" s="567">
        <f>SUM(G140:G170)</f>
        <v>25078.5</v>
      </c>
      <c r="H171" s="478"/>
    </row>
    <row r="172" spans="2:8" x14ac:dyDescent="0.25">
      <c r="B172" s="549"/>
      <c r="C172" s="569"/>
      <c r="D172" s="569"/>
      <c r="E172" s="569"/>
      <c r="F172" s="569"/>
      <c r="G172" s="478"/>
      <c r="H172" s="478"/>
    </row>
    <row r="173" spans="2:8" x14ac:dyDescent="0.25">
      <c r="B173" s="549"/>
      <c r="C173" s="569"/>
      <c r="D173" s="569"/>
      <c r="E173" s="569"/>
      <c r="F173" s="569"/>
      <c r="G173" s="478"/>
      <c r="H173" s="478"/>
    </row>
    <row r="174" spans="2:8" x14ac:dyDescent="0.25">
      <c r="B174" s="618" t="s">
        <v>894</v>
      </c>
      <c r="C174" s="619" t="s">
        <v>765</v>
      </c>
      <c r="D174" s="610"/>
      <c r="E174" s="610"/>
      <c r="F174" s="611"/>
      <c r="G174" s="611" t="s">
        <v>797</v>
      </c>
      <c r="H174" s="612">
        <f>+H176+H183</f>
        <v>65270</v>
      </c>
    </row>
    <row r="175" spans="2:8" x14ac:dyDescent="0.25">
      <c r="B175" s="621"/>
      <c r="C175" s="613"/>
      <c r="D175" s="614"/>
      <c r="E175" s="614"/>
      <c r="F175" s="615"/>
      <c r="G175" s="615"/>
      <c r="H175" s="616"/>
    </row>
    <row r="176" spans="2:8" x14ac:dyDescent="0.25">
      <c r="B176" s="620" t="s">
        <v>895</v>
      </c>
      <c r="C176" s="570" t="s">
        <v>971</v>
      </c>
      <c r="D176" s="571"/>
      <c r="E176" s="572"/>
      <c r="F176" s="573"/>
      <c r="G176" s="574" t="s">
        <v>797</v>
      </c>
      <c r="H176" s="575">
        <f>+G181</f>
        <v>62770</v>
      </c>
    </row>
    <row r="177" spans="2:8" x14ac:dyDescent="0.25">
      <c r="B177" s="548"/>
      <c r="C177" s="482"/>
      <c r="D177" s="478"/>
      <c r="E177" s="483"/>
      <c r="F177" s="483"/>
      <c r="G177" s="478"/>
      <c r="H177" s="478"/>
    </row>
    <row r="178" spans="2:8" x14ac:dyDescent="0.25">
      <c r="B178" s="597" t="s">
        <v>813</v>
      </c>
      <c r="C178" s="597" t="s">
        <v>649</v>
      </c>
      <c r="D178" s="597" t="s">
        <v>850</v>
      </c>
      <c r="E178" s="597" t="s">
        <v>650</v>
      </c>
      <c r="F178" s="597" t="s">
        <v>851</v>
      </c>
      <c r="G178" s="597" t="s">
        <v>830</v>
      </c>
      <c r="H178" s="478"/>
    </row>
    <row r="179" spans="2:8" x14ac:dyDescent="0.25">
      <c r="B179" s="602" t="s">
        <v>822</v>
      </c>
      <c r="C179" s="653" t="s">
        <v>972</v>
      </c>
      <c r="D179" s="338" t="s">
        <v>855</v>
      </c>
      <c r="E179" s="338">
        <v>3</v>
      </c>
      <c r="F179" s="338">
        <v>90</v>
      </c>
      <c r="G179" s="585">
        <f>+E179*F179</f>
        <v>270</v>
      </c>
      <c r="H179" s="478"/>
    </row>
    <row r="180" spans="2:8" x14ac:dyDescent="0.25">
      <c r="B180" s="602" t="s">
        <v>846</v>
      </c>
      <c r="C180" s="653" t="s">
        <v>919</v>
      </c>
      <c r="D180" s="338" t="s">
        <v>918</v>
      </c>
      <c r="E180" s="338">
        <v>250</v>
      </c>
      <c r="F180" s="338">
        <v>250</v>
      </c>
      <c r="G180" s="585">
        <f>+E180*F180</f>
        <v>62500</v>
      </c>
      <c r="H180" s="478"/>
    </row>
    <row r="181" spans="2:8" ht="15" customHeight="1" x14ac:dyDescent="0.25">
      <c r="B181" s="1786" t="s">
        <v>44</v>
      </c>
      <c r="C181" s="1786"/>
      <c r="D181" s="1786"/>
      <c r="E181" s="1786"/>
      <c r="F181" s="1786"/>
      <c r="G181" s="586">
        <f>SUM(G179:G180)</f>
        <v>62770</v>
      </c>
      <c r="H181" s="478"/>
    </row>
    <row r="182" spans="2:8" x14ac:dyDescent="0.25">
      <c r="B182" s="549"/>
      <c r="C182" s="569"/>
      <c r="D182" s="569"/>
      <c r="E182" s="569"/>
      <c r="F182" s="569"/>
      <c r="G182" s="478"/>
      <c r="H182" s="478"/>
    </row>
    <row r="183" spans="2:8" x14ac:dyDescent="0.25">
      <c r="B183" s="620" t="s">
        <v>907</v>
      </c>
      <c r="C183" s="570" t="s">
        <v>869</v>
      </c>
      <c r="D183" s="571"/>
      <c r="E183" s="572"/>
      <c r="F183" s="573"/>
      <c r="G183" s="574" t="s">
        <v>797</v>
      </c>
      <c r="H183" s="575">
        <f>+G188</f>
        <v>2500</v>
      </c>
    </row>
    <row r="184" spans="2:8" x14ac:dyDescent="0.25">
      <c r="B184" s="548"/>
      <c r="C184" s="482"/>
      <c r="D184" s="478"/>
      <c r="E184" s="483"/>
      <c r="F184" s="483"/>
      <c r="G184" s="478"/>
      <c r="H184" s="478"/>
    </row>
    <row r="185" spans="2:8" x14ac:dyDescent="0.25">
      <c r="B185" s="597" t="s">
        <v>813</v>
      </c>
      <c r="C185" s="597" t="s">
        <v>649</v>
      </c>
      <c r="D185" s="597" t="s">
        <v>850</v>
      </c>
      <c r="E185" s="597" t="s">
        <v>650</v>
      </c>
      <c r="F185" s="597" t="s">
        <v>851</v>
      </c>
      <c r="G185" s="597" t="s">
        <v>830</v>
      </c>
      <c r="H185" s="478"/>
    </row>
    <row r="186" spans="2:8" x14ac:dyDescent="0.25">
      <c r="B186" s="602" t="s">
        <v>822</v>
      </c>
      <c r="C186" s="586" t="s">
        <v>973</v>
      </c>
      <c r="D186" s="338" t="s">
        <v>974</v>
      </c>
      <c r="E186" s="338">
        <v>1</v>
      </c>
      <c r="F186" s="338">
        <v>1000</v>
      </c>
      <c r="G186" s="393">
        <f>+E186*F186</f>
        <v>1000</v>
      </c>
      <c r="H186" s="478"/>
    </row>
    <row r="187" spans="2:8" x14ac:dyDescent="0.25">
      <c r="B187" s="602" t="s">
        <v>846</v>
      </c>
      <c r="C187" s="586" t="s">
        <v>975</v>
      </c>
      <c r="D187" s="338" t="s">
        <v>974</v>
      </c>
      <c r="E187" s="338">
        <v>1</v>
      </c>
      <c r="F187" s="338">
        <v>1500</v>
      </c>
      <c r="G187" s="393">
        <f>+E187*F187</f>
        <v>1500</v>
      </c>
      <c r="H187" s="478"/>
    </row>
    <row r="188" spans="2:8" ht="15" customHeight="1" x14ac:dyDescent="0.25">
      <c r="B188" s="1786" t="s">
        <v>44</v>
      </c>
      <c r="C188" s="1786"/>
      <c r="D188" s="1786"/>
      <c r="E188" s="1786"/>
      <c r="F188" s="1786"/>
      <c r="G188" s="586">
        <f>SUM(G186:G187)</f>
        <v>2500</v>
      </c>
      <c r="H188" s="478"/>
    </row>
    <row r="189" spans="2:8" ht="13.5" thickBot="1" x14ac:dyDescent="0.3">
      <c r="B189" s="549"/>
      <c r="C189" s="569"/>
      <c r="D189" s="569"/>
      <c r="E189" s="569"/>
      <c r="F189" s="569"/>
      <c r="G189" s="478"/>
      <c r="H189" s="478"/>
    </row>
    <row r="190" spans="2:8" ht="13.5" thickBot="1" x14ac:dyDescent="0.3">
      <c r="B190" s="1787" t="s">
        <v>976</v>
      </c>
      <c r="C190" s="1788"/>
      <c r="D190" s="1788"/>
      <c r="E190" s="1788"/>
      <c r="F190" s="1788"/>
      <c r="G190" s="587" t="s">
        <v>797</v>
      </c>
      <c r="H190" s="622">
        <f>+H174+H128+H22</f>
        <v>1051956.0125</v>
      </c>
    </row>
    <row r="191" spans="2:8" x14ac:dyDescent="0.25">
      <c r="B191" s="603"/>
      <c r="C191" s="532"/>
      <c r="D191" s="532"/>
      <c r="E191" s="552"/>
      <c r="F191" s="552"/>
      <c r="G191" s="532"/>
      <c r="H191" s="532"/>
    </row>
  </sheetData>
  <mergeCells count="15">
    <mergeCell ref="B3:H3"/>
    <mergeCell ref="D9:H10"/>
    <mergeCell ref="B20:H20"/>
    <mergeCell ref="B171:F171"/>
    <mergeCell ref="B181:F181"/>
    <mergeCell ref="B188:F188"/>
    <mergeCell ref="B190:F190"/>
    <mergeCell ref="B17:C17"/>
    <mergeCell ref="B40:F40"/>
    <mergeCell ref="B58:F58"/>
    <mergeCell ref="B74:F74"/>
    <mergeCell ref="B92:F92"/>
    <mergeCell ref="B108:F108"/>
    <mergeCell ref="B126:F126"/>
    <mergeCell ref="B135:F135"/>
  </mergeCells>
  <phoneticPr fontId="59" type="noConversion"/>
  <conditionalFormatting sqref="D9">
    <cfRule type="aboveAverage" dxfId="6" priority="1" stopIfTrue="1" aboveAverage="0"/>
  </conditionalFormatting>
  <conditionalFormatting sqref="D12 D11:H11 D17 F12:G17 C12:C16">
    <cfRule type="aboveAverage" dxfId="5" priority="26" stopIfTrue="1" aboveAverage="0"/>
  </conditionalFormatting>
  <pageMargins left="0.7" right="0.7" top="0.75" bottom="0.75" header="0.3" footer="0.3"/>
  <pageSetup scale="35" orientation="portrait" horizontalDpi="4294967295" verticalDpi="4294967295" r:id="rId1"/>
  <rowBreaks count="3" manualBreakCount="3">
    <brk id="58" min="1" max="8" man="1"/>
    <brk id="109" min="1" max="8" man="1"/>
    <brk id="172" min="1" max="8" man="1"/>
  </rowBreaks>
  <ignoredErrors>
    <ignoredError sqref="B13:B16 B29:B31 B47:B48 B63:B64 B81:B82 B97:B98 B115:B125 B99:B107 B83:B91 B65:B73 B49:B57 B32:B39 B22:B24 B133:B134 B140:B170 B179:B180 B186:B187" numberStoredAsText="1"/>
  </ignoredErrors>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6" tint="-0.249977111117893"/>
  </sheetPr>
  <dimension ref="B3:I151"/>
  <sheetViews>
    <sheetView view="pageBreakPreview" zoomScale="80" zoomScaleNormal="100" zoomScaleSheetLayoutView="80" workbookViewId="0">
      <selection activeCell="E36" sqref="E36"/>
    </sheetView>
  </sheetViews>
  <sheetFormatPr baseColWidth="10" defaultRowHeight="12.75" x14ac:dyDescent="0.25"/>
  <cols>
    <col min="1" max="2" width="11.42578125" style="222"/>
    <col min="3" max="3" width="47.5703125" style="222" customWidth="1"/>
    <col min="4" max="16384" width="11.42578125" style="222"/>
  </cols>
  <sheetData>
    <row r="3" spans="2:9" x14ac:dyDescent="0.2">
      <c r="B3" s="1796" t="s">
        <v>1242</v>
      </c>
      <c r="C3" s="1796"/>
      <c r="D3" s="1796"/>
      <c r="E3" s="1796"/>
      <c r="F3" s="1796"/>
      <c r="G3" s="1796"/>
      <c r="H3" s="1796"/>
      <c r="I3" s="52"/>
    </row>
    <row r="4" spans="2:9" x14ac:dyDescent="0.2">
      <c r="B4" s="546"/>
      <c r="C4" s="546"/>
      <c r="D4" s="546"/>
      <c r="E4" s="546"/>
      <c r="F4" s="547"/>
      <c r="G4" s="546"/>
      <c r="H4" s="546"/>
      <c r="I4" s="52"/>
    </row>
    <row r="5" spans="2:9" x14ac:dyDescent="0.2">
      <c r="B5" s="532"/>
      <c r="C5" s="548"/>
      <c r="D5" s="633"/>
      <c r="E5" s="546"/>
      <c r="F5" s="547"/>
      <c r="G5" s="546"/>
      <c r="H5" s="532"/>
      <c r="I5" s="52"/>
    </row>
    <row r="6" spans="2:9" x14ac:dyDescent="0.2">
      <c r="B6" s="532"/>
      <c r="C6" s="548" t="s">
        <v>806</v>
      </c>
      <c r="D6" s="549" t="s">
        <v>930</v>
      </c>
      <c r="E6" s="546"/>
      <c r="F6" s="547"/>
      <c r="G6" s="546"/>
      <c r="H6" s="546"/>
      <c r="I6" s="52"/>
    </row>
    <row r="7" spans="2:9" x14ac:dyDescent="0.2">
      <c r="B7" s="532"/>
      <c r="C7" s="548" t="s">
        <v>809</v>
      </c>
      <c r="D7" s="549" t="s">
        <v>977</v>
      </c>
      <c r="E7" s="532"/>
      <c r="F7" s="552"/>
      <c r="G7" s="532"/>
      <c r="H7" s="549" t="s">
        <v>422</v>
      </c>
      <c r="I7" s="52"/>
    </row>
    <row r="8" spans="2:9" x14ac:dyDescent="0.2">
      <c r="B8" s="532"/>
      <c r="C8" s="548" t="s">
        <v>810</v>
      </c>
      <c r="D8" s="549" t="s">
        <v>977</v>
      </c>
      <c r="E8" s="532"/>
      <c r="F8" s="552"/>
      <c r="G8" s="532"/>
      <c r="H8" s="549"/>
      <c r="I8" s="52"/>
    </row>
    <row r="9" spans="2:9" x14ac:dyDescent="0.2">
      <c r="B9" s="532"/>
      <c r="C9" s="548" t="s">
        <v>811</v>
      </c>
      <c r="D9" s="549" t="s">
        <v>930</v>
      </c>
      <c r="E9" s="532"/>
      <c r="F9" s="552"/>
      <c r="G9" s="532"/>
      <c r="H9" s="532"/>
      <c r="I9" s="52"/>
    </row>
    <row r="10" spans="2:9" x14ac:dyDescent="0.25">
      <c r="B10" s="532"/>
      <c r="C10" s="548" t="s">
        <v>812</v>
      </c>
      <c r="D10" s="1803" t="s">
        <v>930</v>
      </c>
      <c r="E10" s="1803"/>
      <c r="F10" s="1803"/>
      <c r="G10" s="1803"/>
      <c r="H10" s="1803"/>
      <c r="I10" s="1803"/>
    </row>
    <row r="11" spans="2:9" x14ac:dyDescent="0.25">
      <c r="B11" s="532"/>
      <c r="C11" s="548"/>
      <c r="D11" s="1803"/>
      <c r="E11" s="1803"/>
      <c r="F11" s="1803"/>
      <c r="G11" s="1803"/>
      <c r="H11" s="1803"/>
      <c r="I11" s="1803"/>
    </row>
    <row r="12" spans="2:9" x14ac:dyDescent="0.2">
      <c r="B12" s="532"/>
      <c r="C12" s="548"/>
      <c r="D12" s="549"/>
      <c r="E12" s="546"/>
      <c r="F12" s="591"/>
      <c r="G12" s="592"/>
      <c r="H12" s="532"/>
      <c r="I12" s="52"/>
    </row>
    <row r="13" spans="2:9" x14ac:dyDescent="0.2">
      <c r="B13" s="597" t="s">
        <v>813</v>
      </c>
      <c r="C13" s="597" t="s">
        <v>814</v>
      </c>
      <c r="D13" s="599" t="s">
        <v>1001</v>
      </c>
      <c r="E13" s="652"/>
      <c r="F13" s="652"/>
      <c r="G13" s="264"/>
      <c r="I13" s="52"/>
    </row>
    <row r="14" spans="2:9" x14ac:dyDescent="0.2">
      <c r="B14" s="602" t="s">
        <v>822</v>
      </c>
      <c r="C14" s="550" t="s">
        <v>816</v>
      </c>
      <c r="D14" s="650">
        <f>+H25</f>
        <v>608914.26666666672</v>
      </c>
      <c r="E14" s="588"/>
      <c r="F14" s="589"/>
      <c r="G14" s="264"/>
      <c r="I14" s="52"/>
    </row>
    <row r="15" spans="2:9" x14ac:dyDescent="0.2">
      <c r="B15" s="602" t="s">
        <v>846</v>
      </c>
      <c r="C15" s="550" t="s">
        <v>817</v>
      </c>
      <c r="D15" s="650">
        <f>+H108</f>
        <v>3320</v>
      </c>
      <c r="E15" s="588"/>
      <c r="F15" s="589"/>
      <c r="G15" s="264"/>
      <c r="I15" s="52"/>
    </row>
    <row r="16" spans="2:9" x14ac:dyDescent="0.2">
      <c r="B16" s="602" t="s">
        <v>894</v>
      </c>
      <c r="C16" s="551" t="s">
        <v>1002</v>
      </c>
      <c r="D16" s="650">
        <f>+H141</f>
        <v>4300</v>
      </c>
      <c r="E16" s="590"/>
      <c r="F16" s="589"/>
      <c r="I16" s="52"/>
    </row>
    <row r="17" spans="2:9" x14ac:dyDescent="0.2">
      <c r="B17" s="602" t="s">
        <v>932</v>
      </c>
      <c r="C17" s="550" t="s">
        <v>819</v>
      </c>
      <c r="D17" s="650">
        <v>0</v>
      </c>
      <c r="E17" s="588"/>
      <c r="F17" s="589"/>
      <c r="I17" s="52"/>
    </row>
    <row r="18" spans="2:9" x14ac:dyDescent="0.2">
      <c r="B18" s="1802" t="s">
        <v>1003</v>
      </c>
      <c r="C18" s="1802"/>
      <c r="D18" s="651">
        <f>SUM(D14:D17)</f>
        <v>616534.26666666672</v>
      </c>
      <c r="E18" s="648"/>
      <c r="F18" s="648"/>
      <c r="I18" s="52"/>
    </row>
    <row r="19" spans="2:9" x14ac:dyDescent="0.2">
      <c r="B19" s="532"/>
      <c r="C19" s="634"/>
      <c r="D19" s="634"/>
      <c r="E19" s="649"/>
      <c r="F19" s="649"/>
      <c r="G19" s="477"/>
      <c r="H19" s="546"/>
      <c r="I19" s="52"/>
    </row>
    <row r="20" spans="2:9" x14ac:dyDescent="0.2">
      <c r="B20" s="532"/>
      <c r="C20" s="634"/>
      <c r="D20" s="634"/>
      <c r="E20" s="634"/>
      <c r="F20" s="634"/>
      <c r="G20" s="477"/>
      <c r="H20" s="546"/>
      <c r="I20" s="52"/>
    </row>
    <row r="21" spans="2:9" x14ac:dyDescent="0.2">
      <c r="B21" s="532"/>
      <c r="C21" s="634"/>
      <c r="D21" s="634"/>
      <c r="E21" s="634"/>
      <c r="F21" s="634"/>
      <c r="G21" s="477"/>
      <c r="H21" s="546"/>
      <c r="I21" s="52"/>
    </row>
    <row r="22" spans="2:9" x14ac:dyDescent="0.2">
      <c r="B22" s="532"/>
      <c r="C22" s="634"/>
      <c r="D22" s="634"/>
      <c r="E22" s="634"/>
      <c r="F22" s="634"/>
      <c r="G22" s="477"/>
      <c r="H22" s="546"/>
      <c r="I22" s="52"/>
    </row>
    <row r="23" spans="2:9" x14ac:dyDescent="0.2">
      <c r="B23" s="1804" t="s">
        <v>1004</v>
      </c>
      <c r="C23" s="1804"/>
      <c r="D23" s="1804"/>
      <c r="E23" s="1804"/>
      <c r="F23" s="1804"/>
      <c r="G23" s="1804"/>
      <c r="H23" s="1804"/>
      <c r="I23" s="52"/>
    </row>
    <row r="24" spans="2:9" x14ac:dyDescent="0.2">
      <c r="B24" s="635"/>
      <c r="C24" s="553"/>
      <c r="D24" s="554"/>
      <c r="E24" s="553"/>
      <c r="F24" s="547"/>
      <c r="G24" s="553"/>
      <c r="H24" s="553"/>
      <c r="I24" s="52"/>
    </row>
    <row r="25" spans="2:9" x14ac:dyDescent="0.2">
      <c r="B25" s="636" t="s">
        <v>822</v>
      </c>
      <c r="C25" s="555" t="s">
        <v>823</v>
      </c>
      <c r="D25" s="637"/>
      <c r="E25" s="637"/>
      <c r="F25" s="556"/>
      <c r="G25" s="556" t="s">
        <v>797</v>
      </c>
      <c r="H25" s="557">
        <f>+H27+H41+H67+H93</f>
        <v>608914.26666666672</v>
      </c>
      <c r="I25" s="52"/>
    </row>
    <row r="26" spans="2:9" x14ac:dyDescent="0.2">
      <c r="B26" s="560"/>
      <c r="C26" s="305"/>
      <c r="D26" s="558"/>
      <c r="E26" s="558"/>
      <c r="F26" s="559"/>
      <c r="G26" s="559"/>
      <c r="H26" s="560"/>
      <c r="I26" s="52"/>
    </row>
    <row r="27" spans="2:9" x14ac:dyDescent="0.2">
      <c r="B27" s="638" t="s">
        <v>824</v>
      </c>
      <c r="C27" s="561" t="s">
        <v>825</v>
      </c>
      <c r="D27" s="562"/>
      <c r="E27" s="562"/>
      <c r="F27" s="564"/>
      <c r="G27" s="450" t="s">
        <v>797</v>
      </c>
      <c r="H27" s="451">
        <f>+H29</f>
        <v>423200</v>
      </c>
      <c r="I27" s="52"/>
    </row>
    <row r="28" spans="2:9" x14ac:dyDescent="0.2">
      <c r="B28" s="639"/>
      <c r="C28" s="477"/>
      <c r="D28" s="478"/>
      <c r="E28" s="478"/>
      <c r="F28" s="483"/>
      <c r="G28" s="478"/>
      <c r="H28" s="478"/>
      <c r="I28" s="52"/>
    </row>
    <row r="29" spans="2:9" x14ac:dyDescent="0.2">
      <c r="B29" s="481"/>
      <c r="C29" s="482" t="s">
        <v>1005</v>
      </c>
      <c r="D29" s="478"/>
      <c r="E29" s="478"/>
      <c r="F29" s="483"/>
      <c r="G29" s="476" t="s">
        <v>797</v>
      </c>
      <c r="H29" s="640">
        <f>+G39</f>
        <v>423200</v>
      </c>
      <c r="I29" s="52"/>
    </row>
    <row r="30" spans="2:9" x14ac:dyDescent="0.2">
      <c r="B30" s="641"/>
      <c r="C30" s="478"/>
      <c r="D30" s="478"/>
      <c r="E30" s="478"/>
      <c r="F30" s="483"/>
      <c r="G30" s="478"/>
      <c r="H30" s="478"/>
      <c r="I30" s="52"/>
    </row>
    <row r="31" spans="2:9" ht="25.5" x14ac:dyDescent="0.2">
      <c r="B31" s="597" t="s">
        <v>813</v>
      </c>
      <c r="C31" s="629" t="s">
        <v>827</v>
      </c>
      <c r="D31" s="630" t="s">
        <v>828</v>
      </c>
      <c r="E31" s="631" t="s">
        <v>769</v>
      </c>
      <c r="F31" s="631" t="s">
        <v>829</v>
      </c>
      <c r="G31" s="631" t="s">
        <v>830</v>
      </c>
      <c r="H31" s="656" t="s">
        <v>1006</v>
      </c>
      <c r="I31" s="52"/>
    </row>
    <row r="32" spans="2:9" x14ac:dyDescent="0.2">
      <c r="B32" s="602" t="s">
        <v>822</v>
      </c>
      <c r="C32" s="579" t="s">
        <v>1007</v>
      </c>
      <c r="D32" s="577">
        <v>1</v>
      </c>
      <c r="E32" s="577">
        <f>'G.G.'!E29</f>
        <v>32</v>
      </c>
      <c r="F32" s="577">
        <v>4500</v>
      </c>
      <c r="G32" s="586">
        <f t="shared" ref="G32:G38" si="0">+D32*E32*F32</f>
        <v>144000</v>
      </c>
      <c r="H32" s="1805" t="s">
        <v>1060</v>
      </c>
      <c r="I32" s="52"/>
    </row>
    <row r="33" spans="2:9" ht="38.25" x14ac:dyDescent="0.2">
      <c r="B33" s="602" t="s">
        <v>846</v>
      </c>
      <c r="C33" s="626" t="s">
        <v>1037</v>
      </c>
      <c r="D33" s="577">
        <v>1</v>
      </c>
      <c r="E33" s="1331">
        <v>32</v>
      </c>
      <c r="F33" s="577">
        <v>4500</v>
      </c>
      <c r="G33" s="586">
        <f t="shared" si="0"/>
        <v>144000</v>
      </c>
      <c r="H33" s="1806"/>
      <c r="I33" s="52"/>
    </row>
    <row r="34" spans="2:9" x14ac:dyDescent="0.2">
      <c r="B34" s="602" t="s">
        <v>894</v>
      </c>
      <c r="C34" s="626" t="s">
        <v>996</v>
      </c>
      <c r="D34" s="577">
        <v>1</v>
      </c>
      <c r="E34" s="577">
        <f>'G.G.'!E31</f>
        <v>5</v>
      </c>
      <c r="F34" s="577">
        <v>4000</v>
      </c>
      <c r="G34" s="586">
        <f t="shared" si="0"/>
        <v>20000</v>
      </c>
      <c r="H34" s="1806"/>
      <c r="I34" s="52"/>
    </row>
    <row r="35" spans="2:9" x14ac:dyDescent="0.2">
      <c r="B35" s="602" t="s">
        <v>932</v>
      </c>
      <c r="C35" s="579" t="s">
        <v>1038</v>
      </c>
      <c r="D35" s="577">
        <v>1</v>
      </c>
      <c r="E35" s="577">
        <v>10</v>
      </c>
      <c r="F35" s="577">
        <v>4000</v>
      </c>
      <c r="G35" s="586">
        <f t="shared" si="0"/>
        <v>40000</v>
      </c>
      <c r="H35" s="1806"/>
      <c r="I35" s="52"/>
    </row>
    <row r="36" spans="2:9" x14ac:dyDescent="0.2">
      <c r="B36" s="602" t="s">
        <v>978</v>
      </c>
      <c r="C36" s="579" t="s">
        <v>1040</v>
      </c>
      <c r="D36" s="577">
        <v>1</v>
      </c>
      <c r="E36" s="577">
        <f>'G.G.'!E32</f>
        <v>5</v>
      </c>
      <c r="F36" s="577">
        <v>4000</v>
      </c>
      <c r="G36" s="586">
        <f t="shared" si="0"/>
        <v>20000</v>
      </c>
      <c r="H36" s="1806"/>
      <c r="I36" s="52"/>
    </row>
    <row r="37" spans="2:9" x14ac:dyDescent="0.2">
      <c r="B37" s="602" t="s">
        <v>979</v>
      </c>
      <c r="C37" s="579" t="s">
        <v>1041</v>
      </c>
      <c r="D37" s="577">
        <v>1</v>
      </c>
      <c r="E37" s="577">
        <f>'G.G.'!E33</f>
        <v>3</v>
      </c>
      <c r="F37" s="577">
        <v>4000</v>
      </c>
      <c r="G37" s="586">
        <f t="shared" si="0"/>
        <v>12000</v>
      </c>
      <c r="H37" s="1806"/>
      <c r="I37" s="52"/>
    </row>
    <row r="38" spans="2:9" x14ac:dyDescent="0.2">
      <c r="B38" s="602" t="s">
        <v>980</v>
      </c>
      <c r="C38" s="579" t="s">
        <v>936</v>
      </c>
      <c r="D38" s="577">
        <v>1</v>
      </c>
      <c r="E38" s="577">
        <v>16</v>
      </c>
      <c r="F38" s="643">
        <v>2700</v>
      </c>
      <c r="G38" s="586">
        <f t="shared" si="0"/>
        <v>43200</v>
      </c>
      <c r="H38" s="1806"/>
      <c r="I38" s="52"/>
    </row>
    <row r="39" spans="2:9" ht="15" customHeight="1" x14ac:dyDescent="0.2">
      <c r="B39" s="1799" t="s">
        <v>44</v>
      </c>
      <c r="C39" s="1799"/>
      <c r="D39" s="1799"/>
      <c r="E39" s="1799"/>
      <c r="F39" s="1799"/>
      <c r="G39" s="436">
        <f>SUM(G32:G38)</f>
        <v>423200</v>
      </c>
      <c r="H39" s="435"/>
      <c r="I39" s="52"/>
    </row>
    <row r="40" spans="2:9" x14ac:dyDescent="0.2">
      <c r="B40" s="546"/>
      <c r="C40" s="478"/>
      <c r="D40" s="478"/>
      <c r="E40" s="478"/>
      <c r="F40" s="483"/>
      <c r="G40" s="478" t="s">
        <v>1008</v>
      </c>
      <c r="H40" s="478"/>
      <c r="I40" s="52"/>
    </row>
    <row r="41" spans="2:9" x14ac:dyDescent="0.2">
      <c r="B41" s="638" t="s">
        <v>835</v>
      </c>
      <c r="C41" s="561" t="s">
        <v>843</v>
      </c>
      <c r="D41" s="562"/>
      <c r="E41" s="562"/>
      <c r="F41" s="564"/>
      <c r="G41" s="450" t="s">
        <v>797</v>
      </c>
      <c r="H41" s="451">
        <f>+H43+H55</f>
        <v>44647.6</v>
      </c>
      <c r="I41" s="52"/>
    </row>
    <row r="42" spans="2:9" x14ac:dyDescent="0.2">
      <c r="B42" s="639"/>
      <c r="C42" s="477"/>
      <c r="D42" s="478"/>
      <c r="E42" s="478"/>
      <c r="F42" s="483"/>
      <c r="G42" s="478"/>
      <c r="H42" s="478"/>
      <c r="I42" s="52"/>
    </row>
    <row r="43" spans="2:9" x14ac:dyDescent="0.2">
      <c r="B43" s="481"/>
      <c r="C43" s="482" t="s">
        <v>941</v>
      </c>
      <c r="D43" s="478"/>
      <c r="E43" s="478"/>
      <c r="F43" s="483"/>
      <c r="G43" s="476" t="s">
        <v>797</v>
      </c>
      <c r="H43" s="640">
        <f>+G53</f>
        <v>38088</v>
      </c>
      <c r="I43" s="52"/>
    </row>
    <row r="44" spans="2:9" x14ac:dyDescent="0.2">
      <c r="B44" s="481"/>
      <c r="C44" s="482"/>
      <c r="D44" s="478"/>
      <c r="E44" s="478"/>
      <c r="F44" s="483"/>
      <c r="G44" s="478"/>
      <c r="H44" s="478"/>
      <c r="I44" s="52"/>
    </row>
    <row r="45" spans="2:9" ht="25.5" x14ac:dyDescent="0.2">
      <c r="B45" s="597" t="s">
        <v>813</v>
      </c>
      <c r="C45" s="629" t="s">
        <v>827</v>
      </c>
      <c r="D45" s="630" t="s">
        <v>828</v>
      </c>
      <c r="E45" s="631" t="s">
        <v>769</v>
      </c>
      <c r="F45" s="631" t="s">
        <v>829</v>
      </c>
      <c r="G45" s="631" t="s">
        <v>830</v>
      </c>
      <c r="H45" s="478"/>
      <c r="I45" s="52"/>
    </row>
    <row r="46" spans="2:9" x14ac:dyDescent="0.2">
      <c r="B46" s="602" t="s">
        <v>822</v>
      </c>
      <c r="C46" s="655" t="str">
        <f t="shared" ref="C46:E52" si="1">C32</f>
        <v>ING.CIVIL SUPERVISOR DE OBRA</v>
      </c>
      <c r="D46" s="577">
        <f t="shared" si="1"/>
        <v>1</v>
      </c>
      <c r="E46" s="577">
        <f t="shared" si="1"/>
        <v>32</v>
      </c>
      <c r="F46" s="577">
        <f t="shared" ref="F46:F52" si="2">+F32*0.09</f>
        <v>405</v>
      </c>
      <c r="G46" s="586">
        <f>+D46*E46*F46</f>
        <v>12960</v>
      </c>
      <c r="H46" s="478"/>
      <c r="I46" s="52"/>
    </row>
    <row r="47" spans="2:9" ht="38.25" x14ac:dyDescent="0.2">
      <c r="B47" s="602" t="s">
        <v>846</v>
      </c>
      <c r="C47" s="655" t="str">
        <f t="shared" si="1"/>
        <v>ING. AGROINDUSTRIAL Y/O ING. EN INDUSTRIAS ALIMENTARIAS - ESPECIALISTA EN INSTALACIÓN DE PROYECTOS AGROINDUSTRIALES - SUPERVISOR</v>
      </c>
      <c r="D47" s="577">
        <f t="shared" si="1"/>
        <v>1</v>
      </c>
      <c r="E47" s="577">
        <f t="shared" si="1"/>
        <v>32</v>
      </c>
      <c r="F47" s="577">
        <f t="shared" si="2"/>
        <v>405</v>
      </c>
      <c r="G47" s="586">
        <f t="shared" ref="G47:G52" si="3">+D47*E47*F47</f>
        <v>12960</v>
      </c>
      <c r="H47" s="478"/>
      <c r="I47" s="52"/>
    </row>
    <row r="48" spans="2:9" x14ac:dyDescent="0.2">
      <c r="B48" s="602" t="s">
        <v>894</v>
      </c>
      <c r="C48" s="655" t="str">
        <f t="shared" si="1"/>
        <v>ING. AGRÓNOMO</v>
      </c>
      <c r="D48" s="577">
        <f t="shared" si="1"/>
        <v>1</v>
      </c>
      <c r="E48" s="577">
        <f t="shared" si="1"/>
        <v>5</v>
      </c>
      <c r="F48" s="577">
        <f t="shared" si="2"/>
        <v>360</v>
      </c>
      <c r="G48" s="586">
        <f t="shared" si="3"/>
        <v>1800</v>
      </c>
      <c r="H48" s="478"/>
      <c r="I48" s="52"/>
    </row>
    <row r="49" spans="2:9" x14ac:dyDescent="0.2">
      <c r="B49" s="602" t="s">
        <v>932</v>
      </c>
      <c r="C49" s="655" t="str">
        <f t="shared" si="1"/>
        <v>ARQ. SUPERVISOR  - SUPERVISOR</v>
      </c>
      <c r="D49" s="577">
        <f t="shared" si="1"/>
        <v>1</v>
      </c>
      <c r="E49" s="577">
        <f t="shared" si="1"/>
        <v>10</v>
      </c>
      <c r="F49" s="577">
        <f t="shared" si="2"/>
        <v>360</v>
      </c>
      <c r="G49" s="586">
        <f t="shared" si="3"/>
        <v>3600</v>
      </c>
      <c r="H49" s="478"/>
      <c r="I49" s="52"/>
    </row>
    <row r="50" spans="2:9" x14ac:dyDescent="0.2">
      <c r="B50" s="602" t="s">
        <v>978</v>
      </c>
      <c r="C50" s="655" t="str">
        <f t="shared" si="1"/>
        <v>ING MECÁNICO ELECTRICO.SUPERVISOR</v>
      </c>
      <c r="D50" s="577">
        <f t="shared" si="1"/>
        <v>1</v>
      </c>
      <c r="E50" s="577">
        <f t="shared" si="1"/>
        <v>5</v>
      </c>
      <c r="F50" s="577">
        <f t="shared" si="2"/>
        <v>360</v>
      </c>
      <c r="G50" s="586">
        <f t="shared" si="3"/>
        <v>1800</v>
      </c>
      <c r="H50" s="478"/>
      <c r="I50" s="52"/>
    </row>
    <row r="51" spans="2:9" x14ac:dyDescent="0.2">
      <c r="B51" s="602" t="s">
        <v>979</v>
      </c>
      <c r="C51" s="655" t="str">
        <f t="shared" si="1"/>
        <v>ING SANITARIO Y/O MECÁNICO DE FLUIDOS - SUPERVISOR</v>
      </c>
      <c r="D51" s="577">
        <f t="shared" si="1"/>
        <v>1</v>
      </c>
      <c r="E51" s="577">
        <f t="shared" si="1"/>
        <v>3</v>
      </c>
      <c r="F51" s="577">
        <f t="shared" si="2"/>
        <v>360</v>
      </c>
      <c r="G51" s="586">
        <f t="shared" si="3"/>
        <v>1080</v>
      </c>
      <c r="H51" s="452"/>
      <c r="I51" s="52"/>
    </row>
    <row r="52" spans="2:9" x14ac:dyDescent="0.2">
      <c r="B52" s="602" t="s">
        <v>980</v>
      </c>
      <c r="C52" s="655" t="str">
        <f t="shared" si="1"/>
        <v>ASISTENTE TECNICO</v>
      </c>
      <c r="D52" s="577">
        <f t="shared" si="1"/>
        <v>1</v>
      </c>
      <c r="E52" s="577">
        <f t="shared" si="1"/>
        <v>16</v>
      </c>
      <c r="F52" s="577">
        <f t="shared" si="2"/>
        <v>243</v>
      </c>
      <c r="G52" s="586">
        <f t="shared" si="3"/>
        <v>3888</v>
      </c>
      <c r="H52" s="478"/>
      <c r="I52" s="52"/>
    </row>
    <row r="53" spans="2:9" ht="15" customHeight="1" x14ac:dyDescent="0.2">
      <c r="B53" s="1799" t="s">
        <v>44</v>
      </c>
      <c r="C53" s="1799"/>
      <c r="D53" s="1799"/>
      <c r="E53" s="1799"/>
      <c r="F53" s="1799"/>
      <c r="G53" s="436">
        <f>SUM(G46:G52)</f>
        <v>38088</v>
      </c>
      <c r="H53" s="478"/>
      <c r="I53" s="52"/>
    </row>
    <row r="54" spans="2:9" x14ac:dyDescent="0.2">
      <c r="B54" s="546"/>
      <c r="C54" s="568"/>
      <c r="D54" s="568"/>
      <c r="E54" s="568"/>
      <c r="F54" s="483"/>
      <c r="G54" s="478"/>
      <c r="H54" s="478"/>
      <c r="I54" s="52"/>
    </row>
    <row r="55" spans="2:9" x14ac:dyDescent="0.2">
      <c r="B55" s="546"/>
      <c r="C55" s="482" t="s">
        <v>1009</v>
      </c>
      <c r="D55" s="478"/>
      <c r="E55" s="478"/>
      <c r="F55" s="483"/>
      <c r="G55" s="476" t="s">
        <v>797</v>
      </c>
      <c r="H55" s="640">
        <f>+G65</f>
        <v>6559.6</v>
      </c>
      <c r="I55" s="52"/>
    </row>
    <row r="56" spans="2:9" x14ac:dyDescent="0.2">
      <c r="B56" s="546"/>
      <c r="C56" s="482"/>
      <c r="D56" s="478"/>
      <c r="E56" s="478"/>
      <c r="F56" s="483"/>
      <c r="G56" s="478"/>
      <c r="H56" s="478"/>
      <c r="I56" s="52"/>
    </row>
    <row r="57" spans="2:9" ht="25.5" x14ac:dyDescent="0.2">
      <c r="B57" s="597" t="s">
        <v>813</v>
      </c>
      <c r="C57" s="629" t="s">
        <v>827</v>
      </c>
      <c r="D57" s="630" t="s">
        <v>828</v>
      </c>
      <c r="E57" s="631" t="s">
        <v>769</v>
      </c>
      <c r="F57" s="631" t="s">
        <v>829</v>
      </c>
      <c r="G57" s="631" t="s">
        <v>830</v>
      </c>
      <c r="H57" s="478"/>
      <c r="I57" s="52"/>
    </row>
    <row r="58" spans="2:9" x14ac:dyDescent="0.2">
      <c r="B58" s="602" t="s">
        <v>822</v>
      </c>
      <c r="C58" s="657" t="str">
        <f t="shared" ref="C58:E64" si="4">C32</f>
        <v>ING.CIVIL SUPERVISOR DE OBRA</v>
      </c>
      <c r="D58" s="643">
        <f t="shared" si="4"/>
        <v>1</v>
      </c>
      <c r="E58" s="643">
        <f t="shared" si="4"/>
        <v>32</v>
      </c>
      <c r="F58" s="643">
        <f t="shared" ref="F58:F64" si="5">+F32*0.0155</f>
        <v>69.75</v>
      </c>
      <c r="G58" s="435">
        <f t="shared" ref="G58:G64" si="6">+D58*E58*F58</f>
        <v>2232</v>
      </c>
      <c r="H58" s="478"/>
      <c r="I58" s="52"/>
    </row>
    <row r="59" spans="2:9" ht="38.25" x14ac:dyDescent="0.2">
      <c r="B59" s="602" t="s">
        <v>846</v>
      </c>
      <c r="C59" s="657" t="str">
        <f t="shared" si="4"/>
        <v>ING. AGROINDUSTRIAL Y/O ING. EN INDUSTRIAS ALIMENTARIAS - ESPECIALISTA EN INSTALACIÓN DE PROYECTOS AGROINDUSTRIALES - SUPERVISOR</v>
      </c>
      <c r="D59" s="643">
        <f t="shared" si="4"/>
        <v>1</v>
      </c>
      <c r="E59" s="643">
        <f t="shared" si="4"/>
        <v>32</v>
      </c>
      <c r="F59" s="643">
        <f t="shared" si="5"/>
        <v>69.75</v>
      </c>
      <c r="G59" s="435">
        <f t="shared" si="6"/>
        <v>2232</v>
      </c>
      <c r="H59" s="478"/>
      <c r="I59" s="52"/>
    </row>
    <row r="60" spans="2:9" x14ac:dyDescent="0.2">
      <c r="B60" s="602" t="s">
        <v>894</v>
      </c>
      <c r="C60" s="657" t="str">
        <f t="shared" si="4"/>
        <v>ING. AGRÓNOMO</v>
      </c>
      <c r="D60" s="643">
        <f t="shared" si="4"/>
        <v>1</v>
      </c>
      <c r="E60" s="643">
        <f t="shared" si="4"/>
        <v>5</v>
      </c>
      <c r="F60" s="643">
        <f t="shared" si="5"/>
        <v>62</v>
      </c>
      <c r="G60" s="435">
        <f t="shared" si="6"/>
        <v>310</v>
      </c>
      <c r="H60" s="478"/>
      <c r="I60" s="52"/>
    </row>
    <row r="61" spans="2:9" x14ac:dyDescent="0.2">
      <c r="B61" s="602" t="s">
        <v>932</v>
      </c>
      <c r="C61" s="657" t="str">
        <f t="shared" si="4"/>
        <v>ARQ. SUPERVISOR  - SUPERVISOR</v>
      </c>
      <c r="D61" s="643">
        <f t="shared" si="4"/>
        <v>1</v>
      </c>
      <c r="E61" s="643">
        <f t="shared" si="4"/>
        <v>10</v>
      </c>
      <c r="F61" s="643">
        <f t="shared" si="5"/>
        <v>62</v>
      </c>
      <c r="G61" s="435">
        <f t="shared" si="6"/>
        <v>620</v>
      </c>
      <c r="H61" s="478"/>
      <c r="I61" s="52"/>
    </row>
    <row r="62" spans="2:9" x14ac:dyDescent="0.2">
      <c r="B62" s="602" t="s">
        <v>978</v>
      </c>
      <c r="C62" s="657" t="str">
        <f t="shared" si="4"/>
        <v>ING MECÁNICO ELECTRICO.SUPERVISOR</v>
      </c>
      <c r="D62" s="643">
        <f t="shared" si="4"/>
        <v>1</v>
      </c>
      <c r="E62" s="643">
        <f t="shared" si="4"/>
        <v>5</v>
      </c>
      <c r="F62" s="643">
        <f t="shared" si="5"/>
        <v>62</v>
      </c>
      <c r="G62" s="435">
        <f t="shared" si="6"/>
        <v>310</v>
      </c>
      <c r="H62" s="478"/>
      <c r="I62" s="52"/>
    </row>
    <row r="63" spans="2:9" x14ac:dyDescent="0.2">
      <c r="B63" s="602" t="s">
        <v>979</v>
      </c>
      <c r="C63" s="657" t="str">
        <f t="shared" si="4"/>
        <v>ING SANITARIO Y/O MECÁNICO DE FLUIDOS - SUPERVISOR</v>
      </c>
      <c r="D63" s="643">
        <f t="shared" si="4"/>
        <v>1</v>
      </c>
      <c r="E63" s="643">
        <f t="shared" si="4"/>
        <v>3</v>
      </c>
      <c r="F63" s="643">
        <f t="shared" si="5"/>
        <v>62</v>
      </c>
      <c r="G63" s="435">
        <f t="shared" si="6"/>
        <v>186</v>
      </c>
      <c r="H63" s="478"/>
      <c r="I63" s="52"/>
    </row>
    <row r="64" spans="2:9" x14ac:dyDescent="0.2">
      <c r="B64" s="602" t="s">
        <v>980</v>
      </c>
      <c r="C64" s="657" t="str">
        <f t="shared" si="4"/>
        <v>ASISTENTE TECNICO</v>
      </c>
      <c r="D64" s="643">
        <f t="shared" si="4"/>
        <v>1</v>
      </c>
      <c r="E64" s="643">
        <f t="shared" si="4"/>
        <v>16</v>
      </c>
      <c r="F64" s="643">
        <f t="shared" si="5"/>
        <v>41.85</v>
      </c>
      <c r="G64" s="435">
        <f t="shared" si="6"/>
        <v>669.6</v>
      </c>
      <c r="H64" s="478"/>
      <c r="I64" s="52"/>
    </row>
    <row r="65" spans="2:9" ht="15" customHeight="1" x14ac:dyDescent="0.2">
      <c r="B65" s="1799" t="s">
        <v>44</v>
      </c>
      <c r="C65" s="1799"/>
      <c r="D65" s="1799"/>
      <c r="E65" s="1799"/>
      <c r="F65" s="1799"/>
      <c r="G65" s="436">
        <f>SUM(G58:G64)</f>
        <v>6559.6</v>
      </c>
      <c r="H65" s="478"/>
      <c r="I65" s="52"/>
    </row>
    <row r="66" spans="2:9" x14ac:dyDescent="0.2">
      <c r="B66" s="546"/>
      <c r="C66" s="568"/>
      <c r="D66" s="478"/>
      <c r="E66" s="568"/>
      <c r="F66" s="483"/>
      <c r="G66" s="478"/>
      <c r="H66" s="478"/>
      <c r="I66" s="52"/>
    </row>
    <row r="67" spans="2:9" x14ac:dyDescent="0.2">
      <c r="B67" s="638" t="s">
        <v>839</v>
      </c>
      <c r="C67" s="561" t="s">
        <v>943</v>
      </c>
      <c r="D67" s="562"/>
      <c r="E67" s="562"/>
      <c r="F67" s="564"/>
      <c r="G67" s="450" t="s">
        <v>797</v>
      </c>
      <c r="H67" s="451">
        <f>+H69+H81</f>
        <v>70533.333333333343</v>
      </c>
      <c r="I67" s="52"/>
    </row>
    <row r="68" spans="2:9" x14ac:dyDescent="0.2">
      <c r="B68" s="481"/>
      <c r="C68" s="482"/>
      <c r="D68" s="478"/>
      <c r="E68" s="478"/>
      <c r="F68" s="483"/>
      <c r="G68" s="478"/>
      <c r="H68" s="478"/>
      <c r="I68" s="52"/>
    </row>
    <row r="69" spans="2:9" x14ac:dyDescent="0.2">
      <c r="B69" s="644"/>
      <c r="C69" s="482" t="s">
        <v>1010</v>
      </c>
      <c r="D69" s="478"/>
      <c r="E69" s="478"/>
      <c r="F69" s="483"/>
      <c r="G69" s="476" t="s">
        <v>797</v>
      </c>
      <c r="H69" s="640">
        <f>+G79</f>
        <v>35266.666666666672</v>
      </c>
      <c r="I69" s="52"/>
    </row>
    <row r="70" spans="2:9" x14ac:dyDescent="0.2">
      <c r="B70" s="641"/>
      <c r="C70" s="583"/>
      <c r="D70" s="478"/>
      <c r="E70" s="478"/>
      <c r="F70" s="483"/>
      <c r="G70" s="478"/>
      <c r="H70" s="478"/>
      <c r="I70" s="52"/>
    </row>
    <row r="71" spans="2:9" ht="25.5" x14ac:dyDescent="0.2">
      <c r="B71" s="597" t="s">
        <v>813</v>
      </c>
      <c r="C71" s="629" t="s">
        <v>827</v>
      </c>
      <c r="D71" s="630" t="s">
        <v>828</v>
      </c>
      <c r="E71" s="629" t="s">
        <v>769</v>
      </c>
      <c r="F71" s="629" t="s">
        <v>829</v>
      </c>
      <c r="G71" s="629" t="s">
        <v>830</v>
      </c>
      <c r="H71" s="478"/>
      <c r="I71" s="52"/>
    </row>
    <row r="72" spans="2:9" x14ac:dyDescent="0.2">
      <c r="B72" s="602" t="s">
        <v>822</v>
      </c>
      <c r="C72" s="642" t="str">
        <f t="shared" ref="C72:E78" si="7">C32</f>
        <v>ING.CIVIL SUPERVISOR DE OBRA</v>
      </c>
      <c r="D72" s="643">
        <f t="shared" si="7"/>
        <v>1</v>
      </c>
      <c r="E72" s="643">
        <f t="shared" si="7"/>
        <v>32</v>
      </c>
      <c r="F72" s="643">
        <f t="shared" ref="F72:F78" si="8">+F32/12</f>
        <v>375</v>
      </c>
      <c r="G72" s="565">
        <f t="shared" ref="G72:G78" si="9">+D72*E72*F72</f>
        <v>12000</v>
      </c>
      <c r="H72" s="478"/>
      <c r="I72" s="52"/>
    </row>
    <row r="73" spans="2:9" x14ac:dyDescent="0.2">
      <c r="B73" s="602" t="s">
        <v>846</v>
      </c>
      <c r="C73" s="642" t="str">
        <f t="shared" si="7"/>
        <v>ING. AGROINDUSTRIAL Y/O ING. EN INDUSTRIAS ALIMENTARIAS - ESPECIALISTA EN INSTALACIÓN DE PROYECTOS AGROINDUSTRIALES - SUPERVISOR</v>
      </c>
      <c r="D73" s="643">
        <f t="shared" si="7"/>
        <v>1</v>
      </c>
      <c r="E73" s="643">
        <f t="shared" si="7"/>
        <v>32</v>
      </c>
      <c r="F73" s="643">
        <f t="shared" si="8"/>
        <v>375</v>
      </c>
      <c r="G73" s="565">
        <f t="shared" si="9"/>
        <v>12000</v>
      </c>
      <c r="H73" s="478"/>
      <c r="I73" s="52"/>
    </row>
    <row r="74" spans="2:9" x14ac:dyDescent="0.2">
      <c r="B74" s="602" t="s">
        <v>894</v>
      </c>
      <c r="C74" s="642" t="str">
        <f t="shared" si="7"/>
        <v>ING. AGRÓNOMO</v>
      </c>
      <c r="D74" s="643">
        <f t="shared" si="7"/>
        <v>1</v>
      </c>
      <c r="E74" s="643">
        <f t="shared" si="7"/>
        <v>5</v>
      </c>
      <c r="F74" s="643">
        <f t="shared" si="8"/>
        <v>333.33333333333331</v>
      </c>
      <c r="G74" s="565">
        <f t="shared" si="9"/>
        <v>1666.6666666666665</v>
      </c>
      <c r="H74" s="478"/>
      <c r="I74" s="52"/>
    </row>
    <row r="75" spans="2:9" x14ac:dyDescent="0.2">
      <c r="B75" s="602" t="s">
        <v>932</v>
      </c>
      <c r="C75" s="642" t="str">
        <f t="shared" si="7"/>
        <v>ARQ. SUPERVISOR  - SUPERVISOR</v>
      </c>
      <c r="D75" s="643">
        <f t="shared" si="7"/>
        <v>1</v>
      </c>
      <c r="E75" s="643">
        <f t="shared" si="7"/>
        <v>10</v>
      </c>
      <c r="F75" s="643">
        <f t="shared" si="8"/>
        <v>333.33333333333331</v>
      </c>
      <c r="G75" s="565">
        <f t="shared" si="9"/>
        <v>3333.333333333333</v>
      </c>
      <c r="H75" s="478"/>
      <c r="I75" s="52"/>
    </row>
    <row r="76" spans="2:9" x14ac:dyDescent="0.2">
      <c r="B76" s="602" t="s">
        <v>978</v>
      </c>
      <c r="C76" s="642" t="str">
        <f t="shared" si="7"/>
        <v>ING MECÁNICO ELECTRICO.SUPERVISOR</v>
      </c>
      <c r="D76" s="643">
        <f t="shared" si="7"/>
        <v>1</v>
      </c>
      <c r="E76" s="643">
        <f t="shared" si="7"/>
        <v>5</v>
      </c>
      <c r="F76" s="643">
        <f t="shared" si="8"/>
        <v>333.33333333333331</v>
      </c>
      <c r="G76" s="565">
        <f t="shared" si="9"/>
        <v>1666.6666666666665</v>
      </c>
      <c r="H76" s="478"/>
      <c r="I76" s="52"/>
    </row>
    <row r="77" spans="2:9" x14ac:dyDescent="0.2">
      <c r="B77" s="602" t="s">
        <v>979</v>
      </c>
      <c r="C77" s="642" t="str">
        <f t="shared" si="7"/>
        <v>ING SANITARIO Y/O MECÁNICO DE FLUIDOS - SUPERVISOR</v>
      </c>
      <c r="D77" s="643">
        <f t="shared" si="7"/>
        <v>1</v>
      </c>
      <c r="E77" s="643">
        <f t="shared" si="7"/>
        <v>3</v>
      </c>
      <c r="F77" s="643">
        <f t="shared" si="8"/>
        <v>333.33333333333331</v>
      </c>
      <c r="G77" s="565">
        <f t="shared" si="9"/>
        <v>1000</v>
      </c>
      <c r="H77" s="478"/>
      <c r="I77" s="52"/>
    </row>
    <row r="78" spans="2:9" x14ac:dyDescent="0.2">
      <c r="B78" s="602" t="s">
        <v>980</v>
      </c>
      <c r="C78" s="642" t="str">
        <f t="shared" si="7"/>
        <v>ASISTENTE TECNICO</v>
      </c>
      <c r="D78" s="643">
        <f t="shared" si="7"/>
        <v>1</v>
      </c>
      <c r="E78" s="643">
        <f t="shared" si="7"/>
        <v>16</v>
      </c>
      <c r="F78" s="643">
        <f t="shared" si="8"/>
        <v>225</v>
      </c>
      <c r="G78" s="565">
        <f t="shared" si="9"/>
        <v>3600</v>
      </c>
      <c r="H78" s="478"/>
      <c r="I78" s="52"/>
    </row>
    <row r="79" spans="2:9" ht="15" customHeight="1" x14ac:dyDescent="0.2">
      <c r="B79" s="1799" t="s">
        <v>44</v>
      </c>
      <c r="C79" s="1799"/>
      <c r="D79" s="1799"/>
      <c r="E79" s="1799"/>
      <c r="F79" s="1799"/>
      <c r="G79" s="436">
        <f>SUM(G72:G78)</f>
        <v>35266.666666666672</v>
      </c>
      <c r="H79" s="478"/>
      <c r="I79" s="52"/>
    </row>
    <row r="80" spans="2:9" x14ac:dyDescent="0.2">
      <c r="B80" s="481"/>
      <c r="C80" s="482"/>
      <c r="D80" s="478"/>
      <c r="E80" s="478"/>
      <c r="F80" s="483"/>
      <c r="G80" s="478"/>
      <c r="H80" s="478"/>
      <c r="I80" s="52"/>
    </row>
    <row r="81" spans="2:9" x14ac:dyDescent="0.2">
      <c r="B81" s="644"/>
      <c r="C81" s="482" t="s">
        <v>1011</v>
      </c>
      <c r="D81" s="478"/>
      <c r="E81" s="478"/>
      <c r="F81" s="483"/>
      <c r="G81" s="476" t="s">
        <v>797</v>
      </c>
      <c r="H81" s="640">
        <f>+G91</f>
        <v>35266.666666666672</v>
      </c>
      <c r="I81" s="52"/>
    </row>
    <row r="82" spans="2:9" x14ac:dyDescent="0.2">
      <c r="B82" s="641"/>
      <c r="C82" s="583"/>
      <c r="D82" s="478"/>
      <c r="E82" s="478"/>
      <c r="F82" s="483"/>
      <c r="G82" s="478"/>
      <c r="H82" s="478"/>
      <c r="I82" s="52"/>
    </row>
    <row r="83" spans="2:9" ht="25.5" x14ac:dyDescent="0.2">
      <c r="B83" s="597" t="s">
        <v>813</v>
      </c>
      <c r="C83" s="629" t="s">
        <v>827</v>
      </c>
      <c r="D83" s="630" t="s">
        <v>828</v>
      </c>
      <c r="E83" s="629" t="s">
        <v>769</v>
      </c>
      <c r="F83" s="629" t="s">
        <v>829</v>
      </c>
      <c r="G83" s="629" t="s">
        <v>830</v>
      </c>
      <c r="H83" s="478"/>
      <c r="I83" s="52"/>
    </row>
    <row r="84" spans="2:9" x14ac:dyDescent="0.2">
      <c r="B84" s="602" t="s">
        <v>822</v>
      </c>
      <c r="C84" s="657" t="str">
        <f t="shared" ref="C84:E90" si="10">C32</f>
        <v>ING.CIVIL SUPERVISOR DE OBRA</v>
      </c>
      <c r="D84" s="643">
        <f t="shared" si="10"/>
        <v>1</v>
      </c>
      <c r="E84" s="625">
        <f t="shared" si="10"/>
        <v>32</v>
      </c>
      <c r="F84" s="625">
        <f t="shared" ref="F84:F90" si="11">+F32/12</f>
        <v>375</v>
      </c>
      <c r="G84" s="435">
        <f t="shared" ref="G84:G90" si="12">+D84*E84*F84</f>
        <v>12000</v>
      </c>
      <c r="H84" s="478"/>
      <c r="I84" s="52"/>
    </row>
    <row r="85" spans="2:9" ht="38.25" x14ac:dyDescent="0.2">
      <c r="B85" s="602" t="s">
        <v>846</v>
      </c>
      <c r="C85" s="657" t="str">
        <f t="shared" si="10"/>
        <v>ING. AGROINDUSTRIAL Y/O ING. EN INDUSTRIAS ALIMENTARIAS - ESPECIALISTA EN INSTALACIÓN DE PROYECTOS AGROINDUSTRIALES - SUPERVISOR</v>
      </c>
      <c r="D85" s="643">
        <f t="shared" si="10"/>
        <v>1</v>
      </c>
      <c r="E85" s="625">
        <f t="shared" si="10"/>
        <v>32</v>
      </c>
      <c r="F85" s="625">
        <f t="shared" si="11"/>
        <v>375</v>
      </c>
      <c r="G85" s="435">
        <f t="shared" si="12"/>
        <v>12000</v>
      </c>
      <c r="H85" s="478"/>
      <c r="I85" s="52"/>
    </row>
    <row r="86" spans="2:9" x14ac:dyDescent="0.2">
      <c r="B86" s="602" t="s">
        <v>894</v>
      </c>
      <c r="C86" s="657" t="str">
        <f t="shared" si="10"/>
        <v>ING. AGRÓNOMO</v>
      </c>
      <c r="D86" s="643">
        <f t="shared" si="10"/>
        <v>1</v>
      </c>
      <c r="E86" s="625">
        <f t="shared" si="10"/>
        <v>5</v>
      </c>
      <c r="F86" s="625">
        <f t="shared" si="11"/>
        <v>333.33333333333331</v>
      </c>
      <c r="G86" s="435">
        <f t="shared" si="12"/>
        <v>1666.6666666666665</v>
      </c>
      <c r="H86" s="478"/>
      <c r="I86" s="52"/>
    </row>
    <row r="87" spans="2:9" x14ac:dyDescent="0.2">
      <c r="B87" s="602" t="s">
        <v>932</v>
      </c>
      <c r="C87" s="657" t="str">
        <f t="shared" si="10"/>
        <v>ARQ. SUPERVISOR  - SUPERVISOR</v>
      </c>
      <c r="D87" s="643">
        <f t="shared" si="10"/>
        <v>1</v>
      </c>
      <c r="E87" s="625">
        <f t="shared" si="10"/>
        <v>10</v>
      </c>
      <c r="F87" s="625">
        <f t="shared" si="11"/>
        <v>333.33333333333331</v>
      </c>
      <c r="G87" s="435">
        <f t="shared" si="12"/>
        <v>3333.333333333333</v>
      </c>
      <c r="H87" s="478"/>
      <c r="I87" s="52"/>
    </row>
    <row r="88" spans="2:9" x14ac:dyDescent="0.2">
      <c r="B88" s="602" t="s">
        <v>978</v>
      </c>
      <c r="C88" s="657" t="str">
        <f t="shared" si="10"/>
        <v>ING MECÁNICO ELECTRICO.SUPERVISOR</v>
      </c>
      <c r="D88" s="643">
        <f t="shared" si="10"/>
        <v>1</v>
      </c>
      <c r="E88" s="625">
        <f t="shared" si="10"/>
        <v>5</v>
      </c>
      <c r="F88" s="625">
        <f t="shared" si="11"/>
        <v>333.33333333333331</v>
      </c>
      <c r="G88" s="435">
        <f t="shared" si="12"/>
        <v>1666.6666666666665</v>
      </c>
      <c r="H88" s="478"/>
      <c r="I88" s="52"/>
    </row>
    <row r="89" spans="2:9" x14ac:dyDescent="0.2">
      <c r="B89" s="602" t="s">
        <v>979</v>
      </c>
      <c r="C89" s="657" t="str">
        <f t="shared" si="10"/>
        <v>ING SANITARIO Y/O MECÁNICO DE FLUIDOS - SUPERVISOR</v>
      </c>
      <c r="D89" s="643">
        <f t="shared" si="10"/>
        <v>1</v>
      </c>
      <c r="E89" s="625">
        <f t="shared" si="10"/>
        <v>3</v>
      </c>
      <c r="F89" s="625">
        <f t="shared" si="11"/>
        <v>333.33333333333331</v>
      </c>
      <c r="G89" s="435">
        <f t="shared" si="12"/>
        <v>1000</v>
      </c>
      <c r="H89" s="478"/>
      <c r="I89" s="52"/>
    </row>
    <row r="90" spans="2:9" x14ac:dyDescent="0.2">
      <c r="B90" s="602" t="s">
        <v>980</v>
      </c>
      <c r="C90" s="657" t="str">
        <f t="shared" si="10"/>
        <v>ASISTENTE TECNICO</v>
      </c>
      <c r="D90" s="643">
        <f t="shared" si="10"/>
        <v>1</v>
      </c>
      <c r="E90" s="625">
        <f t="shared" si="10"/>
        <v>16</v>
      </c>
      <c r="F90" s="625">
        <f t="shared" si="11"/>
        <v>225</v>
      </c>
      <c r="G90" s="435">
        <f t="shared" si="12"/>
        <v>3600</v>
      </c>
      <c r="H90" s="478"/>
      <c r="I90" s="52"/>
    </row>
    <row r="91" spans="2:9" ht="15" customHeight="1" x14ac:dyDescent="0.2">
      <c r="B91" s="1799" t="s">
        <v>44</v>
      </c>
      <c r="C91" s="1799"/>
      <c r="D91" s="1799"/>
      <c r="E91" s="1799"/>
      <c r="F91" s="1799"/>
      <c r="G91" s="436">
        <f>SUM(G84:G90)</f>
        <v>35266.666666666672</v>
      </c>
      <c r="H91" s="478"/>
      <c r="I91" s="52"/>
    </row>
    <row r="92" spans="2:9" x14ac:dyDescent="0.2">
      <c r="B92" s="481"/>
      <c r="C92" s="482"/>
      <c r="D92" s="478"/>
      <c r="E92" s="478"/>
      <c r="F92" s="483"/>
      <c r="G92" s="478"/>
      <c r="H92" s="478"/>
      <c r="I92" s="52"/>
    </row>
    <row r="93" spans="2:9" x14ac:dyDescent="0.2">
      <c r="B93" s="638" t="s">
        <v>842</v>
      </c>
      <c r="C93" s="561" t="s">
        <v>947</v>
      </c>
      <c r="D93" s="562"/>
      <c r="E93" s="562"/>
      <c r="F93" s="564"/>
      <c r="G93" s="450" t="s">
        <v>797</v>
      </c>
      <c r="H93" s="451">
        <f>+H95</f>
        <v>70533.333333333343</v>
      </c>
      <c r="I93" s="52"/>
    </row>
    <row r="94" spans="2:9" x14ac:dyDescent="0.2">
      <c r="B94" s="481"/>
      <c r="C94" s="482"/>
      <c r="D94" s="478"/>
      <c r="E94" s="478"/>
      <c r="F94" s="483"/>
      <c r="G94" s="478"/>
      <c r="H94" s="478"/>
      <c r="I94" s="52"/>
    </row>
    <row r="95" spans="2:9" x14ac:dyDescent="0.2">
      <c r="B95" s="481"/>
      <c r="C95" s="482" t="s">
        <v>948</v>
      </c>
      <c r="D95" s="478"/>
      <c r="E95" s="478"/>
      <c r="F95" s="483"/>
      <c r="G95" s="476" t="s">
        <v>797</v>
      </c>
      <c r="H95" s="640">
        <f>+G105</f>
        <v>70533.333333333343</v>
      </c>
      <c r="I95" s="52"/>
    </row>
    <row r="96" spans="2:9" x14ac:dyDescent="0.2">
      <c r="B96" s="644"/>
      <c r="C96" s="482"/>
      <c r="D96" s="478"/>
      <c r="E96" s="478"/>
      <c r="F96" s="483"/>
      <c r="G96" s="478"/>
      <c r="H96" s="478"/>
      <c r="I96" s="52"/>
    </row>
    <row r="97" spans="2:9" ht="25.5" x14ac:dyDescent="0.2">
      <c r="B97" s="597" t="s">
        <v>813</v>
      </c>
      <c r="C97" s="629" t="s">
        <v>827</v>
      </c>
      <c r="D97" s="630" t="s">
        <v>828</v>
      </c>
      <c r="E97" s="629" t="s">
        <v>769</v>
      </c>
      <c r="F97" s="629" t="s">
        <v>829</v>
      </c>
      <c r="G97" s="629" t="s">
        <v>830</v>
      </c>
      <c r="H97" s="478"/>
      <c r="I97" s="52"/>
    </row>
    <row r="98" spans="2:9" x14ac:dyDescent="0.2">
      <c r="B98" s="602" t="s">
        <v>822</v>
      </c>
      <c r="C98" s="657" t="str">
        <f t="shared" ref="C98:E104" si="13">C32</f>
        <v>ING.CIVIL SUPERVISOR DE OBRA</v>
      </c>
      <c r="D98" s="643">
        <f t="shared" si="13"/>
        <v>1</v>
      </c>
      <c r="E98" s="643">
        <f t="shared" si="13"/>
        <v>32</v>
      </c>
      <c r="F98" s="643">
        <f t="shared" ref="F98:F104" si="14">+F32/12*2</f>
        <v>750</v>
      </c>
      <c r="G98" s="435">
        <f t="shared" ref="G98:G104" si="15">+D98*E98*F98</f>
        <v>24000</v>
      </c>
      <c r="H98" s="478"/>
      <c r="I98" s="52"/>
    </row>
    <row r="99" spans="2:9" ht="38.25" x14ac:dyDescent="0.2">
      <c r="B99" s="602" t="s">
        <v>846</v>
      </c>
      <c r="C99" s="657" t="str">
        <f t="shared" si="13"/>
        <v>ING. AGROINDUSTRIAL Y/O ING. EN INDUSTRIAS ALIMENTARIAS - ESPECIALISTA EN INSTALACIÓN DE PROYECTOS AGROINDUSTRIALES - SUPERVISOR</v>
      </c>
      <c r="D99" s="643">
        <f t="shared" si="13"/>
        <v>1</v>
      </c>
      <c r="E99" s="643">
        <f t="shared" si="13"/>
        <v>32</v>
      </c>
      <c r="F99" s="643">
        <f>+F33/12*2</f>
        <v>750</v>
      </c>
      <c r="G99" s="435">
        <f t="shared" si="15"/>
        <v>24000</v>
      </c>
      <c r="H99" s="478"/>
      <c r="I99" s="52"/>
    </row>
    <row r="100" spans="2:9" x14ac:dyDescent="0.2">
      <c r="B100" s="602" t="s">
        <v>894</v>
      </c>
      <c r="C100" s="657" t="str">
        <f t="shared" si="13"/>
        <v>ING. AGRÓNOMO</v>
      </c>
      <c r="D100" s="643">
        <f t="shared" si="13"/>
        <v>1</v>
      </c>
      <c r="E100" s="643">
        <f t="shared" si="13"/>
        <v>5</v>
      </c>
      <c r="F100" s="643">
        <f t="shared" si="14"/>
        <v>666.66666666666663</v>
      </c>
      <c r="G100" s="435">
        <f t="shared" si="15"/>
        <v>3333.333333333333</v>
      </c>
      <c r="H100" s="478"/>
      <c r="I100" s="52"/>
    </row>
    <row r="101" spans="2:9" x14ac:dyDescent="0.2">
      <c r="B101" s="602" t="s">
        <v>932</v>
      </c>
      <c r="C101" s="657" t="str">
        <f t="shared" si="13"/>
        <v>ARQ. SUPERVISOR  - SUPERVISOR</v>
      </c>
      <c r="D101" s="643">
        <f t="shared" si="13"/>
        <v>1</v>
      </c>
      <c r="E101" s="643">
        <f t="shared" si="13"/>
        <v>10</v>
      </c>
      <c r="F101" s="643">
        <f t="shared" si="14"/>
        <v>666.66666666666663</v>
      </c>
      <c r="G101" s="435">
        <f t="shared" si="15"/>
        <v>6666.6666666666661</v>
      </c>
      <c r="H101" s="478"/>
      <c r="I101" s="52"/>
    </row>
    <row r="102" spans="2:9" x14ac:dyDescent="0.2">
      <c r="B102" s="602" t="s">
        <v>978</v>
      </c>
      <c r="C102" s="657" t="str">
        <f t="shared" si="13"/>
        <v>ING MECÁNICO ELECTRICO.SUPERVISOR</v>
      </c>
      <c r="D102" s="643">
        <f t="shared" si="13"/>
        <v>1</v>
      </c>
      <c r="E102" s="643">
        <f t="shared" si="13"/>
        <v>5</v>
      </c>
      <c r="F102" s="643">
        <f t="shared" si="14"/>
        <v>666.66666666666663</v>
      </c>
      <c r="G102" s="435">
        <f t="shared" si="15"/>
        <v>3333.333333333333</v>
      </c>
      <c r="H102" s="478"/>
      <c r="I102" s="52"/>
    </row>
    <row r="103" spans="2:9" x14ac:dyDescent="0.2">
      <c r="B103" s="602" t="s">
        <v>979</v>
      </c>
      <c r="C103" s="657" t="str">
        <f t="shared" si="13"/>
        <v>ING SANITARIO Y/O MECÁNICO DE FLUIDOS - SUPERVISOR</v>
      </c>
      <c r="D103" s="643">
        <f t="shared" si="13"/>
        <v>1</v>
      </c>
      <c r="E103" s="643">
        <f t="shared" si="13"/>
        <v>3</v>
      </c>
      <c r="F103" s="643">
        <f t="shared" si="14"/>
        <v>666.66666666666663</v>
      </c>
      <c r="G103" s="435">
        <f t="shared" si="15"/>
        <v>2000</v>
      </c>
      <c r="H103" s="478"/>
      <c r="I103" s="52"/>
    </row>
    <row r="104" spans="2:9" x14ac:dyDescent="0.2">
      <c r="B104" s="602" t="s">
        <v>980</v>
      </c>
      <c r="C104" s="657" t="str">
        <f t="shared" si="13"/>
        <v>ASISTENTE TECNICO</v>
      </c>
      <c r="D104" s="643">
        <f t="shared" si="13"/>
        <v>1</v>
      </c>
      <c r="E104" s="643">
        <f t="shared" si="13"/>
        <v>16</v>
      </c>
      <c r="F104" s="643">
        <f t="shared" si="14"/>
        <v>450</v>
      </c>
      <c r="G104" s="435">
        <f t="shared" si="15"/>
        <v>7200</v>
      </c>
      <c r="H104" s="478"/>
      <c r="I104" s="52"/>
    </row>
    <row r="105" spans="2:9" ht="15" customHeight="1" x14ac:dyDescent="0.2">
      <c r="B105" s="1799" t="s">
        <v>44</v>
      </c>
      <c r="C105" s="1799"/>
      <c r="D105" s="1799"/>
      <c r="E105" s="1799"/>
      <c r="F105" s="1799"/>
      <c r="G105" s="436">
        <f>SUM(G98:G104)</f>
        <v>70533.333333333343</v>
      </c>
      <c r="H105" s="478"/>
      <c r="I105" s="52"/>
    </row>
    <row r="106" spans="2:9" x14ac:dyDescent="0.2">
      <c r="B106" s="546"/>
      <c r="C106" s="478"/>
      <c r="D106" s="478"/>
      <c r="E106" s="478"/>
      <c r="F106" s="483"/>
      <c r="G106" s="478"/>
      <c r="H106" s="478"/>
      <c r="I106" s="52"/>
    </row>
    <row r="107" spans="2:9" x14ac:dyDescent="0.2">
      <c r="B107" s="546"/>
      <c r="C107" s="478"/>
      <c r="D107" s="478"/>
      <c r="E107" s="478"/>
      <c r="F107" s="483"/>
      <c r="G107" s="478"/>
      <c r="H107" s="478"/>
      <c r="I107" s="52"/>
    </row>
    <row r="108" spans="2:9" x14ac:dyDescent="0.2">
      <c r="B108" s="636" t="s">
        <v>846</v>
      </c>
      <c r="C108" s="555" t="s">
        <v>847</v>
      </c>
      <c r="D108" s="637"/>
      <c r="E108" s="637"/>
      <c r="F108" s="556"/>
      <c r="G108" s="556" t="s">
        <v>797</v>
      </c>
      <c r="H108" s="557">
        <f>+H110+H117</f>
        <v>3320</v>
      </c>
      <c r="I108" s="52"/>
    </row>
    <row r="109" spans="2:9" x14ac:dyDescent="0.2">
      <c r="B109" s="481"/>
      <c r="C109" s="482"/>
      <c r="D109" s="478"/>
      <c r="E109" s="478"/>
      <c r="F109" s="483"/>
      <c r="G109" s="478"/>
      <c r="H109" s="478"/>
      <c r="I109" s="52"/>
    </row>
    <row r="110" spans="2:9" x14ac:dyDescent="0.2">
      <c r="B110" s="638" t="s">
        <v>848</v>
      </c>
      <c r="C110" s="561" t="s">
        <v>509</v>
      </c>
      <c r="D110" s="562"/>
      <c r="E110" s="562"/>
      <c r="F110" s="564"/>
      <c r="G110" s="450" t="s">
        <v>797</v>
      </c>
      <c r="H110" s="451">
        <f>G115</f>
        <v>1995</v>
      </c>
      <c r="I110" s="52"/>
    </row>
    <row r="111" spans="2:9" x14ac:dyDescent="0.2">
      <c r="B111" s="481"/>
      <c r="C111" s="482"/>
      <c r="D111" s="478"/>
      <c r="E111" s="478"/>
      <c r="F111" s="483"/>
      <c r="G111" s="478"/>
      <c r="H111" s="478"/>
      <c r="I111" s="52"/>
    </row>
    <row r="112" spans="2:9" x14ac:dyDescent="0.2">
      <c r="B112" s="597" t="s">
        <v>813</v>
      </c>
      <c r="C112" s="597" t="s">
        <v>792</v>
      </c>
      <c r="D112" s="597" t="s">
        <v>855</v>
      </c>
      <c r="E112" s="597" t="s">
        <v>650</v>
      </c>
      <c r="F112" s="597" t="s">
        <v>851</v>
      </c>
      <c r="G112" s="597" t="s">
        <v>830</v>
      </c>
      <c r="H112" s="569"/>
      <c r="I112" s="52"/>
    </row>
    <row r="113" spans="2:9" x14ac:dyDescent="0.2">
      <c r="B113" s="602" t="s">
        <v>822</v>
      </c>
      <c r="C113" s="645" t="s">
        <v>852</v>
      </c>
      <c r="D113" s="625" t="s">
        <v>853</v>
      </c>
      <c r="E113" s="625">
        <v>7</v>
      </c>
      <c r="F113" s="658">
        <v>250</v>
      </c>
      <c r="G113" s="435">
        <f>+E113*F113</f>
        <v>1750</v>
      </c>
      <c r="H113" s="478"/>
      <c r="I113" s="52"/>
    </row>
    <row r="114" spans="2:9" x14ac:dyDescent="0.2">
      <c r="B114" s="602" t="s">
        <v>846</v>
      </c>
      <c r="C114" s="645" t="s">
        <v>854</v>
      </c>
      <c r="D114" s="625" t="s">
        <v>855</v>
      </c>
      <c r="E114" s="625">
        <v>7</v>
      </c>
      <c r="F114" s="625">
        <v>35</v>
      </c>
      <c r="G114" s="435">
        <f>+E114*F114</f>
        <v>245</v>
      </c>
      <c r="H114" s="583"/>
      <c r="I114" s="52"/>
    </row>
    <row r="115" spans="2:9" ht="15" customHeight="1" x14ac:dyDescent="0.2">
      <c r="B115" s="1799" t="s">
        <v>44</v>
      </c>
      <c r="C115" s="1799"/>
      <c r="D115" s="1799"/>
      <c r="E115" s="1799"/>
      <c r="F115" s="1799"/>
      <c r="G115" s="436">
        <f>SUM(G113:G114)</f>
        <v>1995</v>
      </c>
      <c r="H115" s="583"/>
      <c r="I115" s="52"/>
    </row>
    <row r="116" spans="2:9" x14ac:dyDescent="0.2">
      <c r="B116" s="546"/>
      <c r="C116" s="569"/>
      <c r="D116" s="569"/>
      <c r="E116" s="569"/>
      <c r="F116" s="569"/>
      <c r="G116" s="569"/>
      <c r="H116" s="583"/>
      <c r="I116" s="52"/>
    </row>
    <row r="117" spans="2:9" x14ac:dyDescent="0.2">
      <c r="B117" s="638" t="s">
        <v>858</v>
      </c>
      <c r="C117" s="561" t="s">
        <v>723</v>
      </c>
      <c r="D117" s="562"/>
      <c r="E117" s="562"/>
      <c r="F117" s="564"/>
      <c r="G117" s="450" t="s">
        <v>797</v>
      </c>
      <c r="H117" s="451">
        <f>+G139</f>
        <v>1325</v>
      </c>
      <c r="I117" s="52"/>
    </row>
    <row r="118" spans="2:9" x14ac:dyDescent="0.2">
      <c r="B118" s="481"/>
      <c r="C118" s="482"/>
      <c r="D118" s="478"/>
      <c r="E118" s="478"/>
      <c r="F118" s="483"/>
      <c r="G118" s="478"/>
      <c r="H118" s="478"/>
      <c r="I118" s="52"/>
    </row>
    <row r="119" spans="2:9" x14ac:dyDescent="0.2">
      <c r="B119" s="597" t="s">
        <v>813</v>
      </c>
      <c r="C119" s="597" t="s">
        <v>649</v>
      </c>
      <c r="D119" s="597" t="s">
        <v>850</v>
      </c>
      <c r="E119" s="597" t="s">
        <v>650</v>
      </c>
      <c r="F119" s="597" t="s">
        <v>851</v>
      </c>
      <c r="G119" s="597" t="s">
        <v>830</v>
      </c>
      <c r="H119" s="478"/>
      <c r="I119" s="52"/>
    </row>
    <row r="120" spans="2:9" x14ac:dyDescent="0.2">
      <c r="B120" s="602" t="s">
        <v>822</v>
      </c>
      <c r="C120" s="435" t="s">
        <v>949</v>
      </c>
      <c r="D120" s="625" t="s">
        <v>904</v>
      </c>
      <c r="E120" s="625">
        <v>6</v>
      </c>
      <c r="F120" s="625">
        <v>150</v>
      </c>
      <c r="G120" s="435">
        <f>+E120*F120</f>
        <v>900</v>
      </c>
      <c r="H120" s="478"/>
      <c r="I120" s="52"/>
    </row>
    <row r="121" spans="2:9" x14ac:dyDescent="0.2">
      <c r="B121" s="602" t="s">
        <v>846</v>
      </c>
      <c r="C121" s="435" t="s">
        <v>952</v>
      </c>
      <c r="D121" s="625" t="s">
        <v>855</v>
      </c>
      <c r="E121" s="625">
        <v>5</v>
      </c>
      <c r="F121" s="625">
        <v>1</v>
      </c>
      <c r="G121" s="435">
        <f t="shared" ref="G121:G138" si="16">+E121*F121</f>
        <v>5</v>
      </c>
      <c r="H121" s="478"/>
      <c r="I121" s="52"/>
    </row>
    <row r="122" spans="2:9" x14ac:dyDescent="0.2">
      <c r="B122" s="602" t="s">
        <v>894</v>
      </c>
      <c r="C122" s="435" t="s">
        <v>951</v>
      </c>
      <c r="D122" s="625" t="s">
        <v>855</v>
      </c>
      <c r="E122" s="625">
        <v>4</v>
      </c>
      <c r="F122" s="625">
        <v>25</v>
      </c>
      <c r="G122" s="435">
        <f t="shared" si="16"/>
        <v>100</v>
      </c>
      <c r="H122" s="478"/>
      <c r="I122" s="52"/>
    </row>
    <row r="123" spans="2:9" x14ac:dyDescent="0.2">
      <c r="B123" s="602" t="s">
        <v>932</v>
      </c>
      <c r="C123" s="435" t="s">
        <v>872</v>
      </c>
      <c r="D123" s="625" t="s">
        <v>855</v>
      </c>
      <c r="E123" s="625">
        <v>4</v>
      </c>
      <c r="F123" s="625">
        <v>1</v>
      </c>
      <c r="G123" s="435">
        <f t="shared" si="16"/>
        <v>4</v>
      </c>
      <c r="H123" s="478"/>
      <c r="I123" s="52"/>
    </row>
    <row r="124" spans="2:9" x14ac:dyDescent="0.2">
      <c r="B124" s="602" t="s">
        <v>978</v>
      </c>
      <c r="C124" s="435" t="s">
        <v>1012</v>
      </c>
      <c r="D124" s="625" t="s">
        <v>855</v>
      </c>
      <c r="E124" s="625">
        <v>20</v>
      </c>
      <c r="F124" s="625">
        <v>2</v>
      </c>
      <c r="G124" s="435">
        <f t="shared" si="16"/>
        <v>40</v>
      </c>
      <c r="H124" s="478"/>
      <c r="I124" s="52"/>
    </row>
    <row r="125" spans="2:9" x14ac:dyDescent="0.2">
      <c r="B125" s="602" t="s">
        <v>979</v>
      </c>
      <c r="C125" s="435" t="s">
        <v>1013</v>
      </c>
      <c r="D125" s="625" t="s">
        <v>855</v>
      </c>
      <c r="E125" s="625">
        <v>2</v>
      </c>
      <c r="F125" s="625">
        <v>5</v>
      </c>
      <c r="G125" s="435">
        <f t="shared" si="16"/>
        <v>10</v>
      </c>
      <c r="H125" s="478"/>
      <c r="I125" s="52"/>
    </row>
    <row r="126" spans="2:9" x14ac:dyDescent="0.2">
      <c r="B126" s="602" t="s">
        <v>980</v>
      </c>
      <c r="C126" s="435" t="s">
        <v>954</v>
      </c>
      <c r="D126" s="625" t="s">
        <v>855</v>
      </c>
      <c r="E126" s="625">
        <v>1</v>
      </c>
      <c r="F126" s="625">
        <v>3.5</v>
      </c>
      <c r="G126" s="435">
        <f t="shared" si="16"/>
        <v>3.5</v>
      </c>
      <c r="H126" s="478"/>
      <c r="I126" s="52"/>
    </row>
    <row r="127" spans="2:9" x14ac:dyDescent="0.2">
      <c r="B127" s="602" t="s">
        <v>981</v>
      </c>
      <c r="C127" s="435" t="s">
        <v>876</v>
      </c>
      <c r="D127" s="625" t="s">
        <v>855</v>
      </c>
      <c r="E127" s="625">
        <v>2</v>
      </c>
      <c r="F127" s="625">
        <v>10</v>
      </c>
      <c r="G127" s="435">
        <f t="shared" si="16"/>
        <v>20</v>
      </c>
      <c r="H127" s="478"/>
      <c r="I127" s="52"/>
    </row>
    <row r="128" spans="2:9" x14ac:dyDescent="0.2">
      <c r="B128" s="602" t="s">
        <v>982</v>
      </c>
      <c r="C128" s="435" t="s">
        <v>878</v>
      </c>
      <c r="D128" s="625" t="s">
        <v>855</v>
      </c>
      <c r="E128" s="625">
        <v>25</v>
      </c>
      <c r="F128" s="625">
        <v>0.2</v>
      </c>
      <c r="G128" s="435">
        <f t="shared" si="16"/>
        <v>5</v>
      </c>
      <c r="H128" s="478"/>
      <c r="I128" s="52"/>
    </row>
    <row r="129" spans="2:9" x14ac:dyDescent="0.2">
      <c r="B129" s="602" t="s">
        <v>983</v>
      </c>
      <c r="C129" s="435" t="s">
        <v>960</v>
      </c>
      <c r="D129" s="625" t="s">
        <v>855</v>
      </c>
      <c r="E129" s="625">
        <v>25</v>
      </c>
      <c r="F129" s="625">
        <v>0.5</v>
      </c>
      <c r="G129" s="435">
        <f t="shared" si="16"/>
        <v>12.5</v>
      </c>
      <c r="H129" s="478"/>
      <c r="I129" s="52"/>
    </row>
    <row r="130" spans="2:9" x14ac:dyDescent="0.2">
      <c r="B130" s="602" t="s">
        <v>984</v>
      </c>
      <c r="C130" s="435" t="s">
        <v>1014</v>
      </c>
      <c r="D130" s="625" t="s">
        <v>855</v>
      </c>
      <c r="E130" s="625">
        <v>10</v>
      </c>
      <c r="F130" s="625">
        <v>2</v>
      </c>
      <c r="G130" s="435">
        <f t="shared" si="16"/>
        <v>20</v>
      </c>
      <c r="H130" s="478"/>
      <c r="I130" s="52"/>
    </row>
    <row r="131" spans="2:9" x14ac:dyDescent="0.2">
      <c r="B131" s="602" t="s">
        <v>985</v>
      </c>
      <c r="C131" s="435" t="s">
        <v>1015</v>
      </c>
      <c r="D131" s="625" t="s">
        <v>855</v>
      </c>
      <c r="E131" s="625">
        <v>2</v>
      </c>
      <c r="F131" s="625">
        <v>5</v>
      </c>
      <c r="G131" s="435">
        <f t="shared" si="16"/>
        <v>10</v>
      </c>
      <c r="H131" s="478"/>
      <c r="I131" s="52"/>
    </row>
    <row r="132" spans="2:9" x14ac:dyDescent="0.2">
      <c r="B132" s="602" t="s">
        <v>1018</v>
      </c>
      <c r="C132" s="435" t="s">
        <v>882</v>
      </c>
      <c r="D132" s="625" t="s">
        <v>883</v>
      </c>
      <c r="E132" s="625">
        <v>4</v>
      </c>
      <c r="F132" s="625">
        <v>30</v>
      </c>
      <c r="G132" s="435">
        <f t="shared" si="16"/>
        <v>120</v>
      </c>
      <c r="H132" s="478"/>
      <c r="I132" s="52"/>
    </row>
    <row r="133" spans="2:9" x14ac:dyDescent="0.2">
      <c r="B133" s="602" t="s">
        <v>1019</v>
      </c>
      <c r="C133" s="435" t="s">
        <v>886</v>
      </c>
      <c r="D133" s="625" t="s">
        <v>855</v>
      </c>
      <c r="E133" s="625">
        <v>2</v>
      </c>
      <c r="F133" s="625">
        <v>4.5</v>
      </c>
      <c r="G133" s="435">
        <f t="shared" si="16"/>
        <v>9</v>
      </c>
      <c r="H133" s="478"/>
      <c r="I133" s="52"/>
    </row>
    <row r="134" spans="2:9" x14ac:dyDescent="0.2">
      <c r="B134" s="602" t="s">
        <v>1020</v>
      </c>
      <c r="C134" s="435" t="s">
        <v>967</v>
      </c>
      <c r="D134" s="625" t="s">
        <v>855</v>
      </c>
      <c r="E134" s="625">
        <v>2</v>
      </c>
      <c r="F134" s="625">
        <v>5</v>
      </c>
      <c r="G134" s="435">
        <f t="shared" si="16"/>
        <v>10</v>
      </c>
      <c r="H134" s="478"/>
      <c r="I134" s="52"/>
    </row>
    <row r="135" spans="2:9" x14ac:dyDescent="0.2">
      <c r="B135" s="602" t="s">
        <v>1021</v>
      </c>
      <c r="C135" s="435" t="s">
        <v>968</v>
      </c>
      <c r="D135" s="625" t="s">
        <v>855</v>
      </c>
      <c r="E135" s="625">
        <v>2</v>
      </c>
      <c r="F135" s="625">
        <v>10</v>
      </c>
      <c r="G135" s="435">
        <f t="shared" si="16"/>
        <v>20</v>
      </c>
      <c r="H135" s="478"/>
      <c r="I135" s="52"/>
    </row>
    <row r="136" spans="2:9" x14ac:dyDescent="0.2">
      <c r="B136" s="602" t="s">
        <v>1022</v>
      </c>
      <c r="C136" s="435" t="s">
        <v>1016</v>
      </c>
      <c r="D136" s="625" t="s">
        <v>855</v>
      </c>
      <c r="E136" s="625">
        <v>2</v>
      </c>
      <c r="F136" s="625">
        <v>8</v>
      </c>
      <c r="G136" s="435">
        <f t="shared" si="16"/>
        <v>16</v>
      </c>
      <c r="H136" s="478"/>
      <c r="I136" s="52"/>
    </row>
    <row r="137" spans="2:9" x14ac:dyDescent="0.2">
      <c r="B137" s="602" t="s">
        <v>1023</v>
      </c>
      <c r="C137" s="435" t="s">
        <v>969</v>
      </c>
      <c r="D137" s="625" t="s">
        <v>855</v>
      </c>
      <c r="E137" s="625">
        <v>5</v>
      </c>
      <c r="F137" s="625">
        <v>2</v>
      </c>
      <c r="G137" s="435">
        <f t="shared" si="16"/>
        <v>10</v>
      </c>
      <c r="H137" s="478"/>
      <c r="I137" s="52"/>
    </row>
    <row r="138" spans="2:9" x14ac:dyDescent="0.2">
      <c r="B138" s="602" t="s">
        <v>1024</v>
      </c>
      <c r="C138" s="435" t="s">
        <v>889</v>
      </c>
      <c r="D138" s="625" t="s">
        <v>855</v>
      </c>
      <c r="E138" s="625">
        <v>2</v>
      </c>
      <c r="F138" s="625">
        <v>5</v>
      </c>
      <c r="G138" s="435">
        <f t="shared" si="16"/>
        <v>10</v>
      </c>
      <c r="H138" s="478"/>
      <c r="I138" s="52"/>
    </row>
    <row r="139" spans="2:9" ht="15" customHeight="1" x14ac:dyDescent="0.2">
      <c r="B139" s="1799" t="s">
        <v>44</v>
      </c>
      <c r="C139" s="1799"/>
      <c r="D139" s="1799"/>
      <c r="E139" s="1799"/>
      <c r="F139" s="1799"/>
      <c r="G139" s="436">
        <f>SUM(G120:G138)</f>
        <v>1325</v>
      </c>
      <c r="H139" s="478"/>
      <c r="I139" s="52"/>
    </row>
    <row r="140" spans="2:9" x14ac:dyDescent="0.2">
      <c r="B140" s="641"/>
      <c r="C140" s="569"/>
      <c r="D140" s="569"/>
      <c r="E140" s="569"/>
      <c r="F140" s="569"/>
      <c r="G140" s="478"/>
      <c r="H140" s="478"/>
      <c r="I140" s="52"/>
    </row>
    <row r="141" spans="2:9" x14ac:dyDescent="0.2">
      <c r="B141" s="636" t="s">
        <v>894</v>
      </c>
      <c r="C141" s="555" t="s">
        <v>765</v>
      </c>
      <c r="D141" s="637"/>
      <c r="E141" s="637"/>
      <c r="F141" s="556"/>
      <c r="G141" s="556" t="s">
        <v>797</v>
      </c>
      <c r="H141" s="557">
        <f>+H143</f>
        <v>4300</v>
      </c>
      <c r="I141" s="52"/>
    </row>
    <row r="142" spans="2:9" x14ac:dyDescent="0.2">
      <c r="B142" s="641"/>
      <c r="C142" s="569"/>
      <c r="D142" s="569"/>
      <c r="E142" s="569"/>
      <c r="F142" s="569"/>
      <c r="G142" s="478"/>
      <c r="H142" s="478"/>
      <c r="I142" s="52"/>
    </row>
    <row r="143" spans="2:9" x14ac:dyDescent="0.2">
      <c r="B143" s="638" t="s">
        <v>895</v>
      </c>
      <c r="C143" s="561" t="s">
        <v>971</v>
      </c>
      <c r="D143" s="562"/>
      <c r="E143" s="562"/>
      <c r="F143" s="564"/>
      <c r="G143" s="450" t="s">
        <v>797</v>
      </c>
      <c r="H143" s="451">
        <f>G149</f>
        <v>4300</v>
      </c>
      <c r="I143" s="52"/>
    </row>
    <row r="144" spans="2:9" x14ac:dyDescent="0.2">
      <c r="B144" s="481"/>
      <c r="C144" s="482"/>
      <c r="D144" s="478"/>
      <c r="E144" s="478"/>
      <c r="F144" s="483"/>
      <c r="G144" s="478"/>
      <c r="H144" s="640"/>
      <c r="I144" s="52"/>
    </row>
    <row r="145" spans="2:9" x14ac:dyDescent="0.2">
      <c r="B145" s="597" t="s">
        <v>813</v>
      </c>
      <c r="C145" s="597" t="s">
        <v>649</v>
      </c>
      <c r="D145" s="597" t="s">
        <v>850</v>
      </c>
      <c r="E145" s="597" t="s">
        <v>650</v>
      </c>
      <c r="F145" s="597" t="s">
        <v>851</v>
      </c>
      <c r="G145" s="597" t="s">
        <v>830</v>
      </c>
      <c r="H145" s="640"/>
      <c r="I145" s="52"/>
    </row>
    <row r="146" spans="2:9" x14ac:dyDescent="0.2">
      <c r="B146" s="602" t="s">
        <v>822</v>
      </c>
      <c r="C146" s="645" t="s">
        <v>973</v>
      </c>
      <c r="D146" s="625" t="s">
        <v>1017</v>
      </c>
      <c r="E146" s="625">
        <v>1</v>
      </c>
      <c r="F146" s="625">
        <v>300</v>
      </c>
      <c r="G146" s="646">
        <f>+E146*F146</f>
        <v>300</v>
      </c>
      <c r="H146" s="640"/>
      <c r="I146" s="52"/>
    </row>
    <row r="147" spans="2:9" x14ac:dyDescent="0.2">
      <c r="B147" s="602" t="s">
        <v>846</v>
      </c>
      <c r="C147" s="645" t="s">
        <v>975</v>
      </c>
      <c r="D147" s="625" t="s">
        <v>1017</v>
      </c>
      <c r="E147" s="625">
        <v>1</v>
      </c>
      <c r="F147" s="625">
        <v>500</v>
      </c>
      <c r="G147" s="646">
        <f>+E147*F147</f>
        <v>500</v>
      </c>
      <c r="H147" s="640"/>
      <c r="I147" s="52"/>
    </row>
    <row r="148" spans="2:9" x14ac:dyDescent="0.2">
      <c r="B148" s="602" t="s">
        <v>894</v>
      </c>
      <c r="C148" s="645" t="s">
        <v>919</v>
      </c>
      <c r="D148" s="625" t="s">
        <v>1017</v>
      </c>
      <c r="E148" s="625">
        <v>1</v>
      </c>
      <c r="F148" s="625">
        <v>3500</v>
      </c>
      <c r="G148" s="646">
        <f>+E148*F148</f>
        <v>3500</v>
      </c>
      <c r="H148" s="640"/>
      <c r="I148" s="52"/>
    </row>
    <row r="149" spans="2:9" ht="15" customHeight="1" x14ac:dyDescent="0.2">
      <c r="B149" s="1799" t="s">
        <v>44</v>
      </c>
      <c r="C149" s="1799"/>
      <c r="D149" s="1799"/>
      <c r="E149" s="1799"/>
      <c r="F149" s="1799"/>
      <c r="G149" s="436">
        <f>SUM(G146:G148)</f>
        <v>4300</v>
      </c>
      <c r="H149" s="640"/>
      <c r="I149" s="52"/>
    </row>
    <row r="150" spans="2:9" ht="13.5" thickBot="1" x14ac:dyDescent="0.25">
      <c r="B150" s="481"/>
      <c r="C150" s="569"/>
      <c r="D150" s="569"/>
      <c r="E150" s="569"/>
      <c r="F150" s="569"/>
      <c r="G150" s="478"/>
      <c r="H150" s="640"/>
      <c r="I150" s="52"/>
    </row>
    <row r="151" spans="2:9" ht="13.5" thickBot="1" x14ac:dyDescent="0.25">
      <c r="B151" s="1800" t="s">
        <v>933</v>
      </c>
      <c r="C151" s="1801"/>
      <c r="D151" s="1801"/>
      <c r="E151" s="1801"/>
      <c r="F151" s="1801"/>
      <c r="G151" s="587" t="s">
        <v>797</v>
      </c>
      <c r="H151" s="647">
        <f>+H141+H108+H25</f>
        <v>616534.26666666672</v>
      </c>
      <c r="I151" s="52"/>
    </row>
  </sheetData>
  <mergeCells count="15">
    <mergeCell ref="B3:H3"/>
    <mergeCell ref="D10:I11"/>
    <mergeCell ref="B23:H23"/>
    <mergeCell ref="H32:H38"/>
    <mergeCell ref="B115:F115"/>
    <mergeCell ref="B139:F139"/>
    <mergeCell ref="B149:F149"/>
    <mergeCell ref="B151:F151"/>
    <mergeCell ref="B18:C18"/>
    <mergeCell ref="B39:F39"/>
    <mergeCell ref="B53:F53"/>
    <mergeCell ref="B65:F65"/>
    <mergeCell ref="B79:F79"/>
    <mergeCell ref="B91:F91"/>
    <mergeCell ref="B105:F105"/>
  </mergeCells>
  <phoneticPr fontId="59" type="noConversion"/>
  <pageMargins left="0.7" right="0.7" top="0.75" bottom="0.75" header="0.3" footer="0.3"/>
  <pageSetup scale="73" orientation="portrait" horizontalDpi="4294967295" verticalDpi="4294967295" r:id="rId1"/>
  <rowBreaks count="2" manualBreakCount="2">
    <brk id="66" min="1" max="7" man="1"/>
    <brk id="106" min="1" max="7" man="1"/>
  </rowBreaks>
  <colBreaks count="2" manualBreakCount="2">
    <brk id="8" min="2" max="166" man="1"/>
    <brk id="9" min="2" max="29" man="1"/>
  </colBreaks>
  <ignoredErrors>
    <ignoredError sqref="B14:B17 B32:B33 B46:B47 B58:B59 B72:B73 B84:B85 B98:B99 B110 B113:B114 B120:B138 B146:B148"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6" tint="-0.249977111117893"/>
  </sheetPr>
  <dimension ref="A1:J130"/>
  <sheetViews>
    <sheetView view="pageBreakPreview" zoomScale="80" zoomScaleNormal="100" zoomScaleSheetLayoutView="80" workbookViewId="0">
      <selection activeCell="C126" sqref="C126:G126"/>
    </sheetView>
  </sheetViews>
  <sheetFormatPr baseColWidth="10" defaultRowHeight="12.75" x14ac:dyDescent="0.25"/>
  <cols>
    <col min="1" max="2" width="11.42578125" style="222"/>
    <col min="3" max="3" width="11.42578125" style="221"/>
    <col min="4" max="4" width="47.5703125" style="221" customWidth="1"/>
    <col min="5" max="9" width="11.42578125" style="221"/>
    <col min="10" max="10" width="11.42578125" style="222"/>
    <col min="11" max="16384" width="11.42578125" style="221"/>
  </cols>
  <sheetData>
    <row r="1" spans="3:10" s="222" customFormat="1" x14ac:dyDescent="0.25"/>
    <row r="2" spans="3:10" s="222" customFormat="1" x14ac:dyDescent="0.25"/>
    <row r="3" spans="3:10" s="222" customFormat="1" x14ac:dyDescent="0.25"/>
    <row r="4" spans="3:10" s="222" customFormat="1" x14ac:dyDescent="0.2">
      <c r="C4" s="1796" t="s">
        <v>1243</v>
      </c>
      <c r="D4" s="1796"/>
      <c r="E4" s="1796"/>
      <c r="F4" s="1796"/>
      <c r="G4" s="1796"/>
      <c r="H4" s="1796"/>
      <c r="I4" s="1796"/>
      <c r="J4" s="52"/>
    </row>
    <row r="5" spans="3:10" s="222" customFormat="1" x14ac:dyDescent="0.2">
      <c r="C5" s="532"/>
      <c r="D5" s="532"/>
      <c r="E5" s="532"/>
      <c r="F5" s="532"/>
      <c r="G5" s="552"/>
      <c r="H5" s="532"/>
      <c r="I5" s="532"/>
      <c r="J5" s="52"/>
    </row>
    <row r="6" spans="3:10" s="222" customFormat="1" x14ac:dyDescent="0.2">
      <c r="C6" s="1798" t="s">
        <v>1044</v>
      </c>
      <c r="D6" s="1798"/>
      <c r="E6" s="1798"/>
      <c r="F6" s="1798"/>
      <c r="G6" s="1798"/>
      <c r="H6" s="1798"/>
      <c r="I6" s="1798"/>
      <c r="J6" s="52"/>
    </row>
    <row r="7" spans="3:10" s="222" customFormat="1" x14ac:dyDescent="0.2">
      <c r="C7" s="546"/>
      <c r="D7" s="546"/>
      <c r="E7" s="546"/>
      <c r="F7" s="546"/>
      <c r="G7" s="547"/>
      <c r="H7" s="546"/>
      <c r="I7" s="546"/>
      <c r="J7" s="52"/>
    </row>
    <row r="8" spans="3:10" s="222" customFormat="1" x14ac:dyDescent="0.2">
      <c r="C8" s="532"/>
      <c r="D8" s="548"/>
      <c r="E8" s="633"/>
      <c r="F8" s="546"/>
      <c r="G8" s="547"/>
      <c r="H8" s="546"/>
      <c r="I8" s="532"/>
      <c r="J8" s="52"/>
    </row>
    <row r="9" spans="3:10" s="222" customFormat="1" x14ac:dyDescent="0.2">
      <c r="C9" s="532"/>
      <c r="D9" s="548" t="s">
        <v>806</v>
      </c>
      <c r="E9" s="549" t="s">
        <v>930</v>
      </c>
      <c r="F9" s="546"/>
      <c r="G9" s="547"/>
      <c r="H9" s="546"/>
      <c r="I9" s="546"/>
      <c r="J9" s="52"/>
    </row>
    <row r="10" spans="3:10" s="222" customFormat="1" x14ac:dyDescent="0.2">
      <c r="C10" s="532"/>
      <c r="D10" s="548" t="s">
        <v>809</v>
      </c>
      <c r="E10" s="549" t="s">
        <v>930</v>
      </c>
      <c r="F10" s="532"/>
      <c r="G10" s="552"/>
      <c r="H10" s="532"/>
      <c r="I10" s="549" t="s">
        <v>422</v>
      </c>
      <c r="J10" s="52"/>
    </row>
    <row r="11" spans="3:10" s="222" customFormat="1" x14ac:dyDescent="0.2">
      <c r="C11" s="532"/>
      <c r="D11" s="548" t="s">
        <v>810</v>
      </c>
      <c r="E11" s="549" t="s">
        <v>977</v>
      </c>
      <c r="F11" s="532"/>
      <c r="G11" s="552"/>
      <c r="H11" s="532"/>
      <c r="I11" s="549"/>
      <c r="J11" s="52"/>
    </row>
    <row r="12" spans="3:10" s="222" customFormat="1" x14ac:dyDescent="0.2">
      <c r="C12" s="532"/>
      <c r="D12" s="548" t="s">
        <v>811</v>
      </c>
      <c r="E12" s="549" t="s">
        <v>930</v>
      </c>
      <c r="F12" s="532"/>
      <c r="G12" s="552"/>
      <c r="H12" s="532"/>
      <c r="I12" s="532"/>
      <c r="J12" s="52"/>
    </row>
    <row r="13" spans="3:10" s="222" customFormat="1" x14ac:dyDescent="0.25">
      <c r="C13" s="532"/>
      <c r="D13" s="548" t="s">
        <v>812</v>
      </c>
      <c r="E13" s="1803" t="s">
        <v>930</v>
      </c>
      <c r="F13" s="1803"/>
      <c r="G13" s="1803"/>
      <c r="H13" s="1803"/>
      <c r="I13" s="1803"/>
      <c r="J13" s="1803"/>
    </row>
    <row r="14" spans="3:10" s="222" customFormat="1" x14ac:dyDescent="0.25">
      <c r="C14" s="532"/>
      <c r="D14" s="548"/>
      <c r="E14" s="1803"/>
      <c r="F14" s="1803"/>
      <c r="G14" s="1803"/>
      <c r="H14" s="1803"/>
      <c r="I14" s="1803"/>
      <c r="J14" s="1803"/>
    </row>
    <row r="15" spans="3:10" s="222" customFormat="1" x14ac:dyDescent="0.25">
      <c r="C15" s="532"/>
      <c r="D15" s="548"/>
      <c r="E15" s="1803"/>
      <c r="F15" s="1803"/>
      <c r="G15" s="1803"/>
      <c r="H15" s="1803"/>
      <c r="I15" s="1803"/>
      <c r="J15" s="1803"/>
    </row>
    <row r="16" spans="3:10" s="222" customFormat="1" x14ac:dyDescent="0.2">
      <c r="C16" s="532"/>
      <c r="D16" s="548"/>
      <c r="E16" s="549"/>
      <c r="F16" s="546"/>
      <c r="G16" s="552"/>
      <c r="H16" s="532"/>
      <c r="I16" s="532"/>
      <c r="J16" s="52"/>
    </row>
    <row r="17" spans="3:10" x14ac:dyDescent="0.2">
      <c r="C17" s="597" t="s">
        <v>1045</v>
      </c>
      <c r="D17" s="598" t="s">
        <v>814</v>
      </c>
      <c r="E17" s="599" t="s">
        <v>1046</v>
      </c>
      <c r="F17" s="593"/>
      <c r="G17" s="593"/>
      <c r="H17" s="264"/>
      <c r="I17" s="52"/>
      <c r="J17" s="52"/>
    </row>
    <row r="18" spans="3:10" ht="25.5" x14ac:dyDescent="0.2">
      <c r="C18" s="602" t="s">
        <v>822</v>
      </c>
      <c r="D18" s="601" t="s">
        <v>1047</v>
      </c>
      <c r="E18" s="650">
        <f>+I29</f>
        <v>30791.033333333336</v>
      </c>
      <c r="F18" s="594"/>
      <c r="G18" s="594"/>
      <c r="H18" s="264"/>
      <c r="I18" s="52"/>
      <c r="J18" s="52"/>
    </row>
    <row r="19" spans="3:10" ht="25.5" x14ac:dyDescent="0.2">
      <c r="C19" s="602" t="s">
        <v>846</v>
      </c>
      <c r="D19" s="601" t="s">
        <v>1048</v>
      </c>
      <c r="E19" s="650">
        <f>+I89</f>
        <v>1259.5</v>
      </c>
      <c r="F19" s="594"/>
      <c r="G19" s="594"/>
      <c r="H19" s="264"/>
      <c r="I19" s="52"/>
      <c r="J19" s="52"/>
    </row>
    <row r="20" spans="3:10" ht="25.5" x14ac:dyDescent="0.2">
      <c r="C20" s="602" t="s">
        <v>894</v>
      </c>
      <c r="D20" s="601" t="s">
        <v>1049</v>
      </c>
      <c r="E20" s="650">
        <f>+I117</f>
        <v>1750</v>
      </c>
      <c r="F20" s="594"/>
      <c r="G20" s="594"/>
      <c r="H20" s="264"/>
      <c r="I20" s="52"/>
      <c r="J20" s="52"/>
    </row>
    <row r="21" spans="3:10" ht="25.5" x14ac:dyDescent="0.2">
      <c r="C21" s="602" t="s">
        <v>932</v>
      </c>
      <c r="D21" s="601" t="s">
        <v>1050</v>
      </c>
      <c r="E21" s="650">
        <f>+I24</f>
        <v>0</v>
      </c>
      <c r="F21" s="594"/>
      <c r="G21" s="594"/>
      <c r="H21" s="264"/>
      <c r="I21" s="52"/>
      <c r="J21" s="52"/>
    </row>
    <row r="22" spans="3:10" x14ac:dyDescent="0.2">
      <c r="C22" s="1808" t="s">
        <v>1051</v>
      </c>
      <c r="D22" s="1809"/>
      <c r="E22" s="600">
        <f>ROUND(SUM(E18:E21),2)</f>
        <v>33800.53</v>
      </c>
      <c r="F22" s="596"/>
      <c r="G22" s="596"/>
      <c r="H22" s="264"/>
      <c r="I22" s="52"/>
      <c r="J22" s="52"/>
    </row>
    <row r="23" spans="3:10" s="222" customFormat="1" x14ac:dyDescent="0.2">
      <c r="C23" s="532"/>
      <c r="D23" s="634"/>
      <c r="E23" s="634"/>
      <c r="F23" s="649"/>
      <c r="G23" s="649"/>
      <c r="H23" s="666"/>
      <c r="I23" s="546"/>
      <c r="J23" s="52"/>
    </row>
    <row r="24" spans="3:10" s="222" customFormat="1" x14ac:dyDescent="0.2">
      <c r="C24" s="532"/>
      <c r="D24" s="634"/>
      <c r="E24" s="634"/>
      <c r="F24" s="649"/>
      <c r="G24" s="649"/>
      <c r="H24" s="666"/>
      <c r="I24" s="546"/>
      <c r="J24" s="52"/>
    </row>
    <row r="25" spans="3:10" s="222" customFormat="1" x14ac:dyDescent="0.2">
      <c r="C25" s="1798" t="s">
        <v>1043</v>
      </c>
      <c r="D25" s="1798"/>
      <c r="E25" s="1798"/>
      <c r="F25" s="1798"/>
      <c r="G25" s="1798"/>
      <c r="H25" s="1798"/>
      <c r="I25" s="1798"/>
      <c r="J25" s="52"/>
    </row>
    <row r="26" spans="3:10" s="222" customFormat="1" x14ac:dyDescent="0.2">
      <c r="C26" s="549"/>
      <c r="D26" s="549"/>
      <c r="E26" s="532"/>
      <c r="F26" s="478"/>
      <c r="G26" s="552"/>
      <c r="H26" s="532"/>
      <c r="I26" s="532"/>
      <c r="J26" s="52"/>
    </row>
    <row r="27" spans="3:10" s="222" customFormat="1" x14ac:dyDescent="0.2">
      <c r="C27" s="1798" t="s">
        <v>821</v>
      </c>
      <c r="D27" s="1798"/>
      <c r="E27" s="1798"/>
      <c r="F27" s="1798"/>
      <c r="G27" s="1798"/>
      <c r="H27" s="1798"/>
      <c r="I27" s="1798"/>
      <c r="J27" s="52"/>
    </row>
    <row r="28" spans="3:10" s="222" customFormat="1" x14ac:dyDescent="0.2">
      <c r="C28" s="660"/>
      <c r="D28" s="547"/>
      <c r="E28" s="661"/>
      <c r="F28" s="547"/>
      <c r="G28" s="547"/>
      <c r="H28" s="547"/>
      <c r="I28" s="547"/>
      <c r="J28" s="52"/>
    </row>
    <row r="29" spans="3:10" x14ac:dyDescent="0.2">
      <c r="C29" s="636" t="s">
        <v>822</v>
      </c>
      <c r="D29" s="555" t="s">
        <v>823</v>
      </c>
      <c r="E29" s="637"/>
      <c r="F29" s="637"/>
      <c r="G29" s="556"/>
      <c r="H29" s="556" t="s">
        <v>797</v>
      </c>
      <c r="I29" s="557">
        <f>+I31+I42+I61+I79</f>
        <v>30791.033333333336</v>
      </c>
      <c r="J29" s="52"/>
    </row>
    <row r="30" spans="3:10" s="222" customFormat="1" x14ac:dyDescent="0.2">
      <c r="C30" s="560"/>
      <c r="D30" s="305"/>
      <c r="E30" s="558"/>
      <c r="F30" s="558"/>
      <c r="G30" s="559"/>
      <c r="H30" s="559"/>
      <c r="I30" s="560"/>
      <c r="J30" s="52"/>
    </row>
    <row r="31" spans="3:10" x14ac:dyDescent="0.2">
      <c r="C31" s="638" t="s">
        <v>824</v>
      </c>
      <c r="D31" s="561" t="s">
        <v>825</v>
      </c>
      <c r="E31" s="562"/>
      <c r="F31" s="562"/>
      <c r="G31" s="564"/>
      <c r="H31" s="450" t="s">
        <v>797</v>
      </c>
      <c r="I31" s="451">
        <f>+I33</f>
        <v>21400</v>
      </c>
      <c r="J31" s="52"/>
    </row>
    <row r="32" spans="3:10" s="222" customFormat="1" x14ac:dyDescent="0.2">
      <c r="C32" s="639"/>
      <c r="D32" s="477"/>
      <c r="E32" s="478"/>
      <c r="F32" s="478"/>
      <c r="G32" s="483"/>
      <c r="H32" s="478"/>
      <c r="I32" s="478"/>
      <c r="J32" s="52"/>
    </row>
    <row r="33" spans="3:10" s="222" customFormat="1" x14ac:dyDescent="0.2">
      <c r="C33" s="481"/>
      <c r="D33" s="482" t="s">
        <v>1005</v>
      </c>
      <c r="E33" s="482"/>
      <c r="F33" s="482"/>
      <c r="G33" s="482"/>
      <c r="H33" s="476" t="s">
        <v>797</v>
      </c>
      <c r="I33" s="476">
        <f>+H39</f>
        <v>21400</v>
      </c>
      <c r="J33" s="52"/>
    </row>
    <row r="34" spans="3:10" s="222" customFormat="1" x14ac:dyDescent="0.2">
      <c r="C34" s="641"/>
      <c r="D34" s="478"/>
      <c r="E34" s="478"/>
      <c r="F34" s="478"/>
      <c r="G34" s="483"/>
      <c r="H34" s="478"/>
      <c r="I34" s="478"/>
      <c r="J34" s="52"/>
    </row>
    <row r="35" spans="3:10" s="222" customFormat="1" ht="25.5" x14ac:dyDescent="0.2">
      <c r="C35" s="597" t="s">
        <v>1045</v>
      </c>
      <c r="D35" s="597" t="s">
        <v>827</v>
      </c>
      <c r="E35" s="627" t="s">
        <v>828</v>
      </c>
      <c r="F35" s="597" t="s">
        <v>769</v>
      </c>
      <c r="G35" s="597" t="s">
        <v>829</v>
      </c>
      <c r="H35" s="597" t="s">
        <v>830</v>
      </c>
      <c r="I35" s="478"/>
      <c r="J35" s="52"/>
    </row>
    <row r="36" spans="3:10" s="222" customFormat="1" x14ac:dyDescent="0.2">
      <c r="C36" s="602" t="s">
        <v>822</v>
      </c>
      <c r="D36" s="586" t="s">
        <v>1052</v>
      </c>
      <c r="E36" s="338">
        <v>1</v>
      </c>
      <c r="F36" s="338">
        <v>2</v>
      </c>
      <c r="G36" s="338">
        <v>4000</v>
      </c>
      <c r="H36" s="586">
        <f>+E36*F36*G36</f>
        <v>8000</v>
      </c>
      <c r="I36" s="478"/>
      <c r="J36" s="52"/>
    </row>
    <row r="37" spans="3:10" s="222" customFormat="1" x14ac:dyDescent="0.2">
      <c r="C37" s="602" t="s">
        <v>846</v>
      </c>
      <c r="D37" s="586" t="s">
        <v>1053</v>
      </c>
      <c r="E37" s="338">
        <v>1</v>
      </c>
      <c r="F37" s="338">
        <v>2</v>
      </c>
      <c r="G37" s="338">
        <v>4000</v>
      </c>
      <c r="H37" s="586">
        <f>+E37*F37*G37</f>
        <v>8000</v>
      </c>
      <c r="I37" s="478"/>
      <c r="J37" s="52"/>
    </row>
    <row r="38" spans="3:10" s="222" customFormat="1" x14ac:dyDescent="0.2">
      <c r="C38" s="602" t="s">
        <v>894</v>
      </c>
      <c r="D38" s="586" t="s">
        <v>936</v>
      </c>
      <c r="E38" s="338">
        <v>1</v>
      </c>
      <c r="F38" s="338">
        <v>2</v>
      </c>
      <c r="G38" s="338">
        <v>2700</v>
      </c>
      <c r="H38" s="586">
        <f>+E38*F38*G38</f>
        <v>5400</v>
      </c>
      <c r="I38" s="478"/>
      <c r="J38" s="52"/>
    </row>
    <row r="39" spans="3:10" s="222" customFormat="1" ht="15" customHeight="1" x14ac:dyDescent="0.2">
      <c r="C39" s="1786" t="s">
        <v>44</v>
      </c>
      <c r="D39" s="1786"/>
      <c r="E39" s="1786"/>
      <c r="F39" s="1786"/>
      <c r="G39" s="1786"/>
      <c r="H39" s="567">
        <f>SUM(H36:H38)</f>
        <v>21400</v>
      </c>
      <c r="I39" s="478"/>
      <c r="J39" s="52"/>
    </row>
    <row r="40" spans="3:10" s="222" customFormat="1" x14ac:dyDescent="0.2">
      <c r="C40" s="546"/>
      <c r="D40" s="478"/>
      <c r="E40" s="478"/>
      <c r="F40" s="478"/>
      <c r="G40" s="483"/>
      <c r="H40" s="478"/>
      <c r="I40" s="478"/>
      <c r="J40" s="52"/>
    </row>
    <row r="41" spans="3:10" s="222" customFormat="1" x14ac:dyDescent="0.2">
      <c r="C41" s="546"/>
      <c r="D41" s="478"/>
      <c r="E41" s="478"/>
      <c r="F41" s="478"/>
      <c r="G41" s="483"/>
      <c r="H41" s="478"/>
      <c r="I41" s="478"/>
      <c r="J41" s="52"/>
    </row>
    <row r="42" spans="3:10" x14ac:dyDescent="0.2">
      <c r="C42" s="638" t="s">
        <v>835</v>
      </c>
      <c r="D42" s="561" t="s">
        <v>843</v>
      </c>
      <c r="E42" s="562"/>
      <c r="F42" s="562"/>
      <c r="G42" s="564"/>
      <c r="H42" s="450" t="s">
        <v>797</v>
      </c>
      <c r="I42" s="451">
        <f>+I44+I53</f>
        <v>2257.6999999999998</v>
      </c>
      <c r="J42" s="52"/>
    </row>
    <row r="43" spans="3:10" s="222" customFormat="1" x14ac:dyDescent="0.2">
      <c r="C43" s="639"/>
      <c r="D43" s="477"/>
      <c r="E43" s="478"/>
      <c r="F43" s="478"/>
      <c r="G43" s="483"/>
      <c r="H43" s="478"/>
      <c r="I43" s="478"/>
      <c r="J43" s="52"/>
    </row>
    <row r="44" spans="3:10" s="222" customFormat="1" x14ac:dyDescent="0.2">
      <c r="C44" s="481"/>
      <c r="D44" s="482" t="s">
        <v>941</v>
      </c>
      <c r="E44" s="482"/>
      <c r="F44" s="482"/>
      <c r="G44" s="482"/>
      <c r="H44" s="476" t="s">
        <v>797</v>
      </c>
      <c r="I44" s="476">
        <f>+H50</f>
        <v>1926</v>
      </c>
      <c r="J44" s="52"/>
    </row>
    <row r="45" spans="3:10" s="222" customFormat="1" x14ac:dyDescent="0.2">
      <c r="C45" s="481"/>
      <c r="D45" s="482"/>
      <c r="E45" s="478"/>
      <c r="F45" s="478"/>
      <c r="G45" s="483"/>
      <c r="H45" s="478"/>
      <c r="I45" s="478"/>
      <c r="J45" s="52"/>
    </row>
    <row r="46" spans="3:10" s="222" customFormat="1" ht="25.5" x14ac:dyDescent="0.2">
      <c r="C46" s="597" t="s">
        <v>1045</v>
      </c>
      <c r="D46" s="597" t="s">
        <v>827</v>
      </c>
      <c r="E46" s="627" t="s">
        <v>828</v>
      </c>
      <c r="F46" s="597" t="s">
        <v>769</v>
      </c>
      <c r="G46" s="597" t="s">
        <v>829</v>
      </c>
      <c r="H46" s="597" t="s">
        <v>830</v>
      </c>
      <c r="I46" s="478"/>
      <c r="J46" s="52"/>
    </row>
    <row r="47" spans="3:10" s="222" customFormat="1" x14ac:dyDescent="0.2">
      <c r="C47" s="602" t="s">
        <v>822</v>
      </c>
      <c r="D47" s="579" t="str">
        <f>D36</f>
        <v>ESPECIALISTA EN LIQUIDACION</v>
      </c>
      <c r="E47" s="577">
        <f t="shared" ref="E47:F49" si="0">+E36</f>
        <v>1</v>
      </c>
      <c r="F47" s="338">
        <f>+F36</f>
        <v>2</v>
      </c>
      <c r="G47" s="577">
        <f>+G36*0.09</f>
        <v>360</v>
      </c>
      <c r="H47" s="579">
        <f>+E47*F47*G47</f>
        <v>720</v>
      </c>
      <c r="I47" s="478"/>
      <c r="J47" s="52"/>
    </row>
    <row r="48" spans="3:10" s="222" customFormat="1" x14ac:dyDescent="0.2">
      <c r="C48" s="602" t="s">
        <v>846</v>
      </c>
      <c r="D48" s="579" t="str">
        <f>D37</f>
        <v>ESPECIALISTA FINANCIERO</v>
      </c>
      <c r="E48" s="577">
        <f t="shared" si="0"/>
        <v>1</v>
      </c>
      <c r="F48" s="338">
        <f t="shared" si="0"/>
        <v>2</v>
      </c>
      <c r="G48" s="577">
        <f>+G37*0.09</f>
        <v>360</v>
      </c>
      <c r="H48" s="566">
        <f>+E48*F48*G48</f>
        <v>720</v>
      </c>
      <c r="I48" s="478"/>
      <c r="J48" s="52"/>
    </row>
    <row r="49" spans="3:10" s="222" customFormat="1" x14ac:dyDescent="0.2">
      <c r="C49" s="602" t="s">
        <v>894</v>
      </c>
      <c r="D49" s="579" t="str">
        <f>D38</f>
        <v>ASISTENTE TECNICO</v>
      </c>
      <c r="E49" s="577">
        <f t="shared" si="0"/>
        <v>1</v>
      </c>
      <c r="F49" s="338">
        <f t="shared" si="0"/>
        <v>2</v>
      </c>
      <c r="G49" s="577">
        <f>+G38*0.09</f>
        <v>243</v>
      </c>
      <c r="H49" s="566">
        <f>+E49*F49*G49</f>
        <v>486</v>
      </c>
      <c r="I49" s="478"/>
      <c r="J49" s="52"/>
    </row>
    <row r="50" spans="3:10" s="222" customFormat="1" ht="15" customHeight="1" x14ac:dyDescent="0.2">
      <c r="C50" s="1795" t="s">
        <v>44</v>
      </c>
      <c r="D50" s="1795"/>
      <c r="E50" s="1795"/>
      <c r="F50" s="1795"/>
      <c r="G50" s="1795"/>
      <c r="H50" s="567">
        <f>SUM(H47:H49)</f>
        <v>1926</v>
      </c>
      <c r="I50" s="478"/>
      <c r="J50" s="52"/>
    </row>
    <row r="51" spans="3:10" s="222" customFormat="1" x14ac:dyDescent="0.2">
      <c r="C51" s="546"/>
      <c r="D51" s="483"/>
      <c r="E51" s="483"/>
      <c r="F51" s="483"/>
      <c r="G51" s="483"/>
      <c r="H51" s="478"/>
      <c r="I51" s="478"/>
      <c r="J51" s="52"/>
    </row>
    <row r="52" spans="3:10" s="222" customFormat="1" x14ac:dyDescent="0.2">
      <c r="C52" s="546"/>
      <c r="D52" s="483"/>
      <c r="E52" s="478"/>
      <c r="F52" s="483"/>
      <c r="G52" s="483"/>
      <c r="H52" s="478"/>
      <c r="I52" s="478"/>
      <c r="J52" s="52"/>
    </row>
    <row r="53" spans="3:10" s="222" customFormat="1" x14ac:dyDescent="0.2">
      <c r="C53" s="644"/>
      <c r="D53" s="482" t="s">
        <v>1054</v>
      </c>
      <c r="E53" s="478"/>
      <c r="F53" s="478"/>
      <c r="G53" s="483"/>
      <c r="H53" s="476" t="s">
        <v>797</v>
      </c>
      <c r="I53" s="476">
        <f>+H59</f>
        <v>331.7</v>
      </c>
      <c r="J53" s="52"/>
    </row>
    <row r="54" spans="3:10" s="222" customFormat="1" x14ac:dyDescent="0.2">
      <c r="C54" s="481"/>
      <c r="D54" s="482"/>
      <c r="E54" s="478"/>
      <c r="F54" s="478"/>
      <c r="G54" s="483"/>
      <c r="H54" s="478"/>
      <c r="I54" s="478"/>
      <c r="J54" s="52"/>
    </row>
    <row r="55" spans="3:10" s="222" customFormat="1" ht="25.5" x14ac:dyDescent="0.2">
      <c r="C55" s="597" t="s">
        <v>1045</v>
      </c>
      <c r="D55" s="597" t="s">
        <v>827</v>
      </c>
      <c r="E55" s="627" t="s">
        <v>828</v>
      </c>
      <c r="F55" s="597" t="s">
        <v>769</v>
      </c>
      <c r="G55" s="597" t="s">
        <v>829</v>
      </c>
      <c r="H55" s="597" t="s">
        <v>830</v>
      </c>
      <c r="I55" s="478"/>
      <c r="J55" s="52"/>
    </row>
    <row r="56" spans="3:10" s="222" customFormat="1" x14ac:dyDescent="0.2">
      <c r="C56" s="602" t="s">
        <v>822</v>
      </c>
      <c r="D56" s="579" t="str">
        <f>D36</f>
        <v>ESPECIALISTA EN LIQUIDACION</v>
      </c>
      <c r="E56" s="338">
        <f t="shared" ref="E56:F58" si="1">+E36</f>
        <v>1</v>
      </c>
      <c r="F56" s="338">
        <f>+F36</f>
        <v>2</v>
      </c>
      <c r="G56" s="338">
        <f>+G36*0.0155</f>
        <v>62</v>
      </c>
      <c r="H56" s="586">
        <f>+E56*F56*G56</f>
        <v>124</v>
      </c>
      <c r="I56" s="478"/>
      <c r="J56" s="52"/>
    </row>
    <row r="57" spans="3:10" s="222" customFormat="1" x14ac:dyDescent="0.2">
      <c r="C57" s="602" t="s">
        <v>846</v>
      </c>
      <c r="D57" s="579" t="str">
        <f>D37</f>
        <v>ESPECIALISTA FINANCIERO</v>
      </c>
      <c r="E57" s="338">
        <f t="shared" si="1"/>
        <v>1</v>
      </c>
      <c r="F57" s="338">
        <f t="shared" si="1"/>
        <v>2</v>
      </c>
      <c r="G57" s="338">
        <f>+G37*0.0155</f>
        <v>62</v>
      </c>
      <c r="H57" s="586">
        <f>+E57*F57*G57</f>
        <v>124</v>
      </c>
      <c r="I57" s="478"/>
      <c r="J57" s="52"/>
    </row>
    <row r="58" spans="3:10" s="222" customFormat="1" x14ac:dyDescent="0.2">
      <c r="C58" s="602" t="s">
        <v>894</v>
      </c>
      <c r="D58" s="579" t="str">
        <f>D38</f>
        <v>ASISTENTE TECNICO</v>
      </c>
      <c r="E58" s="338">
        <f t="shared" si="1"/>
        <v>1</v>
      </c>
      <c r="F58" s="338">
        <f t="shared" si="1"/>
        <v>2</v>
      </c>
      <c r="G58" s="338">
        <f>+G38*0.0155</f>
        <v>41.85</v>
      </c>
      <c r="H58" s="586">
        <f>+E58*F58*G58</f>
        <v>83.7</v>
      </c>
      <c r="I58" s="478"/>
      <c r="J58" s="52"/>
    </row>
    <row r="59" spans="3:10" s="222" customFormat="1" ht="15" customHeight="1" x14ac:dyDescent="0.2">
      <c r="C59" s="1786" t="s">
        <v>44</v>
      </c>
      <c r="D59" s="1786"/>
      <c r="E59" s="1786"/>
      <c r="F59" s="1786"/>
      <c r="G59" s="1786"/>
      <c r="H59" s="567">
        <f>SUM(H56:H58)</f>
        <v>331.7</v>
      </c>
      <c r="I59" s="478"/>
      <c r="J59" s="52"/>
    </row>
    <row r="60" spans="3:10" s="222" customFormat="1" x14ac:dyDescent="0.2">
      <c r="C60" s="546"/>
      <c r="D60" s="483"/>
      <c r="E60" s="478"/>
      <c r="F60" s="483"/>
      <c r="G60" s="483"/>
      <c r="H60" s="478"/>
      <c r="I60" s="478"/>
      <c r="J60" s="52"/>
    </row>
    <row r="61" spans="3:10" x14ac:dyDescent="0.2">
      <c r="C61" s="638" t="s">
        <v>839</v>
      </c>
      <c r="D61" s="561" t="s">
        <v>943</v>
      </c>
      <c r="E61" s="562"/>
      <c r="F61" s="562"/>
      <c r="G61" s="564"/>
      <c r="H61" s="450" t="s">
        <v>797</v>
      </c>
      <c r="I61" s="451">
        <f>+I63+I71</f>
        <v>3566.6666666666665</v>
      </c>
      <c r="J61" s="52"/>
    </row>
    <row r="62" spans="3:10" s="222" customFormat="1" x14ac:dyDescent="0.2">
      <c r="C62" s="481"/>
      <c r="D62" s="482"/>
      <c r="E62" s="478"/>
      <c r="F62" s="478"/>
      <c r="G62" s="483"/>
      <c r="H62" s="478"/>
      <c r="I62" s="478"/>
      <c r="J62" s="52"/>
    </row>
    <row r="63" spans="3:10" s="222" customFormat="1" x14ac:dyDescent="0.2">
      <c r="C63" s="644"/>
      <c r="D63" s="482" t="s">
        <v>1010</v>
      </c>
      <c r="E63" s="478"/>
      <c r="F63" s="478"/>
      <c r="G63" s="483"/>
      <c r="H63" s="476" t="s">
        <v>797</v>
      </c>
      <c r="I63" s="476">
        <f>+H69</f>
        <v>1783.3333333333333</v>
      </c>
      <c r="J63" s="52"/>
    </row>
    <row r="64" spans="3:10" s="222" customFormat="1" x14ac:dyDescent="0.2">
      <c r="C64" s="641"/>
      <c r="D64" s="583"/>
      <c r="E64" s="478"/>
      <c r="F64" s="478"/>
      <c r="G64" s="483"/>
      <c r="H64" s="478"/>
      <c r="I64" s="478"/>
      <c r="J64" s="52"/>
    </row>
    <row r="65" spans="3:10" s="222" customFormat="1" ht="25.5" x14ac:dyDescent="0.2">
      <c r="C65" s="597" t="s">
        <v>1045</v>
      </c>
      <c r="D65" s="597" t="s">
        <v>827</v>
      </c>
      <c r="E65" s="627" t="s">
        <v>828</v>
      </c>
      <c r="F65" s="597" t="s">
        <v>769</v>
      </c>
      <c r="G65" s="597" t="s">
        <v>829</v>
      </c>
      <c r="H65" s="597" t="s">
        <v>830</v>
      </c>
      <c r="I65" s="478"/>
      <c r="J65" s="52"/>
    </row>
    <row r="66" spans="3:10" s="222" customFormat="1" x14ac:dyDescent="0.2">
      <c r="C66" s="602" t="s">
        <v>822</v>
      </c>
      <c r="D66" s="586" t="str">
        <f>D36</f>
        <v>ESPECIALISTA EN LIQUIDACION</v>
      </c>
      <c r="E66" s="338">
        <f t="shared" ref="E66:F68" si="2">+E36</f>
        <v>1</v>
      </c>
      <c r="F66" s="338">
        <f t="shared" si="2"/>
        <v>2</v>
      </c>
      <c r="G66" s="338">
        <f>+G36/12</f>
        <v>333.33333333333331</v>
      </c>
      <c r="H66" s="586">
        <f>+E66*F66*G66</f>
        <v>666.66666666666663</v>
      </c>
      <c r="I66" s="478"/>
      <c r="J66" s="52"/>
    </row>
    <row r="67" spans="3:10" s="222" customFormat="1" x14ac:dyDescent="0.2">
      <c r="C67" s="602" t="s">
        <v>846</v>
      </c>
      <c r="D67" s="586" t="str">
        <f>D37</f>
        <v>ESPECIALISTA FINANCIERO</v>
      </c>
      <c r="E67" s="338">
        <f t="shared" si="2"/>
        <v>1</v>
      </c>
      <c r="F67" s="338">
        <f t="shared" si="2"/>
        <v>2</v>
      </c>
      <c r="G67" s="338">
        <f>+G37/12</f>
        <v>333.33333333333331</v>
      </c>
      <c r="H67" s="586">
        <f>+E67*F67*G67</f>
        <v>666.66666666666663</v>
      </c>
      <c r="I67" s="478"/>
      <c r="J67" s="52"/>
    </row>
    <row r="68" spans="3:10" s="222" customFormat="1" x14ac:dyDescent="0.2">
      <c r="C68" s="602" t="s">
        <v>894</v>
      </c>
      <c r="D68" s="586" t="str">
        <f>D38</f>
        <v>ASISTENTE TECNICO</v>
      </c>
      <c r="E68" s="338">
        <f t="shared" si="2"/>
        <v>1</v>
      </c>
      <c r="F68" s="338">
        <f t="shared" si="2"/>
        <v>2</v>
      </c>
      <c r="G68" s="338">
        <f>+G38/12</f>
        <v>225</v>
      </c>
      <c r="H68" s="586">
        <f>+E68*F68*G68</f>
        <v>450</v>
      </c>
      <c r="I68" s="478"/>
      <c r="J68" s="52"/>
    </row>
    <row r="69" spans="3:10" s="222" customFormat="1" ht="15" customHeight="1" x14ac:dyDescent="0.2">
      <c r="C69" s="1786" t="s">
        <v>44</v>
      </c>
      <c r="D69" s="1786"/>
      <c r="E69" s="1786"/>
      <c r="F69" s="1786"/>
      <c r="G69" s="1786"/>
      <c r="H69" s="567">
        <f>SUM(H66:H68)</f>
        <v>1783.3333333333333</v>
      </c>
      <c r="I69" s="478"/>
      <c r="J69" s="52"/>
    </row>
    <row r="70" spans="3:10" s="222" customFormat="1" x14ac:dyDescent="0.2">
      <c r="C70" s="481"/>
      <c r="D70" s="482"/>
      <c r="E70" s="478"/>
      <c r="F70" s="478"/>
      <c r="G70" s="483"/>
      <c r="H70" s="478"/>
      <c r="I70" s="478"/>
      <c r="J70" s="52"/>
    </row>
    <row r="71" spans="3:10" s="222" customFormat="1" x14ac:dyDescent="0.2">
      <c r="C71" s="644"/>
      <c r="D71" s="482" t="s">
        <v>1011</v>
      </c>
      <c r="E71" s="478"/>
      <c r="F71" s="478"/>
      <c r="G71" s="483"/>
      <c r="H71" s="476" t="s">
        <v>797</v>
      </c>
      <c r="I71" s="476">
        <f>+H77</f>
        <v>1783.3333333333333</v>
      </c>
      <c r="J71" s="52"/>
    </row>
    <row r="72" spans="3:10" s="222" customFormat="1" x14ac:dyDescent="0.2">
      <c r="C72" s="641"/>
      <c r="D72" s="583"/>
      <c r="E72" s="478"/>
      <c r="F72" s="478"/>
      <c r="G72" s="483"/>
      <c r="H72" s="478"/>
      <c r="I72" s="478"/>
      <c r="J72" s="52"/>
    </row>
    <row r="73" spans="3:10" s="222" customFormat="1" ht="25.5" x14ac:dyDescent="0.2">
      <c r="C73" s="597" t="s">
        <v>1045</v>
      </c>
      <c r="D73" s="597" t="s">
        <v>827</v>
      </c>
      <c r="E73" s="627" t="s">
        <v>828</v>
      </c>
      <c r="F73" s="597" t="s">
        <v>769</v>
      </c>
      <c r="G73" s="597" t="s">
        <v>829</v>
      </c>
      <c r="H73" s="597" t="s">
        <v>830</v>
      </c>
      <c r="I73" s="478"/>
      <c r="J73" s="52"/>
    </row>
    <row r="74" spans="3:10" s="222" customFormat="1" x14ac:dyDescent="0.2">
      <c r="C74" s="602" t="s">
        <v>822</v>
      </c>
      <c r="D74" s="586" t="str">
        <f>D36</f>
        <v>ESPECIALISTA EN LIQUIDACION</v>
      </c>
      <c r="E74" s="338">
        <f t="shared" ref="E74:F76" si="3">+E36</f>
        <v>1</v>
      </c>
      <c r="F74" s="338">
        <f t="shared" si="3"/>
        <v>2</v>
      </c>
      <c r="G74" s="338">
        <f>+G36/12</f>
        <v>333.33333333333331</v>
      </c>
      <c r="H74" s="586">
        <f>+E74*F74*G74</f>
        <v>666.66666666666663</v>
      </c>
      <c r="I74" s="478"/>
      <c r="J74" s="52"/>
    </row>
    <row r="75" spans="3:10" s="222" customFormat="1" x14ac:dyDescent="0.2">
      <c r="C75" s="602" t="s">
        <v>846</v>
      </c>
      <c r="D75" s="586" t="str">
        <f>D37</f>
        <v>ESPECIALISTA FINANCIERO</v>
      </c>
      <c r="E75" s="338">
        <f t="shared" si="3"/>
        <v>1</v>
      </c>
      <c r="F75" s="338">
        <f t="shared" si="3"/>
        <v>2</v>
      </c>
      <c r="G75" s="338">
        <f>+G37/12</f>
        <v>333.33333333333331</v>
      </c>
      <c r="H75" s="586">
        <f>+E75*F75*G75</f>
        <v>666.66666666666663</v>
      </c>
      <c r="I75" s="478"/>
      <c r="J75" s="52"/>
    </row>
    <row r="76" spans="3:10" s="222" customFormat="1" x14ac:dyDescent="0.2">
      <c r="C76" s="602" t="s">
        <v>894</v>
      </c>
      <c r="D76" s="586" t="str">
        <f>D38</f>
        <v>ASISTENTE TECNICO</v>
      </c>
      <c r="E76" s="338">
        <f t="shared" si="3"/>
        <v>1</v>
      </c>
      <c r="F76" s="338">
        <f t="shared" si="3"/>
        <v>2</v>
      </c>
      <c r="G76" s="338">
        <f>+G38/12</f>
        <v>225</v>
      </c>
      <c r="H76" s="586">
        <f>+E76*F76*G76</f>
        <v>450</v>
      </c>
      <c r="I76" s="478"/>
      <c r="J76" s="52"/>
    </row>
    <row r="77" spans="3:10" s="222" customFormat="1" ht="15" customHeight="1" x14ac:dyDescent="0.2">
      <c r="C77" s="1786" t="s">
        <v>44</v>
      </c>
      <c r="D77" s="1786"/>
      <c r="E77" s="1786"/>
      <c r="F77" s="1786"/>
      <c r="G77" s="1786"/>
      <c r="H77" s="567">
        <f>SUM(H74:H76)</f>
        <v>1783.3333333333333</v>
      </c>
      <c r="I77" s="478"/>
      <c r="J77" s="52"/>
    </row>
    <row r="78" spans="3:10" s="222" customFormat="1" x14ac:dyDescent="0.2">
      <c r="C78" s="481"/>
      <c r="D78" s="482"/>
      <c r="E78" s="478"/>
      <c r="F78" s="478"/>
      <c r="G78" s="483"/>
      <c r="H78" s="478"/>
      <c r="I78" s="478"/>
      <c r="J78" s="52"/>
    </row>
    <row r="79" spans="3:10" x14ac:dyDescent="0.2">
      <c r="C79" s="638" t="s">
        <v>842</v>
      </c>
      <c r="D79" s="561" t="s">
        <v>1055</v>
      </c>
      <c r="E79" s="562"/>
      <c r="F79" s="562"/>
      <c r="G79" s="564"/>
      <c r="H79" s="450" t="s">
        <v>797</v>
      </c>
      <c r="I79" s="451">
        <f>+I81</f>
        <v>3566.6666666666665</v>
      </c>
      <c r="J79" s="52"/>
    </row>
    <row r="80" spans="3:10" s="222" customFormat="1" x14ac:dyDescent="0.2">
      <c r="C80" s="481"/>
      <c r="D80" s="482"/>
      <c r="E80" s="478"/>
      <c r="F80" s="478"/>
      <c r="G80" s="483"/>
      <c r="H80" s="478"/>
      <c r="I80" s="478"/>
      <c r="J80" s="52"/>
    </row>
    <row r="81" spans="3:10" s="222" customFormat="1" x14ac:dyDescent="0.2">
      <c r="C81" s="481"/>
      <c r="D81" s="482" t="s">
        <v>948</v>
      </c>
      <c r="E81" s="478"/>
      <c r="F81" s="478"/>
      <c r="G81" s="483"/>
      <c r="H81" s="476" t="s">
        <v>797</v>
      </c>
      <c r="I81" s="477">
        <f>+H87</f>
        <v>3566.6666666666665</v>
      </c>
      <c r="J81" s="52"/>
    </row>
    <row r="82" spans="3:10" s="222" customFormat="1" x14ac:dyDescent="0.2">
      <c r="C82" s="644"/>
      <c r="D82" s="482"/>
      <c r="E82" s="478"/>
      <c r="F82" s="478"/>
      <c r="G82" s="483"/>
      <c r="H82" s="478"/>
      <c r="I82" s="478"/>
      <c r="J82" s="52"/>
    </row>
    <row r="83" spans="3:10" s="222" customFormat="1" ht="25.5" x14ac:dyDescent="0.2">
      <c r="C83" s="597" t="s">
        <v>1045</v>
      </c>
      <c r="D83" s="597" t="s">
        <v>827</v>
      </c>
      <c r="E83" s="627" t="s">
        <v>828</v>
      </c>
      <c r="F83" s="597" t="s">
        <v>769</v>
      </c>
      <c r="G83" s="597" t="s">
        <v>829</v>
      </c>
      <c r="H83" s="597" t="s">
        <v>830</v>
      </c>
      <c r="I83" s="478"/>
      <c r="J83" s="52"/>
    </row>
    <row r="84" spans="3:10" s="222" customFormat="1" x14ac:dyDescent="0.2">
      <c r="C84" s="602" t="s">
        <v>822</v>
      </c>
      <c r="D84" s="586" t="str">
        <f>D36</f>
        <v>ESPECIALISTA EN LIQUIDACION</v>
      </c>
      <c r="E84" s="338">
        <f t="shared" ref="E84:F86" si="4">+E36</f>
        <v>1</v>
      </c>
      <c r="F84" s="338">
        <f t="shared" si="4"/>
        <v>2</v>
      </c>
      <c r="G84" s="338">
        <f>+G36/12*2</f>
        <v>666.66666666666663</v>
      </c>
      <c r="H84" s="586">
        <f>+E84*F84*G84</f>
        <v>1333.3333333333333</v>
      </c>
      <c r="I84" s="478"/>
      <c r="J84" s="52"/>
    </row>
    <row r="85" spans="3:10" s="222" customFormat="1" x14ac:dyDescent="0.2">
      <c r="C85" s="602" t="s">
        <v>846</v>
      </c>
      <c r="D85" s="586" t="str">
        <f>D37</f>
        <v>ESPECIALISTA FINANCIERO</v>
      </c>
      <c r="E85" s="338">
        <f t="shared" si="4"/>
        <v>1</v>
      </c>
      <c r="F85" s="338">
        <f t="shared" si="4"/>
        <v>2</v>
      </c>
      <c r="G85" s="338">
        <f>+G37/12*2</f>
        <v>666.66666666666663</v>
      </c>
      <c r="H85" s="586">
        <f>+E85*F85*G85</f>
        <v>1333.3333333333333</v>
      </c>
      <c r="I85" s="478"/>
      <c r="J85" s="52"/>
    </row>
    <row r="86" spans="3:10" s="222" customFormat="1" x14ac:dyDescent="0.2">
      <c r="C86" s="602" t="s">
        <v>894</v>
      </c>
      <c r="D86" s="586" t="str">
        <f>D38</f>
        <v>ASISTENTE TECNICO</v>
      </c>
      <c r="E86" s="338">
        <f t="shared" si="4"/>
        <v>1</v>
      </c>
      <c r="F86" s="338">
        <f t="shared" si="4"/>
        <v>2</v>
      </c>
      <c r="G86" s="338">
        <f>+G38/12*2</f>
        <v>450</v>
      </c>
      <c r="H86" s="586">
        <f>+E86*F86*G86</f>
        <v>900</v>
      </c>
      <c r="I86" s="478"/>
      <c r="J86" s="52"/>
    </row>
    <row r="87" spans="3:10" s="222" customFormat="1" ht="15" customHeight="1" x14ac:dyDescent="0.2">
      <c r="C87" s="1786" t="s">
        <v>44</v>
      </c>
      <c r="D87" s="1786"/>
      <c r="E87" s="1786"/>
      <c r="F87" s="1786"/>
      <c r="G87" s="1786"/>
      <c r="H87" s="567">
        <f>SUM(H84:H86)</f>
        <v>3566.6666666666665</v>
      </c>
      <c r="I87" s="478"/>
      <c r="J87" s="52"/>
    </row>
    <row r="88" spans="3:10" s="222" customFormat="1" x14ac:dyDescent="0.2">
      <c r="C88" s="546"/>
      <c r="D88" s="478"/>
      <c r="E88" s="478"/>
      <c r="F88" s="478"/>
      <c r="G88" s="483"/>
      <c r="H88" s="478"/>
      <c r="I88" s="478"/>
      <c r="J88" s="52"/>
    </row>
    <row r="89" spans="3:10" x14ac:dyDescent="0.2">
      <c r="C89" s="636" t="s">
        <v>846</v>
      </c>
      <c r="D89" s="555" t="s">
        <v>847</v>
      </c>
      <c r="E89" s="637"/>
      <c r="F89" s="637"/>
      <c r="G89" s="556"/>
      <c r="H89" s="556" t="s">
        <v>797</v>
      </c>
      <c r="I89" s="557">
        <f>I91+I98</f>
        <v>1259.5</v>
      </c>
      <c r="J89" s="52"/>
    </row>
    <row r="90" spans="3:10" s="222" customFormat="1" x14ac:dyDescent="0.2">
      <c r="C90" s="481"/>
      <c r="D90" s="482"/>
      <c r="E90" s="478"/>
      <c r="F90" s="478"/>
      <c r="G90" s="483"/>
      <c r="H90" s="478"/>
      <c r="I90" s="478"/>
      <c r="J90" s="52"/>
    </row>
    <row r="91" spans="3:10" x14ac:dyDescent="0.2">
      <c r="C91" s="638" t="s">
        <v>848</v>
      </c>
      <c r="D91" s="561" t="s">
        <v>509</v>
      </c>
      <c r="E91" s="562"/>
      <c r="F91" s="562"/>
      <c r="G91" s="564"/>
      <c r="H91" s="450" t="s">
        <v>797</v>
      </c>
      <c r="I91" s="451">
        <f>H96</f>
        <v>0</v>
      </c>
      <c r="J91" s="52"/>
    </row>
    <row r="92" spans="3:10" s="222" customFormat="1" x14ac:dyDescent="0.2">
      <c r="C92" s="481"/>
      <c r="D92" s="482"/>
      <c r="E92" s="478"/>
      <c r="F92" s="478"/>
      <c r="G92" s="483"/>
      <c r="H92" s="478"/>
      <c r="I92" s="478"/>
      <c r="J92" s="52"/>
    </row>
    <row r="93" spans="3:10" s="222" customFormat="1" x14ac:dyDescent="0.2">
      <c r="C93" s="597" t="s">
        <v>1045</v>
      </c>
      <c r="D93" s="597" t="s">
        <v>792</v>
      </c>
      <c r="E93" s="597" t="s">
        <v>855</v>
      </c>
      <c r="F93" s="597" t="s">
        <v>650</v>
      </c>
      <c r="G93" s="597" t="s">
        <v>851</v>
      </c>
      <c r="H93" s="597" t="s">
        <v>830</v>
      </c>
      <c r="I93" s="569"/>
      <c r="J93" s="52"/>
    </row>
    <row r="94" spans="3:10" s="222" customFormat="1" x14ac:dyDescent="0.2">
      <c r="C94" s="602" t="s">
        <v>822</v>
      </c>
      <c r="D94" s="653" t="s">
        <v>852</v>
      </c>
      <c r="E94" s="338" t="s">
        <v>853</v>
      </c>
      <c r="F94" s="338">
        <v>0</v>
      </c>
      <c r="G94" s="667">
        <v>250</v>
      </c>
      <c r="H94" s="586">
        <f>+F94*G94</f>
        <v>0</v>
      </c>
      <c r="I94" s="478"/>
      <c r="J94" s="52"/>
    </row>
    <row r="95" spans="3:10" s="222" customFormat="1" x14ac:dyDescent="0.2">
      <c r="C95" s="602" t="s">
        <v>846</v>
      </c>
      <c r="D95" s="653" t="s">
        <v>854</v>
      </c>
      <c r="E95" s="338" t="s">
        <v>855</v>
      </c>
      <c r="F95" s="338">
        <v>0</v>
      </c>
      <c r="G95" s="338">
        <v>35</v>
      </c>
      <c r="H95" s="586">
        <f>+F95*G95</f>
        <v>0</v>
      </c>
      <c r="I95" s="583"/>
      <c r="J95" s="52"/>
    </row>
    <row r="96" spans="3:10" s="222" customFormat="1" ht="15" customHeight="1" x14ac:dyDescent="0.2">
      <c r="C96" s="1786" t="s">
        <v>44</v>
      </c>
      <c r="D96" s="1786"/>
      <c r="E96" s="1786"/>
      <c r="F96" s="1786"/>
      <c r="G96" s="1786"/>
      <c r="H96" s="584">
        <f>SUM(H94:H95)</f>
        <v>0</v>
      </c>
      <c r="I96" s="583"/>
      <c r="J96" s="52"/>
    </row>
    <row r="97" spans="3:10" s="222" customFormat="1" x14ac:dyDescent="0.2">
      <c r="C97" s="546"/>
      <c r="D97" s="569"/>
      <c r="E97" s="569"/>
      <c r="F97" s="569"/>
      <c r="G97" s="569"/>
      <c r="H97" s="569"/>
      <c r="I97" s="583"/>
      <c r="J97" s="52"/>
    </row>
    <row r="98" spans="3:10" x14ac:dyDescent="0.2">
      <c r="C98" s="638" t="s">
        <v>858</v>
      </c>
      <c r="D98" s="561" t="s">
        <v>723</v>
      </c>
      <c r="E98" s="562"/>
      <c r="F98" s="562"/>
      <c r="G98" s="564"/>
      <c r="H98" s="450" t="s">
        <v>797</v>
      </c>
      <c r="I98" s="451">
        <f>+H115</f>
        <v>1259.5</v>
      </c>
      <c r="J98" s="52"/>
    </row>
    <row r="99" spans="3:10" s="222" customFormat="1" x14ac:dyDescent="0.2">
      <c r="C99" s="481"/>
      <c r="D99" s="482"/>
      <c r="E99" s="478"/>
      <c r="F99" s="478"/>
      <c r="G99" s="483"/>
      <c r="H99" s="478"/>
      <c r="I99" s="478"/>
      <c r="J99" s="52"/>
    </row>
    <row r="100" spans="3:10" s="222" customFormat="1" x14ac:dyDescent="0.2">
      <c r="C100" s="597" t="s">
        <v>1045</v>
      </c>
      <c r="D100" s="597" t="s">
        <v>649</v>
      </c>
      <c r="E100" s="597" t="s">
        <v>850</v>
      </c>
      <c r="F100" s="597" t="s">
        <v>650</v>
      </c>
      <c r="G100" s="597" t="s">
        <v>851</v>
      </c>
      <c r="H100" s="597" t="s">
        <v>830</v>
      </c>
      <c r="I100" s="478"/>
      <c r="J100" s="52"/>
    </row>
    <row r="101" spans="3:10" s="222" customFormat="1" x14ac:dyDescent="0.2">
      <c r="C101" s="602" t="s">
        <v>822</v>
      </c>
      <c r="D101" s="586" t="s">
        <v>1056</v>
      </c>
      <c r="E101" s="338" t="s">
        <v>904</v>
      </c>
      <c r="F101" s="338">
        <v>0.5</v>
      </c>
      <c r="G101" s="338">
        <v>250</v>
      </c>
      <c r="H101" s="586">
        <f>F101*G101</f>
        <v>125</v>
      </c>
      <c r="I101" s="478"/>
      <c r="J101" s="52"/>
    </row>
    <row r="102" spans="3:10" s="222" customFormat="1" x14ac:dyDescent="0.2">
      <c r="C102" s="602" t="s">
        <v>846</v>
      </c>
      <c r="D102" s="586" t="s">
        <v>912</v>
      </c>
      <c r="E102" s="338" t="s">
        <v>850</v>
      </c>
      <c r="F102" s="338">
        <v>1</v>
      </c>
      <c r="G102" s="338">
        <v>600</v>
      </c>
      <c r="H102" s="586">
        <f>+F102*G102</f>
        <v>600</v>
      </c>
      <c r="I102" s="478"/>
      <c r="J102" s="52"/>
    </row>
    <row r="103" spans="3:10" s="222" customFormat="1" x14ac:dyDescent="0.2">
      <c r="C103" s="602" t="s">
        <v>894</v>
      </c>
      <c r="D103" s="586" t="s">
        <v>952</v>
      </c>
      <c r="E103" s="338" t="s">
        <v>855</v>
      </c>
      <c r="F103" s="338">
        <v>10</v>
      </c>
      <c r="G103" s="338">
        <v>1</v>
      </c>
      <c r="H103" s="586">
        <f t="shared" ref="H103:H114" si="5">+F103*G103</f>
        <v>10</v>
      </c>
      <c r="I103" s="478"/>
      <c r="J103" s="52"/>
    </row>
    <row r="104" spans="3:10" s="222" customFormat="1" x14ac:dyDescent="0.2">
      <c r="C104" s="602" t="s">
        <v>932</v>
      </c>
      <c r="D104" s="586" t="s">
        <v>951</v>
      </c>
      <c r="E104" s="338" t="s">
        <v>855</v>
      </c>
      <c r="F104" s="338">
        <v>10</v>
      </c>
      <c r="G104" s="338">
        <v>25</v>
      </c>
      <c r="H104" s="586">
        <f t="shared" si="5"/>
        <v>250</v>
      </c>
      <c r="I104" s="478"/>
      <c r="J104" s="52"/>
    </row>
    <row r="105" spans="3:10" s="222" customFormat="1" x14ac:dyDescent="0.2">
      <c r="C105" s="602" t="s">
        <v>978</v>
      </c>
      <c r="D105" s="586" t="s">
        <v>1057</v>
      </c>
      <c r="E105" s="338" t="s">
        <v>855</v>
      </c>
      <c r="F105" s="338">
        <v>1</v>
      </c>
      <c r="G105" s="338">
        <v>3.5</v>
      </c>
      <c r="H105" s="586">
        <f t="shared" si="5"/>
        <v>3.5</v>
      </c>
      <c r="I105" s="478"/>
      <c r="J105" s="52"/>
    </row>
    <row r="106" spans="3:10" s="222" customFormat="1" x14ac:dyDescent="0.2">
      <c r="C106" s="602" t="s">
        <v>979</v>
      </c>
      <c r="D106" s="586" t="s">
        <v>876</v>
      </c>
      <c r="E106" s="338" t="s">
        <v>855</v>
      </c>
      <c r="F106" s="338">
        <v>2</v>
      </c>
      <c r="G106" s="338">
        <v>10</v>
      </c>
      <c r="H106" s="586">
        <f t="shared" si="5"/>
        <v>20</v>
      </c>
      <c r="I106" s="478"/>
      <c r="J106" s="52"/>
    </row>
    <row r="107" spans="3:10" s="222" customFormat="1" x14ac:dyDescent="0.2">
      <c r="C107" s="602" t="s">
        <v>980</v>
      </c>
      <c r="D107" s="586" t="s">
        <v>960</v>
      </c>
      <c r="E107" s="338" t="s">
        <v>855</v>
      </c>
      <c r="F107" s="338">
        <v>20</v>
      </c>
      <c r="G107" s="338">
        <v>0.6</v>
      </c>
      <c r="H107" s="586">
        <f t="shared" si="5"/>
        <v>12</v>
      </c>
      <c r="I107" s="478"/>
      <c r="J107" s="52"/>
    </row>
    <row r="108" spans="3:10" s="222" customFormat="1" x14ac:dyDescent="0.2">
      <c r="C108" s="602" t="s">
        <v>981</v>
      </c>
      <c r="D108" s="586" t="s">
        <v>1014</v>
      </c>
      <c r="E108" s="338" t="s">
        <v>855</v>
      </c>
      <c r="F108" s="338">
        <v>20</v>
      </c>
      <c r="G108" s="338">
        <v>2</v>
      </c>
      <c r="H108" s="586">
        <f t="shared" si="5"/>
        <v>40</v>
      </c>
      <c r="I108" s="478"/>
      <c r="J108" s="52"/>
    </row>
    <row r="109" spans="3:10" s="222" customFormat="1" x14ac:dyDescent="0.2">
      <c r="C109" s="602" t="s">
        <v>982</v>
      </c>
      <c r="D109" s="586" t="s">
        <v>882</v>
      </c>
      <c r="E109" s="338" t="s">
        <v>883</v>
      </c>
      <c r="F109" s="338">
        <v>4</v>
      </c>
      <c r="G109" s="338">
        <v>30</v>
      </c>
      <c r="H109" s="586">
        <f t="shared" si="5"/>
        <v>120</v>
      </c>
      <c r="I109" s="478"/>
      <c r="J109" s="52"/>
    </row>
    <row r="110" spans="3:10" s="222" customFormat="1" x14ac:dyDescent="0.2">
      <c r="C110" s="602" t="s">
        <v>983</v>
      </c>
      <c r="D110" s="586" t="s">
        <v>886</v>
      </c>
      <c r="E110" s="338" t="s">
        <v>855</v>
      </c>
      <c r="F110" s="338">
        <v>2</v>
      </c>
      <c r="G110" s="338">
        <v>4.5</v>
      </c>
      <c r="H110" s="586">
        <f t="shared" si="5"/>
        <v>9</v>
      </c>
      <c r="I110" s="478"/>
      <c r="J110" s="52"/>
    </row>
    <row r="111" spans="3:10" s="222" customFormat="1" x14ac:dyDescent="0.2">
      <c r="C111" s="602" t="s">
        <v>984</v>
      </c>
      <c r="D111" s="586" t="s">
        <v>913</v>
      </c>
      <c r="E111" s="338" t="s">
        <v>855</v>
      </c>
      <c r="F111" s="338">
        <v>1</v>
      </c>
      <c r="G111" s="338">
        <v>30</v>
      </c>
      <c r="H111" s="586">
        <f t="shared" si="5"/>
        <v>30</v>
      </c>
      <c r="I111" s="478"/>
      <c r="J111" s="52"/>
    </row>
    <row r="112" spans="3:10" s="222" customFormat="1" x14ac:dyDescent="0.2">
      <c r="C112" s="602" t="s">
        <v>985</v>
      </c>
      <c r="D112" s="586" t="s">
        <v>968</v>
      </c>
      <c r="E112" s="338" t="s">
        <v>855</v>
      </c>
      <c r="F112" s="338">
        <v>2</v>
      </c>
      <c r="G112" s="338">
        <v>10</v>
      </c>
      <c r="H112" s="586">
        <f t="shared" si="5"/>
        <v>20</v>
      </c>
      <c r="I112" s="478"/>
      <c r="J112" s="52"/>
    </row>
    <row r="113" spans="3:10" s="222" customFormat="1" x14ac:dyDescent="0.2">
      <c r="C113" s="602" t="s">
        <v>1018</v>
      </c>
      <c r="D113" s="586" t="s">
        <v>1016</v>
      </c>
      <c r="E113" s="338" t="s">
        <v>1058</v>
      </c>
      <c r="F113" s="338">
        <v>2</v>
      </c>
      <c r="G113" s="338">
        <v>5</v>
      </c>
      <c r="H113" s="586">
        <f t="shared" si="5"/>
        <v>10</v>
      </c>
      <c r="I113" s="478"/>
      <c r="J113" s="52"/>
    </row>
    <row r="114" spans="3:10" s="222" customFormat="1" x14ac:dyDescent="0.2">
      <c r="C114" s="602" t="s">
        <v>1019</v>
      </c>
      <c r="D114" s="586" t="s">
        <v>969</v>
      </c>
      <c r="E114" s="338" t="s">
        <v>855</v>
      </c>
      <c r="F114" s="338">
        <v>5</v>
      </c>
      <c r="G114" s="338">
        <v>2</v>
      </c>
      <c r="H114" s="586">
        <f t="shared" si="5"/>
        <v>10</v>
      </c>
      <c r="I114" s="478"/>
      <c r="J114" s="52"/>
    </row>
    <row r="115" spans="3:10" s="222" customFormat="1" ht="15" customHeight="1" x14ac:dyDescent="0.2">
      <c r="C115" s="1786" t="s">
        <v>44</v>
      </c>
      <c r="D115" s="1786"/>
      <c r="E115" s="1786"/>
      <c r="F115" s="1786"/>
      <c r="G115" s="1786"/>
      <c r="H115" s="567">
        <f>SUM(H101:H114)</f>
        <v>1259.5</v>
      </c>
      <c r="I115" s="478"/>
      <c r="J115" s="52"/>
    </row>
    <row r="116" spans="3:10" s="222" customFormat="1" x14ac:dyDescent="0.2">
      <c r="C116" s="481"/>
      <c r="D116" s="481"/>
      <c r="E116" s="482"/>
      <c r="F116" s="546"/>
      <c r="G116" s="659"/>
      <c r="H116" s="476"/>
      <c r="I116" s="640"/>
      <c r="J116" s="52"/>
    </row>
    <row r="117" spans="3:10" x14ac:dyDescent="0.2">
      <c r="C117" s="636" t="s">
        <v>894</v>
      </c>
      <c r="D117" s="555" t="s">
        <v>765</v>
      </c>
      <c r="E117" s="637"/>
      <c r="F117" s="637"/>
      <c r="G117" s="556"/>
      <c r="H117" s="556" t="s">
        <v>797</v>
      </c>
      <c r="I117" s="557">
        <f>+I119</f>
        <v>1750</v>
      </c>
      <c r="J117" s="52"/>
    </row>
    <row r="118" spans="3:10" s="222" customFormat="1" x14ac:dyDescent="0.2">
      <c r="C118" s="481"/>
      <c r="D118" s="607"/>
      <c r="E118" s="662"/>
      <c r="F118" s="662"/>
      <c r="G118" s="659"/>
      <c r="H118" s="476"/>
      <c r="I118" s="640"/>
      <c r="J118" s="52"/>
    </row>
    <row r="119" spans="3:10" x14ac:dyDescent="0.2">
      <c r="C119" s="638" t="s">
        <v>895</v>
      </c>
      <c r="D119" s="561" t="s">
        <v>971</v>
      </c>
      <c r="E119" s="562"/>
      <c r="F119" s="562"/>
      <c r="G119" s="564"/>
      <c r="H119" s="450" t="s">
        <v>797</v>
      </c>
      <c r="I119" s="451">
        <f>H126</f>
        <v>1750</v>
      </c>
      <c r="J119" s="52"/>
    </row>
    <row r="120" spans="3:10" s="222" customFormat="1" x14ac:dyDescent="0.2">
      <c r="C120" s="663"/>
      <c r="D120" s="547"/>
      <c r="E120" s="547"/>
      <c r="F120" s="547"/>
      <c r="G120" s="547"/>
      <c r="H120" s="664"/>
      <c r="I120" s="532"/>
      <c r="J120" s="52"/>
    </row>
    <row r="121" spans="3:10" s="222" customFormat="1" x14ac:dyDescent="0.2">
      <c r="C121" s="597" t="s">
        <v>1045</v>
      </c>
      <c r="D121" s="597" t="s">
        <v>649</v>
      </c>
      <c r="E121" s="597" t="s">
        <v>850</v>
      </c>
      <c r="F121" s="597" t="s">
        <v>650</v>
      </c>
      <c r="G121" s="597" t="s">
        <v>851</v>
      </c>
      <c r="H121" s="597" t="s">
        <v>830</v>
      </c>
      <c r="I121" s="640"/>
      <c r="J121" s="52"/>
    </row>
    <row r="122" spans="3:10" s="222" customFormat="1" x14ac:dyDescent="0.2">
      <c r="C122" s="602" t="s">
        <v>822</v>
      </c>
      <c r="D122" s="653" t="s">
        <v>975</v>
      </c>
      <c r="E122" s="338" t="s">
        <v>1017</v>
      </c>
      <c r="F122" s="338">
        <v>1</v>
      </c>
      <c r="G122" s="338">
        <v>600</v>
      </c>
      <c r="H122" s="393">
        <v>600</v>
      </c>
      <c r="I122" s="640"/>
      <c r="J122" s="52"/>
    </row>
    <row r="123" spans="3:10" s="222" customFormat="1" x14ac:dyDescent="0.2">
      <c r="C123" s="602" t="s">
        <v>846</v>
      </c>
      <c r="D123" s="653" t="s">
        <v>973</v>
      </c>
      <c r="E123" s="338" t="s">
        <v>1017</v>
      </c>
      <c r="F123" s="338">
        <v>1</v>
      </c>
      <c r="G123" s="338">
        <v>300</v>
      </c>
      <c r="H123" s="393">
        <v>400</v>
      </c>
      <c r="I123" s="640"/>
      <c r="J123" s="52"/>
    </row>
    <row r="124" spans="3:10" s="222" customFormat="1" x14ac:dyDescent="0.2">
      <c r="C124" s="602" t="s">
        <v>894</v>
      </c>
      <c r="D124" s="653" t="s">
        <v>1059</v>
      </c>
      <c r="E124" s="338" t="s">
        <v>1017</v>
      </c>
      <c r="F124" s="338">
        <v>1</v>
      </c>
      <c r="G124" s="338">
        <v>250</v>
      </c>
      <c r="H124" s="393">
        <f>+F124*G124</f>
        <v>250</v>
      </c>
      <c r="I124" s="640"/>
      <c r="J124" s="52"/>
    </row>
    <row r="125" spans="3:10" s="222" customFormat="1" x14ac:dyDescent="0.2">
      <c r="C125" s="602" t="s">
        <v>932</v>
      </c>
      <c r="D125" s="653" t="s">
        <v>919</v>
      </c>
      <c r="E125" s="338" t="s">
        <v>918</v>
      </c>
      <c r="F125" s="338">
        <v>2</v>
      </c>
      <c r="G125" s="338">
        <v>250</v>
      </c>
      <c r="H125" s="393">
        <f>+F125*G125</f>
        <v>500</v>
      </c>
      <c r="I125" s="640"/>
      <c r="J125" s="52"/>
    </row>
    <row r="126" spans="3:10" s="222" customFormat="1" ht="15" customHeight="1" x14ac:dyDescent="0.2">
      <c r="C126" s="1786" t="s">
        <v>44</v>
      </c>
      <c r="D126" s="1786"/>
      <c r="E126" s="1786"/>
      <c r="F126" s="1786"/>
      <c r="G126" s="1786"/>
      <c r="H126" s="567">
        <f>SUM(H122:H125)</f>
        <v>1750</v>
      </c>
      <c r="I126" s="640"/>
      <c r="J126" s="52"/>
    </row>
    <row r="127" spans="3:10" s="222" customFormat="1" x14ac:dyDescent="0.2">
      <c r="C127" s="663"/>
      <c r="D127" s="547"/>
      <c r="E127" s="547"/>
      <c r="F127" s="547"/>
      <c r="G127" s="547"/>
      <c r="H127" s="664"/>
      <c r="I127" s="532"/>
      <c r="J127" s="52"/>
    </row>
    <row r="128" spans="3:10" s="222" customFormat="1" ht="13.5" thickBot="1" x14ac:dyDescent="0.25">
      <c r="C128" s="641"/>
      <c r="D128" s="569"/>
      <c r="E128" s="569"/>
      <c r="F128" s="569"/>
      <c r="G128" s="569"/>
      <c r="H128" s="478"/>
      <c r="I128" s="478"/>
      <c r="J128" s="52"/>
    </row>
    <row r="129" spans="3:10" ht="13.5" thickBot="1" x14ac:dyDescent="0.25">
      <c r="C129" s="1800" t="s">
        <v>1051</v>
      </c>
      <c r="D129" s="1801"/>
      <c r="E129" s="1801"/>
      <c r="F129" s="1801"/>
      <c r="G129" s="1801"/>
      <c r="H129" s="587" t="s">
        <v>797</v>
      </c>
      <c r="I129" s="647">
        <f>+I117+I89+I29</f>
        <v>33800.53333333334</v>
      </c>
      <c r="J129" s="52"/>
    </row>
    <row r="130" spans="3:10" s="222" customFormat="1" x14ac:dyDescent="0.2">
      <c r="C130" s="665"/>
      <c r="D130" s="1807"/>
      <c r="E130" s="1807"/>
      <c r="F130" s="488"/>
      <c r="G130" s="484"/>
      <c r="H130" s="475"/>
      <c r="I130" s="489"/>
      <c r="J130" s="52"/>
    </row>
  </sheetData>
  <mergeCells count="17">
    <mergeCell ref="C4:I4"/>
    <mergeCell ref="C6:I6"/>
    <mergeCell ref="E13:J15"/>
    <mergeCell ref="C115:G115"/>
    <mergeCell ref="C126:G126"/>
    <mergeCell ref="C129:G129"/>
    <mergeCell ref="D130:E130"/>
    <mergeCell ref="C22:D22"/>
    <mergeCell ref="C39:G39"/>
    <mergeCell ref="C50:G50"/>
    <mergeCell ref="C59:G59"/>
    <mergeCell ref="C69:G69"/>
    <mergeCell ref="C77:G77"/>
    <mergeCell ref="C87:G87"/>
    <mergeCell ref="C96:G96"/>
    <mergeCell ref="C25:I25"/>
    <mergeCell ref="C27:I27"/>
  </mergeCells>
  <phoneticPr fontId="59" type="noConversion"/>
  <pageMargins left="0.7" right="0.7" top="0.75" bottom="0.75" header="0.3" footer="0.3"/>
  <pageSetup scale="74" orientation="portrait" horizontalDpi="4294967295" verticalDpi="4294967295" r:id="rId1"/>
  <rowBreaks count="1" manualBreakCount="1">
    <brk id="60" min="2" max="8" man="1"/>
  </rowBreaks>
  <colBreaks count="1" manualBreakCount="1">
    <brk id="9" min="2" max="129" man="1"/>
  </colBreaks>
  <ignoredErrors>
    <ignoredError sqref="C18:C21 C36:C38 C47:C49 C56:C58 C66:C68 C74:C76 C84:C86 C94:C95 C101:C114 C122:C125"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6CC"/>
  </sheetPr>
  <dimension ref="A2:O47"/>
  <sheetViews>
    <sheetView topLeftCell="A16" workbookViewId="0">
      <selection activeCell="D43" sqref="D43"/>
    </sheetView>
  </sheetViews>
  <sheetFormatPr baseColWidth="10" defaultColWidth="28" defaultRowHeight="12" x14ac:dyDescent="0.2"/>
  <cols>
    <col min="1" max="1" width="3.7109375" style="1143" customWidth="1"/>
    <col min="2" max="2" width="6.28515625" style="1143" customWidth="1"/>
    <col min="3" max="3" width="39.7109375" style="1143" customWidth="1"/>
    <col min="4" max="4" width="16.5703125" style="1143" bestFit="1" customWidth="1"/>
    <col min="5" max="5" width="11.28515625" style="1143" customWidth="1"/>
    <col min="6" max="6" width="11.7109375" style="1143" bestFit="1" customWidth="1"/>
    <col min="7" max="7" width="14" style="1143" bestFit="1" customWidth="1"/>
    <col min="8" max="8" width="17.5703125" style="1143" bestFit="1" customWidth="1"/>
    <col min="9" max="9" width="33.28515625" style="1143" customWidth="1"/>
    <col min="10" max="10" width="28" style="1143"/>
    <col min="11" max="11" width="2.85546875" style="1144" customWidth="1"/>
    <col min="12" max="12" width="9.140625" style="1143" customWidth="1"/>
    <col min="13" max="13" width="80.28515625" style="1143" customWidth="1"/>
    <col min="14" max="14" width="12.7109375" style="1143" bestFit="1" customWidth="1"/>
    <col min="15" max="16384" width="28" style="1143"/>
  </cols>
  <sheetData>
    <row r="2" spans="2:8" x14ac:dyDescent="0.2">
      <c r="B2" s="1810" t="s">
        <v>1561</v>
      </c>
      <c r="C2" s="1810"/>
      <c r="D2" s="1810"/>
      <c r="E2" s="1810"/>
      <c r="F2" s="1810"/>
      <c r="G2" s="1810"/>
      <c r="H2" s="1810"/>
    </row>
    <row r="3" spans="2:8" x14ac:dyDescent="0.2">
      <c r="B3" s="1810"/>
      <c r="C3" s="1810"/>
      <c r="D3" s="1810"/>
      <c r="E3" s="1810"/>
      <c r="F3" s="1810"/>
      <c r="G3" s="1810"/>
      <c r="H3" s="1810"/>
    </row>
    <row r="4" spans="2:8" x14ac:dyDescent="0.2">
      <c r="B4" s="1810"/>
      <c r="C4" s="1810"/>
      <c r="D4" s="1810"/>
      <c r="E4" s="1810"/>
      <c r="F4" s="1810"/>
      <c r="G4" s="1810"/>
      <c r="H4" s="1810"/>
    </row>
    <row r="5" spans="2:8" x14ac:dyDescent="0.2">
      <c r="B5" s="1810"/>
      <c r="C5" s="1810"/>
      <c r="D5" s="1810"/>
      <c r="E5" s="1810"/>
      <c r="F5" s="1810"/>
      <c r="G5" s="1810"/>
      <c r="H5" s="1810"/>
    </row>
    <row r="6" spans="2:8" ht="12.75" thickBot="1" x14ac:dyDescent="0.25"/>
    <row r="7" spans="2:8" x14ac:dyDescent="0.2">
      <c r="B7" s="1811" t="s">
        <v>1562</v>
      </c>
      <c r="C7" s="1812"/>
      <c r="D7" s="1812"/>
      <c r="E7" s="1812"/>
      <c r="F7" s="1812"/>
      <c r="G7" s="1812"/>
      <c r="H7" s="1813"/>
    </row>
    <row r="8" spans="2:8" ht="12.75" thickBot="1" x14ac:dyDescent="0.25">
      <c r="B8" s="1814"/>
      <c r="C8" s="1815"/>
      <c r="D8" s="1815"/>
      <c r="E8" s="1815"/>
      <c r="F8" s="1815"/>
      <c r="G8" s="1815"/>
      <c r="H8" s="1816"/>
    </row>
    <row r="9" spans="2:8" ht="12.75" thickBot="1" x14ac:dyDescent="0.25">
      <c r="B9" s="1145"/>
      <c r="C9" s="1146"/>
      <c r="D9" s="1146"/>
      <c r="E9" s="1146"/>
      <c r="F9" s="1146"/>
      <c r="G9" s="1146"/>
      <c r="H9" s="1146"/>
    </row>
    <row r="10" spans="2:8" x14ac:dyDescent="0.2">
      <c r="B10" s="1817" t="s">
        <v>1563</v>
      </c>
      <c r="C10" s="1818"/>
      <c r="D10" s="1823" t="s">
        <v>1564</v>
      </c>
      <c r="E10" s="1826" t="s">
        <v>1565</v>
      </c>
      <c r="F10" s="1827"/>
      <c r="G10" s="1827"/>
      <c r="H10" s="1828"/>
    </row>
    <row r="11" spans="2:8" x14ac:dyDescent="0.2">
      <c r="B11" s="1819"/>
      <c r="C11" s="1820"/>
      <c r="D11" s="1824"/>
      <c r="E11" s="1147" t="s">
        <v>1088</v>
      </c>
      <c r="F11" s="1148" t="s">
        <v>1566</v>
      </c>
      <c r="G11" s="1148" t="s">
        <v>1567</v>
      </c>
      <c r="H11" s="1149" t="s">
        <v>1568</v>
      </c>
    </row>
    <row r="12" spans="2:8" ht="12.75" thickBot="1" x14ac:dyDescent="0.25">
      <c r="B12" s="1821"/>
      <c r="C12" s="1822"/>
      <c r="D12" s="1825"/>
      <c r="E12" s="1150" t="s">
        <v>1569</v>
      </c>
      <c r="F12" s="1151" t="s">
        <v>797</v>
      </c>
      <c r="G12" s="1151" t="s">
        <v>797</v>
      </c>
      <c r="H12" s="1151" t="s">
        <v>797</v>
      </c>
    </row>
    <row r="13" spans="2:8" ht="14.45" customHeight="1" x14ac:dyDescent="0.2">
      <c r="B13" s="1836" t="s">
        <v>1570</v>
      </c>
      <c r="C13" s="1836"/>
      <c r="D13" s="1152">
        <f>'[4]3.- ALT 1'!P91*0.25</f>
        <v>1164781.647148075</v>
      </c>
      <c r="E13" s="1153"/>
      <c r="F13" s="1154"/>
      <c r="G13" s="1154"/>
      <c r="H13" s="1154"/>
    </row>
    <row r="14" spans="2:8" ht="4.9000000000000004" customHeight="1" thickBot="1" x14ac:dyDescent="0.25">
      <c r="B14" s="1155"/>
      <c r="C14" s="1156"/>
      <c r="D14" s="1156"/>
      <c r="E14" s="1157"/>
      <c r="F14" s="1158"/>
      <c r="G14" s="1158"/>
      <c r="H14" s="1159"/>
    </row>
    <row r="15" spans="2:8" ht="12.75" thickBot="1" x14ac:dyDescent="0.25">
      <c r="B15" s="1829" t="s">
        <v>1571</v>
      </c>
      <c r="C15" s="1830"/>
      <c r="D15" s="1160"/>
      <c r="E15" s="1161"/>
      <c r="F15" s="1162"/>
      <c r="G15" s="1162"/>
      <c r="H15" s="1163">
        <f>SUM(G17:G19)</f>
        <v>1164781.647148075</v>
      </c>
    </row>
    <row r="16" spans="2:8" x14ac:dyDescent="0.2">
      <c r="B16" s="1164"/>
      <c r="C16" s="1165"/>
      <c r="D16" s="1166"/>
      <c r="E16" s="1167"/>
      <c r="F16" s="1168"/>
      <c r="G16" s="1169"/>
      <c r="H16" s="1170"/>
    </row>
    <row r="17" spans="1:15" x14ac:dyDescent="0.2">
      <c r="B17" s="1171">
        <v>1.01</v>
      </c>
      <c r="C17" s="1172" t="s">
        <v>1572</v>
      </c>
      <c r="D17" s="1173">
        <v>0.27</v>
      </c>
      <c r="E17" s="1174" t="s">
        <v>1573</v>
      </c>
      <c r="F17" s="1175">
        <v>23.8</v>
      </c>
      <c r="G17" s="1176">
        <f>D13*0.27</f>
        <v>314491.04472998029</v>
      </c>
      <c r="H17" s="1177"/>
    </row>
    <row r="18" spans="1:15" x14ac:dyDescent="0.2">
      <c r="B18" s="1171">
        <v>1.02</v>
      </c>
      <c r="C18" s="1172" t="s">
        <v>1574</v>
      </c>
      <c r="D18" s="1173">
        <v>0.32</v>
      </c>
      <c r="E18" s="1174" t="s">
        <v>1573</v>
      </c>
      <c r="F18" s="1175">
        <v>18.84</v>
      </c>
      <c r="G18" s="1176">
        <f>D13*0.32</f>
        <v>372730.127087384</v>
      </c>
      <c r="H18" s="1177"/>
    </row>
    <row r="19" spans="1:15" x14ac:dyDescent="0.2">
      <c r="B19" s="1178">
        <v>1.03</v>
      </c>
      <c r="C19" s="1179" t="s">
        <v>1575</v>
      </c>
      <c r="D19" s="1180">
        <v>0.41</v>
      </c>
      <c r="E19" s="1181" t="s">
        <v>1573</v>
      </c>
      <c r="F19" s="1182">
        <v>17.010000000000002</v>
      </c>
      <c r="G19" s="1183">
        <f>D13*0.41</f>
        <v>477560.47533071076</v>
      </c>
      <c r="H19" s="1184"/>
    </row>
    <row r="20" spans="1:15" x14ac:dyDescent="0.2">
      <c r="A20" s="1185"/>
      <c r="B20" s="1186"/>
      <c r="C20" s="1187"/>
      <c r="D20" s="1188"/>
      <c r="E20" s="1189"/>
      <c r="F20" s="1190"/>
      <c r="G20" s="1191"/>
      <c r="H20" s="1192"/>
    </row>
    <row r="21" spans="1:15" ht="14.45" customHeight="1" x14ac:dyDescent="0.2">
      <c r="B21" s="1158"/>
      <c r="C21" s="1831"/>
      <c r="D21" s="1831"/>
      <c r="E21" s="1832" t="s">
        <v>1106</v>
      </c>
      <c r="F21" s="1833"/>
      <c r="G21" s="1834"/>
      <c r="H21" s="1193">
        <f>H15</f>
        <v>1164781.647148075</v>
      </c>
    </row>
    <row r="22" spans="1:15" x14ac:dyDescent="0.2">
      <c r="M22" s="1143" t="s">
        <v>1577</v>
      </c>
    </row>
    <row r="23" spans="1:15" x14ac:dyDescent="0.2">
      <c r="B23" s="1143" t="s">
        <v>1576</v>
      </c>
    </row>
    <row r="24" spans="1:15" ht="12.75" x14ac:dyDescent="0.2">
      <c r="L24" s="1111" t="s">
        <v>1596</v>
      </c>
      <c r="M24" s="1110" t="str">
        <f>'RES COST'!C42</f>
        <v>Mejoramiento y adecuación de la planta piloto de procesamiento de frutas y hortalizas</v>
      </c>
      <c r="N24" s="1196">
        <f>'RES COST'!F42</f>
        <v>82000</v>
      </c>
    </row>
    <row r="25" spans="1:15" ht="12.75" x14ac:dyDescent="0.2">
      <c r="K25" s="1218"/>
      <c r="L25" s="1113" t="s">
        <v>598</v>
      </c>
      <c r="M25" s="1110" t="str">
        <f>'RES COST'!C43</f>
        <v>Módulo de invernaderos o fitotoldo  para producción de hortalizas</v>
      </c>
      <c r="N25" s="1196">
        <f>'RES COST'!F43</f>
        <v>872718.55</v>
      </c>
    </row>
    <row r="26" spans="1:15" ht="15" customHeight="1" x14ac:dyDescent="0.2">
      <c r="C26" s="1194" t="s">
        <v>1578</v>
      </c>
      <c r="D26" s="689">
        <f>'[4]3.- ALT 1'!P91</f>
        <v>4659126.5885923002</v>
      </c>
      <c r="F26" s="1195">
        <f>D26*0.25</f>
        <v>1164781.647148075</v>
      </c>
      <c r="I26" s="1194" t="s">
        <v>1579</v>
      </c>
      <c r="J26" s="689">
        <v>79338.05</v>
      </c>
      <c r="K26" s="1219"/>
      <c r="L26" s="1111" t="s">
        <v>1645</v>
      </c>
      <c r="M26" s="1110" t="str">
        <f>'RES COST'!C44</f>
        <v>Módulo demostrativo de sistema de riego por goteo para la producción de hortalizas</v>
      </c>
      <c r="N26" s="1196">
        <f>'RES COST'!F44</f>
        <v>23248.882799999999</v>
      </c>
    </row>
    <row r="27" spans="1:15" ht="13.5" customHeight="1" x14ac:dyDescent="0.2">
      <c r="K27" s="1218"/>
      <c r="L27" s="1113" t="s">
        <v>1646</v>
      </c>
      <c r="M27" s="1110" t="str">
        <f>'RES COST'!C45</f>
        <v>Módulo demostrativo de producción de abonos orgánicos para la producción de hortalizas</v>
      </c>
      <c r="N27" s="1196">
        <f>'RES COST'!F45</f>
        <v>990</v>
      </c>
    </row>
    <row r="28" spans="1:15" ht="12.75" x14ac:dyDescent="0.2">
      <c r="I28" s="1197" t="s">
        <v>1580</v>
      </c>
      <c r="J28" s="1143">
        <v>11</v>
      </c>
      <c r="L28" s="1111" t="s">
        <v>1647</v>
      </c>
      <c r="M28" s="1110" t="str">
        <f>'RES COST'!C46</f>
        <v xml:space="preserve">Módulo demostrativo de camas almacigueras para la producción de almácigos de hortalizas </v>
      </c>
      <c r="N28" s="1196">
        <f>'RES COST'!F46</f>
        <v>17160</v>
      </c>
    </row>
    <row r="29" spans="1:15" ht="12.75" x14ac:dyDescent="0.2">
      <c r="L29" s="1113" t="s">
        <v>1648</v>
      </c>
      <c r="M29" s="1110" t="str">
        <f>'RES COST'!C47</f>
        <v>Módulo demostrativo de producción de almácigos de hortalizas  para el fitotoldo  o invernadero</v>
      </c>
      <c r="N29" s="1196">
        <f>'RES COST'!F47</f>
        <v>825</v>
      </c>
    </row>
    <row r="30" spans="1:15" ht="12.75" x14ac:dyDescent="0.2">
      <c r="I30" s="1143" t="s">
        <v>1581</v>
      </c>
      <c r="J30" s="1198">
        <f>J26*J28</f>
        <v>872718.55</v>
      </c>
      <c r="K30" s="1199"/>
      <c r="L30" s="1111" t="s">
        <v>1917</v>
      </c>
      <c r="M30" s="1110" t="str">
        <f>'RES COST'!C48</f>
        <v>Módulo demostrativo de producción de hortalizas en campo definitivo bajo invernadero o fitotoldo</v>
      </c>
      <c r="N30" s="1196">
        <f>'RES COST'!F48</f>
        <v>825</v>
      </c>
    </row>
    <row r="31" spans="1:15" ht="12.75" x14ac:dyDescent="0.2">
      <c r="L31" s="1514"/>
      <c r="M31" s="1514"/>
      <c r="N31" s="1217">
        <f>SUM(N24:N30)</f>
        <v>997767.43280000007</v>
      </c>
      <c r="O31" s="1513">
        <f>'RES COST'!G41</f>
        <v>997767.43280000007</v>
      </c>
    </row>
    <row r="33" spans="3:15" x14ac:dyDescent="0.2">
      <c r="C33" s="1200" t="s">
        <v>1582</v>
      </c>
      <c r="I33" s="1200" t="s">
        <v>1582</v>
      </c>
      <c r="M33" s="1200" t="s">
        <v>1582</v>
      </c>
    </row>
    <row r="34" spans="3:15" x14ac:dyDescent="0.2">
      <c r="C34" s="1143" t="s">
        <v>1077</v>
      </c>
      <c r="D34" s="1201">
        <f>G17+G18</f>
        <v>687221.17181736429</v>
      </c>
      <c r="E34" s="1202">
        <v>0.25</v>
      </c>
      <c r="I34" s="1143" t="s">
        <v>1077</v>
      </c>
      <c r="J34" s="1201">
        <f>N34</f>
        <v>99776.74328000001</v>
      </c>
      <c r="K34" s="1203"/>
      <c r="M34" s="1143" t="s">
        <v>1077</v>
      </c>
      <c r="N34" s="1201">
        <f>N31*0.1</f>
        <v>99776.74328000001</v>
      </c>
    </row>
    <row r="35" spans="3:15" x14ac:dyDescent="0.2">
      <c r="C35" s="1143" t="s">
        <v>1583</v>
      </c>
      <c r="D35" s="1204">
        <f>G19</f>
        <v>477560.47533071076</v>
      </c>
      <c r="E35" s="1205"/>
      <c r="I35" s="1143" t="s">
        <v>1583</v>
      </c>
      <c r="J35" s="1201">
        <f t="shared" ref="J35:J37" si="0">N35</f>
        <v>149665.11491999999</v>
      </c>
      <c r="K35" s="1203"/>
      <c r="M35" s="1143" t="s">
        <v>1583</v>
      </c>
      <c r="N35" s="1201">
        <f>N31*0.15</f>
        <v>149665.11491999999</v>
      </c>
    </row>
    <row r="36" spans="3:15" x14ac:dyDescent="0.2">
      <c r="C36" s="1143" t="s">
        <v>1448</v>
      </c>
      <c r="D36" s="1206">
        <f>D26*0.05</f>
        <v>232956.32942961503</v>
      </c>
      <c r="E36" s="1207">
        <v>0.05</v>
      </c>
      <c r="I36" s="1143" t="s">
        <v>1448</v>
      </c>
      <c r="J36" s="1201">
        <f t="shared" si="0"/>
        <v>49888.371640000005</v>
      </c>
      <c r="K36" s="1203"/>
      <c r="M36" s="1143" t="s">
        <v>1448</v>
      </c>
      <c r="N36" s="1201">
        <f>N31*0.05</f>
        <v>49888.371640000005</v>
      </c>
    </row>
    <row r="37" spans="3:15" ht="12.75" thickBot="1" x14ac:dyDescent="0.25">
      <c r="C37" s="1208" t="s">
        <v>1449</v>
      </c>
      <c r="D37" s="1209">
        <f>D26-(D34+D35+D36)</f>
        <v>3261388.6120146103</v>
      </c>
      <c r="E37" s="1210">
        <v>0.7</v>
      </c>
      <c r="I37" s="1208" t="s">
        <v>1449</v>
      </c>
      <c r="J37" s="1209">
        <f t="shared" si="0"/>
        <v>698437.20296000002</v>
      </c>
      <c r="K37" s="1211"/>
      <c r="M37" s="1208" t="s">
        <v>1449</v>
      </c>
      <c r="N37" s="1209">
        <f>N31*0.7</f>
        <v>698437.20296000002</v>
      </c>
    </row>
    <row r="38" spans="3:15" x14ac:dyDescent="0.2">
      <c r="C38" s="1212" t="s">
        <v>44</v>
      </c>
      <c r="D38" s="1213">
        <f>SUM(D34:D37)</f>
        <v>4659126.5885923002</v>
      </c>
      <c r="E38" s="1214">
        <f>SUM(E34:E37)</f>
        <v>1</v>
      </c>
      <c r="J38" s="1213">
        <f>SUM(J34:J37)</f>
        <v>997767.43280000007</v>
      </c>
      <c r="K38" s="1215"/>
      <c r="N38" s="1213">
        <f>SUM(N34:N37)</f>
        <v>997767.43280000007</v>
      </c>
      <c r="O38" s="1220">
        <f>'COSTOS - INFRA.'!J49</f>
        <v>43048.882799999999</v>
      </c>
    </row>
    <row r="40" spans="3:15" ht="18.75" x14ac:dyDescent="0.3">
      <c r="C40" s="1835" t="s">
        <v>44</v>
      </c>
      <c r="D40" s="1835"/>
      <c r="E40" s="1835"/>
      <c r="F40" s="1835"/>
      <c r="G40" s="1835"/>
      <c r="H40" s="1835"/>
      <c r="I40" s="1835"/>
      <c r="J40" s="1835"/>
      <c r="K40" s="1216"/>
    </row>
    <row r="42" spans="3:15" x14ac:dyDescent="0.2">
      <c r="C42" s="1200" t="s">
        <v>1582</v>
      </c>
    </row>
    <row r="43" spans="3:15" x14ac:dyDescent="0.2">
      <c r="C43" s="1143" t="s">
        <v>1077</v>
      </c>
      <c r="D43" s="1201">
        <f>D34+J34</f>
        <v>786997.91509736434</v>
      </c>
    </row>
    <row r="44" spans="3:15" x14ac:dyDescent="0.2">
      <c r="C44" s="1143" t="s">
        <v>1583</v>
      </c>
      <c r="D44" s="1201">
        <f t="shared" ref="D44:D46" si="1">D35+J35</f>
        <v>627225.59025071072</v>
      </c>
    </row>
    <row r="45" spans="3:15" x14ac:dyDescent="0.2">
      <c r="C45" s="1143" t="s">
        <v>1448</v>
      </c>
      <c r="D45" s="1201">
        <f t="shared" si="1"/>
        <v>282844.70106961502</v>
      </c>
    </row>
    <row r="46" spans="3:15" ht="12.75" thickBot="1" x14ac:dyDescent="0.25">
      <c r="C46" s="1208" t="s">
        <v>1449</v>
      </c>
      <c r="D46" s="1209">
        <f t="shared" si="1"/>
        <v>3959825.8149746102</v>
      </c>
    </row>
    <row r="47" spans="3:15" x14ac:dyDescent="0.2">
      <c r="C47" s="1212" t="s">
        <v>44</v>
      </c>
      <c r="D47" s="1213">
        <f>SUM(D43:D46)</f>
        <v>5656894.0213923007</v>
      </c>
    </row>
  </sheetData>
  <mergeCells count="10">
    <mergeCell ref="B15:C15"/>
    <mergeCell ref="C21:D21"/>
    <mergeCell ref="E21:G21"/>
    <mergeCell ref="C40:J40"/>
    <mergeCell ref="B13:C13"/>
    <mergeCell ref="B2:H5"/>
    <mergeCell ref="B7:H8"/>
    <mergeCell ref="B10:C12"/>
    <mergeCell ref="D10:D12"/>
    <mergeCell ref="E10:H10"/>
  </mergeCells>
  <conditionalFormatting sqref="F17:F20">
    <cfRule type="cellIs" dxfId="4" priority="1" operator="greaterThan">
      <formula>0</formula>
    </cfRule>
  </conditionalFormatting>
  <pageMargins left="0.7" right="0.7" top="0.75" bottom="0.75" header="0.3" footer="0.3"/>
  <ignoredErrors>
    <ignoredError sqref="D26" unlocked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6" tint="-0.249977111117893"/>
  </sheetPr>
  <dimension ref="A4:N60"/>
  <sheetViews>
    <sheetView view="pageBreakPreview" zoomScale="80" zoomScaleNormal="100" zoomScaleSheetLayoutView="80" workbookViewId="0">
      <selection activeCell="K29" sqref="K29"/>
    </sheetView>
  </sheetViews>
  <sheetFormatPr baseColWidth="10" defaultRowHeight="12.75" x14ac:dyDescent="0.25"/>
  <cols>
    <col min="1" max="1" width="11.42578125" style="222"/>
    <col min="2" max="2" width="11.5703125" style="222" bestFit="1" customWidth="1"/>
    <col min="3" max="3" width="43.140625" style="222" customWidth="1"/>
    <col min="4" max="4" width="11.42578125" style="222"/>
    <col min="5" max="5" width="11.5703125" style="222" bestFit="1" customWidth="1"/>
    <col min="6" max="6" width="17.5703125" style="222" bestFit="1" customWidth="1"/>
    <col min="7" max="7" width="11.42578125" style="222"/>
    <col min="8" max="8" width="10.140625" style="222" customWidth="1"/>
    <col min="9" max="9" width="35.5703125" style="222" customWidth="1"/>
    <col min="10" max="11" width="11.42578125" style="222"/>
    <col min="12" max="12" width="15.5703125" style="222" customWidth="1"/>
    <col min="13" max="13" width="11.42578125" style="222"/>
    <col min="14" max="14" width="14.7109375" style="222" customWidth="1"/>
    <col min="15" max="16384" width="11.42578125" style="222"/>
  </cols>
  <sheetData>
    <row r="4" spans="1:14" x14ac:dyDescent="0.25">
      <c r="B4" s="389" t="s">
        <v>1244</v>
      </c>
    </row>
    <row r="6" spans="1:14" x14ac:dyDescent="0.25">
      <c r="B6" s="1860" t="s">
        <v>1080</v>
      </c>
      <c r="C6" s="1860"/>
      <c r="D6" s="1860"/>
      <c r="E6" s="1860"/>
      <c r="F6" s="1860"/>
      <c r="H6" s="1860" t="s">
        <v>1081</v>
      </c>
      <c r="I6" s="1860"/>
      <c r="J6" s="1860"/>
      <c r="K6" s="1860"/>
      <c r="L6" s="1860"/>
      <c r="M6" s="1860"/>
      <c r="N6" s="1860"/>
    </row>
    <row r="8" spans="1:14" ht="41.25" customHeight="1" x14ac:dyDescent="0.25">
      <c r="B8" s="678" t="s">
        <v>398</v>
      </c>
      <c r="C8" s="678" t="s">
        <v>649</v>
      </c>
      <c r="D8" s="678" t="s">
        <v>1069</v>
      </c>
      <c r="E8" s="678" t="s">
        <v>668</v>
      </c>
      <c r="F8" s="679" t="s">
        <v>1070</v>
      </c>
      <c r="H8" s="678" t="s">
        <v>398</v>
      </c>
      <c r="I8" s="678" t="s">
        <v>649</v>
      </c>
      <c r="J8" s="678" t="s">
        <v>1069</v>
      </c>
      <c r="K8" s="678" t="s">
        <v>668</v>
      </c>
      <c r="L8" s="679" t="s">
        <v>1070</v>
      </c>
      <c r="M8" s="668" t="s">
        <v>1061</v>
      </c>
      <c r="N8" s="679" t="s">
        <v>1071</v>
      </c>
    </row>
    <row r="9" spans="1:14" ht="12.75" customHeight="1" x14ac:dyDescent="0.25">
      <c r="A9" s="251">
        <f>'COSTOS - INFRA.'!H50</f>
        <v>5656894.0213923007</v>
      </c>
      <c r="B9" s="680">
        <f>'COSTOS - INFRA.'!C10</f>
        <v>1</v>
      </c>
      <c r="C9" s="1848" t="s">
        <v>1062</v>
      </c>
      <c r="D9" s="1849"/>
      <c r="E9" s="1850"/>
      <c r="F9" s="1063">
        <f>F10+F22+F41</f>
        <v>5656894.0213923007</v>
      </c>
      <c r="H9" s="1844"/>
      <c r="I9" s="1862" t="s">
        <v>1062</v>
      </c>
      <c r="J9" s="1862"/>
      <c r="K9" s="1862"/>
      <c r="L9" s="1862"/>
      <c r="M9" s="1862"/>
      <c r="N9" s="256"/>
    </row>
    <row r="10" spans="1:14" ht="32.25" customHeight="1" x14ac:dyDescent="0.25">
      <c r="B10" s="681" t="str">
        <f>'COSTOS - INFRA.'!C11</f>
        <v>1.1.</v>
      </c>
      <c r="C10" s="1851" t="str">
        <f>'COSTOS - INFRA.'!D11</f>
        <v>Instalación de un sistema controlado de producción de microalgas Espirulina.</v>
      </c>
      <c r="D10" s="1852"/>
      <c r="E10" s="1853"/>
      <c r="F10" s="1064">
        <f>F15</f>
        <v>4106244.009019</v>
      </c>
      <c r="H10" s="1844"/>
      <c r="I10" s="690" t="s">
        <v>1077</v>
      </c>
      <c r="J10" s="256"/>
      <c r="K10" s="256"/>
      <c r="L10" s="1221">
        <f>'M.O.EH'!D43</f>
        <v>786997.91509736434</v>
      </c>
      <c r="M10" s="693">
        <v>0.6</v>
      </c>
      <c r="N10" s="404">
        <f>L10*M10</f>
        <v>472198.74905841856</v>
      </c>
    </row>
    <row r="11" spans="1:14" x14ac:dyDescent="0.25">
      <c r="B11" s="684" t="str">
        <f>'COSTOS - INFRA.'!C12</f>
        <v>1.1.1.</v>
      </c>
      <c r="C11" s="1854" t="str">
        <f>'COSTOS - INFRA.'!D12</f>
        <v>Construcción de un sistema de purificación y almacenamiento de agua.</v>
      </c>
      <c r="D11" s="1855"/>
      <c r="E11" s="1856"/>
      <c r="F11" s="1065"/>
      <c r="H11" s="1844"/>
      <c r="I11" s="690" t="s">
        <v>1078</v>
      </c>
      <c r="J11" s="256"/>
      <c r="K11" s="256"/>
      <c r="L11" s="1221">
        <f>'M.O.EH'!D44</f>
        <v>627225.59025071072</v>
      </c>
      <c r="M11" s="693">
        <v>0.42</v>
      </c>
      <c r="N11" s="404">
        <f>L11*M11</f>
        <v>263434.74790529849</v>
      </c>
    </row>
    <row r="12" spans="1:14" x14ac:dyDescent="0.25">
      <c r="B12" s="1837"/>
      <c r="C12" s="682" t="str">
        <f>'COSTOS - INFRA.'!D13</f>
        <v>Captación de agua</v>
      </c>
      <c r="D12" s="683" t="str">
        <f>'COSTOS - INFRA.'!F13</f>
        <v>m2</v>
      </c>
      <c r="E12" s="683" t="str">
        <f>'COSTOS - INFRA.'!G13</f>
        <v>-</v>
      </c>
      <c r="F12" s="1066"/>
      <c r="H12" s="1844"/>
      <c r="I12" s="690" t="s">
        <v>1448</v>
      </c>
      <c r="J12" s="256"/>
      <c r="K12" s="256"/>
      <c r="L12" s="1221">
        <f>'M.O.EH'!D45</f>
        <v>282844.70106961502</v>
      </c>
      <c r="M12" s="694">
        <v>0.84699999999999998</v>
      </c>
      <c r="N12" s="404">
        <f>L12*M12</f>
        <v>239569.46180596392</v>
      </c>
    </row>
    <row r="13" spans="1:14" x14ac:dyDescent="0.25">
      <c r="B13" s="1838"/>
      <c r="C13" s="682" t="str">
        <f>'COSTOS - INFRA.'!D14</f>
        <v>Desarenador y sedimentador</v>
      </c>
      <c r="D13" s="683" t="str">
        <f>'COSTOS - INFRA.'!F14</f>
        <v>m2</v>
      </c>
      <c r="E13" s="683" t="str">
        <f>'COSTOS - INFRA.'!G14</f>
        <v>-</v>
      </c>
      <c r="F13" s="1066"/>
      <c r="H13" s="1844"/>
      <c r="I13" s="690" t="s">
        <v>1449</v>
      </c>
      <c r="J13" s="256"/>
      <c r="K13" s="256"/>
      <c r="L13" s="1221">
        <f>'M.O.EH'!D46</f>
        <v>3959825.8149746102</v>
      </c>
      <c r="M13" s="694">
        <v>0.84699999999999998</v>
      </c>
      <c r="N13" s="404">
        <f>L13*M13</f>
        <v>3353972.4652834949</v>
      </c>
    </row>
    <row r="14" spans="1:14" x14ac:dyDescent="0.25">
      <c r="B14" s="1838"/>
      <c r="C14" s="682" t="str">
        <f>'COSTOS - INFRA.'!D15</f>
        <v>Filtro lento</v>
      </c>
      <c r="D14" s="683" t="str">
        <f>'COSTOS - INFRA.'!F15</f>
        <v>Und.</v>
      </c>
      <c r="E14" s="683" t="str">
        <f>'COSTOS - INFRA.'!G15</f>
        <v>-</v>
      </c>
      <c r="F14" s="1066"/>
      <c r="G14" s="251">
        <f>F49</f>
        <v>5656894.0213923007</v>
      </c>
      <c r="H14" s="1844"/>
      <c r="I14" s="1861" t="s">
        <v>1079</v>
      </c>
      <c r="J14" s="1861"/>
      <c r="K14" s="1861"/>
      <c r="L14" s="1222">
        <f>SUM(L10:L13)</f>
        <v>5656894.0213923007</v>
      </c>
      <c r="M14" s="671"/>
      <c r="N14" s="671">
        <f>SUM(N10:N13)</f>
        <v>4329175.4240531754</v>
      </c>
    </row>
    <row r="15" spans="1:14" x14ac:dyDescent="0.25">
      <c r="B15" s="1839"/>
      <c r="C15" s="682" t="str">
        <f>'COSTOS - INFRA.'!D16</f>
        <v>Reservorio de agua tratada</v>
      </c>
      <c r="D15" s="683" t="str">
        <f>'COSTOS - INFRA.'!F16</f>
        <v>m3</v>
      </c>
      <c r="E15" s="683">
        <f>'COSTOS - INFRA.'!G16</f>
        <v>250</v>
      </c>
      <c r="F15" s="1066">
        <f>'COSTOS - INFRA.'!H17</f>
        <v>4106244.009019</v>
      </c>
      <c r="H15" s="1844"/>
      <c r="I15" s="672" t="s">
        <v>1072</v>
      </c>
      <c r="J15" s="135" t="str">
        <f>D50</f>
        <v>Glb.</v>
      </c>
      <c r="K15" s="135">
        <f>E50</f>
        <v>1</v>
      </c>
      <c r="L15" s="404">
        <f>F50</f>
        <v>1051956.0125</v>
      </c>
      <c r="M15" s="693">
        <v>0.79</v>
      </c>
      <c r="N15" s="404">
        <f>L15*M15</f>
        <v>831045.24987499998</v>
      </c>
    </row>
    <row r="16" spans="1:14" ht="25.5" x14ac:dyDescent="0.25">
      <c r="B16" s="685" t="str">
        <f>'COSTOS - INFRA.'!C17</f>
        <v>1.1.2.</v>
      </c>
      <c r="C16" s="686" t="str">
        <f>'COSTOS - INFRA.'!D17</f>
        <v>Construcción de un laboratorio de propagación de microalgas Espirulina.</v>
      </c>
      <c r="D16" s="687" t="str">
        <f>'COSTOS - INFRA.'!F17</f>
        <v>m2</v>
      </c>
      <c r="E16" s="687">
        <f>'COSTOS - INFRA.'!G17</f>
        <v>32</v>
      </c>
      <c r="F16" s="1066"/>
      <c r="H16" s="1844"/>
      <c r="I16" s="672" t="s">
        <v>1073</v>
      </c>
      <c r="J16" s="135" t="str">
        <f t="shared" ref="J16:K22" si="0">D51</f>
        <v>Glb.</v>
      </c>
      <c r="K16" s="135">
        <f t="shared" si="0"/>
        <v>1</v>
      </c>
      <c r="L16" s="404">
        <f t="shared" ref="L16:L22" si="1">F51</f>
        <v>171554.96875</v>
      </c>
      <c r="M16" s="693">
        <v>0.79</v>
      </c>
      <c r="N16" s="404">
        <f t="shared" ref="N16:N22" si="2">L16*M16</f>
        <v>135528.42531250001</v>
      </c>
    </row>
    <row r="17" spans="2:14" ht="25.5" customHeight="1" x14ac:dyDescent="0.25">
      <c r="B17" s="684" t="str">
        <f>'COSTOS - INFRA.'!C18</f>
        <v>1.1.3.</v>
      </c>
      <c r="C17" s="1854" t="str">
        <f>'COSTOS - INFRA.'!D18</f>
        <v xml:space="preserve">Construcción de un módulo tipo invernadero para la producción del microalgas Espirulina. </v>
      </c>
      <c r="D17" s="1855"/>
      <c r="E17" s="1856"/>
      <c r="F17" s="1066"/>
      <c r="H17" s="1844"/>
      <c r="I17" s="672" t="s">
        <v>1076</v>
      </c>
      <c r="J17" s="135" t="str">
        <f t="shared" si="0"/>
        <v>Glb.</v>
      </c>
      <c r="K17" s="135">
        <f t="shared" si="0"/>
        <v>1</v>
      </c>
      <c r="L17" s="404">
        <f t="shared" si="1"/>
        <v>33800.53</v>
      </c>
      <c r="M17" s="693">
        <v>0.79</v>
      </c>
      <c r="N17" s="404">
        <f t="shared" si="2"/>
        <v>26702.418700000002</v>
      </c>
    </row>
    <row r="18" spans="2:14" x14ac:dyDescent="0.25">
      <c r="B18" s="1837"/>
      <c r="C18" s="682" t="str">
        <f>'COSTOS - INFRA.'!D19</f>
        <v>Techado del Invernadero</v>
      </c>
      <c r="D18" s="683" t="str">
        <f>'COSTOS - INFRA.'!F19</f>
        <v>m2</v>
      </c>
      <c r="E18" s="683" t="str">
        <f>'COSTOS - INFRA.'!G19</f>
        <v>-</v>
      </c>
      <c r="F18" s="1066"/>
      <c r="H18" s="1844"/>
      <c r="I18" s="672" t="s">
        <v>1063</v>
      </c>
      <c r="J18" s="135" t="str">
        <f t="shared" si="0"/>
        <v>Glb.</v>
      </c>
      <c r="K18" s="135">
        <f t="shared" si="0"/>
        <v>1</v>
      </c>
      <c r="L18" s="404">
        <f t="shared" si="1"/>
        <v>440713.80452359997</v>
      </c>
      <c r="M18" s="693">
        <v>0.79</v>
      </c>
      <c r="N18" s="404">
        <f t="shared" si="2"/>
        <v>348163.90557364398</v>
      </c>
    </row>
    <row r="19" spans="2:14" x14ac:dyDescent="0.25">
      <c r="B19" s="1838"/>
      <c r="C19" s="682" t="str">
        <f>'COSTOS - INFRA.'!D20</f>
        <v>Posas grandes (50 m3 c/u)</v>
      </c>
      <c r="D19" s="683" t="str">
        <f>'COSTOS - INFRA.'!F20</f>
        <v>m3</v>
      </c>
      <c r="E19" s="683">
        <f>'COSTOS - INFRA.'!G20</f>
        <v>50</v>
      </c>
      <c r="F19" s="1066"/>
      <c r="H19" s="1844"/>
      <c r="I19" s="672" t="s">
        <v>1064</v>
      </c>
      <c r="J19" s="135" t="str">
        <f t="shared" si="0"/>
        <v>Glb.</v>
      </c>
      <c r="K19" s="135">
        <f t="shared" si="0"/>
        <v>1</v>
      </c>
      <c r="L19" s="404">
        <f t="shared" si="1"/>
        <v>1995453.1903350002</v>
      </c>
      <c r="M19" s="693">
        <v>0.79</v>
      </c>
      <c r="N19" s="404">
        <f t="shared" si="2"/>
        <v>1576408.0203646503</v>
      </c>
    </row>
    <row r="20" spans="2:14" x14ac:dyDescent="0.25">
      <c r="B20" s="1838"/>
      <c r="C20" s="682" t="str">
        <f>'COSTOS - INFRA.'!D21</f>
        <v>Posas chicas (5 m3 c/u)</v>
      </c>
      <c r="D20" s="683" t="str">
        <f>'COSTOS - INFRA.'!F21</f>
        <v>m3</v>
      </c>
      <c r="E20" s="683">
        <f>'COSTOS - INFRA.'!G21</f>
        <v>5</v>
      </c>
      <c r="F20" s="1066"/>
      <c r="H20" s="1844"/>
      <c r="I20" s="672" t="s">
        <v>1082</v>
      </c>
      <c r="J20" s="135" t="str">
        <f t="shared" si="0"/>
        <v>Taller</v>
      </c>
      <c r="K20" s="135">
        <f t="shared" si="0"/>
        <v>47</v>
      </c>
      <c r="L20" s="404">
        <f t="shared" si="1"/>
        <v>629756.81222542434</v>
      </c>
      <c r="M20" s="693">
        <v>0.79</v>
      </c>
      <c r="N20" s="404">
        <f t="shared" si="2"/>
        <v>497507.88165808527</v>
      </c>
    </row>
    <row r="21" spans="2:14" x14ac:dyDescent="0.25">
      <c r="B21" s="1839"/>
      <c r="C21" s="682" t="str">
        <f>'COSTOS - INFRA.'!D22</f>
        <v>Almacen de insumos</v>
      </c>
      <c r="D21" s="683" t="str">
        <f>'COSTOS - INFRA.'!F22</f>
        <v>m2</v>
      </c>
      <c r="E21" s="683">
        <f>'COSTOS - INFRA.'!G22</f>
        <v>40</v>
      </c>
      <c r="F21" s="1067"/>
      <c r="H21" s="1844"/>
      <c r="I21" s="672" t="s">
        <v>1074</v>
      </c>
      <c r="J21" s="135" t="str">
        <f t="shared" si="0"/>
        <v>Glb.</v>
      </c>
      <c r="K21" s="135">
        <f t="shared" si="0"/>
        <v>1</v>
      </c>
      <c r="L21" s="404">
        <f t="shared" si="1"/>
        <v>445741.45025196287</v>
      </c>
      <c r="M21" s="693">
        <v>0.79</v>
      </c>
      <c r="N21" s="404">
        <f t="shared" si="2"/>
        <v>352135.74569905066</v>
      </c>
    </row>
    <row r="22" spans="2:14" ht="25.5" customHeight="1" x14ac:dyDescent="0.25">
      <c r="B22" s="681" t="str">
        <f>'COSTOS - INFRA.'!C23</f>
        <v>1.2.</v>
      </c>
      <c r="C22" s="1851" t="str">
        <f>'COSTOS - INFRA.'!D23</f>
        <v>Instalación  de una planta modelo de procesamiento de microalgas Espirulina.</v>
      </c>
      <c r="D22" s="1852"/>
      <c r="E22" s="1853"/>
      <c r="F22" s="1064">
        <f>F23</f>
        <v>552882.57957329997</v>
      </c>
      <c r="H22" s="1844"/>
      <c r="I22" s="672" t="s">
        <v>1075</v>
      </c>
      <c r="J22" s="135" t="str">
        <f t="shared" si="0"/>
        <v>Glb.</v>
      </c>
      <c r="K22" s="135">
        <f t="shared" si="0"/>
        <v>1</v>
      </c>
      <c r="L22" s="404">
        <f t="shared" si="1"/>
        <v>616534.26666666672</v>
      </c>
      <c r="M22" s="693">
        <v>0.79</v>
      </c>
      <c r="N22" s="404">
        <f t="shared" si="2"/>
        <v>487062.07066666672</v>
      </c>
    </row>
    <row r="23" spans="2:14" ht="15" customHeight="1" x14ac:dyDescent="0.25">
      <c r="B23" s="684" t="str">
        <f>'COSTOS - INFRA.'!C24</f>
        <v>1.2.1.</v>
      </c>
      <c r="C23" s="1854" t="str">
        <f>'COSTOS - INFRA.'!D24</f>
        <v>Construcción del área de procesamiento de  microalgas Espirulina en polvo.</v>
      </c>
      <c r="D23" s="1855"/>
      <c r="E23" s="1856"/>
      <c r="F23" s="1068">
        <f>SUM(F24:F29)</f>
        <v>552882.57957329997</v>
      </c>
      <c r="H23" s="1863" t="s">
        <v>44</v>
      </c>
      <c r="I23" s="1863"/>
      <c r="J23" s="1863"/>
      <c r="K23" s="1863"/>
      <c r="L23" s="676">
        <f>SUM(L14:L22)</f>
        <v>11042405.056644956</v>
      </c>
      <c r="M23" s="676"/>
      <c r="N23" s="676">
        <f>SUM(N14:N22)</f>
        <v>8583729.1419027727</v>
      </c>
    </row>
    <row r="24" spans="2:14" x14ac:dyDescent="0.25">
      <c r="B24" s="1837"/>
      <c r="C24" s="682" t="str">
        <f>'COSTOS - INFRA.'!D25</f>
        <v>Almacén de materia prima</v>
      </c>
      <c r="D24" s="683" t="str">
        <f>'COSTOS - INFRA.'!F25</f>
        <v>m2</v>
      </c>
      <c r="E24" s="683">
        <f>'COSTOS - INFRA.'!G25</f>
        <v>35</v>
      </c>
      <c r="F24" s="1857">
        <f>'COSTOS - INFRA.'!H25</f>
        <v>552882.57957329997</v>
      </c>
      <c r="L24" s="251">
        <f>F58</f>
        <v>11042405.056644956</v>
      </c>
    </row>
    <row r="25" spans="2:14" x14ac:dyDescent="0.25">
      <c r="B25" s="1838"/>
      <c r="C25" s="682" t="str">
        <f>'COSTOS - INFRA.'!D26</f>
        <v>Sala de proceso</v>
      </c>
      <c r="D25" s="683" t="str">
        <f>'COSTOS - INFRA.'!F26</f>
        <v>m2</v>
      </c>
      <c r="E25" s="683">
        <f>'COSTOS - INFRA.'!G26</f>
        <v>86</v>
      </c>
      <c r="F25" s="1858"/>
    </row>
    <row r="26" spans="2:14" x14ac:dyDescent="0.25">
      <c r="B26" s="1838"/>
      <c r="C26" s="682" t="str">
        <f>'COSTOS - INFRA.'!D27</f>
        <v>Control de calidad</v>
      </c>
      <c r="D26" s="683" t="str">
        <f>'COSTOS - INFRA.'!F27</f>
        <v>m2</v>
      </c>
      <c r="E26" s="683">
        <f>'COSTOS - INFRA.'!G27</f>
        <v>18.5</v>
      </c>
      <c r="F26" s="1858"/>
    </row>
    <row r="27" spans="2:14" x14ac:dyDescent="0.25">
      <c r="B27" s="1838"/>
      <c r="C27" s="682" t="str">
        <f>'COSTOS - INFRA.'!D28</f>
        <v>Almacén de envases</v>
      </c>
      <c r="D27" s="683" t="str">
        <f>'COSTOS - INFRA.'!F28</f>
        <v>m2</v>
      </c>
      <c r="E27" s="683">
        <f>'COSTOS - INFRA.'!G28</f>
        <v>13.5</v>
      </c>
      <c r="F27" s="1858"/>
    </row>
    <row r="28" spans="2:14" x14ac:dyDescent="0.25">
      <c r="B28" s="1838"/>
      <c r="C28" s="682" t="str">
        <f>'COSTOS - INFRA.'!D29</f>
        <v>Área de envasado</v>
      </c>
      <c r="D28" s="683" t="str">
        <f>'COSTOS - INFRA.'!F29</f>
        <v>m2</v>
      </c>
      <c r="E28" s="683">
        <f>'COSTOS - INFRA.'!G29</f>
        <v>26</v>
      </c>
      <c r="F28" s="1858"/>
      <c r="L28" s="252"/>
    </row>
    <row r="29" spans="2:14" x14ac:dyDescent="0.25">
      <c r="B29" s="1839"/>
      <c r="C29" s="682" t="str">
        <f>'COSTOS - INFRA.'!D30</f>
        <v>Almacén de productos terminados</v>
      </c>
      <c r="D29" s="683" t="str">
        <f>'COSTOS - INFRA.'!F30</f>
        <v>m2</v>
      </c>
      <c r="E29" s="683">
        <f>'COSTOS - INFRA.'!G30</f>
        <v>16.87</v>
      </c>
      <c r="F29" s="1858"/>
    </row>
    <row r="30" spans="2:14" x14ac:dyDescent="0.25">
      <c r="B30" s="684" t="str">
        <f>'COSTOS - INFRA.'!C31</f>
        <v>1.2.2.</v>
      </c>
      <c r="C30" s="1854" t="str">
        <f>'COSTOS - INFRA.'!D31</f>
        <v>Construcción del área de higienización de la planta modelo de procesamiento.</v>
      </c>
      <c r="D30" s="1855"/>
      <c r="E30" s="1856"/>
      <c r="F30" s="1858"/>
    </row>
    <row r="31" spans="2:14" x14ac:dyDescent="0.25">
      <c r="B31" s="1837"/>
      <c r="C31" s="682" t="str">
        <f>'COSTOS - INFRA.'!D32</f>
        <v>áreas de higienización</v>
      </c>
      <c r="D31" s="688" t="str">
        <f>'COSTOS - INFRA.'!F32</f>
        <v>m2</v>
      </c>
      <c r="E31" s="688" t="str">
        <f>'COSTOS - INFRA.'!G32</f>
        <v>-</v>
      </c>
      <c r="F31" s="1858"/>
    </row>
    <row r="32" spans="2:14" x14ac:dyDescent="0.25">
      <c r="B32" s="1838"/>
      <c r="C32" s="682" t="str">
        <f>'COSTOS - INFRA.'!D33</f>
        <v>Vestuarios</v>
      </c>
      <c r="D32" s="688" t="str">
        <f>'COSTOS - INFRA.'!F33</f>
        <v>m2</v>
      </c>
      <c r="E32" s="688">
        <f>'COSTOS - INFRA.'!G33</f>
        <v>20</v>
      </c>
      <c r="F32" s="1858"/>
    </row>
    <row r="33" spans="2:7" x14ac:dyDescent="0.25">
      <c r="B33" s="1839"/>
      <c r="C33" s="682" t="str">
        <f>'COSTOS - INFRA.'!D34</f>
        <v>SS.HH</v>
      </c>
      <c r="D33" s="688" t="str">
        <f>'COSTOS - INFRA.'!F34</f>
        <v>m2</v>
      </c>
      <c r="E33" s="688">
        <f>'COSTOS - INFRA.'!G34</f>
        <v>20</v>
      </c>
      <c r="F33" s="1858"/>
    </row>
    <row r="34" spans="2:7" x14ac:dyDescent="0.25">
      <c r="B34" s="684" t="str">
        <f>'COSTOS - INFRA.'!C35</f>
        <v>1.2.3.</v>
      </c>
      <c r="C34" s="1845" t="str">
        <f>'COSTOS - INFRA.'!D35</f>
        <v>Construcción del área de servicios de la planta modelo de procesamiento.</v>
      </c>
      <c r="D34" s="1846"/>
      <c r="E34" s="1847"/>
      <c r="F34" s="1858"/>
    </row>
    <row r="35" spans="2:7" x14ac:dyDescent="0.25">
      <c r="B35" s="1837"/>
      <c r="C35" s="682" t="str">
        <f>'COSTOS - INFRA.'!D36</f>
        <v>Oficina administrativa</v>
      </c>
      <c r="D35" s="683" t="str">
        <f>'COSTOS - INFRA.'!F36</f>
        <v>m2</v>
      </c>
      <c r="E35" s="683">
        <f>'COSTOS - INFRA.'!G36</f>
        <v>23</v>
      </c>
      <c r="F35" s="1858"/>
    </row>
    <row r="36" spans="2:7" x14ac:dyDescent="0.25">
      <c r="B36" s="1838"/>
      <c r="C36" s="682" t="str">
        <f>'COSTOS - INFRA.'!D37</f>
        <v>Oficina de comercialización</v>
      </c>
      <c r="D36" s="683" t="str">
        <f>'COSTOS - INFRA.'!F37</f>
        <v>m2</v>
      </c>
      <c r="E36" s="683">
        <f>'COSTOS - INFRA.'!G37</f>
        <v>16</v>
      </c>
      <c r="F36" s="1858"/>
    </row>
    <row r="37" spans="2:7" x14ac:dyDescent="0.25">
      <c r="B37" s="1838"/>
      <c r="C37" s="682" t="str">
        <f>'COSTOS - INFRA.'!D38</f>
        <v>Sala de reuniones</v>
      </c>
      <c r="D37" s="683" t="str">
        <f>'COSTOS - INFRA.'!F38</f>
        <v>m2</v>
      </c>
      <c r="E37" s="683">
        <f>'COSTOS - INFRA.'!G38</f>
        <v>24</v>
      </c>
      <c r="F37" s="1858"/>
    </row>
    <row r="38" spans="2:7" x14ac:dyDescent="0.25">
      <c r="B38" s="1838"/>
      <c r="C38" s="682" t="str">
        <f>'COSTOS - INFRA.'!D39</f>
        <v>Guardianía</v>
      </c>
      <c r="D38" s="683" t="str">
        <f>'COSTOS - INFRA.'!F39</f>
        <v>m2</v>
      </c>
      <c r="E38" s="683">
        <f>'COSTOS - INFRA.'!G39</f>
        <v>9</v>
      </c>
      <c r="F38" s="1858"/>
    </row>
    <row r="39" spans="2:7" x14ac:dyDescent="0.25">
      <c r="B39" s="1838"/>
      <c r="C39" s="682" t="str">
        <f>'COSTOS - INFRA.'!D40</f>
        <v>Veredas</v>
      </c>
      <c r="D39" s="683" t="str">
        <f>'COSTOS - INFRA.'!F40</f>
        <v>m2</v>
      </c>
      <c r="E39" s="683" t="str">
        <f>'COSTOS - INFRA.'!G40</f>
        <v>-</v>
      </c>
      <c r="F39" s="1858"/>
    </row>
    <row r="40" spans="2:7" x14ac:dyDescent="0.25">
      <c r="B40" s="1839"/>
      <c r="C40" s="682" t="str">
        <f>'COSTOS - INFRA.'!D41</f>
        <v>Caseta de control</v>
      </c>
      <c r="D40" s="683" t="str">
        <f>'COSTOS - INFRA.'!F41</f>
        <v>m2</v>
      </c>
      <c r="E40" s="683">
        <f>'COSTOS - INFRA.'!G41</f>
        <v>2</v>
      </c>
      <c r="F40" s="1859"/>
    </row>
    <row r="41" spans="2:7" ht="25.5" customHeight="1" x14ac:dyDescent="0.25">
      <c r="B41" s="681" t="str">
        <f>'COSTOS - INFRA.'!C42</f>
        <v>1.3.</v>
      </c>
      <c r="C41" s="1851" t="str">
        <f>'COSTOS - INFRA.'!D42</f>
        <v>Instalación de módulos de producción  de alimentos  nutritivos.</v>
      </c>
      <c r="D41" s="1852"/>
      <c r="E41" s="1853"/>
      <c r="F41" s="689">
        <f>SUM(F42:F48)</f>
        <v>997767.43280000007</v>
      </c>
      <c r="G41" s="251">
        <f>SUM(F42:F48)</f>
        <v>997767.43280000007</v>
      </c>
    </row>
    <row r="42" spans="2:7" ht="25.5" customHeight="1" x14ac:dyDescent="0.25">
      <c r="B42" s="1111" t="s">
        <v>1596</v>
      </c>
      <c r="C42" s="1110" t="str">
        <f>'COSTOS - INFRA.'!D43</f>
        <v>Mejoramiento y adecuación de la planta piloto de procesamiento de frutas y hortalizas</v>
      </c>
      <c r="D42" s="1512">
        <f>'COSTOS - INFRA.'!E43</f>
        <v>1</v>
      </c>
      <c r="E42" s="1512" t="str">
        <f>'COSTOS - INFRA.'!F43</f>
        <v>Und.</v>
      </c>
      <c r="F42" s="1476">
        <f>'COSTOS - INFRA.'!H43</f>
        <v>82000</v>
      </c>
      <c r="G42" s="251"/>
    </row>
    <row r="43" spans="2:7" ht="38.25" customHeight="1" x14ac:dyDescent="0.25">
      <c r="B43" s="1113" t="s">
        <v>598</v>
      </c>
      <c r="C43" s="1110" t="str">
        <f>'COSTOS - INFRA.'!D44</f>
        <v>Módulo de invernaderos o fitotoldo  para producción de hortalizas</v>
      </c>
      <c r="D43" s="1109" t="str">
        <f>'COSTOS - INFRA.'!F44</f>
        <v>Und.</v>
      </c>
      <c r="E43" s="1109">
        <f>'COSTOS - INFRA.'!G44</f>
        <v>2550</v>
      </c>
      <c r="F43" s="1062">
        <f>'COSTOS - INFRA.'!H44</f>
        <v>872718.55</v>
      </c>
      <c r="G43" s="251"/>
    </row>
    <row r="44" spans="2:7" ht="25.5" x14ac:dyDescent="0.25">
      <c r="B44" s="1111" t="s">
        <v>1645</v>
      </c>
      <c r="C44" s="1114" t="str">
        <f>'COSTOS - INFRA.'!D45</f>
        <v>Módulo demostrativo de sistema de riego por goteo para la producción de hortalizas</v>
      </c>
      <c r="D44" s="1115" t="str">
        <f>'COSTOS - INFRA.'!F45</f>
        <v>Und.</v>
      </c>
      <c r="E44" s="1115" t="str">
        <f>'COSTOS - INFRA.'!G45</f>
        <v>-</v>
      </c>
      <c r="F44" s="1116">
        <f>'COSTOS - INFRA.'!H45</f>
        <v>23248.882799999999</v>
      </c>
      <c r="G44" s="251"/>
    </row>
    <row r="45" spans="2:7" ht="25.5" x14ac:dyDescent="0.25">
      <c r="B45" s="1113" t="s">
        <v>1646</v>
      </c>
      <c r="C45" s="1114" t="str">
        <f>'COSTOS - INFRA.'!D46</f>
        <v>Módulo demostrativo de producción de abonos orgánicos para la producción de hortalizas</v>
      </c>
      <c r="D45" s="1115" t="str">
        <f>'COSTOS - INFRA.'!F46</f>
        <v>m2</v>
      </c>
      <c r="E45" s="1115">
        <f>'COSTOS - INFRA.'!G46</f>
        <v>350</v>
      </c>
      <c r="F45" s="1116">
        <f>'COSTOS - INFRA.'!H46</f>
        <v>990</v>
      </c>
    </row>
    <row r="46" spans="2:7" ht="25.5" x14ac:dyDescent="0.25">
      <c r="B46" s="1111" t="s">
        <v>1647</v>
      </c>
      <c r="C46" s="1114" t="str">
        <f>'COSTOS - INFRA.'!D47</f>
        <v xml:space="preserve">Módulo demostrativo de camas almacigueras para la producción de almácigos de hortalizas </v>
      </c>
      <c r="D46" s="1115" t="str">
        <f>'COSTOS - INFRA.'!F47</f>
        <v>m2</v>
      </c>
      <c r="E46" s="1115">
        <f>'COSTOS - INFRA.'!G47</f>
        <v>350</v>
      </c>
      <c r="F46" s="1116">
        <f>'COSTOS - INFRA.'!H47</f>
        <v>17160</v>
      </c>
    </row>
    <row r="47" spans="2:7" ht="25.5" x14ac:dyDescent="0.25">
      <c r="B47" s="1113" t="s">
        <v>1648</v>
      </c>
      <c r="C47" s="1114" t="str">
        <f>'COSTOS - INFRA.'!D48</f>
        <v>Módulo demostrativo de producción de almácigos de hortalizas  para el fitotoldo  o invernadero</v>
      </c>
      <c r="D47" s="1115" t="str">
        <f>'COSTOS - INFRA.'!F48</f>
        <v>m2</v>
      </c>
      <c r="E47" s="1115">
        <f>'COSTOS - INFRA.'!G48</f>
        <v>350</v>
      </c>
      <c r="F47" s="1116">
        <f>'COSTOS - INFRA.'!H48</f>
        <v>825</v>
      </c>
    </row>
    <row r="48" spans="2:7" ht="25.5" x14ac:dyDescent="0.25">
      <c r="B48" s="1111" t="s">
        <v>1917</v>
      </c>
      <c r="C48" s="1114" t="str">
        <f>'COSTOS - INFRA.'!D49</f>
        <v>Módulo demostrativo de producción de hortalizas en campo definitivo bajo invernadero o fitotoldo</v>
      </c>
      <c r="D48" s="1115" t="str">
        <f>'COSTOS - INFRA.'!F49</f>
        <v>m2</v>
      </c>
      <c r="E48" s="1115">
        <f>'COSTOS - INFRA.'!G49</f>
        <v>350</v>
      </c>
      <c r="F48" s="1116">
        <f>'COSTOS - INFRA.'!H49</f>
        <v>825</v>
      </c>
    </row>
    <row r="49" spans="2:7" x14ac:dyDescent="0.25">
      <c r="B49" s="669"/>
      <c r="C49" s="670" t="s">
        <v>1079</v>
      </c>
      <c r="D49" s="670"/>
      <c r="E49" s="670"/>
      <c r="F49" s="671">
        <f>F9</f>
        <v>5656894.0213923007</v>
      </c>
      <c r="G49" s="251">
        <f>'COSTOS - INFRA.'!H50</f>
        <v>5656894.0213923007</v>
      </c>
    </row>
    <row r="50" spans="2:7" x14ac:dyDescent="0.25">
      <c r="B50" s="1843"/>
      <c r="C50" s="672" t="s">
        <v>1072</v>
      </c>
      <c r="D50" s="351" t="s">
        <v>411</v>
      </c>
      <c r="E50" s="351">
        <v>1</v>
      </c>
      <c r="F50" s="673">
        <f>'G.G.'!D17</f>
        <v>1051956.0125</v>
      </c>
    </row>
    <row r="51" spans="2:7" x14ac:dyDescent="0.25">
      <c r="B51" s="1843"/>
      <c r="C51" s="672" t="s">
        <v>1073</v>
      </c>
      <c r="D51" s="351" t="s">
        <v>411</v>
      </c>
      <c r="E51" s="674">
        <v>1</v>
      </c>
      <c r="F51" s="673">
        <f>'COSTOS - E.T.'!D17</f>
        <v>171554.96875</v>
      </c>
    </row>
    <row r="52" spans="2:7" x14ac:dyDescent="0.25">
      <c r="B52" s="1843"/>
      <c r="C52" s="672" t="s">
        <v>1076</v>
      </c>
      <c r="D52" s="351" t="s">
        <v>411</v>
      </c>
      <c r="E52" s="674">
        <v>1</v>
      </c>
      <c r="F52" s="673">
        <f>'C. LIQU.'!E22</f>
        <v>33800.53</v>
      </c>
    </row>
    <row r="53" spans="2:7" x14ac:dyDescent="0.25">
      <c r="B53" s="1843"/>
      <c r="C53" s="672" t="s">
        <v>1063</v>
      </c>
      <c r="D53" s="351" t="s">
        <v>411</v>
      </c>
      <c r="E53" s="674">
        <v>1</v>
      </c>
      <c r="F53" s="646">
        <f>'COSTOS DE MIT. AMB.'!G46</f>
        <v>440713.80452359997</v>
      </c>
    </row>
    <row r="54" spans="2:7" x14ac:dyDescent="0.25">
      <c r="B54" s="1843"/>
      <c r="C54" s="672" t="s">
        <v>1064</v>
      </c>
      <c r="D54" s="351" t="s">
        <v>411</v>
      </c>
      <c r="E54" s="675">
        <v>1</v>
      </c>
      <c r="F54" s="646">
        <f>'COSTOS - EQUIP.'!G405</f>
        <v>1995453.1903350002</v>
      </c>
    </row>
    <row r="55" spans="2:7" x14ac:dyDescent="0.25">
      <c r="B55" s="1843"/>
      <c r="C55" s="672" t="s">
        <v>1082</v>
      </c>
      <c r="D55" s="351" t="s">
        <v>1065</v>
      </c>
      <c r="E55" s="692">
        <v>47</v>
      </c>
      <c r="F55" s="646">
        <f>'COSTOS - CAPACI - 3,4 Y 5.'!H658</f>
        <v>629756.81222542434</v>
      </c>
    </row>
    <row r="56" spans="2:7" x14ac:dyDescent="0.25">
      <c r="B56" s="1843"/>
      <c r="C56" s="672" t="s">
        <v>1074</v>
      </c>
      <c r="D56" s="351" t="s">
        <v>411</v>
      </c>
      <c r="E56" s="674">
        <v>1</v>
      </c>
      <c r="F56" s="673">
        <f>'COSTOS DE GESTIÓN DE Py'!D18</f>
        <v>445741.45025196287</v>
      </c>
    </row>
    <row r="57" spans="2:7" x14ac:dyDescent="0.25">
      <c r="B57" s="1843"/>
      <c r="C57" s="672" t="s">
        <v>1075</v>
      </c>
      <c r="D57" s="351" t="s">
        <v>411</v>
      </c>
      <c r="E57" s="674">
        <v>1</v>
      </c>
      <c r="F57" s="673">
        <f>'C. SUP.'!D18</f>
        <v>616534.26666666672</v>
      </c>
    </row>
    <row r="58" spans="2:7" ht="15" customHeight="1" x14ac:dyDescent="0.25">
      <c r="B58" s="1840" t="s">
        <v>44</v>
      </c>
      <c r="C58" s="1841"/>
      <c r="D58" s="1841"/>
      <c r="E58" s="1842"/>
      <c r="F58" s="676">
        <f>SUM(F49:F57)</f>
        <v>11042405.056644956</v>
      </c>
    </row>
    <row r="59" spans="2:7" x14ac:dyDescent="0.2">
      <c r="B59" s="677"/>
      <c r="C59" s="677"/>
      <c r="D59" s="677"/>
      <c r="E59" s="677"/>
      <c r="F59" s="677"/>
    </row>
    <row r="60" spans="2:7" x14ac:dyDescent="0.2">
      <c r="B60" s="677"/>
      <c r="C60" s="677"/>
      <c r="D60" s="677"/>
      <c r="E60" s="677"/>
      <c r="F60" s="677"/>
    </row>
  </sheetData>
  <mergeCells count="23">
    <mergeCell ref="H6:N6"/>
    <mergeCell ref="I14:K14"/>
    <mergeCell ref="I9:M9"/>
    <mergeCell ref="H23:K23"/>
    <mergeCell ref="C10:E10"/>
    <mergeCell ref="C22:E22"/>
    <mergeCell ref="B6:F6"/>
    <mergeCell ref="B12:B15"/>
    <mergeCell ref="B18:B21"/>
    <mergeCell ref="B24:B29"/>
    <mergeCell ref="B58:E58"/>
    <mergeCell ref="B50:B57"/>
    <mergeCell ref="H9:H22"/>
    <mergeCell ref="C34:E34"/>
    <mergeCell ref="C9:E9"/>
    <mergeCell ref="B31:B33"/>
    <mergeCell ref="B35:B40"/>
    <mergeCell ref="C41:E41"/>
    <mergeCell ref="C11:E11"/>
    <mergeCell ref="C17:E17"/>
    <mergeCell ref="C23:E23"/>
    <mergeCell ref="C30:E30"/>
    <mergeCell ref="F24:F40"/>
  </mergeCells>
  <phoneticPr fontId="59" type="noConversion"/>
  <pageMargins left="0.7" right="0.7" top="0.75" bottom="0.75" header="0.3" footer="0.3"/>
  <pageSetup scale="61" orientation="portrait" horizontalDpi="4294967295" verticalDpi="4294967295" r:id="rId1"/>
  <colBreaks count="1" manualBreakCount="1">
    <brk id="6" max="1048575" man="1"/>
  </colBreaks>
  <ignoredErrors>
    <ignoredError sqref="C10 B10:B11 C11:C40 B16:B17 B22:B23 B30 B34 B41 D18:E21 D12:E16 D24:E29 D31:E33 D35:E40 F24 F23 F15 F10 C43:F48 C41:C42 F42 D42:E42" unlocked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D1A0-480B-470E-8457-81EC629F2DED}">
  <sheetPr>
    <tabColor theme="6" tint="-0.249977111117893"/>
  </sheetPr>
  <dimension ref="A1:Z464"/>
  <sheetViews>
    <sheetView view="pageBreakPreview" zoomScale="80" zoomScaleNormal="100" zoomScaleSheetLayoutView="80" workbookViewId="0">
      <selection activeCell="G7" sqref="G7"/>
    </sheetView>
  </sheetViews>
  <sheetFormatPr baseColWidth="10" defaultRowHeight="15" x14ac:dyDescent="0.25"/>
  <cols>
    <col min="1" max="1" width="11.42578125" style="276"/>
    <col min="2" max="2" width="24" style="5" customWidth="1"/>
    <col min="3" max="3" width="19.85546875" style="5" customWidth="1"/>
    <col min="4" max="13" width="15.7109375" style="5" customWidth="1"/>
    <col min="14" max="14" width="12" style="5" bestFit="1" customWidth="1"/>
    <col min="15" max="15" width="24.85546875" style="5" customWidth="1"/>
    <col min="16" max="16" width="19.140625" style="5" customWidth="1"/>
    <col min="17" max="16384" width="11.42578125" style="5"/>
  </cols>
  <sheetData>
    <row r="1" spans="2:26" s="276" customFormat="1" x14ac:dyDescent="0.25"/>
    <row r="2" spans="2:26" s="276" customFormat="1" x14ac:dyDescent="0.25"/>
    <row r="3" spans="2:26" ht="15.75" x14ac:dyDescent="0.25">
      <c r="B3" s="1871" t="s">
        <v>1774</v>
      </c>
      <c r="C3" s="1871"/>
      <c r="D3" s="1871"/>
      <c r="E3" s="1871"/>
      <c r="F3" s="1871"/>
      <c r="G3" s="1871"/>
      <c r="H3" s="1871"/>
      <c r="I3" s="1871"/>
      <c r="J3" s="1871"/>
      <c r="K3" s="276"/>
      <c r="L3" s="276"/>
      <c r="M3" s="276"/>
      <c r="N3" s="276"/>
      <c r="O3" s="1872" t="s">
        <v>1775</v>
      </c>
      <c r="P3" s="1872"/>
      <c r="Q3" s="1872"/>
      <c r="R3" s="1872"/>
      <c r="S3" s="1872"/>
      <c r="T3" s="1872"/>
      <c r="U3" s="1872"/>
      <c r="V3" s="1872"/>
      <c r="W3" s="1872"/>
      <c r="X3" s="276"/>
      <c r="Y3" s="276"/>
      <c r="Z3" s="276"/>
    </row>
    <row r="4" spans="2:26" ht="63.75" x14ac:dyDescent="0.25">
      <c r="B4" s="1338" t="s">
        <v>1776</v>
      </c>
      <c r="C4" s="1338" t="s">
        <v>1777</v>
      </c>
      <c r="D4" s="1338" t="s">
        <v>1088</v>
      </c>
      <c r="E4" s="1339" t="s">
        <v>1778</v>
      </c>
      <c r="F4" s="1339" t="s">
        <v>1779</v>
      </c>
      <c r="G4" s="1339" t="s">
        <v>1802</v>
      </c>
      <c r="H4" s="1339" t="s">
        <v>1803</v>
      </c>
      <c r="I4" s="1339" t="s">
        <v>1780</v>
      </c>
      <c r="J4" s="1339" t="s">
        <v>1781</v>
      </c>
      <c r="K4" s="276"/>
      <c r="L4" s="276"/>
      <c r="M4" s="276"/>
      <c r="N4" s="276"/>
      <c r="O4" s="1338" t="s">
        <v>1776</v>
      </c>
      <c r="P4" s="1338" t="s">
        <v>1777</v>
      </c>
      <c r="Q4" s="1338" t="s">
        <v>1088</v>
      </c>
      <c r="R4" s="1339" t="s">
        <v>1778</v>
      </c>
      <c r="S4" s="1339" t="s">
        <v>1779</v>
      </c>
      <c r="T4" s="1339" t="s">
        <v>1802</v>
      </c>
      <c r="U4" s="1339" t="s">
        <v>1803</v>
      </c>
      <c r="V4" s="1339" t="s">
        <v>1780</v>
      </c>
      <c r="W4" s="1339" t="s">
        <v>1781</v>
      </c>
      <c r="X4" s="276"/>
      <c r="Y4" s="276"/>
      <c r="Z4" s="276"/>
    </row>
    <row r="5" spans="2:26" ht="15" customHeight="1" x14ac:dyDescent="0.25">
      <c r="B5" s="1876" t="s">
        <v>1782</v>
      </c>
      <c r="C5" s="1877"/>
      <c r="D5" s="1878"/>
      <c r="E5" s="1340">
        <f>+E6+E10</f>
        <v>3510</v>
      </c>
      <c r="F5" s="1340">
        <f>+F6+F10</f>
        <v>64200</v>
      </c>
      <c r="G5" s="1340"/>
      <c r="H5" s="1340">
        <f t="shared" ref="H5" si="0">+H6+H10</f>
        <v>58391.76</v>
      </c>
      <c r="I5" s="1377"/>
      <c r="J5" s="1873" t="s">
        <v>1783</v>
      </c>
      <c r="K5" s="276"/>
      <c r="L5" s="276"/>
      <c r="M5" s="276"/>
      <c r="N5" s="276"/>
      <c r="O5" s="1374" t="s">
        <v>1782</v>
      </c>
      <c r="P5" s="1375"/>
      <c r="Q5" s="1376"/>
      <c r="R5" s="1340">
        <f>+R6+R10</f>
        <v>4070</v>
      </c>
      <c r="S5" s="1340">
        <f>+S6+S10</f>
        <v>80520</v>
      </c>
      <c r="T5" s="1340"/>
      <c r="U5" s="1340">
        <f t="shared" ref="U5" si="1">+U6+U10</f>
        <v>64083.600000000006</v>
      </c>
      <c r="V5" s="1341"/>
      <c r="W5" s="1873" t="str">
        <f>J5</f>
        <v>Actas de compromiso de la DIREPRO</v>
      </c>
      <c r="X5" s="276"/>
      <c r="Y5" s="276"/>
      <c r="Z5" s="276"/>
    </row>
    <row r="6" spans="2:26" x14ac:dyDescent="0.25">
      <c r="B6" s="1876" t="s">
        <v>1784</v>
      </c>
      <c r="C6" s="1877"/>
      <c r="D6" s="1878"/>
      <c r="E6" s="1342">
        <f>SUM(E7:E9)</f>
        <v>3470</v>
      </c>
      <c r="F6" s="1342">
        <f>SUM(F7:F9)</f>
        <v>63720</v>
      </c>
      <c r="G6" s="1342"/>
      <c r="H6" s="1342">
        <f t="shared" ref="H6" si="2">SUM(H7:H9)</f>
        <v>57985.200000000004</v>
      </c>
      <c r="I6" s="1378"/>
      <c r="J6" s="1874"/>
      <c r="K6" s="276"/>
      <c r="L6" s="276"/>
      <c r="M6" s="276"/>
      <c r="N6" s="276"/>
      <c r="O6" s="1374" t="s">
        <v>1784</v>
      </c>
      <c r="P6" s="1375"/>
      <c r="Q6" s="1376"/>
      <c r="R6" s="1342">
        <f>SUM(R7:R9)</f>
        <v>3470</v>
      </c>
      <c r="S6" s="1342">
        <f>SUM(S7:S9)</f>
        <v>73320</v>
      </c>
      <c r="T6" s="1342"/>
      <c r="U6" s="1342">
        <f t="shared" ref="U6" si="3">SUM(U7:U9)</f>
        <v>57985.200000000004</v>
      </c>
      <c r="V6" s="1343"/>
      <c r="W6" s="1874"/>
      <c r="X6" s="276"/>
      <c r="Y6" s="276"/>
      <c r="Z6" s="276"/>
    </row>
    <row r="7" spans="2:26" x14ac:dyDescent="0.25">
      <c r="B7" s="1344" t="s">
        <v>1785</v>
      </c>
      <c r="C7" s="1345" t="s">
        <v>1785</v>
      </c>
      <c r="D7" s="1345">
        <v>1</v>
      </c>
      <c r="E7" s="1346">
        <v>1350</v>
      </c>
      <c r="F7" s="1347">
        <f>(D7*E7)*12</f>
        <v>16200</v>
      </c>
      <c r="G7" s="1381">
        <v>0.91</v>
      </c>
      <c r="H7" s="1347">
        <f>F7*G7</f>
        <v>14742</v>
      </c>
      <c r="I7" s="1379" t="s">
        <v>1786</v>
      </c>
      <c r="J7" s="1874"/>
      <c r="K7" s="276"/>
      <c r="L7" s="276"/>
      <c r="M7" s="276"/>
      <c r="N7" s="276"/>
      <c r="O7" s="1344" t="str">
        <f>B7</f>
        <v>Director (a)</v>
      </c>
      <c r="P7" s="1345" t="s">
        <v>1785</v>
      </c>
      <c r="Q7" s="1345">
        <v>1</v>
      </c>
      <c r="R7" s="1346">
        <v>1350</v>
      </c>
      <c r="S7" s="1347">
        <f>(Q7*R7)*12</f>
        <v>16200</v>
      </c>
      <c r="T7" s="1381">
        <v>0.91</v>
      </c>
      <c r="U7" s="1347">
        <f>S7*T7</f>
        <v>14742</v>
      </c>
      <c r="V7" s="1344" t="str">
        <f>I7</f>
        <v>DIREPRO</v>
      </c>
      <c r="W7" s="1874"/>
      <c r="X7" s="276"/>
      <c r="Y7" s="276"/>
      <c r="Z7" s="276"/>
    </row>
    <row r="8" spans="2:26" x14ac:dyDescent="0.25">
      <c r="B8" s="1344" t="s">
        <v>1787</v>
      </c>
      <c r="C8" s="1345" t="s">
        <v>1801</v>
      </c>
      <c r="D8" s="1345">
        <v>3</v>
      </c>
      <c r="E8" s="1346">
        <v>1320</v>
      </c>
      <c r="F8" s="1347">
        <f>(D8*E8)*12</f>
        <v>47520</v>
      </c>
      <c r="G8" s="1381">
        <v>0.91</v>
      </c>
      <c r="H8" s="1347">
        <f>F8*G8</f>
        <v>43243.200000000004</v>
      </c>
      <c r="I8" s="1379" t="s">
        <v>1786</v>
      </c>
      <c r="J8" s="1874"/>
      <c r="K8" s="276"/>
      <c r="L8" s="276"/>
      <c r="M8" s="276"/>
      <c r="N8" s="276"/>
      <c r="O8" s="1344" t="str">
        <f>B8</f>
        <v>Personal nombrado nombrados</v>
      </c>
      <c r="P8" s="1345" t="s">
        <v>1801</v>
      </c>
      <c r="Q8" s="1345">
        <v>3</v>
      </c>
      <c r="R8" s="1346">
        <v>1320</v>
      </c>
      <c r="S8" s="1347">
        <f>(Q8*R8)*12</f>
        <v>47520</v>
      </c>
      <c r="T8" s="1381">
        <v>0.91</v>
      </c>
      <c r="U8" s="1347">
        <f t="shared" ref="U8:U16" si="4">S8*T8</f>
        <v>43243.200000000004</v>
      </c>
      <c r="V8" s="1344" t="str">
        <f>I8</f>
        <v>DIREPRO</v>
      </c>
      <c r="W8" s="1874"/>
      <c r="X8" s="276"/>
      <c r="Y8" s="276"/>
      <c r="Z8" s="276"/>
    </row>
    <row r="9" spans="2:26" x14ac:dyDescent="0.25">
      <c r="B9" s="1344" t="s">
        <v>1788</v>
      </c>
      <c r="C9" s="1345" t="s">
        <v>1128</v>
      </c>
      <c r="D9" s="1345">
        <v>0</v>
      </c>
      <c r="E9" s="1346">
        <v>800</v>
      </c>
      <c r="F9" s="1347">
        <f>(D9*E9)*12</f>
        <v>0</v>
      </c>
      <c r="G9" s="1347"/>
      <c r="H9" s="1347"/>
      <c r="I9" s="1379" t="s">
        <v>1786</v>
      </c>
      <c r="J9" s="1874"/>
      <c r="K9" s="276"/>
      <c r="L9" s="276"/>
      <c r="M9" s="276"/>
      <c r="N9" s="276"/>
      <c r="O9" s="1344" t="str">
        <f>B9</f>
        <v>Personal administrativo</v>
      </c>
      <c r="P9" s="1345" t="s">
        <v>1128</v>
      </c>
      <c r="Q9" s="1345">
        <v>1</v>
      </c>
      <c r="R9" s="1346">
        <v>800</v>
      </c>
      <c r="S9" s="1347">
        <f>(Q9*R9)*12</f>
        <v>9600</v>
      </c>
      <c r="T9" s="1347"/>
      <c r="U9" s="1347">
        <f t="shared" si="4"/>
        <v>0</v>
      </c>
      <c r="V9" s="1344" t="str">
        <f>I9</f>
        <v>DIREPRO</v>
      </c>
      <c r="W9" s="1874"/>
      <c r="X9" s="276"/>
      <c r="Y9" s="276"/>
      <c r="Z9" s="276"/>
    </row>
    <row r="10" spans="2:26" x14ac:dyDescent="0.25">
      <c r="B10" s="1876" t="s">
        <v>1789</v>
      </c>
      <c r="C10" s="1877"/>
      <c r="D10" s="1878"/>
      <c r="E10" s="1342">
        <f>SUM(E11:E12)</f>
        <v>40</v>
      </c>
      <c r="F10" s="1342">
        <f>SUM(F11:F12)</f>
        <v>480</v>
      </c>
      <c r="G10" s="1342"/>
      <c r="H10" s="1342">
        <f t="shared" ref="H10" si="5">SUM(H11:H12)</f>
        <v>406.56</v>
      </c>
      <c r="I10" s="1379"/>
      <c r="J10" s="1874"/>
      <c r="K10" s="276"/>
      <c r="L10" s="276"/>
      <c r="M10" s="276"/>
      <c r="N10" s="276"/>
      <c r="O10" s="1374" t="s">
        <v>1789</v>
      </c>
      <c r="P10" s="1375"/>
      <c r="Q10" s="1376"/>
      <c r="R10" s="1342">
        <f>SUM(R11:R12)</f>
        <v>600</v>
      </c>
      <c r="S10" s="1342">
        <f>SUM(S11:S12)</f>
        <v>7200</v>
      </c>
      <c r="T10" s="1342"/>
      <c r="U10" s="1342">
        <f t="shared" ref="U10" si="6">SUM(U11:U12)</f>
        <v>6098.4</v>
      </c>
      <c r="V10" s="1344"/>
      <c r="W10" s="1874"/>
      <c r="X10" s="276"/>
      <c r="Y10" s="276"/>
      <c r="Z10" s="276"/>
    </row>
    <row r="11" spans="2:26" x14ac:dyDescent="0.25">
      <c r="B11" s="1344" t="s">
        <v>1790</v>
      </c>
      <c r="C11" s="1345" t="s">
        <v>1103</v>
      </c>
      <c r="D11" s="1345">
        <v>1</v>
      </c>
      <c r="E11" s="1346">
        <v>10</v>
      </c>
      <c r="F11" s="1347">
        <f>(D11*E11)*12</f>
        <v>120</v>
      </c>
      <c r="G11" s="1381">
        <v>0.84699999999999998</v>
      </c>
      <c r="H11" s="1347">
        <f>F11*G11</f>
        <v>101.64</v>
      </c>
      <c r="I11" s="1379" t="s">
        <v>1786</v>
      </c>
      <c r="J11" s="1874"/>
      <c r="K11" s="276"/>
      <c r="L11" s="276"/>
      <c r="M11" s="276"/>
      <c r="N11" s="276"/>
      <c r="O11" s="1344" t="s">
        <v>1790</v>
      </c>
      <c r="P11" s="1345" t="s">
        <v>1103</v>
      </c>
      <c r="Q11" s="1345">
        <v>1</v>
      </c>
      <c r="R11" s="1346">
        <v>100</v>
      </c>
      <c r="S11" s="1347">
        <f>(Q11*R11)*12</f>
        <v>1200</v>
      </c>
      <c r="T11" s="1381">
        <v>0.84699999999999998</v>
      </c>
      <c r="U11" s="1380">
        <f t="shared" si="4"/>
        <v>1016.4</v>
      </c>
      <c r="V11" s="1344" t="str">
        <f>I11</f>
        <v>DIREPRO</v>
      </c>
      <c r="W11" s="1874"/>
      <c r="X11" s="276"/>
      <c r="Y11" s="276"/>
      <c r="Z11" s="276"/>
    </row>
    <row r="12" spans="2:26" x14ac:dyDescent="0.25">
      <c r="B12" s="1344" t="s">
        <v>1791</v>
      </c>
      <c r="C12" s="1345" t="s">
        <v>1103</v>
      </c>
      <c r="D12" s="1345">
        <v>1</v>
      </c>
      <c r="E12" s="1346">
        <v>30</v>
      </c>
      <c r="F12" s="1347">
        <f>(D12*E12)*12</f>
        <v>360</v>
      </c>
      <c r="G12" s="1381">
        <v>0.84699999999999998</v>
      </c>
      <c r="H12" s="1347">
        <f t="shared" ref="H12:H15" si="7">F12*G12</f>
        <v>304.92</v>
      </c>
      <c r="I12" s="1379" t="s">
        <v>1786</v>
      </c>
      <c r="J12" s="1874"/>
      <c r="K12" s="276"/>
      <c r="L12" s="276"/>
      <c r="M12" s="276"/>
      <c r="N12" s="276"/>
      <c r="O12" s="1344" t="s">
        <v>1791</v>
      </c>
      <c r="P12" s="1345" t="s">
        <v>1103</v>
      </c>
      <c r="Q12" s="1345">
        <v>1</v>
      </c>
      <c r="R12" s="1346">
        <v>500</v>
      </c>
      <c r="S12" s="1347">
        <f>(Q12*R12)*12</f>
        <v>6000</v>
      </c>
      <c r="T12" s="1381">
        <v>0.84699999999999998</v>
      </c>
      <c r="U12" s="1380">
        <f t="shared" si="4"/>
        <v>5082</v>
      </c>
      <c r="V12" s="1344" t="str">
        <f>I12</f>
        <v>DIREPRO</v>
      </c>
      <c r="W12" s="1874"/>
      <c r="X12" s="276"/>
      <c r="Y12" s="276"/>
      <c r="Z12" s="276"/>
    </row>
    <row r="13" spans="2:26" ht="15" customHeight="1" x14ac:dyDescent="0.25">
      <c r="B13" s="1876" t="s">
        <v>1792</v>
      </c>
      <c r="C13" s="1877"/>
      <c r="D13" s="1878"/>
      <c r="E13" s="1342">
        <f>SUM(E14:E15)</f>
        <v>55</v>
      </c>
      <c r="F13" s="1342">
        <f>SUM(F14:F15)</f>
        <v>550</v>
      </c>
      <c r="G13" s="1342"/>
      <c r="H13" s="1342">
        <f t="shared" ref="H13" si="8">SUM(H14:H15)</f>
        <v>465.85</v>
      </c>
      <c r="I13" s="1341"/>
      <c r="J13" s="1874"/>
      <c r="K13" s="276"/>
      <c r="L13" s="276"/>
      <c r="M13" s="276"/>
      <c r="N13" s="276"/>
      <c r="O13" s="1374" t="s">
        <v>1792</v>
      </c>
      <c r="P13" s="1375"/>
      <c r="Q13" s="1376"/>
      <c r="R13" s="1342">
        <f>SUM(R14:R16)</f>
        <v>260</v>
      </c>
      <c r="S13" s="1342">
        <f>SUM(S14:S16)</f>
        <v>2600</v>
      </c>
      <c r="T13" s="1342"/>
      <c r="U13" s="1342">
        <f t="shared" ref="U13" si="9">SUM(U14:U16)</f>
        <v>931.7</v>
      </c>
      <c r="V13" s="1341"/>
      <c r="W13" s="1874"/>
      <c r="X13" s="276"/>
      <c r="Y13" s="276"/>
      <c r="Z13" s="276"/>
    </row>
    <row r="14" spans="2:26" x14ac:dyDescent="0.25">
      <c r="B14" s="1344" t="s">
        <v>1793</v>
      </c>
      <c r="C14" s="1345" t="s">
        <v>1103</v>
      </c>
      <c r="D14" s="1345">
        <v>1</v>
      </c>
      <c r="E14" s="1346">
        <v>20</v>
      </c>
      <c r="F14" s="1346">
        <f>+E14*10</f>
        <v>200</v>
      </c>
      <c r="G14" s="1381">
        <v>0.84699999999999998</v>
      </c>
      <c r="H14" s="1347">
        <f t="shared" si="7"/>
        <v>169.4</v>
      </c>
      <c r="I14" s="1348" t="s">
        <v>1794</v>
      </c>
      <c r="J14" s="1874"/>
      <c r="K14" s="276"/>
      <c r="L14" s="276"/>
      <c r="M14" s="276"/>
      <c r="N14" s="276"/>
      <c r="O14" s="1344" t="s">
        <v>1793</v>
      </c>
      <c r="P14" s="1345" t="s">
        <v>1103</v>
      </c>
      <c r="Q14" s="1345">
        <v>1</v>
      </c>
      <c r="R14" s="1346">
        <v>70</v>
      </c>
      <c r="S14" s="1346">
        <f>+R14*10</f>
        <v>700</v>
      </c>
      <c r="T14" s="1381">
        <v>0.84699999999999998</v>
      </c>
      <c r="U14" s="1347">
        <f t="shared" si="4"/>
        <v>592.9</v>
      </c>
      <c r="V14" s="1348" t="s">
        <v>1795</v>
      </c>
      <c r="W14" s="1874"/>
      <c r="X14" s="276"/>
      <c r="Y14" s="276"/>
      <c r="Z14" s="276"/>
    </row>
    <row r="15" spans="2:26" x14ac:dyDescent="0.25">
      <c r="B15" s="1344" t="s">
        <v>1796</v>
      </c>
      <c r="C15" s="1345" t="s">
        <v>1103</v>
      </c>
      <c r="D15" s="1345">
        <v>1</v>
      </c>
      <c r="E15" s="1349">
        <v>35</v>
      </c>
      <c r="F15" s="1346">
        <f>+E15*10</f>
        <v>350</v>
      </c>
      <c r="G15" s="1381">
        <v>0.84699999999999998</v>
      </c>
      <c r="H15" s="1347">
        <f t="shared" si="7"/>
        <v>296.45</v>
      </c>
      <c r="I15" s="1348" t="s">
        <v>1794</v>
      </c>
      <c r="J15" s="1874"/>
      <c r="K15" s="276"/>
      <c r="L15" s="276"/>
      <c r="M15" s="276"/>
      <c r="N15" s="276"/>
      <c r="O15" s="1344" t="s">
        <v>1796</v>
      </c>
      <c r="P15" s="1345" t="s">
        <v>1103</v>
      </c>
      <c r="Q15" s="1345">
        <v>1</v>
      </c>
      <c r="R15" s="1349">
        <v>40</v>
      </c>
      <c r="S15" s="1346">
        <f>+R15*10</f>
        <v>400</v>
      </c>
      <c r="T15" s="1381">
        <v>0.84699999999999998</v>
      </c>
      <c r="U15" s="1347">
        <f t="shared" si="4"/>
        <v>338.8</v>
      </c>
      <c r="V15" s="1348" t="s">
        <v>1795</v>
      </c>
      <c r="W15" s="1874"/>
      <c r="X15" s="276"/>
      <c r="Y15" s="276"/>
      <c r="Z15" s="276"/>
    </row>
    <row r="16" spans="2:26" x14ac:dyDescent="0.25">
      <c r="B16" s="1876" t="s">
        <v>252</v>
      </c>
      <c r="C16" s="1877"/>
      <c r="D16" s="1877"/>
      <c r="E16" s="1342">
        <f>+E5+E13</f>
        <v>3565</v>
      </c>
      <c r="F16" s="1350">
        <f>+F5+F13</f>
        <v>64750</v>
      </c>
      <c r="G16" s="1350"/>
      <c r="H16" s="1350">
        <f t="shared" ref="H16" si="10">+H5+H13</f>
        <v>58857.61</v>
      </c>
      <c r="I16" s="1341"/>
      <c r="J16" s="1875"/>
      <c r="K16" s="276"/>
      <c r="L16" s="276"/>
      <c r="M16" s="276"/>
      <c r="N16" s="276"/>
      <c r="O16" s="1348" t="s">
        <v>1797</v>
      </c>
      <c r="P16" s="1351" t="s">
        <v>1103</v>
      </c>
      <c r="Q16" s="1351">
        <v>1</v>
      </c>
      <c r="R16" s="1352">
        <v>150</v>
      </c>
      <c r="S16" s="1346">
        <f>+R16*10</f>
        <v>1500</v>
      </c>
      <c r="U16" s="1347">
        <f t="shared" si="4"/>
        <v>0</v>
      </c>
      <c r="V16" s="1348" t="s">
        <v>1795</v>
      </c>
      <c r="W16" s="1874"/>
      <c r="X16" s="276"/>
      <c r="Y16" s="276"/>
      <c r="Z16" s="276"/>
    </row>
    <row r="17" spans="2:26" s="276" customFormat="1" x14ac:dyDescent="0.25">
      <c r="O17" s="1374" t="s">
        <v>252</v>
      </c>
      <c r="P17" s="1375"/>
      <c r="Q17" s="1375"/>
      <c r="R17" s="1342">
        <f>+R5+R13</f>
        <v>4330</v>
      </c>
      <c r="S17" s="1350">
        <f>+S5+S13</f>
        <v>83120</v>
      </c>
      <c r="T17" s="1350">
        <f t="shared" ref="T17:U17" si="11">+T5+T13</f>
        <v>0</v>
      </c>
      <c r="U17" s="1350">
        <f t="shared" si="11"/>
        <v>65015.3</v>
      </c>
      <c r="V17" s="1341"/>
      <c r="W17" s="1875"/>
    </row>
    <row r="18" spans="2:26" s="276" customFormat="1" x14ac:dyDescent="0.25"/>
    <row r="19" spans="2:26" s="276" customFormat="1" x14ac:dyDescent="0.25">
      <c r="B19" s="1355"/>
      <c r="C19" s="1355"/>
      <c r="D19" s="1355"/>
      <c r="E19" s="1355"/>
      <c r="F19" s="1355"/>
      <c r="G19" s="1355"/>
      <c r="H19" s="1355"/>
      <c r="I19" s="1355"/>
      <c r="J19" s="1355"/>
      <c r="K19" s="1355"/>
      <c r="L19" s="1355"/>
      <c r="M19" s="1355"/>
    </row>
    <row r="20" spans="2:26" s="276" customFormat="1" ht="23.25" x14ac:dyDescent="0.35">
      <c r="B20" s="1879" t="s">
        <v>1804</v>
      </c>
      <c r="C20" s="1879"/>
      <c r="D20" s="1879"/>
      <c r="E20" s="1879"/>
      <c r="F20" s="1879"/>
      <c r="G20" s="1879"/>
      <c r="H20" s="1879"/>
      <c r="I20" s="1879"/>
      <c r="J20" s="1879"/>
      <c r="K20" s="1879"/>
      <c r="L20" s="1879"/>
      <c r="M20" s="1879"/>
      <c r="O20" s="1864" t="s">
        <v>1805</v>
      </c>
      <c r="P20" s="1864"/>
      <c r="Q20" s="1864"/>
      <c r="R20" s="1864"/>
      <c r="S20" s="1864"/>
      <c r="T20" s="1864"/>
      <c r="U20" s="1864"/>
      <c r="V20" s="1864"/>
      <c r="W20" s="1864"/>
      <c r="X20" s="1864"/>
      <c r="Y20" s="1864"/>
      <c r="Z20" s="1864"/>
    </row>
    <row r="21" spans="2:26" s="276" customFormat="1" x14ac:dyDescent="0.25">
      <c r="B21" s="1355"/>
      <c r="C21" s="1355"/>
      <c r="D21" s="1355"/>
      <c r="E21" s="1355"/>
      <c r="F21" s="1355"/>
      <c r="G21" s="1355"/>
      <c r="H21" s="1355"/>
      <c r="I21" s="1355"/>
      <c r="J21" s="1355"/>
      <c r="K21" s="1355"/>
      <c r="L21" s="1355"/>
      <c r="M21" s="1355"/>
    </row>
    <row r="22" spans="2:26" x14ac:dyDescent="0.25">
      <c r="B22" s="1865" t="s">
        <v>1222</v>
      </c>
      <c r="C22" s="1358" t="s">
        <v>1768</v>
      </c>
      <c r="D22" s="1360">
        <f>SUM(D23:D26)</f>
        <v>64200</v>
      </c>
      <c r="E22" s="1359">
        <f>D22</f>
        <v>64200</v>
      </c>
      <c r="F22" s="1359">
        <f t="shared" ref="F22:M22" si="12">E22</f>
        <v>64200</v>
      </c>
      <c r="G22" s="1359">
        <f t="shared" si="12"/>
        <v>64200</v>
      </c>
      <c r="H22" s="1359">
        <f t="shared" si="12"/>
        <v>64200</v>
      </c>
      <c r="I22" s="1359">
        <f t="shared" si="12"/>
        <v>64200</v>
      </c>
      <c r="J22" s="1359">
        <f t="shared" si="12"/>
        <v>64200</v>
      </c>
      <c r="K22" s="1359">
        <f t="shared" si="12"/>
        <v>64200</v>
      </c>
      <c r="L22" s="1359">
        <f t="shared" si="12"/>
        <v>64200</v>
      </c>
      <c r="M22" s="1359">
        <f t="shared" si="12"/>
        <v>64200</v>
      </c>
      <c r="N22" s="276"/>
      <c r="O22" s="1865" t="s">
        <v>1222</v>
      </c>
      <c r="P22" s="1358" t="s">
        <v>1768</v>
      </c>
      <c r="Q22" s="1360">
        <f>SUM(Q23:Q26)</f>
        <v>58391.76</v>
      </c>
      <c r="R22" s="1359">
        <f>Q22</f>
        <v>58391.76</v>
      </c>
      <c r="S22" s="1359">
        <f t="shared" ref="S22:Z22" si="13">R22</f>
        <v>58391.76</v>
      </c>
      <c r="T22" s="1359">
        <f t="shared" si="13"/>
        <v>58391.76</v>
      </c>
      <c r="U22" s="1359">
        <f t="shared" si="13"/>
        <v>58391.76</v>
      </c>
      <c r="V22" s="1359">
        <f t="shared" si="13"/>
        <v>58391.76</v>
      </c>
      <c r="W22" s="1359">
        <f t="shared" si="13"/>
        <v>58391.76</v>
      </c>
      <c r="X22" s="1359">
        <f t="shared" si="13"/>
        <v>58391.76</v>
      </c>
      <c r="Y22" s="1359">
        <f t="shared" si="13"/>
        <v>58391.76</v>
      </c>
      <c r="Z22" s="1359">
        <f t="shared" si="13"/>
        <v>58391.76</v>
      </c>
    </row>
    <row r="23" spans="2:26" x14ac:dyDescent="0.25">
      <c r="B23" s="1866"/>
      <c r="C23" s="1337" t="s">
        <v>1128</v>
      </c>
      <c r="D23" s="1356">
        <f>F6</f>
        <v>63720</v>
      </c>
      <c r="E23" s="1357">
        <f t="shared" ref="E23:M26" si="14">D23</f>
        <v>63720</v>
      </c>
      <c r="F23" s="1357">
        <f t="shared" si="14"/>
        <v>63720</v>
      </c>
      <c r="G23" s="1357">
        <f t="shared" si="14"/>
        <v>63720</v>
      </c>
      <c r="H23" s="1357">
        <f t="shared" si="14"/>
        <v>63720</v>
      </c>
      <c r="I23" s="1357">
        <f t="shared" si="14"/>
        <v>63720</v>
      </c>
      <c r="J23" s="1357">
        <f t="shared" si="14"/>
        <v>63720</v>
      </c>
      <c r="K23" s="1357">
        <f t="shared" si="14"/>
        <v>63720</v>
      </c>
      <c r="L23" s="1357">
        <f t="shared" si="14"/>
        <v>63720</v>
      </c>
      <c r="M23" s="1357">
        <f t="shared" si="14"/>
        <v>63720</v>
      </c>
      <c r="N23" s="276"/>
      <c r="O23" s="1866"/>
      <c r="P23" s="1337" t="s">
        <v>1128</v>
      </c>
      <c r="Q23" s="1356">
        <f>H6</f>
        <v>57985.200000000004</v>
      </c>
      <c r="R23" s="1357">
        <f>Q23</f>
        <v>57985.200000000004</v>
      </c>
      <c r="S23" s="1357">
        <f t="shared" ref="S23:Z23" si="15">R23</f>
        <v>57985.200000000004</v>
      </c>
      <c r="T23" s="1357">
        <f t="shared" si="15"/>
        <v>57985.200000000004</v>
      </c>
      <c r="U23" s="1357">
        <f t="shared" si="15"/>
        <v>57985.200000000004</v>
      </c>
      <c r="V23" s="1357">
        <f t="shared" si="15"/>
        <v>57985.200000000004</v>
      </c>
      <c r="W23" s="1357">
        <f t="shared" si="15"/>
        <v>57985.200000000004</v>
      </c>
      <c r="X23" s="1357">
        <f t="shared" si="15"/>
        <v>57985.200000000004</v>
      </c>
      <c r="Y23" s="1357">
        <f t="shared" si="15"/>
        <v>57985.200000000004</v>
      </c>
      <c r="Z23" s="1357">
        <f t="shared" si="15"/>
        <v>57985.200000000004</v>
      </c>
    </row>
    <row r="24" spans="2:26" x14ac:dyDescent="0.25">
      <c r="B24" s="1866"/>
      <c r="C24" s="1337" t="s">
        <v>1769</v>
      </c>
      <c r="D24" s="1353">
        <v>0</v>
      </c>
      <c r="E24" s="1357">
        <f t="shared" si="14"/>
        <v>0</v>
      </c>
      <c r="F24" s="1357">
        <f t="shared" si="14"/>
        <v>0</v>
      </c>
      <c r="G24" s="1357">
        <f t="shared" si="14"/>
        <v>0</v>
      </c>
      <c r="H24" s="1357">
        <f t="shared" si="14"/>
        <v>0</v>
      </c>
      <c r="I24" s="1357">
        <f t="shared" si="14"/>
        <v>0</v>
      </c>
      <c r="J24" s="1357">
        <f t="shared" si="14"/>
        <v>0</v>
      </c>
      <c r="K24" s="1357">
        <f t="shared" si="14"/>
        <v>0</v>
      </c>
      <c r="L24" s="1357">
        <f t="shared" si="14"/>
        <v>0</v>
      </c>
      <c r="M24" s="1357">
        <f t="shared" si="14"/>
        <v>0</v>
      </c>
      <c r="N24" s="276"/>
      <c r="O24" s="1866"/>
      <c r="P24" s="1337" t="s">
        <v>1769</v>
      </c>
      <c r="Q24" s="1353">
        <v>0</v>
      </c>
      <c r="R24" s="1357">
        <f t="shared" ref="R24:Z26" si="16">Q24</f>
        <v>0</v>
      </c>
      <c r="S24" s="1357">
        <f t="shared" si="16"/>
        <v>0</v>
      </c>
      <c r="T24" s="1357">
        <f t="shared" si="16"/>
        <v>0</v>
      </c>
      <c r="U24" s="1357">
        <f t="shared" si="16"/>
        <v>0</v>
      </c>
      <c r="V24" s="1357">
        <f t="shared" si="16"/>
        <v>0</v>
      </c>
      <c r="W24" s="1357">
        <f t="shared" si="16"/>
        <v>0</v>
      </c>
      <c r="X24" s="1357">
        <f t="shared" si="16"/>
        <v>0</v>
      </c>
      <c r="Y24" s="1357">
        <f t="shared" si="16"/>
        <v>0</v>
      </c>
      <c r="Z24" s="1357">
        <f t="shared" si="16"/>
        <v>0</v>
      </c>
    </row>
    <row r="25" spans="2:26" x14ac:dyDescent="0.25">
      <c r="B25" s="1866"/>
      <c r="C25" s="1337" t="s">
        <v>1770</v>
      </c>
      <c r="D25" s="1356">
        <f>F10</f>
        <v>480</v>
      </c>
      <c r="E25" s="1357">
        <f t="shared" si="14"/>
        <v>480</v>
      </c>
      <c r="F25" s="1357">
        <f t="shared" si="14"/>
        <v>480</v>
      </c>
      <c r="G25" s="1357">
        <f t="shared" si="14"/>
        <v>480</v>
      </c>
      <c r="H25" s="1357">
        <f t="shared" si="14"/>
        <v>480</v>
      </c>
      <c r="I25" s="1357">
        <f t="shared" si="14"/>
        <v>480</v>
      </c>
      <c r="J25" s="1357">
        <f t="shared" si="14"/>
        <v>480</v>
      </c>
      <c r="K25" s="1357">
        <f t="shared" si="14"/>
        <v>480</v>
      </c>
      <c r="L25" s="1357">
        <f t="shared" si="14"/>
        <v>480</v>
      </c>
      <c r="M25" s="1357">
        <f t="shared" si="14"/>
        <v>480</v>
      </c>
      <c r="N25" s="276"/>
      <c r="O25" s="1866"/>
      <c r="P25" s="1337" t="s">
        <v>1770</v>
      </c>
      <c r="Q25" s="1356">
        <f>H10</f>
        <v>406.56</v>
      </c>
      <c r="R25" s="1357">
        <f t="shared" si="16"/>
        <v>406.56</v>
      </c>
      <c r="S25" s="1357">
        <f t="shared" si="16"/>
        <v>406.56</v>
      </c>
      <c r="T25" s="1357">
        <f t="shared" si="16"/>
        <v>406.56</v>
      </c>
      <c r="U25" s="1357">
        <f t="shared" si="16"/>
        <v>406.56</v>
      </c>
      <c r="V25" s="1357">
        <f t="shared" si="16"/>
        <v>406.56</v>
      </c>
      <c r="W25" s="1357">
        <f t="shared" si="16"/>
        <v>406.56</v>
      </c>
      <c r="X25" s="1357">
        <f t="shared" si="16"/>
        <v>406.56</v>
      </c>
      <c r="Y25" s="1357">
        <f t="shared" si="16"/>
        <v>406.56</v>
      </c>
      <c r="Z25" s="1357">
        <f t="shared" si="16"/>
        <v>406.56</v>
      </c>
    </row>
    <row r="26" spans="2:26" x14ac:dyDescent="0.25">
      <c r="B26" s="1866"/>
      <c r="C26" s="1337" t="s">
        <v>1771</v>
      </c>
      <c r="D26" s="1353">
        <v>0</v>
      </c>
      <c r="E26" s="1357">
        <f t="shared" si="14"/>
        <v>0</v>
      </c>
      <c r="F26" s="1357">
        <f t="shared" si="14"/>
        <v>0</v>
      </c>
      <c r="G26" s="1357">
        <f t="shared" si="14"/>
        <v>0</v>
      </c>
      <c r="H26" s="1357">
        <f t="shared" si="14"/>
        <v>0</v>
      </c>
      <c r="I26" s="1357">
        <f t="shared" si="14"/>
        <v>0</v>
      </c>
      <c r="J26" s="1357">
        <f t="shared" si="14"/>
        <v>0</v>
      </c>
      <c r="K26" s="1357">
        <f t="shared" si="14"/>
        <v>0</v>
      </c>
      <c r="L26" s="1357">
        <f t="shared" si="14"/>
        <v>0</v>
      </c>
      <c r="M26" s="1357">
        <f t="shared" si="14"/>
        <v>0</v>
      </c>
      <c r="N26" s="276"/>
      <c r="O26" s="1866"/>
      <c r="P26" s="1337" t="s">
        <v>1771</v>
      </c>
      <c r="Q26" s="1353">
        <v>0</v>
      </c>
      <c r="R26" s="1357">
        <f t="shared" si="16"/>
        <v>0</v>
      </c>
      <c r="S26" s="1357">
        <f t="shared" si="16"/>
        <v>0</v>
      </c>
      <c r="T26" s="1357">
        <f t="shared" si="16"/>
        <v>0</v>
      </c>
      <c r="U26" s="1357">
        <f t="shared" si="16"/>
        <v>0</v>
      </c>
      <c r="V26" s="1357">
        <f t="shared" si="16"/>
        <v>0</v>
      </c>
      <c r="W26" s="1357">
        <f t="shared" si="16"/>
        <v>0</v>
      </c>
      <c r="X26" s="1357">
        <f t="shared" si="16"/>
        <v>0</v>
      </c>
      <c r="Y26" s="1357">
        <f t="shared" si="16"/>
        <v>0</v>
      </c>
      <c r="Z26" s="1357">
        <f t="shared" si="16"/>
        <v>0</v>
      </c>
    </row>
    <row r="27" spans="2:26" x14ac:dyDescent="0.25">
      <c r="B27" s="1866"/>
      <c r="C27" s="1358" t="s">
        <v>1772</v>
      </c>
      <c r="D27" s="1360">
        <f>SUM(D28)</f>
        <v>550</v>
      </c>
      <c r="E27" s="1360">
        <f t="shared" ref="E27:M27" si="17">SUM(E28)</f>
        <v>550</v>
      </c>
      <c r="F27" s="1360">
        <f t="shared" si="17"/>
        <v>550</v>
      </c>
      <c r="G27" s="1360">
        <f t="shared" si="17"/>
        <v>550</v>
      </c>
      <c r="H27" s="1360">
        <f t="shared" si="17"/>
        <v>550</v>
      </c>
      <c r="I27" s="1360">
        <f t="shared" si="17"/>
        <v>550</v>
      </c>
      <c r="J27" s="1360">
        <f t="shared" si="17"/>
        <v>550</v>
      </c>
      <c r="K27" s="1360">
        <f t="shared" si="17"/>
        <v>550</v>
      </c>
      <c r="L27" s="1360">
        <f t="shared" si="17"/>
        <v>550</v>
      </c>
      <c r="M27" s="1360">
        <f t="shared" si="17"/>
        <v>550</v>
      </c>
      <c r="N27" s="276"/>
      <c r="O27" s="1866"/>
      <c r="P27" s="1358" t="s">
        <v>1772</v>
      </c>
      <c r="Q27" s="1360">
        <f>SUM(Q28)</f>
        <v>465.85</v>
      </c>
      <c r="R27" s="1360">
        <f t="shared" ref="R27" si="18">SUM(R28)</f>
        <v>465.85</v>
      </c>
      <c r="S27" s="1360">
        <f t="shared" ref="S27" si="19">SUM(S28)</f>
        <v>465.85</v>
      </c>
      <c r="T27" s="1360">
        <f t="shared" ref="T27" si="20">SUM(T28)</f>
        <v>465.85</v>
      </c>
      <c r="U27" s="1360">
        <f t="shared" ref="U27" si="21">SUM(U28)</f>
        <v>465.85</v>
      </c>
      <c r="V27" s="1360">
        <f t="shared" ref="V27" si="22">SUM(V28)</f>
        <v>465.85</v>
      </c>
      <c r="W27" s="1360">
        <f t="shared" ref="W27" si="23">SUM(W28)</f>
        <v>465.85</v>
      </c>
      <c r="X27" s="1360">
        <f t="shared" ref="X27" si="24">SUM(X28)</f>
        <v>465.85</v>
      </c>
      <c r="Y27" s="1360">
        <f t="shared" ref="Y27" si="25">SUM(Y28)</f>
        <v>465.85</v>
      </c>
      <c r="Z27" s="1360">
        <f t="shared" ref="Z27" si="26">SUM(Z28)</f>
        <v>465.85</v>
      </c>
    </row>
    <row r="28" spans="2:26" x14ac:dyDescent="0.25">
      <c r="B28" s="1866"/>
      <c r="C28" s="1337" t="s">
        <v>1773</v>
      </c>
      <c r="D28" s="1356">
        <f>F13</f>
        <v>550</v>
      </c>
      <c r="E28" s="1356">
        <f>D28</f>
        <v>550</v>
      </c>
      <c r="F28" s="1356">
        <f t="shared" ref="F28:M28" si="27">E28</f>
        <v>550</v>
      </c>
      <c r="G28" s="1356">
        <f t="shared" si="27"/>
        <v>550</v>
      </c>
      <c r="H28" s="1356">
        <f t="shared" si="27"/>
        <v>550</v>
      </c>
      <c r="I28" s="1356">
        <f t="shared" si="27"/>
        <v>550</v>
      </c>
      <c r="J28" s="1356">
        <f t="shared" si="27"/>
        <v>550</v>
      </c>
      <c r="K28" s="1356">
        <f t="shared" si="27"/>
        <v>550</v>
      </c>
      <c r="L28" s="1356">
        <f t="shared" si="27"/>
        <v>550</v>
      </c>
      <c r="M28" s="1356">
        <f t="shared" si="27"/>
        <v>550</v>
      </c>
      <c r="N28" s="276"/>
      <c r="O28" s="1866"/>
      <c r="P28" s="1337" t="s">
        <v>1773</v>
      </c>
      <c r="Q28" s="1356">
        <f>H13</f>
        <v>465.85</v>
      </c>
      <c r="R28" s="1356">
        <f>Q28</f>
        <v>465.85</v>
      </c>
      <c r="S28" s="1356">
        <f t="shared" ref="S28:Z28" si="28">R28</f>
        <v>465.85</v>
      </c>
      <c r="T28" s="1356">
        <f t="shared" si="28"/>
        <v>465.85</v>
      </c>
      <c r="U28" s="1356">
        <f t="shared" si="28"/>
        <v>465.85</v>
      </c>
      <c r="V28" s="1356">
        <f t="shared" si="28"/>
        <v>465.85</v>
      </c>
      <c r="W28" s="1356">
        <f t="shared" si="28"/>
        <v>465.85</v>
      </c>
      <c r="X28" s="1356">
        <f t="shared" si="28"/>
        <v>465.85</v>
      </c>
      <c r="Y28" s="1356">
        <f t="shared" si="28"/>
        <v>465.85</v>
      </c>
      <c r="Z28" s="1356">
        <f t="shared" si="28"/>
        <v>465.85</v>
      </c>
    </row>
    <row r="29" spans="2:26" x14ac:dyDescent="0.25">
      <c r="B29" s="1867"/>
      <c r="C29" s="1363" t="s">
        <v>1800</v>
      </c>
      <c r="D29" s="1364">
        <f>D22+D27</f>
        <v>64750</v>
      </c>
      <c r="E29" s="1364">
        <f t="shared" ref="E29:M29" si="29">E22+E27</f>
        <v>64750</v>
      </c>
      <c r="F29" s="1364">
        <f t="shared" si="29"/>
        <v>64750</v>
      </c>
      <c r="G29" s="1364">
        <f t="shared" si="29"/>
        <v>64750</v>
      </c>
      <c r="H29" s="1364">
        <f t="shared" si="29"/>
        <v>64750</v>
      </c>
      <c r="I29" s="1364">
        <f t="shared" si="29"/>
        <v>64750</v>
      </c>
      <c r="J29" s="1364">
        <f t="shared" si="29"/>
        <v>64750</v>
      </c>
      <c r="K29" s="1364">
        <f t="shared" si="29"/>
        <v>64750</v>
      </c>
      <c r="L29" s="1364">
        <f t="shared" si="29"/>
        <v>64750</v>
      </c>
      <c r="M29" s="1364">
        <f t="shared" si="29"/>
        <v>64750</v>
      </c>
      <c r="N29" s="276"/>
      <c r="O29" s="1867"/>
      <c r="P29" s="1363" t="s">
        <v>1800</v>
      </c>
      <c r="Q29" s="1364">
        <f>Q22+Q27</f>
        <v>58857.61</v>
      </c>
      <c r="R29" s="1364">
        <f t="shared" ref="R29:Z29" si="30">R22+R27</f>
        <v>58857.61</v>
      </c>
      <c r="S29" s="1364">
        <f t="shared" si="30"/>
        <v>58857.61</v>
      </c>
      <c r="T29" s="1364">
        <f t="shared" si="30"/>
        <v>58857.61</v>
      </c>
      <c r="U29" s="1364">
        <f t="shared" si="30"/>
        <v>58857.61</v>
      </c>
      <c r="V29" s="1364">
        <f t="shared" si="30"/>
        <v>58857.61</v>
      </c>
      <c r="W29" s="1364">
        <f t="shared" si="30"/>
        <v>58857.61</v>
      </c>
      <c r="X29" s="1364">
        <f t="shared" si="30"/>
        <v>58857.61</v>
      </c>
      <c r="Y29" s="1364">
        <f t="shared" si="30"/>
        <v>58857.61</v>
      </c>
      <c r="Z29" s="1364">
        <f t="shared" si="30"/>
        <v>58857.61</v>
      </c>
    </row>
    <row r="30" spans="2:26" ht="15" customHeight="1" x14ac:dyDescent="0.25">
      <c r="B30" s="1865" t="s">
        <v>1226</v>
      </c>
      <c r="C30" s="1358" t="s">
        <v>1768</v>
      </c>
      <c r="D30" s="1361">
        <f>SUM(D31:D34)</f>
        <v>80520</v>
      </c>
      <c r="E30" s="1361">
        <f t="shared" ref="E30:M30" si="31">SUM(E31:E34)</f>
        <v>80520</v>
      </c>
      <c r="F30" s="1361">
        <f t="shared" si="31"/>
        <v>80520</v>
      </c>
      <c r="G30" s="1361">
        <f t="shared" si="31"/>
        <v>80520</v>
      </c>
      <c r="H30" s="1361">
        <f t="shared" si="31"/>
        <v>80520</v>
      </c>
      <c r="I30" s="1361">
        <f t="shared" si="31"/>
        <v>80520</v>
      </c>
      <c r="J30" s="1361">
        <f t="shared" si="31"/>
        <v>80520</v>
      </c>
      <c r="K30" s="1361">
        <f t="shared" si="31"/>
        <v>80520</v>
      </c>
      <c r="L30" s="1361">
        <f t="shared" si="31"/>
        <v>80520</v>
      </c>
      <c r="M30" s="1361">
        <f t="shared" si="31"/>
        <v>80520</v>
      </c>
      <c r="N30" s="276"/>
      <c r="O30" s="1865" t="s">
        <v>1226</v>
      </c>
      <c r="P30" s="1358" t="s">
        <v>1768</v>
      </c>
      <c r="Q30" s="1361">
        <f>SUM(Q31:Q34)</f>
        <v>64083.600000000006</v>
      </c>
      <c r="R30" s="1361">
        <f t="shared" ref="R30" si="32">SUM(R31:R34)</f>
        <v>64083.600000000006</v>
      </c>
      <c r="S30" s="1361">
        <f t="shared" ref="S30" si="33">SUM(S31:S34)</f>
        <v>64083.600000000006</v>
      </c>
      <c r="T30" s="1361">
        <f t="shared" ref="T30" si="34">SUM(T31:T34)</f>
        <v>64083.600000000006</v>
      </c>
      <c r="U30" s="1361">
        <f t="shared" ref="U30" si="35">SUM(U31:U34)</f>
        <v>64083.600000000006</v>
      </c>
      <c r="V30" s="1361">
        <f t="shared" ref="V30" si="36">SUM(V31:V34)</f>
        <v>64083.600000000006</v>
      </c>
      <c r="W30" s="1361">
        <f t="shared" ref="W30" si="37">SUM(W31:W34)</f>
        <v>64083.600000000006</v>
      </c>
      <c r="X30" s="1361">
        <f t="shared" ref="X30" si="38">SUM(X31:X34)</f>
        <v>64083.600000000006</v>
      </c>
      <c r="Y30" s="1361">
        <f t="shared" ref="Y30" si="39">SUM(Y31:Y34)</f>
        <v>64083.600000000006</v>
      </c>
      <c r="Z30" s="1361">
        <f t="shared" ref="Z30" si="40">SUM(Z31:Z34)</f>
        <v>64083.600000000006</v>
      </c>
    </row>
    <row r="31" spans="2:26" x14ac:dyDescent="0.25">
      <c r="B31" s="1866"/>
      <c r="C31" s="1337" t="s">
        <v>1128</v>
      </c>
      <c r="D31" s="1362">
        <f>S6</f>
        <v>73320</v>
      </c>
      <c r="E31" s="1362">
        <f>D31</f>
        <v>73320</v>
      </c>
      <c r="F31" s="1362">
        <f t="shared" ref="F31:M31" si="41">E31</f>
        <v>73320</v>
      </c>
      <c r="G31" s="1362">
        <f t="shared" si="41"/>
        <v>73320</v>
      </c>
      <c r="H31" s="1362">
        <f t="shared" si="41"/>
        <v>73320</v>
      </c>
      <c r="I31" s="1362">
        <f t="shared" si="41"/>
        <v>73320</v>
      </c>
      <c r="J31" s="1362">
        <f t="shared" si="41"/>
        <v>73320</v>
      </c>
      <c r="K31" s="1362">
        <f t="shared" si="41"/>
        <v>73320</v>
      </c>
      <c r="L31" s="1362">
        <f t="shared" si="41"/>
        <v>73320</v>
      </c>
      <c r="M31" s="1362">
        <f t="shared" si="41"/>
        <v>73320</v>
      </c>
      <c r="N31" s="276"/>
      <c r="O31" s="1866"/>
      <c r="P31" s="1337" t="s">
        <v>1128</v>
      </c>
      <c r="Q31" s="1362">
        <f>U6</f>
        <v>57985.200000000004</v>
      </c>
      <c r="R31" s="1362">
        <f>Q31</f>
        <v>57985.200000000004</v>
      </c>
      <c r="S31" s="1362">
        <f t="shared" ref="S31:Z31" si="42">R31</f>
        <v>57985.200000000004</v>
      </c>
      <c r="T31" s="1362">
        <f t="shared" si="42"/>
        <v>57985.200000000004</v>
      </c>
      <c r="U31" s="1362">
        <f t="shared" si="42"/>
        <v>57985.200000000004</v>
      </c>
      <c r="V31" s="1362">
        <f t="shared" si="42"/>
        <v>57985.200000000004</v>
      </c>
      <c r="W31" s="1362">
        <f t="shared" si="42"/>
        <v>57985.200000000004</v>
      </c>
      <c r="X31" s="1362">
        <f t="shared" si="42"/>
        <v>57985.200000000004</v>
      </c>
      <c r="Y31" s="1362">
        <f t="shared" si="42"/>
        <v>57985.200000000004</v>
      </c>
      <c r="Z31" s="1362">
        <f t="shared" si="42"/>
        <v>57985.200000000004</v>
      </c>
    </row>
    <row r="32" spans="2:26" x14ac:dyDescent="0.25">
      <c r="B32" s="1866"/>
      <c r="C32" s="1337" t="s">
        <v>1769</v>
      </c>
      <c r="D32" s="1362">
        <v>0</v>
      </c>
      <c r="E32" s="1362">
        <f t="shared" ref="E32:M34" si="43">D32</f>
        <v>0</v>
      </c>
      <c r="F32" s="1362">
        <f t="shared" si="43"/>
        <v>0</v>
      </c>
      <c r="G32" s="1362">
        <f t="shared" si="43"/>
        <v>0</v>
      </c>
      <c r="H32" s="1362">
        <f t="shared" si="43"/>
        <v>0</v>
      </c>
      <c r="I32" s="1362">
        <f t="shared" si="43"/>
        <v>0</v>
      </c>
      <c r="J32" s="1362">
        <f t="shared" si="43"/>
        <v>0</v>
      </c>
      <c r="K32" s="1362">
        <f t="shared" si="43"/>
        <v>0</v>
      </c>
      <c r="L32" s="1362">
        <f t="shared" si="43"/>
        <v>0</v>
      </c>
      <c r="M32" s="1362">
        <f t="shared" si="43"/>
        <v>0</v>
      </c>
      <c r="N32" s="276"/>
      <c r="O32" s="1866"/>
      <c r="P32" s="1337" t="s">
        <v>1769</v>
      </c>
      <c r="Q32" s="1362">
        <v>0</v>
      </c>
      <c r="R32" s="1362">
        <f t="shared" ref="R32:Z34" si="44">Q32</f>
        <v>0</v>
      </c>
      <c r="S32" s="1362">
        <f t="shared" si="44"/>
        <v>0</v>
      </c>
      <c r="T32" s="1362">
        <f t="shared" si="44"/>
        <v>0</v>
      </c>
      <c r="U32" s="1362">
        <f t="shared" si="44"/>
        <v>0</v>
      </c>
      <c r="V32" s="1362">
        <f t="shared" si="44"/>
        <v>0</v>
      </c>
      <c r="W32" s="1362">
        <f t="shared" si="44"/>
        <v>0</v>
      </c>
      <c r="X32" s="1362">
        <f t="shared" si="44"/>
        <v>0</v>
      </c>
      <c r="Y32" s="1362">
        <f t="shared" si="44"/>
        <v>0</v>
      </c>
      <c r="Z32" s="1362">
        <f t="shared" si="44"/>
        <v>0</v>
      </c>
    </row>
    <row r="33" spans="2:26" x14ac:dyDescent="0.25">
      <c r="B33" s="1866"/>
      <c r="C33" s="1337" t="s">
        <v>1770</v>
      </c>
      <c r="D33" s="1362">
        <f>S10</f>
        <v>7200</v>
      </c>
      <c r="E33" s="1362">
        <f t="shared" si="43"/>
        <v>7200</v>
      </c>
      <c r="F33" s="1362">
        <f t="shared" si="43"/>
        <v>7200</v>
      </c>
      <c r="G33" s="1362">
        <f t="shared" si="43"/>
        <v>7200</v>
      </c>
      <c r="H33" s="1362">
        <f t="shared" si="43"/>
        <v>7200</v>
      </c>
      <c r="I33" s="1362">
        <f t="shared" si="43"/>
        <v>7200</v>
      </c>
      <c r="J33" s="1362">
        <f t="shared" si="43"/>
        <v>7200</v>
      </c>
      <c r="K33" s="1362">
        <f t="shared" si="43"/>
        <v>7200</v>
      </c>
      <c r="L33" s="1362">
        <f t="shared" si="43"/>
        <v>7200</v>
      </c>
      <c r="M33" s="1362">
        <f t="shared" si="43"/>
        <v>7200</v>
      </c>
      <c r="N33" s="276"/>
      <c r="O33" s="1866"/>
      <c r="P33" s="1337" t="s">
        <v>1770</v>
      </c>
      <c r="Q33" s="1362">
        <f>U10</f>
        <v>6098.4</v>
      </c>
      <c r="R33" s="1362">
        <f t="shared" si="44"/>
        <v>6098.4</v>
      </c>
      <c r="S33" s="1362">
        <f t="shared" si="44"/>
        <v>6098.4</v>
      </c>
      <c r="T33" s="1362">
        <f t="shared" si="44"/>
        <v>6098.4</v>
      </c>
      <c r="U33" s="1362">
        <f t="shared" si="44"/>
        <v>6098.4</v>
      </c>
      <c r="V33" s="1362">
        <f t="shared" si="44"/>
        <v>6098.4</v>
      </c>
      <c r="W33" s="1362">
        <f t="shared" si="44"/>
        <v>6098.4</v>
      </c>
      <c r="X33" s="1362">
        <f t="shared" si="44"/>
        <v>6098.4</v>
      </c>
      <c r="Y33" s="1362">
        <f t="shared" si="44"/>
        <v>6098.4</v>
      </c>
      <c r="Z33" s="1362">
        <f t="shared" si="44"/>
        <v>6098.4</v>
      </c>
    </row>
    <row r="34" spans="2:26" x14ac:dyDescent="0.25">
      <c r="B34" s="1866"/>
      <c r="C34" s="1337" t="s">
        <v>1771</v>
      </c>
      <c r="D34" s="1362">
        <v>0</v>
      </c>
      <c r="E34" s="1362">
        <f t="shared" si="43"/>
        <v>0</v>
      </c>
      <c r="F34" s="1362">
        <f t="shared" si="43"/>
        <v>0</v>
      </c>
      <c r="G34" s="1362">
        <f t="shared" si="43"/>
        <v>0</v>
      </c>
      <c r="H34" s="1362">
        <f t="shared" si="43"/>
        <v>0</v>
      </c>
      <c r="I34" s="1362">
        <f t="shared" si="43"/>
        <v>0</v>
      </c>
      <c r="J34" s="1362">
        <f t="shared" si="43"/>
        <v>0</v>
      </c>
      <c r="K34" s="1362">
        <f t="shared" si="43"/>
        <v>0</v>
      </c>
      <c r="L34" s="1362">
        <f t="shared" si="43"/>
        <v>0</v>
      </c>
      <c r="M34" s="1362">
        <f t="shared" si="43"/>
        <v>0</v>
      </c>
      <c r="N34" s="276"/>
      <c r="O34" s="1866"/>
      <c r="P34" s="1337" t="s">
        <v>1771</v>
      </c>
      <c r="Q34" s="1362">
        <v>0</v>
      </c>
      <c r="R34" s="1362">
        <f t="shared" si="44"/>
        <v>0</v>
      </c>
      <c r="S34" s="1362">
        <f t="shared" si="44"/>
        <v>0</v>
      </c>
      <c r="T34" s="1362">
        <f t="shared" si="44"/>
        <v>0</v>
      </c>
      <c r="U34" s="1362">
        <f t="shared" si="44"/>
        <v>0</v>
      </c>
      <c r="V34" s="1362">
        <f t="shared" si="44"/>
        <v>0</v>
      </c>
      <c r="W34" s="1362">
        <f t="shared" si="44"/>
        <v>0</v>
      </c>
      <c r="X34" s="1362">
        <f t="shared" si="44"/>
        <v>0</v>
      </c>
      <c r="Y34" s="1362">
        <f t="shared" si="44"/>
        <v>0</v>
      </c>
      <c r="Z34" s="1362">
        <f t="shared" si="44"/>
        <v>0</v>
      </c>
    </row>
    <row r="35" spans="2:26" x14ac:dyDescent="0.25">
      <c r="B35" s="1866"/>
      <c r="C35" s="1358" t="s">
        <v>1772</v>
      </c>
      <c r="D35" s="1361">
        <f>D36</f>
        <v>2600</v>
      </c>
      <c r="E35" s="1361">
        <f t="shared" ref="E35:M35" si="45">E36</f>
        <v>2600</v>
      </c>
      <c r="F35" s="1361">
        <f t="shared" si="45"/>
        <v>2600</v>
      </c>
      <c r="G35" s="1361">
        <f t="shared" si="45"/>
        <v>2600</v>
      </c>
      <c r="H35" s="1361">
        <f t="shared" si="45"/>
        <v>2600</v>
      </c>
      <c r="I35" s="1361">
        <f t="shared" si="45"/>
        <v>2600</v>
      </c>
      <c r="J35" s="1361">
        <f t="shared" si="45"/>
        <v>2600</v>
      </c>
      <c r="K35" s="1361">
        <f t="shared" si="45"/>
        <v>2600</v>
      </c>
      <c r="L35" s="1361">
        <f t="shared" si="45"/>
        <v>2600</v>
      </c>
      <c r="M35" s="1361">
        <f t="shared" si="45"/>
        <v>2600</v>
      </c>
      <c r="N35" s="276"/>
      <c r="O35" s="1866"/>
      <c r="P35" s="1358" t="s">
        <v>1772</v>
      </c>
      <c r="Q35" s="1361">
        <f>Q36</f>
        <v>931.7</v>
      </c>
      <c r="R35" s="1361">
        <f t="shared" ref="R35" si="46">R36</f>
        <v>931.7</v>
      </c>
      <c r="S35" s="1361">
        <f t="shared" ref="S35" si="47">S36</f>
        <v>931.7</v>
      </c>
      <c r="T35" s="1361">
        <f t="shared" ref="T35" si="48">T36</f>
        <v>931.7</v>
      </c>
      <c r="U35" s="1361">
        <f t="shared" ref="U35" si="49">U36</f>
        <v>931.7</v>
      </c>
      <c r="V35" s="1361">
        <f t="shared" ref="V35" si="50">V36</f>
        <v>931.7</v>
      </c>
      <c r="W35" s="1361">
        <f t="shared" ref="W35" si="51">W36</f>
        <v>931.7</v>
      </c>
      <c r="X35" s="1361">
        <f t="shared" ref="X35" si="52">X36</f>
        <v>931.7</v>
      </c>
      <c r="Y35" s="1361">
        <f t="shared" ref="Y35" si="53">Y36</f>
        <v>931.7</v>
      </c>
      <c r="Z35" s="1361">
        <f t="shared" ref="Z35" si="54">Z36</f>
        <v>931.7</v>
      </c>
    </row>
    <row r="36" spans="2:26" x14ac:dyDescent="0.25">
      <c r="B36" s="1866"/>
      <c r="C36" s="1354" t="s">
        <v>1773</v>
      </c>
      <c r="D36" s="1362">
        <f>S13</f>
        <v>2600</v>
      </c>
      <c r="E36" s="1362">
        <f>D36</f>
        <v>2600</v>
      </c>
      <c r="F36" s="1362">
        <f t="shared" ref="F36:M36" si="55">E36</f>
        <v>2600</v>
      </c>
      <c r="G36" s="1362">
        <f t="shared" si="55"/>
        <v>2600</v>
      </c>
      <c r="H36" s="1362">
        <f t="shared" si="55"/>
        <v>2600</v>
      </c>
      <c r="I36" s="1362">
        <f t="shared" si="55"/>
        <v>2600</v>
      </c>
      <c r="J36" s="1362">
        <f t="shared" si="55"/>
        <v>2600</v>
      </c>
      <c r="K36" s="1362">
        <f t="shared" si="55"/>
        <v>2600</v>
      </c>
      <c r="L36" s="1362">
        <f t="shared" si="55"/>
        <v>2600</v>
      </c>
      <c r="M36" s="1362">
        <f t="shared" si="55"/>
        <v>2600</v>
      </c>
      <c r="N36" s="276"/>
      <c r="O36" s="1866"/>
      <c r="P36" s="1354" t="s">
        <v>1773</v>
      </c>
      <c r="Q36" s="1362">
        <f>U13</f>
        <v>931.7</v>
      </c>
      <c r="R36" s="1362">
        <f>Q36</f>
        <v>931.7</v>
      </c>
      <c r="S36" s="1362">
        <f t="shared" ref="S36:Z36" si="56">R36</f>
        <v>931.7</v>
      </c>
      <c r="T36" s="1362">
        <f t="shared" si="56"/>
        <v>931.7</v>
      </c>
      <c r="U36" s="1362">
        <f t="shared" si="56"/>
        <v>931.7</v>
      </c>
      <c r="V36" s="1362">
        <f t="shared" si="56"/>
        <v>931.7</v>
      </c>
      <c r="W36" s="1362">
        <f t="shared" si="56"/>
        <v>931.7</v>
      </c>
      <c r="X36" s="1362">
        <f t="shared" si="56"/>
        <v>931.7</v>
      </c>
      <c r="Y36" s="1362">
        <f t="shared" si="56"/>
        <v>931.7</v>
      </c>
      <c r="Z36" s="1362">
        <f t="shared" si="56"/>
        <v>931.7</v>
      </c>
    </row>
    <row r="37" spans="2:26" ht="15.75" thickBot="1" x14ac:dyDescent="0.3">
      <c r="B37" s="1866"/>
      <c r="C37" s="1365" t="s">
        <v>1800</v>
      </c>
      <c r="D37" s="1366">
        <f>D30+D35</f>
        <v>83120</v>
      </c>
      <c r="E37" s="1366">
        <f t="shared" ref="E37:M37" si="57">E30+E35</f>
        <v>83120</v>
      </c>
      <c r="F37" s="1366">
        <f t="shared" si="57"/>
        <v>83120</v>
      </c>
      <c r="G37" s="1366">
        <f t="shared" si="57"/>
        <v>83120</v>
      </c>
      <c r="H37" s="1366">
        <f t="shared" si="57"/>
        <v>83120</v>
      </c>
      <c r="I37" s="1366">
        <f t="shared" si="57"/>
        <v>83120</v>
      </c>
      <c r="J37" s="1366">
        <f t="shared" si="57"/>
        <v>83120</v>
      </c>
      <c r="K37" s="1366">
        <f t="shared" si="57"/>
        <v>83120</v>
      </c>
      <c r="L37" s="1366">
        <f t="shared" si="57"/>
        <v>83120</v>
      </c>
      <c r="M37" s="1366">
        <f t="shared" si="57"/>
        <v>83120</v>
      </c>
      <c r="N37" s="276"/>
      <c r="O37" s="1866"/>
      <c r="P37" s="1365" t="s">
        <v>1800</v>
      </c>
      <c r="Q37" s="1366">
        <f>Q30+Q35</f>
        <v>65015.3</v>
      </c>
      <c r="R37" s="1366">
        <f t="shared" ref="R37:Z37" si="58">R30+R35</f>
        <v>65015.3</v>
      </c>
      <c r="S37" s="1366">
        <f t="shared" si="58"/>
        <v>65015.3</v>
      </c>
      <c r="T37" s="1366">
        <f t="shared" si="58"/>
        <v>65015.3</v>
      </c>
      <c r="U37" s="1366">
        <f t="shared" si="58"/>
        <v>65015.3</v>
      </c>
      <c r="V37" s="1366">
        <f t="shared" si="58"/>
        <v>65015.3</v>
      </c>
      <c r="W37" s="1366">
        <f t="shared" si="58"/>
        <v>65015.3</v>
      </c>
      <c r="X37" s="1366">
        <f t="shared" si="58"/>
        <v>65015.3</v>
      </c>
      <c r="Y37" s="1366">
        <f t="shared" si="58"/>
        <v>65015.3</v>
      </c>
      <c r="Z37" s="1366">
        <f t="shared" si="58"/>
        <v>65015.3</v>
      </c>
    </row>
    <row r="38" spans="2:26" x14ac:dyDescent="0.25">
      <c r="B38" s="1868" t="s">
        <v>1798</v>
      </c>
      <c r="C38" s="1369"/>
      <c r="D38" s="1369"/>
      <c r="E38" s="1369"/>
      <c r="F38" s="1369"/>
      <c r="G38" s="1369"/>
      <c r="H38" s="1369"/>
      <c r="I38" s="1369"/>
      <c r="J38" s="1369"/>
      <c r="K38" s="1369"/>
      <c r="L38" s="1369"/>
      <c r="M38" s="1370"/>
      <c r="N38" s="276"/>
      <c r="O38" s="1868" t="s">
        <v>1798</v>
      </c>
      <c r="P38" s="1369"/>
      <c r="Q38" s="1369"/>
      <c r="R38" s="1369"/>
      <c r="S38" s="1369"/>
      <c r="T38" s="1369"/>
      <c r="U38" s="1369"/>
      <c r="V38" s="1369"/>
      <c r="W38" s="1369"/>
      <c r="X38" s="1369"/>
      <c r="Y38" s="1369"/>
      <c r="Z38" s="1370"/>
    </row>
    <row r="39" spans="2:26" x14ac:dyDescent="0.25">
      <c r="B39" s="1869"/>
      <c r="C39" s="1367" t="s">
        <v>1800</v>
      </c>
      <c r="D39" s="1368">
        <f>D37-D29</f>
        <v>18370</v>
      </c>
      <c r="E39" s="1368">
        <f t="shared" ref="E39:M39" si="59">E37-E29</f>
        <v>18370</v>
      </c>
      <c r="F39" s="1368">
        <f t="shared" si="59"/>
        <v>18370</v>
      </c>
      <c r="G39" s="1368">
        <f t="shared" si="59"/>
        <v>18370</v>
      </c>
      <c r="H39" s="1368">
        <f t="shared" si="59"/>
        <v>18370</v>
      </c>
      <c r="I39" s="1368">
        <f t="shared" si="59"/>
        <v>18370</v>
      </c>
      <c r="J39" s="1368">
        <f t="shared" si="59"/>
        <v>18370</v>
      </c>
      <c r="K39" s="1368">
        <f t="shared" si="59"/>
        <v>18370</v>
      </c>
      <c r="L39" s="1368">
        <f t="shared" si="59"/>
        <v>18370</v>
      </c>
      <c r="M39" s="1368">
        <f t="shared" si="59"/>
        <v>18370</v>
      </c>
      <c r="N39" s="276"/>
      <c r="O39" s="1869"/>
      <c r="P39" s="1367" t="s">
        <v>1800</v>
      </c>
      <c r="Q39" s="1368">
        <f>Q37-Q29</f>
        <v>6157.6900000000023</v>
      </c>
      <c r="R39" s="1368">
        <f t="shared" ref="R39:Z39" si="60">R37-R29</f>
        <v>6157.6900000000023</v>
      </c>
      <c r="S39" s="1368">
        <f t="shared" si="60"/>
        <v>6157.6900000000023</v>
      </c>
      <c r="T39" s="1368">
        <f t="shared" si="60"/>
        <v>6157.6900000000023</v>
      </c>
      <c r="U39" s="1368">
        <f t="shared" si="60"/>
        <v>6157.6900000000023</v>
      </c>
      <c r="V39" s="1368">
        <f t="shared" si="60"/>
        <v>6157.6900000000023</v>
      </c>
      <c r="W39" s="1368">
        <f t="shared" si="60"/>
        <v>6157.6900000000023</v>
      </c>
      <c r="X39" s="1368">
        <f t="shared" si="60"/>
        <v>6157.6900000000023</v>
      </c>
      <c r="Y39" s="1368">
        <f t="shared" si="60"/>
        <v>6157.6900000000023</v>
      </c>
      <c r="Z39" s="1368">
        <f t="shared" si="60"/>
        <v>6157.6900000000023</v>
      </c>
    </row>
    <row r="40" spans="2:26" ht="15.75" thickBot="1" x14ac:dyDescent="0.3">
      <c r="B40" s="1870"/>
      <c r="C40" s="1371"/>
      <c r="D40" s="1372"/>
      <c r="E40" s="1372"/>
      <c r="F40" s="1372"/>
      <c r="G40" s="1372"/>
      <c r="H40" s="1372"/>
      <c r="I40" s="1372"/>
      <c r="J40" s="1372"/>
      <c r="K40" s="1372"/>
      <c r="L40" s="1372"/>
      <c r="M40" s="1373"/>
      <c r="N40" s="276"/>
      <c r="O40" s="1870"/>
      <c r="P40" s="1371"/>
      <c r="Q40" s="1372"/>
      <c r="R40" s="1372"/>
      <c r="S40" s="1372"/>
      <c r="T40" s="1372"/>
      <c r="U40" s="1372"/>
      <c r="V40" s="1372"/>
      <c r="W40" s="1372"/>
      <c r="X40" s="1372"/>
      <c r="Y40" s="1372"/>
      <c r="Z40" s="1373"/>
    </row>
    <row r="41" spans="2:26" s="276" customFormat="1" x14ac:dyDescent="0.25">
      <c r="B41" s="1355"/>
      <c r="C41" s="1355"/>
      <c r="D41" s="1355"/>
      <c r="E41" s="1355"/>
      <c r="F41" s="1355"/>
      <c r="G41" s="1355"/>
      <c r="H41" s="1355"/>
      <c r="I41" s="1355"/>
      <c r="J41" s="1355"/>
      <c r="K41" s="1355"/>
      <c r="L41" s="1355"/>
      <c r="M41" s="1355"/>
    </row>
    <row r="42" spans="2:26" s="276" customFormat="1" x14ac:dyDescent="0.25">
      <c r="B42" s="1355" t="s">
        <v>1799</v>
      </c>
      <c r="C42" s="1355"/>
      <c r="D42" s="1462">
        <f>D37-D29</f>
        <v>18370</v>
      </c>
      <c r="E42" s="1355"/>
      <c r="F42" s="1355"/>
      <c r="G42" s="1355"/>
      <c r="H42" s="1355"/>
      <c r="I42" s="1355"/>
      <c r="J42" s="1355"/>
      <c r="K42" s="1355"/>
      <c r="L42" s="1355"/>
      <c r="M42" s="1355"/>
    </row>
    <row r="43" spans="2:26" s="276" customFormat="1" x14ac:dyDescent="0.25"/>
    <row r="44" spans="2:26" s="276" customFormat="1" x14ac:dyDescent="0.25"/>
    <row r="45" spans="2:26" s="276" customFormat="1" x14ac:dyDescent="0.25"/>
    <row r="46" spans="2:26" s="276" customFormat="1" x14ac:dyDescent="0.25"/>
    <row r="47" spans="2:26" s="276" customFormat="1" x14ac:dyDescent="0.25"/>
    <row r="48" spans="2:26" s="276" customFormat="1" x14ac:dyDescent="0.25"/>
    <row r="49" s="276" customFormat="1" x14ac:dyDescent="0.25"/>
    <row r="50" s="276" customFormat="1" x14ac:dyDescent="0.25"/>
    <row r="51" s="276" customFormat="1" x14ac:dyDescent="0.25"/>
    <row r="52" s="276" customFormat="1" x14ac:dyDescent="0.25"/>
    <row r="53" s="276" customFormat="1" x14ac:dyDescent="0.25"/>
    <row r="54" s="276" customFormat="1" x14ac:dyDescent="0.25"/>
    <row r="55" s="276" customFormat="1" x14ac:dyDescent="0.25"/>
    <row r="56" s="276" customFormat="1" x14ac:dyDescent="0.25"/>
    <row r="57" s="276" customFormat="1" x14ac:dyDescent="0.25"/>
    <row r="58" s="276" customFormat="1" x14ac:dyDescent="0.25"/>
    <row r="59" s="276" customFormat="1" x14ac:dyDescent="0.25"/>
    <row r="60" s="276" customFormat="1" x14ac:dyDescent="0.25"/>
    <row r="61" s="276" customFormat="1" x14ac:dyDescent="0.25"/>
    <row r="62" s="276" customFormat="1" x14ac:dyDescent="0.25"/>
    <row r="63" s="276" customFormat="1" x14ac:dyDescent="0.25"/>
    <row r="64" s="276" customFormat="1" x14ac:dyDescent="0.25"/>
    <row r="65" s="276" customFormat="1" x14ac:dyDescent="0.25"/>
    <row r="66" s="276" customFormat="1" x14ac:dyDescent="0.25"/>
    <row r="67" s="276" customFormat="1" x14ac:dyDescent="0.25"/>
    <row r="68" s="276" customFormat="1" x14ac:dyDescent="0.25"/>
    <row r="69" s="276" customFormat="1" x14ac:dyDescent="0.25"/>
    <row r="70" s="276" customFormat="1" x14ac:dyDescent="0.25"/>
    <row r="71" s="276" customFormat="1" x14ac:dyDescent="0.25"/>
    <row r="72" s="276" customFormat="1" x14ac:dyDescent="0.25"/>
    <row r="73" s="276" customFormat="1" x14ac:dyDescent="0.25"/>
    <row r="74" s="276" customFormat="1" x14ac:dyDescent="0.25"/>
    <row r="75" s="276" customFormat="1" x14ac:dyDescent="0.25"/>
    <row r="76" s="276" customFormat="1" x14ac:dyDescent="0.25"/>
    <row r="77" s="276" customFormat="1" x14ac:dyDescent="0.25"/>
    <row r="78" s="276" customFormat="1" x14ac:dyDescent="0.25"/>
    <row r="79" s="276" customFormat="1" x14ac:dyDescent="0.25"/>
    <row r="80" s="276" customFormat="1" x14ac:dyDescent="0.25"/>
    <row r="81" s="276" customFormat="1" x14ac:dyDescent="0.25"/>
    <row r="82" s="276" customFormat="1" x14ac:dyDescent="0.25"/>
    <row r="83" s="276" customFormat="1" x14ac:dyDescent="0.25"/>
    <row r="84" s="276" customFormat="1" x14ac:dyDescent="0.25"/>
    <row r="85" s="276" customFormat="1" x14ac:dyDescent="0.25"/>
    <row r="86" s="276" customFormat="1" x14ac:dyDescent="0.25"/>
    <row r="87" s="276" customFormat="1" x14ac:dyDescent="0.25"/>
    <row r="88" s="276" customFormat="1" x14ac:dyDescent="0.25"/>
    <row r="89" s="276" customFormat="1" x14ac:dyDescent="0.25"/>
    <row r="90" s="276" customFormat="1" x14ac:dyDescent="0.25"/>
    <row r="91" s="276" customFormat="1" x14ac:dyDescent="0.25"/>
    <row r="92" s="276" customFormat="1" x14ac:dyDescent="0.25"/>
    <row r="93" s="276" customFormat="1" x14ac:dyDescent="0.25"/>
    <row r="94" s="276" customFormat="1" x14ac:dyDescent="0.25"/>
    <row r="95" s="276" customFormat="1" x14ac:dyDescent="0.25"/>
    <row r="96" s="276" customFormat="1" x14ac:dyDescent="0.25"/>
    <row r="97" s="276" customFormat="1" x14ac:dyDescent="0.25"/>
    <row r="98" s="276" customFormat="1" x14ac:dyDescent="0.25"/>
    <row r="99" s="276" customFormat="1" x14ac:dyDescent="0.25"/>
    <row r="100" s="276" customFormat="1" x14ac:dyDescent="0.25"/>
    <row r="101" s="276" customFormat="1" x14ac:dyDescent="0.25"/>
    <row r="102" s="276" customFormat="1" x14ac:dyDescent="0.25"/>
    <row r="103" s="276" customFormat="1" x14ac:dyDescent="0.25"/>
    <row r="104" s="276" customFormat="1" x14ac:dyDescent="0.25"/>
    <row r="105" s="276" customFormat="1" x14ac:dyDescent="0.25"/>
    <row r="106" s="276" customFormat="1" x14ac:dyDescent="0.25"/>
    <row r="107" s="276" customFormat="1" x14ac:dyDescent="0.25"/>
    <row r="108" s="276" customFormat="1" x14ac:dyDescent="0.25"/>
    <row r="109" s="276" customFormat="1" x14ac:dyDescent="0.25"/>
    <row r="110" s="276" customFormat="1" x14ac:dyDescent="0.25"/>
    <row r="111" s="276" customFormat="1" x14ac:dyDescent="0.25"/>
    <row r="112" s="276" customFormat="1" x14ac:dyDescent="0.25"/>
    <row r="113" s="276" customFormat="1" x14ac:dyDescent="0.25"/>
    <row r="114" s="276" customFormat="1" x14ac:dyDescent="0.25"/>
    <row r="115" s="276" customFormat="1" x14ac:dyDescent="0.25"/>
    <row r="116" s="276" customFormat="1" x14ac:dyDescent="0.25"/>
    <row r="117" s="276" customFormat="1" x14ac:dyDescent="0.25"/>
    <row r="118" s="276" customFormat="1" x14ac:dyDescent="0.25"/>
    <row r="119" s="276" customFormat="1" x14ac:dyDescent="0.25"/>
    <row r="120" s="276" customFormat="1" x14ac:dyDescent="0.25"/>
    <row r="121" s="276" customFormat="1" x14ac:dyDescent="0.25"/>
    <row r="122" s="276" customFormat="1" x14ac:dyDescent="0.25"/>
    <row r="123" s="276" customFormat="1" x14ac:dyDescent="0.25"/>
    <row r="124" s="276" customFormat="1" x14ac:dyDescent="0.25"/>
    <row r="125" s="276" customFormat="1" x14ac:dyDescent="0.25"/>
    <row r="126" s="276" customFormat="1" x14ac:dyDescent="0.25"/>
    <row r="127" s="276" customFormat="1" x14ac:dyDescent="0.25"/>
    <row r="128" s="276" customFormat="1" x14ac:dyDescent="0.25"/>
    <row r="129" s="276" customFormat="1" x14ac:dyDescent="0.25"/>
    <row r="130" s="276" customFormat="1" x14ac:dyDescent="0.25"/>
    <row r="131" s="276" customFormat="1" x14ac:dyDescent="0.25"/>
    <row r="132" s="276" customFormat="1" x14ac:dyDescent="0.25"/>
    <row r="133" s="276" customFormat="1" x14ac:dyDescent="0.25"/>
    <row r="134" s="276" customFormat="1" x14ac:dyDescent="0.25"/>
    <row r="135" s="276" customFormat="1" x14ac:dyDescent="0.25"/>
    <row r="136" s="276" customFormat="1" x14ac:dyDescent="0.25"/>
    <row r="137" s="276" customFormat="1" x14ac:dyDescent="0.25"/>
    <row r="138" s="276" customFormat="1" x14ac:dyDescent="0.25"/>
    <row r="139" s="276" customFormat="1" x14ac:dyDescent="0.25"/>
    <row r="140" s="276" customFormat="1" x14ac:dyDescent="0.25"/>
    <row r="141" s="276" customFormat="1" x14ac:dyDescent="0.25"/>
    <row r="142" s="276" customFormat="1" x14ac:dyDescent="0.25"/>
    <row r="143" s="276" customFormat="1" x14ac:dyDescent="0.25"/>
    <row r="144" s="276" customFormat="1" x14ac:dyDescent="0.25"/>
    <row r="145" s="276" customFormat="1" x14ac:dyDescent="0.25"/>
    <row r="146" s="276" customFormat="1" x14ac:dyDescent="0.25"/>
    <row r="147" s="276" customFormat="1" x14ac:dyDescent="0.25"/>
    <row r="148" s="276" customFormat="1" x14ac:dyDescent="0.25"/>
    <row r="149" s="276" customFormat="1" x14ac:dyDescent="0.25"/>
    <row r="150" s="276" customFormat="1" x14ac:dyDescent="0.25"/>
    <row r="151" s="276" customFormat="1" x14ac:dyDescent="0.25"/>
    <row r="152" s="276" customFormat="1" x14ac:dyDescent="0.25"/>
    <row r="153" s="276" customFormat="1" x14ac:dyDescent="0.25"/>
    <row r="154" s="276" customFormat="1" x14ac:dyDescent="0.25"/>
    <row r="155" s="276" customFormat="1" x14ac:dyDescent="0.25"/>
    <row r="156" s="276" customFormat="1" x14ac:dyDescent="0.25"/>
    <row r="157" s="276" customFormat="1" x14ac:dyDescent="0.25"/>
    <row r="158" s="276" customFormat="1" x14ac:dyDescent="0.25"/>
    <row r="159" s="276" customFormat="1" x14ac:dyDescent="0.25"/>
    <row r="160" s="276" customFormat="1" x14ac:dyDescent="0.25"/>
    <row r="161" s="276" customFormat="1" x14ac:dyDescent="0.25"/>
    <row r="162" s="276" customFormat="1" x14ac:dyDescent="0.25"/>
    <row r="163" s="276" customFormat="1" x14ac:dyDescent="0.25"/>
    <row r="164" s="276" customFormat="1" x14ac:dyDescent="0.25"/>
    <row r="165" s="276" customFormat="1" x14ac:dyDescent="0.25"/>
    <row r="166" s="276" customFormat="1" x14ac:dyDescent="0.25"/>
    <row r="167" s="276" customFormat="1" x14ac:dyDescent="0.25"/>
    <row r="168" s="276" customFormat="1" x14ac:dyDescent="0.25"/>
    <row r="169" s="276" customFormat="1" x14ac:dyDescent="0.25"/>
    <row r="170" s="276" customFormat="1" x14ac:dyDescent="0.25"/>
    <row r="171" s="276" customFormat="1" x14ac:dyDescent="0.25"/>
    <row r="172" s="276" customFormat="1" x14ac:dyDescent="0.25"/>
    <row r="173" s="276" customFormat="1" x14ac:dyDescent="0.25"/>
    <row r="174" s="276" customFormat="1" x14ac:dyDescent="0.25"/>
    <row r="175" s="276" customFormat="1" x14ac:dyDescent="0.25"/>
    <row r="176" s="276" customFormat="1" x14ac:dyDescent="0.25"/>
    <row r="177" s="276" customFormat="1" x14ac:dyDescent="0.25"/>
    <row r="178" s="276" customFormat="1" x14ac:dyDescent="0.25"/>
    <row r="179" s="276" customFormat="1" x14ac:dyDescent="0.25"/>
    <row r="180" s="276" customFormat="1" x14ac:dyDescent="0.25"/>
    <row r="181" s="276" customFormat="1" x14ac:dyDescent="0.25"/>
    <row r="182" s="276" customFormat="1" x14ac:dyDescent="0.25"/>
    <row r="183" s="276" customFormat="1" x14ac:dyDescent="0.25"/>
    <row r="184" s="276" customFormat="1" x14ac:dyDescent="0.25"/>
    <row r="185" s="276" customFormat="1" x14ac:dyDescent="0.25"/>
    <row r="186" s="276" customFormat="1" x14ac:dyDescent="0.25"/>
    <row r="187" s="276" customFormat="1" x14ac:dyDescent="0.25"/>
    <row r="188" s="276" customFormat="1" x14ac:dyDescent="0.25"/>
    <row r="189" s="276" customFormat="1" x14ac:dyDescent="0.25"/>
    <row r="190" s="276" customFormat="1" x14ac:dyDescent="0.25"/>
    <row r="191" s="276" customFormat="1" x14ac:dyDescent="0.25"/>
    <row r="192" s="276" customFormat="1" x14ac:dyDescent="0.25"/>
    <row r="193" s="276" customFormat="1" x14ac:dyDescent="0.25"/>
    <row r="194" s="276" customFormat="1" x14ac:dyDescent="0.25"/>
    <row r="195" s="276" customFormat="1" x14ac:dyDescent="0.25"/>
    <row r="196" s="276" customFormat="1" x14ac:dyDescent="0.25"/>
    <row r="197" s="276" customFormat="1" x14ac:dyDescent="0.25"/>
    <row r="198" s="276" customFormat="1" x14ac:dyDescent="0.25"/>
    <row r="199" s="276" customFormat="1" x14ac:dyDescent="0.25"/>
    <row r="200" s="276" customFormat="1" x14ac:dyDescent="0.25"/>
    <row r="201" s="276" customFormat="1" x14ac:dyDescent="0.25"/>
    <row r="202" s="276" customFormat="1" x14ac:dyDescent="0.25"/>
    <row r="203" s="276" customFormat="1" x14ac:dyDescent="0.25"/>
    <row r="204" s="276" customFormat="1" x14ac:dyDescent="0.25"/>
    <row r="205" s="276" customFormat="1" x14ac:dyDescent="0.25"/>
    <row r="206" s="276" customFormat="1" x14ac:dyDescent="0.25"/>
    <row r="207" s="276" customFormat="1" x14ac:dyDescent="0.25"/>
    <row r="208" s="276" customFormat="1" x14ac:dyDescent="0.25"/>
    <row r="209" s="276" customFormat="1" x14ac:dyDescent="0.25"/>
    <row r="210" s="276" customFormat="1" x14ac:dyDescent="0.25"/>
    <row r="211" s="276" customFormat="1" x14ac:dyDescent="0.25"/>
    <row r="212" s="276" customFormat="1" x14ac:dyDescent="0.25"/>
    <row r="213" s="276" customFormat="1" x14ac:dyDescent="0.25"/>
    <row r="214" s="276" customFormat="1" x14ac:dyDescent="0.25"/>
    <row r="215" s="276" customFormat="1" x14ac:dyDescent="0.25"/>
    <row r="216" s="276" customFormat="1" x14ac:dyDescent="0.25"/>
    <row r="217" s="276" customFormat="1" x14ac:dyDescent="0.25"/>
    <row r="218" s="276" customFormat="1" x14ac:dyDescent="0.25"/>
    <row r="219" s="276" customFormat="1" x14ac:dyDescent="0.25"/>
    <row r="220" s="276" customFormat="1" x14ac:dyDescent="0.25"/>
    <row r="221" s="276" customFormat="1" x14ac:dyDescent="0.25"/>
    <row r="222" s="276" customFormat="1" x14ac:dyDescent="0.25"/>
    <row r="223" s="276" customFormat="1" x14ac:dyDescent="0.25"/>
    <row r="224" s="276" customFormat="1" x14ac:dyDescent="0.25"/>
    <row r="225" s="276" customFormat="1" x14ac:dyDescent="0.25"/>
    <row r="226" s="276" customFormat="1" x14ac:dyDescent="0.25"/>
    <row r="227" s="276" customFormat="1" x14ac:dyDescent="0.25"/>
    <row r="228" s="276" customFormat="1" x14ac:dyDescent="0.25"/>
    <row r="229" s="276" customFormat="1" x14ac:dyDescent="0.25"/>
    <row r="230" s="276" customFormat="1" x14ac:dyDescent="0.25"/>
    <row r="231" s="276" customFormat="1" x14ac:dyDescent="0.25"/>
    <row r="232" s="276" customFormat="1" x14ac:dyDescent="0.25"/>
    <row r="233" s="276" customFormat="1" x14ac:dyDescent="0.25"/>
    <row r="234" s="276" customFormat="1" x14ac:dyDescent="0.25"/>
    <row r="235" s="276" customFormat="1" x14ac:dyDescent="0.25"/>
    <row r="236" s="276" customFormat="1" x14ac:dyDescent="0.25"/>
    <row r="237" s="276" customFormat="1" x14ac:dyDescent="0.25"/>
    <row r="238" s="276" customFormat="1" x14ac:dyDescent="0.25"/>
    <row r="239" s="276" customFormat="1" x14ac:dyDescent="0.25"/>
    <row r="240" s="276" customFormat="1" x14ac:dyDescent="0.25"/>
    <row r="241" s="276" customFormat="1" x14ac:dyDescent="0.25"/>
    <row r="242" s="276" customFormat="1" x14ac:dyDescent="0.25"/>
    <row r="243" s="276" customFormat="1" x14ac:dyDescent="0.25"/>
    <row r="244" s="276" customFormat="1" x14ac:dyDescent="0.25"/>
    <row r="245" s="276" customFormat="1" x14ac:dyDescent="0.25"/>
    <row r="246" s="276" customFormat="1" x14ac:dyDescent="0.25"/>
    <row r="247" s="276" customFormat="1" x14ac:dyDescent="0.25"/>
    <row r="248" s="276" customFormat="1" x14ac:dyDescent="0.25"/>
    <row r="249" s="276" customFormat="1" x14ac:dyDescent="0.25"/>
    <row r="250" s="276" customFormat="1" x14ac:dyDescent="0.25"/>
    <row r="251" s="276" customFormat="1" x14ac:dyDescent="0.25"/>
    <row r="252" s="276" customFormat="1" x14ac:dyDescent="0.25"/>
    <row r="253" s="276" customFormat="1" x14ac:dyDescent="0.25"/>
    <row r="254" s="276" customFormat="1" x14ac:dyDescent="0.25"/>
    <row r="255" s="276" customFormat="1" x14ac:dyDescent="0.25"/>
    <row r="256" s="276" customFormat="1" x14ac:dyDescent="0.25"/>
    <row r="257" s="276" customFormat="1" x14ac:dyDescent="0.25"/>
    <row r="258" s="276" customFormat="1" x14ac:dyDescent="0.25"/>
    <row r="259" s="276" customFormat="1" x14ac:dyDescent="0.25"/>
    <row r="260" s="276" customFormat="1" x14ac:dyDescent="0.25"/>
    <row r="261" s="276" customFormat="1" x14ac:dyDescent="0.25"/>
    <row r="262" s="276" customFormat="1" x14ac:dyDescent="0.25"/>
    <row r="263" s="276" customFormat="1" x14ac:dyDescent="0.25"/>
    <row r="264" s="276" customFormat="1" x14ac:dyDescent="0.25"/>
    <row r="265" s="276" customFormat="1" x14ac:dyDescent="0.25"/>
    <row r="266" s="276" customFormat="1" x14ac:dyDescent="0.25"/>
    <row r="267" s="276" customFormat="1" x14ac:dyDescent="0.25"/>
    <row r="268" s="276" customFormat="1" x14ac:dyDescent="0.25"/>
    <row r="269" s="276" customFormat="1" x14ac:dyDescent="0.25"/>
    <row r="270" s="276" customFormat="1" x14ac:dyDescent="0.25"/>
    <row r="271" s="276" customFormat="1" x14ac:dyDescent="0.25"/>
    <row r="272" s="276" customFormat="1" x14ac:dyDescent="0.25"/>
    <row r="273" s="276" customFormat="1" x14ac:dyDescent="0.25"/>
    <row r="274" s="276" customFormat="1" x14ac:dyDescent="0.25"/>
    <row r="275" s="276" customFormat="1" x14ac:dyDescent="0.25"/>
    <row r="276" s="276" customFormat="1" x14ac:dyDescent="0.25"/>
    <row r="277" s="276" customFormat="1" x14ac:dyDescent="0.25"/>
    <row r="278" s="276" customFormat="1" x14ac:dyDescent="0.25"/>
    <row r="279" s="276" customFormat="1" x14ac:dyDescent="0.25"/>
    <row r="280" s="276" customFormat="1" x14ac:dyDescent="0.25"/>
    <row r="281" s="276" customFormat="1" x14ac:dyDescent="0.25"/>
    <row r="282" s="276" customFormat="1" x14ac:dyDescent="0.25"/>
    <row r="283" s="276" customFormat="1" x14ac:dyDescent="0.25"/>
    <row r="284" s="276" customFormat="1" x14ac:dyDescent="0.25"/>
    <row r="285" s="276" customFormat="1" x14ac:dyDescent="0.25"/>
    <row r="286" s="276" customFormat="1" x14ac:dyDescent="0.25"/>
    <row r="287" s="276" customFormat="1" x14ac:dyDescent="0.25"/>
    <row r="288" s="276" customFormat="1" x14ac:dyDescent="0.25"/>
    <row r="289" s="276" customFormat="1" x14ac:dyDescent="0.25"/>
    <row r="290" s="276" customFormat="1" x14ac:dyDescent="0.25"/>
    <row r="291" s="276" customFormat="1" x14ac:dyDescent="0.25"/>
    <row r="292" s="276" customFormat="1" x14ac:dyDescent="0.25"/>
    <row r="293" s="276" customFormat="1" x14ac:dyDescent="0.25"/>
    <row r="294" s="276" customFormat="1" x14ac:dyDescent="0.25"/>
    <row r="295" s="276" customFormat="1" x14ac:dyDescent="0.25"/>
    <row r="296" s="276" customFormat="1" x14ac:dyDescent="0.25"/>
    <row r="297" s="276" customFormat="1" x14ac:dyDescent="0.25"/>
    <row r="298" s="276" customFormat="1" x14ac:dyDescent="0.25"/>
    <row r="299" s="276" customFormat="1" x14ac:dyDescent="0.25"/>
    <row r="300" s="276" customFormat="1" x14ac:dyDescent="0.25"/>
    <row r="301" s="276" customFormat="1" x14ac:dyDescent="0.25"/>
    <row r="302" s="276" customFormat="1" x14ac:dyDescent="0.25"/>
    <row r="303" s="276" customFormat="1" x14ac:dyDescent="0.25"/>
    <row r="304" s="276" customFormat="1" x14ac:dyDescent="0.25"/>
    <row r="305" s="276" customFormat="1" x14ac:dyDescent="0.25"/>
    <row r="306" s="276" customFormat="1" x14ac:dyDescent="0.25"/>
    <row r="307" s="276" customFormat="1" x14ac:dyDescent="0.25"/>
    <row r="308" s="276" customFormat="1" x14ac:dyDescent="0.25"/>
    <row r="309" s="276" customFormat="1" x14ac:dyDescent="0.25"/>
    <row r="310" s="276" customFormat="1" x14ac:dyDescent="0.25"/>
    <row r="311" s="276" customFormat="1" x14ac:dyDescent="0.25"/>
    <row r="312" s="276" customFormat="1" x14ac:dyDescent="0.25"/>
    <row r="313" s="276" customFormat="1" x14ac:dyDescent="0.25"/>
    <row r="314" s="276" customFormat="1" x14ac:dyDescent="0.25"/>
    <row r="315" s="276" customFormat="1" x14ac:dyDescent="0.25"/>
    <row r="316" s="276" customFormat="1" x14ac:dyDescent="0.25"/>
    <row r="317" s="276" customFormat="1" x14ac:dyDescent="0.25"/>
    <row r="318" s="276" customFormat="1" x14ac:dyDescent="0.25"/>
    <row r="319" s="276" customFormat="1" x14ac:dyDescent="0.25"/>
    <row r="320" s="276" customFormat="1" x14ac:dyDescent="0.25"/>
    <row r="321" s="276" customFormat="1" x14ac:dyDescent="0.25"/>
    <row r="322" s="276" customFormat="1" x14ac:dyDescent="0.25"/>
    <row r="323" s="276" customFormat="1" x14ac:dyDescent="0.25"/>
    <row r="324" s="276" customFormat="1" x14ac:dyDescent="0.25"/>
    <row r="325" s="276" customFormat="1" x14ac:dyDescent="0.25"/>
    <row r="326" s="276" customFormat="1" x14ac:dyDescent="0.25"/>
    <row r="327" s="276" customFormat="1" x14ac:dyDescent="0.25"/>
    <row r="328" s="276" customFormat="1" x14ac:dyDescent="0.25"/>
    <row r="329" s="276" customFormat="1" x14ac:dyDescent="0.25"/>
    <row r="330" s="276" customFormat="1" x14ac:dyDescent="0.25"/>
    <row r="331" s="276" customFormat="1" x14ac:dyDescent="0.25"/>
    <row r="332" s="276" customFormat="1" x14ac:dyDescent="0.25"/>
    <row r="333" s="276" customFormat="1" x14ac:dyDescent="0.25"/>
    <row r="334" s="276" customFormat="1" x14ac:dyDescent="0.25"/>
    <row r="335" s="276" customFormat="1" x14ac:dyDescent="0.25"/>
    <row r="336" s="276" customFormat="1" x14ac:dyDescent="0.25"/>
    <row r="337" s="276" customFormat="1" x14ac:dyDescent="0.25"/>
    <row r="338" s="276" customFormat="1" x14ac:dyDescent="0.25"/>
    <row r="339" s="276" customFormat="1" x14ac:dyDescent="0.25"/>
    <row r="340" s="276" customFormat="1" x14ac:dyDescent="0.25"/>
    <row r="341" s="276" customFormat="1" x14ac:dyDescent="0.25"/>
    <row r="342" s="276" customFormat="1" x14ac:dyDescent="0.25"/>
    <row r="343" s="276" customFormat="1" x14ac:dyDescent="0.25"/>
    <row r="344" s="276" customFormat="1" x14ac:dyDescent="0.25"/>
    <row r="345" s="276" customFormat="1" x14ac:dyDescent="0.25"/>
    <row r="346" s="276" customFormat="1" x14ac:dyDescent="0.25"/>
    <row r="347" s="276" customFormat="1" x14ac:dyDescent="0.25"/>
    <row r="348" s="276" customFormat="1" x14ac:dyDescent="0.25"/>
    <row r="349" s="276" customFormat="1" x14ac:dyDescent="0.25"/>
    <row r="350" s="276" customFormat="1" x14ac:dyDescent="0.25"/>
    <row r="351" s="276" customFormat="1" x14ac:dyDescent="0.25"/>
    <row r="352" s="276" customFormat="1" x14ac:dyDescent="0.25"/>
    <row r="353" s="276" customFormat="1" x14ac:dyDescent="0.25"/>
    <row r="354" s="276" customFormat="1" x14ac:dyDescent="0.25"/>
    <row r="355" s="276" customFormat="1" x14ac:dyDescent="0.25"/>
    <row r="356" s="276" customFormat="1" x14ac:dyDescent="0.25"/>
    <row r="357" s="276" customFormat="1" x14ac:dyDescent="0.25"/>
    <row r="358" s="276" customFormat="1" x14ac:dyDescent="0.25"/>
    <row r="359" s="276" customFormat="1" x14ac:dyDescent="0.25"/>
    <row r="360" s="276" customFormat="1" x14ac:dyDescent="0.25"/>
    <row r="361" s="276" customFormat="1" x14ac:dyDescent="0.25"/>
    <row r="362" s="276" customFormat="1" x14ac:dyDescent="0.25"/>
    <row r="363" s="276" customFormat="1" x14ac:dyDescent="0.25"/>
    <row r="364" s="276" customFormat="1" x14ac:dyDescent="0.25"/>
    <row r="365" s="276" customFormat="1" x14ac:dyDescent="0.25"/>
    <row r="366" s="276" customFormat="1" x14ac:dyDescent="0.25"/>
    <row r="367" s="276" customFormat="1" x14ac:dyDescent="0.25"/>
    <row r="368" s="276" customFormat="1" x14ac:dyDescent="0.25"/>
    <row r="369" s="276" customFormat="1" x14ac:dyDescent="0.25"/>
    <row r="370" s="276" customFormat="1" x14ac:dyDescent="0.25"/>
    <row r="371" s="276" customFormat="1" x14ac:dyDescent="0.25"/>
    <row r="372" s="276" customFormat="1" x14ac:dyDescent="0.25"/>
    <row r="373" s="276" customFormat="1" x14ac:dyDescent="0.25"/>
    <row r="374" s="276" customFormat="1" x14ac:dyDescent="0.25"/>
    <row r="375" s="276" customFormat="1" x14ac:dyDescent="0.25"/>
    <row r="376" s="276" customFormat="1" x14ac:dyDescent="0.25"/>
    <row r="377" s="276" customFormat="1" x14ac:dyDescent="0.25"/>
    <row r="378" s="276" customFormat="1" x14ac:dyDescent="0.25"/>
    <row r="379" s="276" customFormat="1" x14ac:dyDescent="0.25"/>
    <row r="380" s="276" customFormat="1" x14ac:dyDescent="0.25"/>
    <row r="381" s="276" customFormat="1" x14ac:dyDescent="0.25"/>
    <row r="382" s="276" customFormat="1" x14ac:dyDescent="0.25"/>
    <row r="383" s="276" customFormat="1" x14ac:dyDescent="0.25"/>
    <row r="384" s="276" customFormat="1" x14ac:dyDescent="0.25"/>
    <row r="385" s="276" customFormat="1" x14ac:dyDescent="0.25"/>
    <row r="386" s="276" customFormat="1" x14ac:dyDescent="0.25"/>
    <row r="387" s="276" customFormat="1" x14ac:dyDescent="0.25"/>
    <row r="388" s="276" customFormat="1" x14ac:dyDescent="0.25"/>
    <row r="389" s="276" customFormat="1" x14ac:dyDescent="0.25"/>
    <row r="390" s="276" customFormat="1" x14ac:dyDescent="0.25"/>
    <row r="391" s="276" customFormat="1" x14ac:dyDescent="0.25"/>
    <row r="392" s="276" customFormat="1" x14ac:dyDescent="0.25"/>
    <row r="393" s="276" customFormat="1" x14ac:dyDescent="0.25"/>
    <row r="394" s="276" customFormat="1" x14ac:dyDescent="0.25"/>
    <row r="395" s="276" customFormat="1" x14ac:dyDescent="0.25"/>
    <row r="396" s="276" customFormat="1" x14ac:dyDescent="0.25"/>
    <row r="397" s="276" customFormat="1" x14ac:dyDescent="0.25"/>
    <row r="398" s="276" customFormat="1" x14ac:dyDescent="0.25"/>
    <row r="399" s="276" customFormat="1" x14ac:dyDescent="0.25"/>
    <row r="400" s="276" customFormat="1" x14ac:dyDescent="0.25"/>
    <row r="401" s="276" customFormat="1" x14ac:dyDescent="0.25"/>
    <row r="402" s="276" customFormat="1" x14ac:dyDescent="0.25"/>
    <row r="403" s="276" customFormat="1" x14ac:dyDescent="0.25"/>
    <row r="404" s="276" customFormat="1" x14ac:dyDescent="0.25"/>
    <row r="405" s="276" customFormat="1" x14ac:dyDescent="0.25"/>
    <row r="406" s="276" customFormat="1" x14ac:dyDescent="0.25"/>
    <row r="407" s="276" customFormat="1" x14ac:dyDescent="0.25"/>
    <row r="408" s="276" customFormat="1" x14ac:dyDescent="0.25"/>
    <row r="409" s="276" customFormat="1" x14ac:dyDescent="0.25"/>
    <row r="410" s="276" customFormat="1" x14ac:dyDescent="0.25"/>
    <row r="411" s="276" customFormat="1" x14ac:dyDescent="0.25"/>
    <row r="412" s="276" customFormat="1" x14ac:dyDescent="0.25"/>
    <row r="413" s="276" customFormat="1" x14ac:dyDescent="0.25"/>
    <row r="414" s="276" customFormat="1" x14ac:dyDescent="0.25"/>
    <row r="415" s="276" customFormat="1" x14ac:dyDescent="0.25"/>
    <row r="416" s="276" customFormat="1" x14ac:dyDescent="0.25"/>
    <row r="417" s="276" customFormat="1" x14ac:dyDescent="0.25"/>
    <row r="418" s="276" customFormat="1" x14ac:dyDescent="0.25"/>
    <row r="419" s="276" customFormat="1" x14ac:dyDescent="0.25"/>
    <row r="420" s="276" customFormat="1" x14ac:dyDescent="0.25"/>
    <row r="421" s="276" customFormat="1" x14ac:dyDescent="0.25"/>
    <row r="422" s="276" customFormat="1" x14ac:dyDescent="0.25"/>
    <row r="423" s="276" customFormat="1" x14ac:dyDescent="0.25"/>
    <row r="424" s="276" customFormat="1" x14ac:dyDescent="0.25"/>
    <row r="425" s="276" customFormat="1" x14ac:dyDescent="0.25"/>
    <row r="426" s="276" customFormat="1" x14ac:dyDescent="0.25"/>
    <row r="427" s="276" customFormat="1" x14ac:dyDescent="0.25"/>
    <row r="428" s="276" customFormat="1" x14ac:dyDescent="0.25"/>
    <row r="429" s="276" customFormat="1" x14ac:dyDescent="0.25"/>
    <row r="430" s="276" customFormat="1" x14ac:dyDescent="0.25"/>
    <row r="431" s="276" customFormat="1" x14ac:dyDescent="0.25"/>
    <row r="432" s="276" customFormat="1" x14ac:dyDescent="0.25"/>
    <row r="433" s="276" customFormat="1" x14ac:dyDescent="0.25"/>
    <row r="434" s="276" customFormat="1" x14ac:dyDescent="0.25"/>
    <row r="435" s="276" customFormat="1" x14ac:dyDescent="0.25"/>
    <row r="436" s="276" customFormat="1" x14ac:dyDescent="0.25"/>
    <row r="437" s="276" customFormat="1" x14ac:dyDescent="0.25"/>
    <row r="438" s="276" customFormat="1" x14ac:dyDescent="0.25"/>
    <row r="439" s="276" customFormat="1" x14ac:dyDescent="0.25"/>
    <row r="440" s="276" customFormat="1" x14ac:dyDescent="0.25"/>
    <row r="441" s="276" customFormat="1" x14ac:dyDescent="0.25"/>
    <row r="442" s="276" customFormat="1" x14ac:dyDescent="0.25"/>
    <row r="443" s="276" customFormat="1" x14ac:dyDescent="0.25"/>
    <row r="444" s="276" customFormat="1" x14ac:dyDescent="0.25"/>
    <row r="445" s="276" customFormat="1" x14ac:dyDescent="0.25"/>
    <row r="446" s="276" customFormat="1" x14ac:dyDescent="0.25"/>
    <row r="447" s="276" customFormat="1" x14ac:dyDescent="0.25"/>
    <row r="448" s="276" customFormat="1" x14ac:dyDescent="0.25"/>
    <row r="449" s="276" customFormat="1" x14ac:dyDescent="0.25"/>
    <row r="450" s="276" customFormat="1" x14ac:dyDescent="0.25"/>
    <row r="451" s="276" customFormat="1" x14ac:dyDescent="0.25"/>
    <row r="452" s="276" customFormat="1" x14ac:dyDescent="0.25"/>
    <row r="453" s="276" customFormat="1" x14ac:dyDescent="0.25"/>
    <row r="454" s="276" customFormat="1" x14ac:dyDescent="0.25"/>
    <row r="455" s="276" customFormat="1" x14ac:dyDescent="0.25"/>
    <row r="456" s="276" customFormat="1" x14ac:dyDescent="0.25"/>
    <row r="457" s="276" customFormat="1" x14ac:dyDescent="0.25"/>
    <row r="458" s="276" customFormat="1" x14ac:dyDescent="0.25"/>
    <row r="459" s="276" customFormat="1" x14ac:dyDescent="0.25"/>
    <row r="460" s="276" customFormat="1" x14ac:dyDescent="0.25"/>
    <row r="461" s="276" customFormat="1" x14ac:dyDescent="0.25"/>
    <row r="462" s="276" customFormat="1" x14ac:dyDescent="0.25"/>
    <row r="463" s="276" customFormat="1" x14ac:dyDescent="0.25"/>
    <row r="464" s="276" customFormat="1" x14ac:dyDescent="0.25"/>
  </sheetData>
  <mergeCells count="17">
    <mergeCell ref="B20:M20"/>
    <mergeCell ref="O20:Z20"/>
    <mergeCell ref="O22:O29"/>
    <mergeCell ref="O30:O37"/>
    <mergeCell ref="O38:O40"/>
    <mergeCell ref="B3:J3"/>
    <mergeCell ref="O3:W3"/>
    <mergeCell ref="J5:J16"/>
    <mergeCell ref="B38:B40"/>
    <mergeCell ref="B22:B29"/>
    <mergeCell ref="B30:B37"/>
    <mergeCell ref="B13:D13"/>
    <mergeCell ref="B16:D16"/>
    <mergeCell ref="B5:D5"/>
    <mergeCell ref="B6:D6"/>
    <mergeCell ref="B10:D10"/>
    <mergeCell ref="W5:W17"/>
  </mergeCells>
  <pageMargins left="0.7" right="0.7" top="0.75" bottom="0.75" header="0.3" footer="0.3"/>
  <pageSetup scale="23"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249977111117893"/>
  </sheetPr>
  <dimension ref="B5:AQ194"/>
  <sheetViews>
    <sheetView view="pageBreakPreview" topLeftCell="A43" zoomScale="85" zoomScaleNormal="100" zoomScaleSheetLayoutView="85" workbookViewId="0">
      <selection activeCell="C90" sqref="C90"/>
    </sheetView>
  </sheetViews>
  <sheetFormatPr baseColWidth="10" defaultRowHeight="12.75" x14ac:dyDescent="0.25"/>
  <cols>
    <col min="1" max="1" width="13.28515625" style="222" customWidth="1"/>
    <col min="2" max="2" width="7.7109375" style="222" customWidth="1"/>
    <col min="3" max="3" width="26.140625" style="222" customWidth="1"/>
    <col min="4" max="6" width="11.5703125" style="222" bestFit="1" customWidth="1"/>
    <col min="7" max="7" width="12" style="222" customWidth="1"/>
    <col min="8" max="8" width="13.5703125" style="222" bestFit="1" customWidth="1"/>
    <col min="9" max="9" width="11.5703125" style="222" bestFit="1" customWidth="1"/>
    <col min="10" max="11" width="11.42578125" style="222"/>
    <col min="12" max="14" width="12.7109375" style="222" bestFit="1" customWidth="1"/>
    <col min="15" max="15" width="12.7109375" style="222" customWidth="1"/>
    <col min="16" max="20" width="12.7109375" style="222" bestFit="1" customWidth="1"/>
    <col min="21" max="21" width="15.85546875" style="222" customWidth="1"/>
    <col min="22" max="23" width="11.42578125" style="222"/>
    <col min="24" max="24" width="25.5703125" style="222" customWidth="1"/>
    <col min="25" max="28" width="11.42578125" style="222"/>
    <col min="29" max="29" width="13.42578125" style="222" bestFit="1" customWidth="1"/>
    <col min="30" max="30" width="11.42578125" style="222" customWidth="1"/>
    <col min="31" max="33" width="11.42578125" style="222"/>
    <col min="34" max="43" width="12" style="222" bestFit="1" customWidth="1"/>
    <col min="44" max="16384" width="11.42578125" style="222"/>
  </cols>
  <sheetData>
    <row r="5" spans="3:9" x14ac:dyDescent="0.25">
      <c r="C5" s="389" t="s">
        <v>1083</v>
      </c>
    </row>
    <row r="8" spans="3:9" x14ac:dyDescent="0.2">
      <c r="C8" s="52"/>
      <c r="D8" s="205" t="s">
        <v>1084</v>
      </c>
      <c r="E8" s="52"/>
      <c r="F8" s="52"/>
      <c r="G8" s="52"/>
      <c r="H8" s="52"/>
      <c r="I8" s="52"/>
    </row>
    <row r="9" spans="3:9" x14ac:dyDescent="0.2">
      <c r="C9" s="52"/>
      <c r="D9" s="205" t="s">
        <v>1085</v>
      </c>
      <c r="E9" s="205"/>
      <c r="F9" s="205"/>
      <c r="G9" s="205"/>
      <c r="H9" s="52"/>
      <c r="I9" s="52"/>
    </row>
    <row r="10" spans="3:9" x14ac:dyDescent="0.2">
      <c r="C10" s="52"/>
      <c r="D10" s="52"/>
      <c r="E10" s="52"/>
      <c r="F10" s="52"/>
      <c r="G10" s="52"/>
      <c r="H10" s="52"/>
      <c r="I10" s="52"/>
    </row>
    <row r="11" spans="3:9" x14ac:dyDescent="0.2">
      <c r="C11" s="52"/>
      <c r="D11" s="52"/>
      <c r="E11" s="52"/>
      <c r="F11" s="52"/>
      <c r="G11" s="52"/>
      <c r="H11" s="52"/>
      <c r="I11" s="52"/>
    </row>
    <row r="12" spans="3:9" x14ac:dyDescent="0.2">
      <c r="C12" s="1884" t="s">
        <v>1086</v>
      </c>
      <c r="D12" s="1886"/>
      <c r="E12" s="1886"/>
      <c r="F12" s="1886"/>
      <c r="G12" s="1886"/>
      <c r="H12" s="1886"/>
      <c r="I12" s="1886"/>
    </row>
    <row r="13" spans="3:9" ht="25.5" x14ac:dyDescent="0.2">
      <c r="C13" s="1885"/>
      <c r="D13" s="703" t="s">
        <v>1087</v>
      </c>
      <c r="E13" s="704" t="s">
        <v>1088</v>
      </c>
      <c r="F13" s="704" t="s">
        <v>1089</v>
      </c>
      <c r="G13" s="704" t="s">
        <v>1090</v>
      </c>
      <c r="H13" s="705"/>
      <c r="I13" s="705"/>
    </row>
    <row r="14" spans="3:9" x14ac:dyDescent="0.2">
      <c r="C14" s="706" t="s">
        <v>1091</v>
      </c>
      <c r="D14" s="707"/>
      <c r="E14" s="707"/>
      <c r="F14" s="707"/>
      <c r="G14" s="707"/>
      <c r="H14" s="707"/>
      <c r="I14" s="707"/>
    </row>
    <row r="15" spans="3:9" x14ac:dyDescent="0.2">
      <c r="C15" s="708" t="s">
        <v>1092</v>
      </c>
      <c r="D15" s="707"/>
      <c r="E15" s="707"/>
      <c r="F15" s="707"/>
      <c r="G15" s="709"/>
      <c r="H15" s="732">
        <f>SUM(G16:G25)</f>
        <v>935203.6</v>
      </c>
      <c r="I15" s="710"/>
    </row>
    <row r="16" spans="3:9" x14ac:dyDescent="0.2">
      <c r="C16" s="711" t="s">
        <v>1161</v>
      </c>
      <c r="D16" s="710" t="s">
        <v>1093</v>
      </c>
      <c r="E16" s="730">
        <v>500</v>
      </c>
      <c r="F16" s="712">
        <v>100</v>
      </c>
      <c r="G16" s="713">
        <f>F16*E16</f>
        <v>50000</v>
      </c>
      <c r="H16" s="730"/>
      <c r="I16" s="710"/>
    </row>
    <row r="17" spans="3:9" x14ac:dyDescent="0.2">
      <c r="C17" s="711" t="s">
        <v>1162</v>
      </c>
      <c r="D17" s="710" t="s">
        <v>1093</v>
      </c>
      <c r="E17" s="133">
        <v>700000</v>
      </c>
      <c r="F17" s="712">
        <v>0.8</v>
      </c>
      <c r="G17" s="713">
        <f t="shared" ref="G17:G25" si="0">F17*E17</f>
        <v>560000</v>
      </c>
      <c r="H17" s="730"/>
      <c r="I17" s="710"/>
    </row>
    <row r="18" spans="3:9" x14ac:dyDescent="0.2">
      <c r="C18" s="711" t="s">
        <v>1163</v>
      </c>
      <c r="D18" s="710" t="s">
        <v>1093</v>
      </c>
      <c r="E18" s="133">
        <v>21900</v>
      </c>
      <c r="F18" s="712">
        <v>2</v>
      </c>
      <c r="G18" s="713">
        <f t="shared" si="0"/>
        <v>43800</v>
      </c>
      <c r="H18" s="730"/>
      <c r="I18" s="710"/>
    </row>
    <row r="19" spans="3:9" x14ac:dyDescent="0.2">
      <c r="C19" s="711" t="s">
        <v>1164</v>
      </c>
      <c r="D19" s="710" t="s">
        <v>1093</v>
      </c>
      <c r="E19" s="133">
        <v>109000</v>
      </c>
      <c r="F19" s="712">
        <v>1.5</v>
      </c>
      <c r="G19" s="713">
        <f t="shared" si="0"/>
        <v>163500</v>
      </c>
      <c r="H19" s="730"/>
      <c r="I19" s="710"/>
    </row>
    <row r="20" spans="3:9" x14ac:dyDescent="0.2">
      <c r="C20" s="711" t="s">
        <v>1165</v>
      </c>
      <c r="D20" s="710" t="s">
        <v>1093</v>
      </c>
      <c r="E20" s="133">
        <v>43800</v>
      </c>
      <c r="F20" s="712">
        <v>0.7</v>
      </c>
      <c r="G20" s="713">
        <f t="shared" si="0"/>
        <v>30659.999999999996</v>
      </c>
      <c r="H20" s="730"/>
      <c r="I20" s="710"/>
    </row>
    <row r="21" spans="3:9" x14ac:dyDescent="0.2">
      <c r="C21" s="711" t="s">
        <v>1166</v>
      </c>
      <c r="D21" s="710" t="s">
        <v>1093</v>
      </c>
      <c r="E21" s="133">
        <v>8760</v>
      </c>
      <c r="F21" s="712">
        <v>1.5</v>
      </c>
      <c r="G21" s="713">
        <f t="shared" si="0"/>
        <v>13140</v>
      </c>
      <c r="H21" s="730"/>
      <c r="I21" s="710"/>
    </row>
    <row r="22" spans="3:9" x14ac:dyDescent="0.2">
      <c r="C22" s="711" t="s">
        <v>1167</v>
      </c>
      <c r="D22" s="710" t="s">
        <v>1093</v>
      </c>
      <c r="E22" s="133">
        <v>438</v>
      </c>
      <c r="F22" s="712">
        <v>3.2</v>
      </c>
      <c r="G22" s="713">
        <f t="shared" si="0"/>
        <v>1401.6000000000001</v>
      </c>
      <c r="H22" s="730"/>
      <c r="I22" s="710"/>
    </row>
    <row r="23" spans="3:9" x14ac:dyDescent="0.2">
      <c r="C23" s="711" t="s">
        <v>1168</v>
      </c>
      <c r="D23" s="710" t="s">
        <v>1093</v>
      </c>
      <c r="E23" s="133">
        <v>43800</v>
      </c>
      <c r="F23" s="712">
        <v>0.9</v>
      </c>
      <c r="G23" s="713">
        <f t="shared" si="0"/>
        <v>39420</v>
      </c>
      <c r="H23" s="133"/>
      <c r="I23" s="52"/>
    </row>
    <row r="24" spans="3:9" x14ac:dyDescent="0.2">
      <c r="C24" s="711" t="s">
        <v>1169</v>
      </c>
      <c r="D24" s="710" t="s">
        <v>1093</v>
      </c>
      <c r="E24" s="133">
        <v>1750</v>
      </c>
      <c r="F24" s="712">
        <v>3</v>
      </c>
      <c r="G24" s="713">
        <f t="shared" si="0"/>
        <v>5250</v>
      </c>
      <c r="H24" s="133"/>
      <c r="I24" s="52"/>
    </row>
    <row r="25" spans="3:9" x14ac:dyDescent="0.2">
      <c r="C25" s="711" t="s">
        <v>1170</v>
      </c>
      <c r="D25" s="710" t="s">
        <v>1093</v>
      </c>
      <c r="E25" s="133">
        <v>3504</v>
      </c>
      <c r="F25" s="712">
        <v>8</v>
      </c>
      <c r="G25" s="713">
        <f t="shared" si="0"/>
        <v>28032</v>
      </c>
      <c r="H25" s="133"/>
      <c r="I25" s="52"/>
    </row>
    <row r="26" spans="3:9" x14ac:dyDescent="0.2">
      <c r="C26" s="708" t="s">
        <v>1094</v>
      </c>
      <c r="D26" s="707"/>
      <c r="E26" s="732"/>
      <c r="F26" s="714"/>
      <c r="G26" s="715"/>
      <c r="H26" s="732">
        <f>SUM(G27:G33)</f>
        <v>457140</v>
      </c>
      <c r="I26" s="710"/>
    </row>
    <row r="27" spans="3:9" x14ac:dyDescent="0.2">
      <c r="C27" s="716" t="s">
        <v>1095</v>
      </c>
      <c r="D27" s="710" t="s">
        <v>667</v>
      </c>
      <c r="E27" s="133">
        <v>43800</v>
      </c>
      <c r="F27" s="712">
        <v>0.3</v>
      </c>
      <c r="G27" s="713">
        <f t="shared" ref="G27:G33" si="1">F27*E27</f>
        <v>13140</v>
      </c>
      <c r="H27" s="730"/>
      <c r="I27" s="710"/>
    </row>
    <row r="28" spans="3:9" x14ac:dyDescent="0.2">
      <c r="C28" s="716" t="s">
        <v>1096</v>
      </c>
      <c r="D28" s="710" t="s">
        <v>1097</v>
      </c>
      <c r="E28" s="730">
        <v>6250</v>
      </c>
      <c r="F28" s="712">
        <v>3.5</v>
      </c>
      <c r="G28" s="713">
        <f t="shared" si="1"/>
        <v>21875</v>
      </c>
      <c r="H28" s="730"/>
      <c r="I28" s="710"/>
    </row>
    <row r="29" spans="3:9" x14ac:dyDescent="0.2">
      <c r="C29" s="716" t="s">
        <v>1098</v>
      </c>
      <c r="D29" s="710" t="s">
        <v>1099</v>
      </c>
      <c r="E29" s="730">
        <v>55750</v>
      </c>
      <c r="F29" s="712">
        <v>3.5</v>
      </c>
      <c r="G29" s="713">
        <f t="shared" si="1"/>
        <v>195125</v>
      </c>
      <c r="H29" s="730"/>
      <c r="I29" s="710"/>
    </row>
    <row r="30" spans="3:9" x14ac:dyDescent="0.2">
      <c r="C30" s="716" t="s">
        <v>1100</v>
      </c>
      <c r="D30" s="710" t="s">
        <v>1101</v>
      </c>
      <c r="E30" s="710">
        <v>39</v>
      </c>
      <c r="F30" s="712">
        <v>3000</v>
      </c>
      <c r="G30" s="713">
        <f t="shared" si="1"/>
        <v>117000</v>
      </c>
      <c r="H30" s="730"/>
      <c r="I30" s="710"/>
    </row>
    <row r="31" spans="3:9" x14ac:dyDescent="0.2">
      <c r="C31" s="716" t="s">
        <v>1102</v>
      </c>
      <c r="D31" s="710" t="s">
        <v>1103</v>
      </c>
      <c r="E31" s="710">
        <v>1</v>
      </c>
      <c r="F31" s="712">
        <v>40000</v>
      </c>
      <c r="G31" s="713">
        <f t="shared" si="1"/>
        <v>40000</v>
      </c>
      <c r="H31" s="730"/>
      <c r="I31" s="710"/>
    </row>
    <row r="32" spans="3:9" x14ac:dyDescent="0.2">
      <c r="C32" s="711" t="s">
        <v>1104</v>
      </c>
      <c r="D32" s="710" t="s">
        <v>1103</v>
      </c>
      <c r="E32" s="710">
        <v>1</v>
      </c>
      <c r="F32" s="712">
        <v>20000</v>
      </c>
      <c r="G32" s="713">
        <f t="shared" si="1"/>
        <v>20000</v>
      </c>
      <c r="H32" s="730"/>
      <c r="I32" s="710"/>
    </row>
    <row r="33" spans="3:9" x14ac:dyDescent="0.2">
      <c r="C33" s="711" t="s">
        <v>1105</v>
      </c>
      <c r="D33" s="710" t="s">
        <v>1103</v>
      </c>
      <c r="E33" s="710">
        <v>1</v>
      </c>
      <c r="F33" s="712">
        <v>50000</v>
      </c>
      <c r="G33" s="717">
        <f t="shared" si="1"/>
        <v>50000</v>
      </c>
      <c r="H33" s="733"/>
      <c r="I33" s="710"/>
    </row>
    <row r="34" spans="3:9" x14ac:dyDescent="0.2">
      <c r="C34" s="719" t="s">
        <v>1106</v>
      </c>
      <c r="D34" s="720"/>
      <c r="E34" s="720"/>
      <c r="F34" s="720"/>
      <c r="G34" s="720"/>
      <c r="H34" s="721">
        <f>SUM(H15+H26)</f>
        <v>1392343.6</v>
      </c>
      <c r="I34" s="720"/>
    </row>
    <row r="35" spans="3:9" x14ac:dyDescent="0.2">
      <c r="C35" s="52"/>
      <c r="D35" s="52"/>
      <c r="E35" s="52"/>
      <c r="F35" s="52"/>
      <c r="G35" s="52"/>
      <c r="H35" s="52"/>
      <c r="I35" s="52"/>
    </row>
    <row r="36" spans="3:9" x14ac:dyDescent="0.2">
      <c r="C36" s="52"/>
      <c r="D36" s="52"/>
      <c r="E36" s="52"/>
      <c r="F36" s="52"/>
      <c r="G36" s="52"/>
      <c r="H36" s="52"/>
      <c r="I36" s="52"/>
    </row>
    <row r="37" spans="3:9" x14ac:dyDescent="0.2">
      <c r="C37" s="52" t="s">
        <v>733</v>
      </c>
      <c r="D37" s="52"/>
      <c r="E37" s="52"/>
      <c r="F37" s="52"/>
      <c r="G37" s="52"/>
      <c r="H37" s="52"/>
      <c r="I37" s="52"/>
    </row>
    <row r="38" spans="3:9" x14ac:dyDescent="0.2">
      <c r="C38" s="52"/>
      <c r="D38" s="52" t="s">
        <v>1107</v>
      </c>
      <c r="E38" s="52"/>
      <c r="F38" s="52"/>
      <c r="G38" s="52"/>
      <c r="H38" s="52"/>
      <c r="I38" s="52"/>
    </row>
    <row r="39" spans="3:9" ht="13.5" thickBot="1" x14ac:dyDescent="0.25">
      <c r="C39" s="52"/>
      <c r="D39" s="52"/>
      <c r="E39" s="52"/>
      <c r="F39" s="52"/>
      <c r="G39" s="52"/>
      <c r="H39" s="52"/>
      <c r="I39" s="52"/>
    </row>
    <row r="40" spans="3:9" ht="13.5" thickBot="1" x14ac:dyDescent="0.25">
      <c r="C40" s="52"/>
      <c r="D40" s="697" t="s">
        <v>1108</v>
      </c>
      <c r="E40" s="698"/>
      <c r="F40" s="698"/>
      <c r="G40" s="699">
        <f>H34/40000</f>
        <v>34.808590000000002</v>
      </c>
      <c r="H40" s="52"/>
      <c r="I40" s="52"/>
    </row>
    <row r="41" spans="3:9" x14ac:dyDescent="0.2">
      <c r="C41" s="52"/>
      <c r="D41" s="52"/>
      <c r="E41" s="52"/>
      <c r="F41" s="52"/>
      <c r="G41" s="700"/>
      <c r="H41" s="52"/>
      <c r="I41" s="52"/>
    </row>
    <row r="42" spans="3:9" x14ac:dyDescent="0.2">
      <c r="C42" s="52"/>
      <c r="D42" s="52"/>
      <c r="E42" s="52"/>
      <c r="F42" s="52"/>
      <c r="G42" s="700"/>
      <c r="H42" s="52"/>
      <c r="I42" s="52"/>
    </row>
    <row r="43" spans="3:9" x14ac:dyDescent="0.2">
      <c r="C43" s="97"/>
      <c r="D43" s="729" t="s">
        <v>1109</v>
      </c>
      <c r="E43" s="97"/>
      <c r="F43" s="97"/>
      <c r="G43" s="701"/>
      <c r="H43" s="97"/>
      <c r="I43" s="97"/>
    </row>
    <row r="44" spans="3:9" x14ac:dyDescent="0.2">
      <c r="C44" s="52"/>
      <c r="D44" s="52"/>
      <c r="E44" s="52"/>
      <c r="F44" s="52"/>
      <c r="G44" s="700"/>
      <c r="H44" s="52"/>
      <c r="I44" s="52"/>
    </row>
    <row r="45" spans="3:9" x14ac:dyDescent="0.2">
      <c r="C45" s="52"/>
      <c r="D45" s="52" t="s">
        <v>1110</v>
      </c>
      <c r="E45" s="52"/>
      <c r="F45" s="52"/>
      <c r="G45" s="52"/>
      <c r="H45" s="52"/>
      <c r="I45" s="52"/>
    </row>
    <row r="46" spans="3:9" x14ac:dyDescent="0.2">
      <c r="C46" s="52"/>
      <c r="D46" s="52"/>
      <c r="E46" s="52"/>
      <c r="F46" s="52"/>
      <c r="G46" s="52"/>
      <c r="H46" s="52"/>
      <c r="I46" s="52"/>
    </row>
    <row r="47" spans="3:9" x14ac:dyDescent="0.2">
      <c r="C47" s="52"/>
      <c r="D47" s="52"/>
      <c r="E47" s="52"/>
      <c r="F47" s="52"/>
      <c r="G47" s="52"/>
      <c r="H47" s="52"/>
      <c r="I47" s="52"/>
    </row>
    <row r="48" spans="3:9" x14ac:dyDescent="0.2">
      <c r="C48" s="1884" t="s">
        <v>1086</v>
      </c>
      <c r="D48" s="1886"/>
      <c r="E48" s="1886"/>
      <c r="F48" s="1886"/>
      <c r="G48" s="1886"/>
      <c r="H48" s="1886"/>
      <c r="I48" s="1886"/>
    </row>
    <row r="49" spans="3:9" ht="25.5" x14ac:dyDescent="0.2">
      <c r="C49" s="1885"/>
      <c r="D49" s="703" t="s">
        <v>1087</v>
      </c>
      <c r="E49" s="704" t="s">
        <v>1088</v>
      </c>
      <c r="F49" s="704" t="s">
        <v>1089</v>
      </c>
      <c r="G49" s="704" t="s">
        <v>1090</v>
      </c>
      <c r="H49" s="728"/>
      <c r="I49" s="728"/>
    </row>
    <row r="50" spans="3:9" x14ac:dyDescent="0.2">
      <c r="C50" s="722" t="s">
        <v>1091</v>
      </c>
      <c r="D50" s="707"/>
      <c r="E50" s="707"/>
      <c r="F50" s="707"/>
      <c r="G50" s="707"/>
      <c r="H50" s="707"/>
      <c r="I50" s="707"/>
    </row>
    <row r="51" spans="3:9" x14ac:dyDescent="0.2">
      <c r="C51" s="723" t="s">
        <v>1092</v>
      </c>
      <c r="D51" s="710"/>
      <c r="E51" s="710"/>
      <c r="F51" s="710"/>
      <c r="G51" s="710"/>
      <c r="H51" s="710">
        <f>SUM(G52:G54)</f>
        <v>231400</v>
      </c>
      <c r="I51" s="710"/>
    </row>
    <row r="52" spans="3:9" x14ac:dyDescent="0.2">
      <c r="C52" s="723" t="s">
        <v>1157</v>
      </c>
      <c r="D52" s="710" t="s">
        <v>1093</v>
      </c>
      <c r="E52" s="730">
        <v>40000</v>
      </c>
      <c r="F52" s="731">
        <v>0</v>
      </c>
      <c r="G52" s="731">
        <f>F52*E52</f>
        <v>0</v>
      </c>
      <c r="H52" s="730"/>
      <c r="I52" s="710"/>
    </row>
    <row r="53" spans="3:9" x14ac:dyDescent="0.2">
      <c r="C53" s="723" t="s">
        <v>1158</v>
      </c>
      <c r="D53" s="710" t="s">
        <v>1103</v>
      </c>
      <c r="E53" s="730">
        <v>52</v>
      </c>
      <c r="F53" s="730">
        <v>3200</v>
      </c>
      <c r="G53" s="731">
        <f>F53*E53</f>
        <v>166400</v>
      </c>
      <c r="H53" s="730"/>
      <c r="I53" s="710"/>
    </row>
    <row r="54" spans="3:9" x14ac:dyDescent="0.2">
      <c r="C54" s="723" t="s">
        <v>1212</v>
      </c>
      <c r="D54" s="710" t="s">
        <v>1103</v>
      </c>
      <c r="E54" s="730">
        <v>26</v>
      </c>
      <c r="F54" s="730">
        <v>2500</v>
      </c>
      <c r="G54" s="731">
        <f t="shared" ref="G54:G68" si="2">F54*E54</f>
        <v>65000</v>
      </c>
      <c r="H54" s="730"/>
      <c r="I54" s="710"/>
    </row>
    <row r="55" spans="3:9" x14ac:dyDescent="0.2">
      <c r="C55" s="723" t="s">
        <v>1094</v>
      </c>
      <c r="D55" s="710"/>
      <c r="E55" s="730"/>
      <c r="F55" s="730"/>
      <c r="G55" s="731"/>
      <c r="H55" s="730">
        <f>SUM(G56:G63)</f>
        <v>357575</v>
      </c>
      <c r="I55" s="710"/>
    </row>
    <row r="56" spans="3:9" x14ac:dyDescent="0.2">
      <c r="C56" s="723" t="s">
        <v>1111</v>
      </c>
      <c r="D56" s="710" t="s">
        <v>1112</v>
      </c>
      <c r="E56" s="730">
        <v>10</v>
      </c>
      <c r="F56" s="730">
        <v>1000</v>
      </c>
      <c r="G56" s="731">
        <f t="shared" si="2"/>
        <v>10000</v>
      </c>
      <c r="H56" s="730"/>
      <c r="I56" s="710"/>
    </row>
    <row r="57" spans="3:9" x14ac:dyDescent="0.2">
      <c r="C57" s="723" t="s">
        <v>1113</v>
      </c>
      <c r="D57" s="710" t="s">
        <v>1114</v>
      </c>
      <c r="E57" s="730">
        <v>100</v>
      </c>
      <c r="F57" s="730">
        <v>10</v>
      </c>
      <c r="G57" s="731">
        <f t="shared" si="2"/>
        <v>1000</v>
      </c>
      <c r="H57" s="730"/>
      <c r="I57" s="710"/>
    </row>
    <row r="58" spans="3:9" x14ac:dyDescent="0.2">
      <c r="C58" s="723" t="s">
        <v>1115</v>
      </c>
      <c r="D58" s="710" t="s">
        <v>1112</v>
      </c>
      <c r="E58" s="730">
        <v>1</v>
      </c>
      <c r="F58" s="730">
        <v>2500</v>
      </c>
      <c r="G58" s="731">
        <f t="shared" si="2"/>
        <v>2500</v>
      </c>
      <c r="H58" s="730"/>
      <c r="I58" s="710"/>
    </row>
    <row r="59" spans="3:9" x14ac:dyDescent="0.2">
      <c r="C59" s="723" t="s">
        <v>1116</v>
      </c>
      <c r="D59" s="710" t="s">
        <v>1099</v>
      </c>
      <c r="E59" s="730">
        <v>75850</v>
      </c>
      <c r="F59" s="730">
        <v>3.5</v>
      </c>
      <c r="G59" s="731">
        <f t="shared" si="2"/>
        <v>265475</v>
      </c>
      <c r="H59" s="730"/>
      <c r="I59" s="710"/>
    </row>
    <row r="60" spans="3:9" x14ac:dyDescent="0.2">
      <c r="C60" s="723" t="s">
        <v>1117</v>
      </c>
      <c r="D60" s="710" t="s">
        <v>667</v>
      </c>
      <c r="E60" s="730">
        <v>1200</v>
      </c>
      <c r="F60" s="730">
        <v>0.5</v>
      </c>
      <c r="G60" s="731">
        <f t="shared" si="2"/>
        <v>600</v>
      </c>
      <c r="H60" s="730"/>
      <c r="I60" s="710"/>
    </row>
    <row r="61" spans="3:9" x14ac:dyDescent="0.2">
      <c r="C61" s="723" t="s">
        <v>1118</v>
      </c>
      <c r="D61" s="710" t="s">
        <v>1103</v>
      </c>
      <c r="E61" s="730">
        <v>1</v>
      </c>
      <c r="F61" s="730">
        <v>40000</v>
      </c>
      <c r="G61" s="731">
        <f t="shared" si="2"/>
        <v>40000</v>
      </c>
      <c r="H61" s="730"/>
      <c r="I61" s="710"/>
    </row>
    <row r="62" spans="3:9" x14ac:dyDescent="0.2">
      <c r="C62" s="723" t="s">
        <v>1119</v>
      </c>
      <c r="D62" s="710" t="s">
        <v>1103</v>
      </c>
      <c r="E62" s="730">
        <v>1</v>
      </c>
      <c r="F62" s="730">
        <v>18000</v>
      </c>
      <c r="G62" s="731">
        <f t="shared" si="2"/>
        <v>18000</v>
      </c>
      <c r="H62" s="730"/>
      <c r="I62" s="710"/>
    </row>
    <row r="63" spans="3:9" x14ac:dyDescent="0.2">
      <c r="C63" s="723" t="s">
        <v>1120</v>
      </c>
      <c r="D63" s="710" t="s">
        <v>1103</v>
      </c>
      <c r="E63" s="730">
        <v>1</v>
      </c>
      <c r="F63" s="730">
        <v>20000</v>
      </c>
      <c r="G63" s="731">
        <f t="shared" si="2"/>
        <v>20000</v>
      </c>
      <c r="H63" s="730"/>
      <c r="I63" s="710"/>
    </row>
    <row r="64" spans="3:9" x14ac:dyDescent="0.2">
      <c r="C64" s="724" t="s">
        <v>1121</v>
      </c>
      <c r="D64" s="707"/>
      <c r="E64" s="732"/>
      <c r="F64" s="732"/>
      <c r="G64" s="731"/>
      <c r="H64" s="732"/>
      <c r="I64" s="707"/>
    </row>
    <row r="65" spans="3:9" x14ac:dyDescent="0.2">
      <c r="C65" s="723" t="s">
        <v>1122</v>
      </c>
      <c r="D65" s="723"/>
      <c r="E65" s="730"/>
      <c r="F65" s="730"/>
      <c r="G65" s="731"/>
      <c r="H65" s="730">
        <f>SUM(G66:G68)</f>
        <v>44200</v>
      </c>
      <c r="I65" s="723"/>
    </row>
    <row r="66" spans="3:9" x14ac:dyDescent="0.2">
      <c r="C66" s="723" t="s">
        <v>1123</v>
      </c>
      <c r="D66" s="710" t="s">
        <v>1103</v>
      </c>
      <c r="E66" s="730">
        <v>4</v>
      </c>
      <c r="F66" s="730">
        <v>5000</v>
      </c>
      <c r="G66" s="731">
        <f t="shared" si="2"/>
        <v>20000</v>
      </c>
      <c r="H66" s="730"/>
      <c r="I66" s="710"/>
    </row>
    <row r="67" spans="3:9" x14ac:dyDescent="0.2">
      <c r="C67" s="725" t="s">
        <v>1159</v>
      </c>
      <c r="D67" s="710" t="s">
        <v>1103</v>
      </c>
      <c r="E67" s="730">
        <v>24</v>
      </c>
      <c r="F67" s="730">
        <v>800</v>
      </c>
      <c r="G67" s="731">
        <f t="shared" si="2"/>
        <v>19200</v>
      </c>
      <c r="H67" s="730"/>
      <c r="I67" s="710"/>
    </row>
    <row r="68" spans="3:9" x14ac:dyDescent="0.2">
      <c r="C68" s="723" t="s">
        <v>1160</v>
      </c>
      <c r="D68" s="710" t="s">
        <v>1103</v>
      </c>
      <c r="E68" s="730">
        <v>1</v>
      </c>
      <c r="F68" s="730">
        <v>5000</v>
      </c>
      <c r="G68" s="731">
        <f t="shared" si="2"/>
        <v>5000</v>
      </c>
      <c r="H68" s="730"/>
      <c r="I68" s="710"/>
    </row>
    <row r="69" spans="3:9" x14ac:dyDescent="0.2">
      <c r="C69" s="722" t="s">
        <v>1124</v>
      </c>
      <c r="D69" s="707"/>
      <c r="E69" s="732"/>
      <c r="F69" s="732"/>
      <c r="G69" s="731"/>
      <c r="H69" s="732"/>
      <c r="I69" s="707"/>
    </row>
    <row r="70" spans="3:9" ht="13.5" thickBot="1" x14ac:dyDescent="0.25">
      <c r="C70" s="726" t="s">
        <v>1125</v>
      </c>
      <c r="D70" s="710"/>
      <c r="E70" s="730"/>
      <c r="F70" s="730"/>
      <c r="G70" s="733"/>
      <c r="H70" s="733"/>
      <c r="I70" s="718"/>
    </row>
    <row r="71" spans="3:9" ht="13.5" thickBot="1" x14ac:dyDescent="0.25">
      <c r="C71" s="705" t="s">
        <v>1106</v>
      </c>
      <c r="D71" s="1887">
        <f>SUM(H51:H66)</f>
        <v>633175</v>
      </c>
      <c r="E71" s="1888"/>
      <c r="F71" s="1889"/>
      <c r="G71" s="720"/>
      <c r="H71" s="720"/>
      <c r="I71" s="720"/>
    </row>
    <row r="72" spans="3:9" x14ac:dyDescent="0.2">
      <c r="C72" s="52"/>
      <c r="D72" s="52"/>
      <c r="E72" s="52"/>
      <c r="F72" s="52"/>
      <c r="G72" s="52"/>
      <c r="H72" s="52"/>
      <c r="I72" s="52"/>
    </row>
    <row r="73" spans="3:9" x14ac:dyDescent="0.2">
      <c r="C73" s="52"/>
      <c r="D73" s="52"/>
      <c r="E73" s="52"/>
      <c r="F73" s="52"/>
      <c r="G73" s="52"/>
      <c r="H73" s="52"/>
      <c r="I73" s="52"/>
    </row>
    <row r="74" spans="3:9" ht="13.5" thickBot="1" x14ac:dyDescent="0.25">
      <c r="C74" s="52"/>
      <c r="D74" s="150"/>
      <c r="E74" s="52"/>
      <c r="F74" s="52"/>
      <c r="G74" s="52"/>
      <c r="H74" s="52"/>
      <c r="I74" s="52"/>
    </row>
    <row r="75" spans="3:9" ht="13.5" thickBot="1" x14ac:dyDescent="0.25">
      <c r="C75" s="727" t="s">
        <v>1126</v>
      </c>
      <c r="D75" s="702">
        <f>D71/10000</f>
        <v>63.317500000000003</v>
      </c>
      <c r="E75" s="52"/>
      <c r="F75" s="52"/>
      <c r="G75" s="52"/>
      <c r="H75" s="52"/>
      <c r="I75" s="52"/>
    </row>
    <row r="76" spans="3:9" x14ac:dyDescent="0.2">
      <c r="C76" s="52"/>
      <c r="D76" s="52"/>
      <c r="E76" s="52"/>
      <c r="F76" s="52"/>
      <c r="G76" s="52"/>
      <c r="H76" s="52"/>
      <c r="I76" s="52"/>
    </row>
    <row r="77" spans="3:9" x14ac:dyDescent="0.2">
      <c r="C77" s="52"/>
      <c r="D77" s="52"/>
      <c r="E77" s="52"/>
      <c r="F77" s="52"/>
      <c r="G77" s="52"/>
      <c r="H77" s="52"/>
      <c r="I77" s="52"/>
    </row>
    <row r="78" spans="3:9" x14ac:dyDescent="0.2">
      <c r="C78" s="52"/>
      <c r="D78" s="52"/>
      <c r="E78" s="52"/>
      <c r="F78" s="52"/>
      <c r="G78" s="52"/>
      <c r="H78" s="52"/>
      <c r="I78" s="52"/>
    </row>
    <row r="79" spans="3:9" x14ac:dyDescent="0.2">
      <c r="C79" s="52"/>
      <c r="D79" s="205" t="s">
        <v>1127</v>
      </c>
      <c r="E79" s="205"/>
      <c r="F79" s="205"/>
      <c r="G79" s="205"/>
      <c r="H79" s="52"/>
    </row>
    <row r="80" spans="3:9" x14ac:dyDescent="0.2">
      <c r="C80" s="52"/>
      <c r="D80" s="52"/>
      <c r="E80" s="52"/>
      <c r="F80" s="52"/>
      <c r="G80" s="52"/>
      <c r="H80" s="52"/>
    </row>
    <row r="81" spans="2:43" x14ac:dyDescent="0.2">
      <c r="C81" s="52"/>
      <c r="D81" s="52"/>
      <c r="E81" s="52"/>
      <c r="F81" s="52"/>
      <c r="G81" s="52"/>
      <c r="H81" s="52"/>
    </row>
    <row r="82" spans="2:43" ht="25.5" x14ac:dyDescent="0.25">
      <c r="B82" s="734" t="s">
        <v>398</v>
      </c>
      <c r="C82" s="734" t="s">
        <v>1128</v>
      </c>
      <c r="D82" s="734" t="s">
        <v>1087</v>
      </c>
      <c r="E82" s="734" t="s">
        <v>1088</v>
      </c>
      <c r="F82" s="734" t="s">
        <v>1129</v>
      </c>
      <c r="G82" s="734" t="s">
        <v>1130</v>
      </c>
    </row>
    <row r="83" spans="2:43" ht="38.25" x14ac:dyDescent="0.25">
      <c r="B83" s="691">
        <v>1</v>
      </c>
      <c r="C83" s="735" t="s">
        <v>1131</v>
      </c>
      <c r="D83" s="736" t="s">
        <v>1132</v>
      </c>
      <c r="E83" s="736">
        <v>13</v>
      </c>
      <c r="F83" s="737">
        <v>3000</v>
      </c>
      <c r="G83" s="737">
        <f t="shared" ref="G83:G90" si="3">F83*E83</f>
        <v>39000</v>
      </c>
    </row>
    <row r="84" spans="2:43" ht="38.25" x14ac:dyDescent="0.25">
      <c r="B84" s="691">
        <v>2</v>
      </c>
      <c r="C84" s="735" t="s">
        <v>1133</v>
      </c>
      <c r="D84" s="736" t="s">
        <v>1132</v>
      </c>
      <c r="E84" s="736">
        <v>13</v>
      </c>
      <c r="F84" s="737">
        <v>2500</v>
      </c>
      <c r="G84" s="737">
        <f t="shared" si="3"/>
        <v>32500</v>
      </c>
    </row>
    <row r="85" spans="2:43" ht="25.5" x14ac:dyDescent="0.25">
      <c r="B85" s="691">
        <v>3</v>
      </c>
      <c r="C85" s="735" t="s">
        <v>1134</v>
      </c>
      <c r="D85" s="736" t="s">
        <v>1132</v>
      </c>
      <c r="E85" s="736">
        <v>13</v>
      </c>
      <c r="F85" s="737">
        <v>1200</v>
      </c>
      <c r="G85" s="737">
        <f t="shared" si="3"/>
        <v>15600</v>
      </c>
    </row>
    <row r="86" spans="2:43" ht="38.25" x14ac:dyDescent="0.25">
      <c r="B86" s="691">
        <v>4</v>
      </c>
      <c r="C86" s="735" t="s">
        <v>1135</v>
      </c>
      <c r="D86" s="736" t="s">
        <v>1132</v>
      </c>
      <c r="E86" s="736">
        <v>13</v>
      </c>
      <c r="F86" s="737">
        <v>3000</v>
      </c>
      <c r="G86" s="737">
        <f t="shared" si="3"/>
        <v>39000</v>
      </c>
    </row>
    <row r="87" spans="2:43" ht="38.25" x14ac:dyDescent="0.25">
      <c r="B87" s="691">
        <v>5</v>
      </c>
      <c r="C87" s="735" t="s">
        <v>1136</v>
      </c>
      <c r="D87" s="736" t="s">
        <v>1132</v>
      </c>
      <c r="E87" s="736">
        <v>26</v>
      </c>
      <c r="F87" s="737">
        <v>2000</v>
      </c>
      <c r="G87" s="737">
        <f t="shared" si="3"/>
        <v>52000</v>
      </c>
    </row>
    <row r="88" spans="2:43" x14ac:dyDescent="0.25">
      <c r="B88" s="691">
        <v>6</v>
      </c>
      <c r="C88" s="735" t="s">
        <v>1137</v>
      </c>
      <c r="D88" s="736" t="s">
        <v>1132</v>
      </c>
      <c r="E88" s="736">
        <v>13</v>
      </c>
      <c r="F88" s="737">
        <v>2000</v>
      </c>
      <c r="G88" s="737">
        <f t="shared" si="3"/>
        <v>26000</v>
      </c>
    </row>
    <row r="89" spans="2:43" x14ac:dyDescent="0.25">
      <c r="B89" s="691">
        <v>7</v>
      </c>
      <c r="C89" s="735" t="s">
        <v>1138</v>
      </c>
      <c r="D89" s="736" t="s">
        <v>1132</v>
      </c>
      <c r="E89" s="736">
        <v>13</v>
      </c>
      <c r="F89" s="737">
        <v>2500</v>
      </c>
      <c r="G89" s="737">
        <f t="shared" si="3"/>
        <v>32500</v>
      </c>
    </row>
    <row r="90" spans="2:43" ht="24.75" customHeight="1" x14ac:dyDescent="0.25">
      <c r="B90" s="691">
        <v>8</v>
      </c>
      <c r="C90" s="735" t="s">
        <v>1139</v>
      </c>
      <c r="D90" s="736" t="s">
        <v>1132</v>
      </c>
      <c r="E90" s="736">
        <v>12</v>
      </c>
      <c r="F90" s="737">
        <v>1200</v>
      </c>
      <c r="G90" s="737">
        <f t="shared" si="3"/>
        <v>14400</v>
      </c>
    </row>
    <row r="91" spans="2:43" ht="15.75" customHeight="1" x14ac:dyDescent="0.25">
      <c r="B91" s="1896" t="s">
        <v>1140</v>
      </c>
      <c r="C91" s="1896"/>
      <c r="D91" s="1896"/>
      <c r="E91" s="1896"/>
      <c r="F91" s="1896"/>
      <c r="G91" s="679">
        <f>SUM(G83:G90)</f>
        <v>251000</v>
      </c>
      <c r="I91" s="751">
        <f>G91+D71+H34</f>
        <v>2276518.6</v>
      </c>
    </row>
    <row r="94" spans="2:43" ht="23.25" customHeight="1" x14ac:dyDescent="0.25">
      <c r="B94" s="1904" t="s">
        <v>1201</v>
      </c>
      <c r="C94" s="1905"/>
      <c r="D94" s="1905"/>
      <c r="E94" s="1905"/>
      <c r="F94" s="1905"/>
      <c r="G94" s="1905"/>
      <c r="H94" s="1905"/>
      <c r="I94" s="1905"/>
      <c r="J94" s="1905"/>
      <c r="K94" s="1905"/>
      <c r="L94" s="1905"/>
      <c r="M94" s="1905"/>
      <c r="N94" s="1905"/>
      <c r="O94" s="1905"/>
      <c r="P94" s="1905"/>
      <c r="Q94" s="1905"/>
      <c r="R94" s="1905"/>
      <c r="S94" s="1905"/>
      <c r="T94" s="1905"/>
      <c r="U94" s="1905"/>
      <c r="W94" s="1904" t="s">
        <v>1202</v>
      </c>
      <c r="X94" s="1905"/>
      <c r="Y94" s="1905"/>
      <c r="Z94" s="1905"/>
      <c r="AA94" s="1905"/>
      <c r="AB94" s="1905"/>
      <c r="AC94" s="1905"/>
      <c r="AD94" s="1905"/>
      <c r="AE94" s="1905"/>
      <c r="AF94" s="1905"/>
      <c r="AG94" s="1905"/>
      <c r="AH94" s="1905"/>
      <c r="AI94" s="1905"/>
      <c r="AJ94" s="1905"/>
      <c r="AK94" s="1905"/>
      <c r="AL94" s="1905"/>
      <c r="AM94" s="1905"/>
      <c r="AN94" s="1905"/>
      <c r="AO94" s="1905"/>
      <c r="AP94" s="1905"/>
      <c r="AQ94" s="1905"/>
    </row>
    <row r="96" spans="2:43" x14ac:dyDescent="0.25">
      <c r="B96" s="1898" t="s">
        <v>398</v>
      </c>
      <c r="C96" s="1901" t="s">
        <v>1141</v>
      </c>
      <c r="D96" s="1901" t="s">
        <v>397</v>
      </c>
      <c r="E96" s="1901" t="s">
        <v>650</v>
      </c>
      <c r="F96" s="1901" t="s">
        <v>769</v>
      </c>
      <c r="G96" s="1901" t="s">
        <v>1144</v>
      </c>
      <c r="H96" s="1901" t="s">
        <v>1145</v>
      </c>
      <c r="I96" s="1890" t="s">
        <v>1156</v>
      </c>
      <c r="J96" s="1891"/>
      <c r="K96" s="1891"/>
      <c r="L96" s="1891"/>
      <c r="M96" s="1891"/>
      <c r="N96" s="1891"/>
      <c r="O96" s="1891"/>
      <c r="P96" s="1891"/>
      <c r="Q96" s="1891"/>
      <c r="R96" s="1891"/>
      <c r="S96" s="1891"/>
      <c r="T96" s="1891"/>
      <c r="U96" s="1892"/>
      <c r="W96" s="1898" t="s">
        <v>398</v>
      </c>
      <c r="X96" s="1901" t="s">
        <v>1141</v>
      </c>
      <c r="Y96" s="1901" t="s">
        <v>397</v>
      </c>
      <c r="Z96" s="1901" t="s">
        <v>650</v>
      </c>
      <c r="AA96" s="1901" t="s">
        <v>769</v>
      </c>
      <c r="AB96" s="1901" t="s">
        <v>1144</v>
      </c>
      <c r="AC96" s="1901" t="s">
        <v>1145</v>
      </c>
      <c r="AD96" s="1901" t="s">
        <v>1203</v>
      </c>
      <c r="AE96" s="1890" t="s">
        <v>1156</v>
      </c>
      <c r="AF96" s="1891"/>
      <c r="AG96" s="1891"/>
      <c r="AH96" s="1891"/>
      <c r="AI96" s="1891"/>
      <c r="AJ96" s="1891"/>
      <c r="AK96" s="1891"/>
      <c r="AL96" s="1891"/>
      <c r="AM96" s="1891"/>
      <c r="AN96" s="1891"/>
      <c r="AO96" s="1891"/>
      <c r="AP96" s="1891"/>
      <c r="AQ96" s="1892"/>
    </row>
    <row r="97" spans="2:43" x14ac:dyDescent="0.25">
      <c r="B97" s="1899"/>
      <c r="C97" s="1902"/>
      <c r="D97" s="1902"/>
      <c r="E97" s="1902"/>
      <c r="F97" s="1902"/>
      <c r="G97" s="1902"/>
      <c r="H97" s="1902"/>
      <c r="I97" s="738">
        <v>2021</v>
      </c>
      <c r="J97" s="738">
        <v>2022</v>
      </c>
      <c r="K97" s="738">
        <v>2023</v>
      </c>
      <c r="L97" s="738">
        <v>2024</v>
      </c>
      <c r="M97" s="738">
        <v>2025</v>
      </c>
      <c r="N97" s="738">
        <v>2026</v>
      </c>
      <c r="O97" s="738">
        <v>2027</v>
      </c>
      <c r="P97" s="738">
        <v>2028</v>
      </c>
      <c r="Q97" s="738">
        <v>2029</v>
      </c>
      <c r="R97" s="738">
        <v>2030</v>
      </c>
      <c r="S97" s="738">
        <v>2031</v>
      </c>
      <c r="T97" s="738">
        <v>2032</v>
      </c>
      <c r="U97" s="738">
        <v>2033</v>
      </c>
      <c r="W97" s="1899"/>
      <c r="X97" s="1902"/>
      <c r="Y97" s="1902"/>
      <c r="Z97" s="1902"/>
      <c r="AA97" s="1902"/>
      <c r="AB97" s="1902"/>
      <c r="AC97" s="1902"/>
      <c r="AD97" s="1902"/>
      <c r="AE97" s="738">
        <v>2021</v>
      </c>
      <c r="AF97" s="738">
        <v>2022</v>
      </c>
      <c r="AG97" s="738">
        <v>2023</v>
      </c>
      <c r="AH97" s="738">
        <v>2024</v>
      </c>
      <c r="AI97" s="738">
        <v>2025</v>
      </c>
      <c r="AJ97" s="738">
        <v>2026</v>
      </c>
      <c r="AK97" s="738">
        <v>2027</v>
      </c>
      <c r="AL97" s="738">
        <v>2028</v>
      </c>
      <c r="AM97" s="738">
        <v>2029</v>
      </c>
      <c r="AN97" s="738">
        <v>2030</v>
      </c>
      <c r="AO97" s="738">
        <v>2031</v>
      </c>
      <c r="AP97" s="738">
        <v>2032</v>
      </c>
      <c r="AQ97" s="738">
        <v>2033</v>
      </c>
    </row>
    <row r="98" spans="2:43" x14ac:dyDescent="0.25">
      <c r="B98" s="1900"/>
      <c r="C98" s="1903"/>
      <c r="D98" s="1903"/>
      <c r="E98" s="1903"/>
      <c r="F98" s="1903"/>
      <c r="G98" s="1903"/>
      <c r="H98" s="1903"/>
      <c r="I98" s="1897">
        <v>0</v>
      </c>
      <c r="J98" s="1897"/>
      <c r="K98" s="1897"/>
      <c r="L98" s="738" t="s">
        <v>1146</v>
      </c>
      <c r="M98" s="738" t="s">
        <v>1147</v>
      </c>
      <c r="N98" s="738" t="s">
        <v>1148</v>
      </c>
      <c r="O98" s="738" t="s">
        <v>1149</v>
      </c>
      <c r="P98" s="738" t="s">
        <v>1150</v>
      </c>
      <c r="Q98" s="738" t="s">
        <v>1151</v>
      </c>
      <c r="R98" s="738" t="s">
        <v>1152</v>
      </c>
      <c r="S98" s="738" t="s">
        <v>1153</v>
      </c>
      <c r="T98" s="738" t="s">
        <v>1154</v>
      </c>
      <c r="U98" s="738" t="s">
        <v>1155</v>
      </c>
      <c r="W98" s="1900"/>
      <c r="X98" s="1903"/>
      <c r="Y98" s="1903"/>
      <c r="Z98" s="1903"/>
      <c r="AA98" s="1903"/>
      <c r="AB98" s="1903"/>
      <c r="AC98" s="1903"/>
      <c r="AD98" s="1903"/>
      <c r="AE98" s="1897">
        <v>0</v>
      </c>
      <c r="AF98" s="1897"/>
      <c r="AG98" s="1897"/>
      <c r="AH98" s="738" t="s">
        <v>1146</v>
      </c>
      <c r="AI98" s="738" t="s">
        <v>1147</v>
      </c>
      <c r="AJ98" s="738" t="s">
        <v>1148</v>
      </c>
      <c r="AK98" s="738" t="s">
        <v>1149</v>
      </c>
      <c r="AL98" s="738" t="s">
        <v>1150</v>
      </c>
      <c r="AM98" s="738" t="s">
        <v>1151</v>
      </c>
      <c r="AN98" s="738" t="s">
        <v>1152</v>
      </c>
      <c r="AO98" s="738" t="s">
        <v>1153</v>
      </c>
      <c r="AP98" s="738" t="s">
        <v>1154</v>
      </c>
      <c r="AQ98" s="738" t="s">
        <v>1155</v>
      </c>
    </row>
    <row r="99" spans="2:43" x14ac:dyDescent="0.25">
      <c r="B99" s="786">
        <v>1</v>
      </c>
      <c r="C99" s="787" t="s">
        <v>1142</v>
      </c>
      <c r="D99" s="785"/>
      <c r="E99" s="785"/>
      <c r="F99" s="785"/>
      <c r="G99" s="788"/>
      <c r="H99" s="789">
        <f t="shared" ref="H99:U99" si="4">H100+H101+H102</f>
        <v>0</v>
      </c>
      <c r="I99" s="789">
        <f t="shared" si="4"/>
        <v>0</v>
      </c>
      <c r="J99" s="789">
        <f t="shared" si="4"/>
        <v>0</v>
      </c>
      <c r="K99" s="789">
        <f t="shared" si="4"/>
        <v>0</v>
      </c>
      <c r="L99" s="789">
        <f t="shared" si="4"/>
        <v>0</v>
      </c>
      <c r="M99" s="789">
        <f t="shared" si="4"/>
        <v>0</v>
      </c>
      <c r="N99" s="789">
        <f t="shared" si="4"/>
        <v>0</v>
      </c>
      <c r="O99" s="789">
        <f t="shared" si="4"/>
        <v>0</v>
      </c>
      <c r="P99" s="789">
        <f t="shared" si="4"/>
        <v>0</v>
      </c>
      <c r="Q99" s="789">
        <f t="shared" si="4"/>
        <v>0</v>
      </c>
      <c r="R99" s="789">
        <f t="shared" si="4"/>
        <v>0</v>
      </c>
      <c r="S99" s="789">
        <f t="shared" si="4"/>
        <v>0</v>
      </c>
      <c r="T99" s="789">
        <f t="shared" si="4"/>
        <v>0</v>
      </c>
      <c r="U99" s="789">
        <f t="shared" si="4"/>
        <v>0</v>
      </c>
      <c r="W99" s="786">
        <v>1</v>
      </c>
      <c r="X99" s="787" t="s">
        <v>1142</v>
      </c>
      <c r="Y99" s="785"/>
      <c r="Z99" s="785"/>
      <c r="AA99" s="785"/>
      <c r="AB99" s="788"/>
      <c r="AC99" s="789">
        <f>AC100+AC101+AC102</f>
        <v>0</v>
      </c>
      <c r="AD99" s="789"/>
      <c r="AE99" s="789">
        <f t="shared" ref="AE99:AQ99" si="5">AE100+AE101+AE102</f>
        <v>0</v>
      </c>
      <c r="AF99" s="789">
        <f t="shared" si="5"/>
        <v>0</v>
      </c>
      <c r="AG99" s="789">
        <f t="shared" si="5"/>
        <v>0</v>
      </c>
      <c r="AH99" s="789">
        <f t="shared" si="5"/>
        <v>0</v>
      </c>
      <c r="AI99" s="789">
        <f t="shared" si="5"/>
        <v>0</v>
      </c>
      <c r="AJ99" s="789">
        <f t="shared" si="5"/>
        <v>0</v>
      </c>
      <c r="AK99" s="789">
        <f t="shared" si="5"/>
        <v>0</v>
      </c>
      <c r="AL99" s="789">
        <f t="shared" si="5"/>
        <v>0</v>
      </c>
      <c r="AM99" s="789">
        <f t="shared" si="5"/>
        <v>0</v>
      </c>
      <c r="AN99" s="789">
        <f t="shared" si="5"/>
        <v>0</v>
      </c>
      <c r="AO99" s="789">
        <f t="shared" si="5"/>
        <v>0</v>
      </c>
      <c r="AP99" s="789">
        <f t="shared" si="5"/>
        <v>0</v>
      </c>
      <c r="AQ99" s="789">
        <f t="shared" si="5"/>
        <v>0</v>
      </c>
    </row>
    <row r="100" spans="2:43" ht="25.5" x14ac:dyDescent="0.25">
      <c r="B100" s="782" t="s">
        <v>401</v>
      </c>
      <c r="C100" s="792" t="s">
        <v>1171</v>
      </c>
      <c r="D100" s="739"/>
      <c r="E100" s="739"/>
      <c r="F100" s="739"/>
      <c r="G100" s="739"/>
      <c r="H100" s="793">
        <v>0</v>
      </c>
      <c r="I100" s="793">
        <v>0</v>
      </c>
      <c r="J100" s="793">
        <v>0</v>
      </c>
      <c r="K100" s="793">
        <v>0</v>
      </c>
      <c r="L100" s="793">
        <v>0</v>
      </c>
      <c r="M100" s="793">
        <v>0</v>
      </c>
      <c r="N100" s="793">
        <v>0</v>
      </c>
      <c r="O100" s="793">
        <v>0</v>
      </c>
      <c r="P100" s="793">
        <v>0</v>
      </c>
      <c r="Q100" s="793">
        <v>0</v>
      </c>
      <c r="R100" s="793">
        <v>0</v>
      </c>
      <c r="S100" s="793">
        <v>0</v>
      </c>
      <c r="T100" s="793">
        <v>0</v>
      </c>
      <c r="U100" s="793">
        <v>0</v>
      </c>
      <c r="W100" s="782" t="s">
        <v>401</v>
      </c>
      <c r="X100" s="792" t="s">
        <v>1171</v>
      </c>
      <c r="Y100" s="739"/>
      <c r="Z100" s="739"/>
      <c r="AA100" s="739"/>
      <c r="AB100" s="739"/>
      <c r="AC100" s="793">
        <v>0</v>
      </c>
      <c r="AD100" s="800">
        <v>0.84699999999999998</v>
      </c>
      <c r="AE100" s="793">
        <v>0</v>
      </c>
      <c r="AF100" s="793">
        <v>0</v>
      </c>
      <c r="AG100" s="793">
        <v>0</v>
      </c>
      <c r="AH100" s="793">
        <f>AC100*AD100</f>
        <v>0</v>
      </c>
      <c r="AI100" s="793">
        <f t="shared" ref="AI100:AQ102" si="6">AD100*AE100</f>
        <v>0</v>
      </c>
      <c r="AJ100" s="793">
        <f t="shared" si="6"/>
        <v>0</v>
      </c>
      <c r="AK100" s="793">
        <f t="shared" si="6"/>
        <v>0</v>
      </c>
      <c r="AL100" s="793">
        <f t="shared" si="6"/>
        <v>0</v>
      </c>
      <c r="AM100" s="793">
        <f t="shared" si="6"/>
        <v>0</v>
      </c>
      <c r="AN100" s="793">
        <f t="shared" si="6"/>
        <v>0</v>
      </c>
      <c r="AO100" s="793">
        <f t="shared" si="6"/>
        <v>0</v>
      </c>
      <c r="AP100" s="793">
        <f t="shared" si="6"/>
        <v>0</v>
      </c>
      <c r="AQ100" s="793">
        <f t="shared" si="6"/>
        <v>0</v>
      </c>
    </row>
    <row r="101" spans="2:43" ht="25.5" x14ac:dyDescent="0.25">
      <c r="B101" s="782">
        <v>1.2</v>
      </c>
      <c r="C101" s="792" t="s">
        <v>1172</v>
      </c>
      <c r="D101" s="739"/>
      <c r="E101" s="749"/>
      <c r="F101" s="740" t="s">
        <v>669</v>
      </c>
      <c r="G101" s="752"/>
      <c r="H101" s="793">
        <v>0</v>
      </c>
      <c r="I101" s="793">
        <v>0</v>
      </c>
      <c r="J101" s="793">
        <v>0</v>
      </c>
      <c r="K101" s="793">
        <v>0</v>
      </c>
      <c r="L101" s="793">
        <v>0</v>
      </c>
      <c r="M101" s="793">
        <v>0</v>
      </c>
      <c r="N101" s="793">
        <v>0</v>
      </c>
      <c r="O101" s="793">
        <v>0</v>
      </c>
      <c r="P101" s="793">
        <v>0</v>
      </c>
      <c r="Q101" s="793">
        <v>0</v>
      </c>
      <c r="R101" s="793">
        <v>0</v>
      </c>
      <c r="S101" s="793">
        <v>0</v>
      </c>
      <c r="T101" s="793">
        <v>0</v>
      </c>
      <c r="U101" s="793">
        <v>0</v>
      </c>
      <c r="W101" s="782">
        <v>1.2</v>
      </c>
      <c r="X101" s="792" t="s">
        <v>1172</v>
      </c>
      <c r="Y101" s="739"/>
      <c r="Z101" s="749"/>
      <c r="AA101" s="740" t="s">
        <v>669</v>
      </c>
      <c r="AB101" s="752"/>
      <c r="AC101" s="793">
        <v>0</v>
      </c>
      <c r="AD101" s="800">
        <v>0.84699999999999998</v>
      </c>
      <c r="AE101" s="793">
        <v>0</v>
      </c>
      <c r="AF101" s="793">
        <v>0</v>
      </c>
      <c r="AG101" s="793">
        <v>0</v>
      </c>
      <c r="AH101" s="793">
        <f>AC101*AD101</f>
        <v>0</v>
      </c>
      <c r="AI101" s="793">
        <f t="shared" si="6"/>
        <v>0</v>
      </c>
      <c r="AJ101" s="793">
        <f t="shared" si="6"/>
        <v>0</v>
      </c>
      <c r="AK101" s="793">
        <f t="shared" si="6"/>
        <v>0</v>
      </c>
      <c r="AL101" s="793">
        <f t="shared" si="6"/>
        <v>0</v>
      </c>
      <c r="AM101" s="793">
        <f t="shared" si="6"/>
        <v>0</v>
      </c>
      <c r="AN101" s="793">
        <f t="shared" si="6"/>
        <v>0</v>
      </c>
      <c r="AO101" s="793">
        <f t="shared" si="6"/>
        <v>0</v>
      </c>
      <c r="AP101" s="793">
        <f t="shared" si="6"/>
        <v>0</v>
      </c>
      <c r="AQ101" s="793">
        <f t="shared" si="6"/>
        <v>0</v>
      </c>
    </row>
    <row r="102" spans="2:43" x14ac:dyDescent="0.25">
      <c r="B102" s="782">
        <v>1.3</v>
      </c>
      <c r="C102" s="783" t="s">
        <v>1143</v>
      </c>
      <c r="D102" s="783"/>
      <c r="E102" s="794"/>
      <c r="F102" s="739"/>
      <c r="G102" s="743"/>
      <c r="H102" s="793">
        <v>0</v>
      </c>
      <c r="I102" s="793">
        <v>0</v>
      </c>
      <c r="J102" s="793">
        <v>0</v>
      </c>
      <c r="K102" s="793">
        <v>0</v>
      </c>
      <c r="L102" s="793">
        <v>0</v>
      </c>
      <c r="M102" s="793">
        <v>0</v>
      </c>
      <c r="N102" s="793">
        <v>0</v>
      </c>
      <c r="O102" s="793">
        <v>0</v>
      </c>
      <c r="P102" s="793">
        <v>0</v>
      </c>
      <c r="Q102" s="793">
        <v>0</v>
      </c>
      <c r="R102" s="793">
        <v>0</v>
      </c>
      <c r="S102" s="793">
        <v>0</v>
      </c>
      <c r="T102" s="793">
        <v>0</v>
      </c>
      <c r="U102" s="793">
        <v>0</v>
      </c>
      <c r="W102" s="782">
        <v>1.3</v>
      </c>
      <c r="X102" s="783" t="s">
        <v>1143</v>
      </c>
      <c r="Y102" s="783"/>
      <c r="Z102" s="794"/>
      <c r="AA102" s="739"/>
      <c r="AB102" s="743"/>
      <c r="AC102" s="793">
        <v>0</v>
      </c>
      <c r="AD102" s="800">
        <v>0.84699999999999998</v>
      </c>
      <c r="AE102" s="793">
        <v>0</v>
      </c>
      <c r="AF102" s="793">
        <v>0</v>
      </c>
      <c r="AG102" s="793">
        <v>0</v>
      </c>
      <c r="AH102" s="793">
        <f>AC102*AD102</f>
        <v>0</v>
      </c>
      <c r="AI102" s="793">
        <f t="shared" si="6"/>
        <v>0</v>
      </c>
      <c r="AJ102" s="793">
        <f t="shared" si="6"/>
        <v>0</v>
      </c>
      <c r="AK102" s="793">
        <f t="shared" si="6"/>
        <v>0</v>
      </c>
      <c r="AL102" s="793">
        <f t="shared" si="6"/>
        <v>0</v>
      </c>
      <c r="AM102" s="793">
        <f t="shared" si="6"/>
        <v>0</v>
      </c>
      <c r="AN102" s="793">
        <f t="shared" si="6"/>
        <v>0</v>
      </c>
      <c r="AO102" s="793">
        <f t="shared" si="6"/>
        <v>0</v>
      </c>
      <c r="AP102" s="793">
        <f t="shared" si="6"/>
        <v>0</v>
      </c>
      <c r="AQ102" s="793">
        <f t="shared" si="6"/>
        <v>0</v>
      </c>
    </row>
    <row r="103" spans="2:43" x14ac:dyDescent="0.25">
      <c r="B103" s="797">
        <v>2</v>
      </c>
      <c r="C103" s="787" t="s">
        <v>1173</v>
      </c>
      <c r="D103" s="785"/>
      <c r="E103" s="785"/>
      <c r="F103" s="785"/>
      <c r="G103" s="788"/>
      <c r="H103" s="789">
        <f t="shared" ref="H103:U103" si="7">H104+H105</f>
        <v>0</v>
      </c>
      <c r="I103" s="789">
        <f t="shared" si="7"/>
        <v>0</v>
      </c>
      <c r="J103" s="789">
        <f t="shared" si="7"/>
        <v>0</v>
      </c>
      <c r="K103" s="789">
        <f t="shared" si="7"/>
        <v>0</v>
      </c>
      <c r="L103" s="789">
        <f t="shared" si="7"/>
        <v>0</v>
      </c>
      <c r="M103" s="789">
        <f t="shared" si="7"/>
        <v>0</v>
      </c>
      <c r="N103" s="789">
        <f t="shared" si="7"/>
        <v>0</v>
      </c>
      <c r="O103" s="789">
        <f t="shared" si="7"/>
        <v>0</v>
      </c>
      <c r="P103" s="789">
        <f t="shared" si="7"/>
        <v>0</v>
      </c>
      <c r="Q103" s="789">
        <f t="shared" si="7"/>
        <v>0</v>
      </c>
      <c r="R103" s="789">
        <f t="shared" si="7"/>
        <v>0</v>
      </c>
      <c r="S103" s="789">
        <f t="shared" si="7"/>
        <v>0</v>
      </c>
      <c r="T103" s="789">
        <f t="shared" si="7"/>
        <v>0</v>
      </c>
      <c r="U103" s="789">
        <f t="shared" si="7"/>
        <v>0</v>
      </c>
      <c r="W103" s="797">
        <v>2</v>
      </c>
      <c r="X103" s="787" t="s">
        <v>1173</v>
      </c>
      <c r="Y103" s="785"/>
      <c r="Z103" s="785"/>
      <c r="AA103" s="785"/>
      <c r="AB103" s="788"/>
      <c r="AC103" s="789">
        <f>AC104+AC105</f>
        <v>0</v>
      </c>
      <c r="AD103" s="801"/>
      <c r="AE103" s="789">
        <f t="shared" ref="AE103:AQ103" si="8">AE104+AE105</f>
        <v>0</v>
      </c>
      <c r="AF103" s="789">
        <f t="shared" si="8"/>
        <v>0</v>
      </c>
      <c r="AG103" s="789">
        <f t="shared" si="8"/>
        <v>0</v>
      </c>
      <c r="AH103" s="789">
        <f t="shared" si="8"/>
        <v>0</v>
      </c>
      <c r="AI103" s="789">
        <f t="shared" si="8"/>
        <v>0</v>
      </c>
      <c r="AJ103" s="789">
        <f t="shared" si="8"/>
        <v>0</v>
      </c>
      <c r="AK103" s="789">
        <f t="shared" si="8"/>
        <v>0</v>
      </c>
      <c r="AL103" s="789">
        <f t="shared" si="8"/>
        <v>0</v>
      </c>
      <c r="AM103" s="789">
        <f t="shared" si="8"/>
        <v>0</v>
      </c>
      <c r="AN103" s="789">
        <f t="shared" si="8"/>
        <v>0</v>
      </c>
      <c r="AO103" s="789">
        <f t="shared" si="8"/>
        <v>0</v>
      </c>
      <c r="AP103" s="789">
        <f t="shared" si="8"/>
        <v>0</v>
      </c>
      <c r="AQ103" s="789">
        <f t="shared" si="8"/>
        <v>0</v>
      </c>
    </row>
    <row r="104" spans="2:43" x14ac:dyDescent="0.25">
      <c r="B104" s="798">
        <v>2.1</v>
      </c>
      <c r="C104" s="792" t="s">
        <v>1174</v>
      </c>
      <c r="D104" s="739"/>
      <c r="E104" s="739"/>
      <c r="F104" s="739"/>
      <c r="G104" s="739"/>
      <c r="H104" s="793">
        <v>0</v>
      </c>
      <c r="I104" s="793">
        <v>0</v>
      </c>
      <c r="J104" s="793">
        <v>0</v>
      </c>
      <c r="K104" s="793">
        <v>0</v>
      </c>
      <c r="L104" s="793">
        <v>0</v>
      </c>
      <c r="M104" s="793">
        <v>0</v>
      </c>
      <c r="N104" s="793">
        <v>0</v>
      </c>
      <c r="O104" s="793">
        <v>0</v>
      </c>
      <c r="P104" s="793">
        <v>0</v>
      </c>
      <c r="Q104" s="793">
        <v>0</v>
      </c>
      <c r="R104" s="793">
        <v>0</v>
      </c>
      <c r="S104" s="793">
        <v>0</v>
      </c>
      <c r="T104" s="793">
        <v>0</v>
      </c>
      <c r="U104" s="793">
        <v>0</v>
      </c>
      <c r="W104" s="798">
        <v>2.1</v>
      </c>
      <c r="X104" s="792" t="s">
        <v>1174</v>
      </c>
      <c r="Y104" s="739"/>
      <c r="Z104" s="739"/>
      <c r="AA104" s="739"/>
      <c r="AB104" s="739"/>
      <c r="AC104" s="793">
        <v>0</v>
      </c>
      <c r="AD104" s="800">
        <v>0.84699999999999998</v>
      </c>
      <c r="AE104" s="793">
        <v>0</v>
      </c>
      <c r="AF104" s="793">
        <v>0</v>
      </c>
      <c r="AG104" s="793">
        <v>0</v>
      </c>
      <c r="AH104" s="793">
        <f>AC104*AD104</f>
        <v>0</v>
      </c>
      <c r="AI104" s="793">
        <f t="shared" ref="AI104:AQ105" si="9">AD104*AE104</f>
        <v>0</v>
      </c>
      <c r="AJ104" s="793">
        <f t="shared" si="9"/>
        <v>0</v>
      </c>
      <c r="AK104" s="793">
        <f t="shared" si="9"/>
        <v>0</v>
      </c>
      <c r="AL104" s="793">
        <f t="shared" si="9"/>
        <v>0</v>
      </c>
      <c r="AM104" s="793">
        <f t="shared" si="9"/>
        <v>0</v>
      </c>
      <c r="AN104" s="793">
        <f t="shared" si="9"/>
        <v>0</v>
      </c>
      <c r="AO104" s="793">
        <f t="shared" si="9"/>
        <v>0</v>
      </c>
      <c r="AP104" s="793">
        <f t="shared" si="9"/>
        <v>0</v>
      </c>
      <c r="AQ104" s="793">
        <f t="shared" si="9"/>
        <v>0</v>
      </c>
    </row>
    <row r="105" spans="2:43" x14ac:dyDescent="0.25">
      <c r="B105" s="798">
        <v>2.2000000000000002</v>
      </c>
      <c r="C105" s="792" t="s">
        <v>1195</v>
      </c>
      <c r="D105" s="739"/>
      <c r="E105" s="739"/>
      <c r="F105" s="739"/>
      <c r="G105" s="739"/>
      <c r="H105" s="793">
        <v>0</v>
      </c>
      <c r="I105" s="793">
        <v>0</v>
      </c>
      <c r="J105" s="793">
        <v>0</v>
      </c>
      <c r="K105" s="793">
        <v>0</v>
      </c>
      <c r="L105" s="793">
        <v>0</v>
      </c>
      <c r="M105" s="793">
        <v>0</v>
      </c>
      <c r="N105" s="793">
        <v>0</v>
      </c>
      <c r="O105" s="793">
        <v>0</v>
      </c>
      <c r="P105" s="793">
        <v>0</v>
      </c>
      <c r="Q105" s="793">
        <v>0</v>
      </c>
      <c r="R105" s="793">
        <v>0</v>
      </c>
      <c r="S105" s="793">
        <v>0</v>
      </c>
      <c r="T105" s="793">
        <v>0</v>
      </c>
      <c r="U105" s="793">
        <v>0</v>
      </c>
      <c r="W105" s="798">
        <v>2.2000000000000002</v>
      </c>
      <c r="X105" s="792" t="s">
        <v>1195</v>
      </c>
      <c r="Y105" s="739"/>
      <c r="Z105" s="739"/>
      <c r="AA105" s="739"/>
      <c r="AB105" s="739"/>
      <c r="AC105" s="793">
        <v>0</v>
      </c>
      <c r="AD105" s="800">
        <v>0.84699999999999998</v>
      </c>
      <c r="AE105" s="793">
        <v>0</v>
      </c>
      <c r="AF105" s="793">
        <v>0</v>
      </c>
      <c r="AG105" s="793">
        <v>0</v>
      </c>
      <c r="AH105" s="793">
        <f>AC105*AD105</f>
        <v>0</v>
      </c>
      <c r="AI105" s="793">
        <f t="shared" si="9"/>
        <v>0</v>
      </c>
      <c r="AJ105" s="793">
        <f t="shared" si="9"/>
        <v>0</v>
      </c>
      <c r="AK105" s="793">
        <f t="shared" si="9"/>
        <v>0</v>
      </c>
      <c r="AL105" s="793">
        <f t="shared" si="9"/>
        <v>0</v>
      </c>
      <c r="AM105" s="793">
        <f t="shared" si="9"/>
        <v>0</v>
      </c>
      <c r="AN105" s="793">
        <f t="shared" si="9"/>
        <v>0</v>
      </c>
      <c r="AO105" s="793">
        <f t="shared" si="9"/>
        <v>0</v>
      </c>
      <c r="AP105" s="793">
        <f t="shared" si="9"/>
        <v>0</v>
      </c>
      <c r="AQ105" s="793">
        <f t="shared" si="9"/>
        <v>0</v>
      </c>
    </row>
    <row r="106" spans="2:43" x14ac:dyDescent="0.25">
      <c r="B106" s="795">
        <v>3</v>
      </c>
      <c r="C106" s="781" t="s">
        <v>1189</v>
      </c>
      <c r="D106" s="785"/>
      <c r="E106" s="785"/>
      <c r="F106" s="785"/>
      <c r="G106" s="785"/>
      <c r="H106" s="791">
        <f>SUM(H107)</f>
        <v>0</v>
      </c>
      <c r="I106" s="791">
        <f t="shared" ref="I106:U106" si="10">SUM(I107)</f>
        <v>0</v>
      </c>
      <c r="J106" s="791">
        <f t="shared" si="10"/>
        <v>0</v>
      </c>
      <c r="K106" s="791">
        <f t="shared" si="10"/>
        <v>0</v>
      </c>
      <c r="L106" s="791">
        <f t="shared" si="10"/>
        <v>0</v>
      </c>
      <c r="M106" s="791">
        <f t="shared" si="10"/>
        <v>0</v>
      </c>
      <c r="N106" s="791">
        <f t="shared" si="10"/>
        <v>0</v>
      </c>
      <c r="O106" s="791">
        <f t="shared" si="10"/>
        <v>0</v>
      </c>
      <c r="P106" s="791">
        <f t="shared" si="10"/>
        <v>0</v>
      </c>
      <c r="Q106" s="791">
        <f t="shared" si="10"/>
        <v>0</v>
      </c>
      <c r="R106" s="791">
        <f t="shared" si="10"/>
        <v>0</v>
      </c>
      <c r="S106" s="791">
        <f t="shared" si="10"/>
        <v>0</v>
      </c>
      <c r="T106" s="791">
        <f t="shared" si="10"/>
        <v>0</v>
      </c>
      <c r="U106" s="791">
        <f t="shared" si="10"/>
        <v>0</v>
      </c>
      <c r="W106" s="795">
        <v>3</v>
      </c>
      <c r="X106" s="781" t="s">
        <v>1189</v>
      </c>
      <c r="Y106" s="785"/>
      <c r="Z106" s="785"/>
      <c r="AA106" s="785"/>
      <c r="AB106" s="785"/>
      <c r="AC106" s="791">
        <f>SUM(AC107)</f>
        <v>0</v>
      </c>
      <c r="AD106" s="802"/>
      <c r="AE106" s="791">
        <f t="shared" ref="AE106:AQ106" si="11">SUM(AE107)</f>
        <v>0</v>
      </c>
      <c r="AF106" s="791">
        <f t="shared" si="11"/>
        <v>0</v>
      </c>
      <c r="AG106" s="791">
        <f t="shared" si="11"/>
        <v>0</v>
      </c>
      <c r="AH106" s="791">
        <f t="shared" si="11"/>
        <v>0</v>
      </c>
      <c r="AI106" s="791">
        <f t="shared" si="11"/>
        <v>0</v>
      </c>
      <c r="AJ106" s="791">
        <f t="shared" si="11"/>
        <v>0</v>
      </c>
      <c r="AK106" s="791">
        <f t="shared" si="11"/>
        <v>0</v>
      </c>
      <c r="AL106" s="791">
        <f t="shared" si="11"/>
        <v>0</v>
      </c>
      <c r="AM106" s="791">
        <f t="shared" si="11"/>
        <v>0</v>
      </c>
      <c r="AN106" s="791">
        <f t="shared" si="11"/>
        <v>0</v>
      </c>
      <c r="AO106" s="791">
        <f t="shared" si="11"/>
        <v>0</v>
      </c>
      <c r="AP106" s="791">
        <f t="shared" si="11"/>
        <v>0</v>
      </c>
      <c r="AQ106" s="791">
        <f t="shared" si="11"/>
        <v>0</v>
      </c>
    </row>
    <row r="107" spans="2:43" x14ac:dyDescent="0.25">
      <c r="B107" s="796" t="s">
        <v>714</v>
      </c>
      <c r="C107" s="784" t="s">
        <v>1199</v>
      </c>
      <c r="D107" s="739"/>
      <c r="E107" s="739"/>
      <c r="F107" s="739"/>
      <c r="G107" s="739"/>
      <c r="H107" s="774">
        <v>0</v>
      </c>
      <c r="I107" s="774">
        <v>0</v>
      </c>
      <c r="J107" s="774">
        <v>0</v>
      </c>
      <c r="K107" s="774">
        <v>0</v>
      </c>
      <c r="L107" s="774">
        <v>0</v>
      </c>
      <c r="M107" s="774">
        <v>0</v>
      </c>
      <c r="N107" s="774">
        <v>0</v>
      </c>
      <c r="O107" s="774">
        <v>0</v>
      </c>
      <c r="P107" s="774">
        <v>0</v>
      </c>
      <c r="Q107" s="774">
        <v>0</v>
      </c>
      <c r="R107" s="774">
        <v>0</v>
      </c>
      <c r="S107" s="774">
        <v>0</v>
      </c>
      <c r="T107" s="774">
        <v>0</v>
      </c>
      <c r="U107" s="774">
        <v>0</v>
      </c>
      <c r="W107" s="796" t="s">
        <v>714</v>
      </c>
      <c r="X107" s="784" t="s">
        <v>1199</v>
      </c>
      <c r="Y107" s="739"/>
      <c r="Z107" s="739"/>
      <c r="AA107" s="739"/>
      <c r="AB107" s="739"/>
      <c r="AC107" s="774">
        <v>0</v>
      </c>
      <c r="AD107" s="800">
        <v>0.84699999999999998</v>
      </c>
      <c r="AE107" s="774">
        <v>0</v>
      </c>
      <c r="AF107" s="774">
        <v>0</v>
      </c>
      <c r="AG107" s="774">
        <v>0</v>
      </c>
      <c r="AH107" s="774">
        <f>AC107*AD107</f>
        <v>0</v>
      </c>
      <c r="AI107" s="774">
        <f t="shared" ref="AI107:AQ107" si="12">AD107*AE107</f>
        <v>0</v>
      </c>
      <c r="AJ107" s="774">
        <f t="shared" si="12"/>
        <v>0</v>
      </c>
      <c r="AK107" s="774">
        <f t="shared" si="12"/>
        <v>0</v>
      </c>
      <c r="AL107" s="774">
        <f t="shared" si="12"/>
        <v>0</v>
      </c>
      <c r="AM107" s="774">
        <f t="shared" si="12"/>
        <v>0</v>
      </c>
      <c r="AN107" s="774">
        <f t="shared" si="12"/>
        <v>0</v>
      </c>
      <c r="AO107" s="774">
        <f t="shared" si="12"/>
        <v>0</v>
      </c>
      <c r="AP107" s="774">
        <f t="shared" si="12"/>
        <v>0</v>
      </c>
      <c r="AQ107" s="774">
        <f t="shared" si="12"/>
        <v>0</v>
      </c>
    </row>
    <row r="108" spans="2:43" x14ac:dyDescent="0.25">
      <c r="B108" s="790" t="s">
        <v>1198</v>
      </c>
      <c r="C108" s="739"/>
      <c r="D108" s="739"/>
      <c r="E108" s="739"/>
      <c r="F108" s="739"/>
      <c r="G108" s="739"/>
      <c r="H108" s="799">
        <f t="shared" ref="H108:U108" si="13">H99+H103+H106</f>
        <v>0</v>
      </c>
      <c r="I108" s="799">
        <f t="shared" si="13"/>
        <v>0</v>
      </c>
      <c r="J108" s="799">
        <f t="shared" si="13"/>
        <v>0</v>
      </c>
      <c r="K108" s="799">
        <f t="shared" si="13"/>
        <v>0</v>
      </c>
      <c r="L108" s="799">
        <f t="shared" si="13"/>
        <v>0</v>
      </c>
      <c r="M108" s="799">
        <f t="shared" si="13"/>
        <v>0</v>
      </c>
      <c r="N108" s="799">
        <f t="shared" si="13"/>
        <v>0</v>
      </c>
      <c r="O108" s="799">
        <f t="shared" si="13"/>
        <v>0</v>
      </c>
      <c r="P108" s="799">
        <f t="shared" si="13"/>
        <v>0</v>
      </c>
      <c r="Q108" s="799">
        <f t="shared" si="13"/>
        <v>0</v>
      </c>
      <c r="R108" s="799">
        <f t="shared" si="13"/>
        <v>0</v>
      </c>
      <c r="S108" s="799">
        <f t="shared" si="13"/>
        <v>0</v>
      </c>
      <c r="T108" s="799">
        <f t="shared" si="13"/>
        <v>0</v>
      </c>
      <c r="U108" s="799">
        <f t="shared" si="13"/>
        <v>0</v>
      </c>
      <c r="W108" s="790" t="s">
        <v>1198</v>
      </c>
      <c r="X108" s="739"/>
      <c r="Y108" s="739"/>
      <c r="Z108" s="739"/>
      <c r="AA108" s="739"/>
      <c r="AB108" s="739"/>
      <c r="AC108" s="799">
        <f>AC99+AC103+AC106</f>
        <v>0</v>
      </c>
      <c r="AD108" s="800">
        <v>0.84699999999999998</v>
      </c>
      <c r="AE108" s="799">
        <f t="shared" ref="AE108:AQ108" si="14">AE99+AE103+AE106</f>
        <v>0</v>
      </c>
      <c r="AF108" s="799">
        <f t="shared" si="14"/>
        <v>0</v>
      </c>
      <c r="AG108" s="799">
        <f t="shared" si="14"/>
        <v>0</v>
      </c>
      <c r="AH108" s="799">
        <f t="shared" si="14"/>
        <v>0</v>
      </c>
      <c r="AI108" s="799">
        <f t="shared" si="14"/>
        <v>0</v>
      </c>
      <c r="AJ108" s="799">
        <f t="shared" si="14"/>
        <v>0</v>
      </c>
      <c r="AK108" s="799">
        <f t="shared" si="14"/>
        <v>0</v>
      </c>
      <c r="AL108" s="799">
        <f t="shared" si="14"/>
        <v>0</v>
      </c>
      <c r="AM108" s="799">
        <f t="shared" si="14"/>
        <v>0</v>
      </c>
      <c r="AN108" s="799">
        <f t="shared" si="14"/>
        <v>0</v>
      </c>
      <c r="AO108" s="799">
        <f t="shared" si="14"/>
        <v>0</v>
      </c>
      <c r="AP108" s="799">
        <f t="shared" si="14"/>
        <v>0</v>
      </c>
      <c r="AQ108" s="799">
        <f t="shared" si="14"/>
        <v>0</v>
      </c>
    </row>
    <row r="112" spans="2:43" ht="33.75" x14ac:dyDescent="0.25">
      <c r="B112" s="1880" t="s">
        <v>1200</v>
      </c>
      <c r="C112" s="1860"/>
      <c r="D112" s="1860"/>
      <c r="E112" s="1860"/>
      <c r="F112" s="1860"/>
      <c r="G112" s="1860"/>
      <c r="H112" s="1860"/>
      <c r="I112" s="1860"/>
      <c r="J112" s="1860"/>
      <c r="K112" s="1860"/>
      <c r="L112" s="1860"/>
      <c r="M112" s="1860"/>
      <c r="N112" s="1860"/>
      <c r="O112" s="1860"/>
      <c r="P112" s="1860"/>
      <c r="Q112" s="1860"/>
      <c r="R112" s="1860"/>
      <c r="S112" s="1860"/>
      <c r="T112" s="1860"/>
      <c r="U112" s="1860"/>
      <c r="W112" s="1880" t="s">
        <v>1214</v>
      </c>
      <c r="X112" s="1860"/>
      <c r="Y112" s="1860"/>
      <c r="Z112" s="1860"/>
      <c r="AA112" s="1860"/>
      <c r="AB112" s="1860"/>
      <c r="AC112" s="1860"/>
      <c r="AD112" s="1860"/>
      <c r="AE112" s="1860"/>
      <c r="AF112" s="1860"/>
      <c r="AG112" s="1860"/>
      <c r="AH112" s="1860"/>
      <c r="AI112" s="1860"/>
      <c r="AJ112" s="1860"/>
      <c r="AK112" s="1860"/>
      <c r="AL112" s="1860"/>
      <c r="AM112" s="1860"/>
      <c r="AN112" s="1860"/>
      <c r="AO112" s="1860"/>
      <c r="AP112" s="1860"/>
    </row>
    <row r="115" spans="2:43" ht="19.5" customHeight="1" x14ac:dyDescent="0.25">
      <c r="B115" s="1898" t="s">
        <v>398</v>
      </c>
      <c r="C115" s="1901" t="s">
        <v>1141</v>
      </c>
      <c r="D115" s="1901" t="s">
        <v>397</v>
      </c>
      <c r="E115" s="1901" t="s">
        <v>650</v>
      </c>
      <c r="F115" s="1901" t="s">
        <v>769</v>
      </c>
      <c r="G115" s="1901" t="s">
        <v>1144</v>
      </c>
      <c r="H115" s="1901" t="s">
        <v>1145</v>
      </c>
      <c r="I115" s="1890" t="s">
        <v>1156</v>
      </c>
      <c r="J115" s="1891"/>
      <c r="K115" s="1891"/>
      <c r="L115" s="1891"/>
      <c r="M115" s="1891"/>
      <c r="N115" s="1891"/>
      <c r="O115" s="1891"/>
      <c r="P115" s="1891"/>
      <c r="Q115" s="1891"/>
      <c r="R115" s="1891"/>
      <c r="S115" s="1891"/>
      <c r="T115" s="1891"/>
      <c r="U115" s="1892"/>
      <c r="W115" s="1898" t="s">
        <v>398</v>
      </c>
      <c r="X115" s="1901" t="s">
        <v>1141</v>
      </c>
      <c r="Y115" s="1901" t="s">
        <v>397</v>
      </c>
      <c r="Z115" s="1901" t="s">
        <v>650</v>
      </c>
      <c r="AA115" s="1901" t="s">
        <v>769</v>
      </c>
      <c r="AB115" s="1901" t="s">
        <v>1144</v>
      </c>
      <c r="AC115" s="1901" t="s">
        <v>1145</v>
      </c>
      <c r="AD115" s="1901" t="s">
        <v>1203</v>
      </c>
      <c r="AE115" s="1890" t="s">
        <v>1156</v>
      </c>
      <c r="AF115" s="1891"/>
      <c r="AG115" s="1891"/>
      <c r="AH115" s="1891"/>
      <c r="AI115" s="1891"/>
      <c r="AJ115" s="1891"/>
      <c r="AK115" s="1891"/>
      <c r="AL115" s="1891"/>
      <c r="AM115" s="1891"/>
      <c r="AN115" s="1891"/>
      <c r="AO115" s="1891"/>
      <c r="AP115" s="1891"/>
      <c r="AQ115" s="1892"/>
    </row>
    <row r="116" spans="2:43" ht="21.75" customHeight="1" x14ac:dyDescent="0.25">
      <c r="B116" s="1899"/>
      <c r="C116" s="1902"/>
      <c r="D116" s="1902"/>
      <c r="E116" s="1902"/>
      <c r="F116" s="1902"/>
      <c r="G116" s="1902"/>
      <c r="H116" s="1902"/>
      <c r="I116" s="738">
        <v>2021</v>
      </c>
      <c r="J116" s="738">
        <v>2022</v>
      </c>
      <c r="K116" s="738">
        <v>2023</v>
      </c>
      <c r="L116" s="738">
        <v>2024</v>
      </c>
      <c r="M116" s="738">
        <v>2025</v>
      </c>
      <c r="N116" s="738">
        <v>2026</v>
      </c>
      <c r="O116" s="738">
        <v>2027</v>
      </c>
      <c r="P116" s="738">
        <v>2028</v>
      </c>
      <c r="Q116" s="738">
        <v>2029</v>
      </c>
      <c r="R116" s="738">
        <v>2030</v>
      </c>
      <c r="S116" s="738">
        <v>2031</v>
      </c>
      <c r="T116" s="738">
        <v>2032</v>
      </c>
      <c r="U116" s="738">
        <v>2033</v>
      </c>
      <c r="W116" s="1899"/>
      <c r="X116" s="1902"/>
      <c r="Y116" s="1902"/>
      <c r="Z116" s="1902"/>
      <c r="AA116" s="1902"/>
      <c r="AB116" s="1902"/>
      <c r="AC116" s="1902"/>
      <c r="AD116" s="1902"/>
      <c r="AE116" s="738">
        <v>2021</v>
      </c>
      <c r="AF116" s="738">
        <v>2022</v>
      </c>
      <c r="AG116" s="738">
        <v>2023</v>
      </c>
      <c r="AH116" s="738">
        <v>2024</v>
      </c>
      <c r="AI116" s="738">
        <v>2025</v>
      </c>
      <c r="AJ116" s="738">
        <v>2026</v>
      </c>
      <c r="AK116" s="738">
        <v>2027</v>
      </c>
      <c r="AL116" s="738">
        <v>2028</v>
      </c>
      <c r="AM116" s="738">
        <v>2029</v>
      </c>
      <c r="AN116" s="738">
        <v>2030</v>
      </c>
      <c r="AO116" s="738">
        <v>2031</v>
      </c>
      <c r="AP116" s="738">
        <v>2032</v>
      </c>
      <c r="AQ116" s="738">
        <v>2033</v>
      </c>
    </row>
    <row r="117" spans="2:43" ht="18.75" customHeight="1" x14ac:dyDescent="0.25">
      <c r="B117" s="1900"/>
      <c r="C117" s="1903"/>
      <c r="D117" s="1903"/>
      <c r="E117" s="1903"/>
      <c r="F117" s="1903"/>
      <c r="G117" s="1903"/>
      <c r="H117" s="1903"/>
      <c r="I117" s="1897">
        <v>0</v>
      </c>
      <c r="J117" s="1897"/>
      <c r="K117" s="1897"/>
      <c r="L117" s="738" t="s">
        <v>1146</v>
      </c>
      <c r="M117" s="738" t="s">
        <v>1147</v>
      </c>
      <c r="N117" s="738" t="s">
        <v>1148</v>
      </c>
      <c r="O117" s="738" t="s">
        <v>1149</v>
      </c>
      <c r="P117" s="738" t="s">
        <v>1150</v>
      </c>
      <c r="Q117" s="738" t="s">
        <v>1151</v>
      </c>
      <c r="R117" s="738" t="s">
        <v>1152</v>
      </c>
      <c r="S117" s="738" t="s">
        <v>1153</v>
      </c>
      <c r="T117" s="738" t="s">
        <v>1154</v>
      </c>
      <c r="U117" s="738" t="s">
        <v>1155</v>
      </c>
      <c r="W117" s="1900"/>
      <c r="X117" s="1903"/>
      <c r="Y117" s="1903"/>
      <c r="Z117" s="1903"/>
      <c r="AA117" s="1903"/>
      <c r="AB117" s="1903"/>
      <c r="AC117" s="1903"/>
      <c r="AD117" s="1903"/>
      <c r="AE117" s="803">
        <v>0</v>
      </c>
      <c r="AF117" s="803"/>
      <c r="AG117" s="803"/>
      <c r="AH117" s="738" t="s">
        <v>1146</v>
      </c>
      <c r="AI117" s="738" t="s">
        <v>1147</v>
      </c>
      <c r="AJ117" s="738" t="s">
        <v>1148</v>
      </c>
      <c r="AK117" s="738" t="s">
        <v>1149</v>
      </c>
      <c r="AL117" s="738" t="s">
        <v>1150</v>
      </c>
      <c r="AM117" s="738" t="s">
        <v>1151</v>
      </c>
      <c r="AN117" s="738" t="s">
        <v>1152</v>
      </c>
      <c r="AO117" s="738" t="s">
        <v>1153</v>
      </c>
      <c r="AP117" s="738" t="s">
        <v>1154</v>
      </c>
      <c r="AQ117" s="738" t="s">
        <v>1155</v>
      </c>
    </row>
    <row r="118" spans="2:43" x14ac:dyDescent="0.25">
      <c r="B118" s="786">
        <v>1</v>
      </c>
      <c r="C118" s="787" t="s">
        <v>1142</v>
      </c>
      <c r="D118" s="785"/>
      <c r="E118" s="785"/>
      <c r="F118" s="785"/>
      <c r="G118" s="788"/>
      <c r="H118" s="789">
        <f>H119+H140+H162</f>
        <v>2085518.6</v>
      </c>
      <c r="I118" s="789">
        <f t="shared" ref="I118:U118" si="15">I119+I140+I162</f>
        <v>0</v>
      </c>
      <c r="J118" s="789">
        <f t="shared" si="15"/>
        <v>0</v>
      </c>
      <c r="K118" s="789">
        <f t="shared" si="15"/>
        <v>0</v>
      </c>
      <c r="L118" s="789">
        <f t="shared" si="15"/>
        <v>2085518.6</v>
      </c>
      <c r="M118" s="789">
        <f t="shared" si="15"/>
        <v>2085518.6</v>
      </c>
      <c r="N118" s="789">
        <f t="shared" si="15"/>
        <v>2085518.6</v>
      </c>
      <c r="O118" s="789">
        <f t="shared" si="15"/>
        <v>2085518.6</v>
      </c>
      <c r="P118" s="789">
        <f t="shared" si="15"/>
        <v>2085518.6</v>
      </c>
      <c r="Q118" s="789">
        <f t="shared" si="15"/>
        <v>2085518.6</v>
      </c>
      <c r="R118" s="789">
        <f t="shared" si="15"/>
        <v>2085518.6</v>
      </c>
      <c r="S118" s="789">
        <f t="shared" si="15"/>
        <v>2085518.6</v>
      </c>
      <c r="T118" s="789">
        <f t="shared" si="15"/>
        <v>2085518.6</v>
      </c>
      <c r="U118" s="789">
        <f t="shared" si="15"/>
        <v>2085518.6</v>
      </c>
      <c r="W118" s="786">
        <f t="shared" ref="W118:X120" si="16">B118</f>
        <v>1</v>
      </c>
      <c r="X118" s="787" t="str">
        <f t="shared" si="16"/>
        <v>COSTOS DE OPERACIÓN</v>
      </c>
      <c r="Y118" s="785"/>
      <c r="Z118" s="785"/>
      <c r="AA118" s="785"/>
      <c r="AB118" s="788"/>
      <c r="AC118" s="789">
        <f>AC119+AC140+AC162</f>
        <v>2085518.6</v>
      </c>
      <c r="AD118" s="804"/>
      <c r="AE118" s="789">
        <f>AE119+AE140+AE162</f>
        <v>0</v>
      </c>
      <c r="AF118" s="789">
        <f t="shared" ref="AF118:AQ118" si="17">AF119+AF140+AF162</f>
        <v>0</v>
      </c>
      <c r="AG118" s="789">
        <f t="shared" si="17"/>
        <v>0</v>
      </c>
      <c r="AH118" s="789">
        <f t="shared" si="17"/>
        <v>1764004.4742000001</v>
      </c>
      <c r="AI118" s="789">
        <f t="shared" si="17"/>
        <v>1801441.8742000002</v>
      </c>
      <c r="AJ118" s="789">
        <f t="shared" si="17"/>
        <v>1801441.8742000002</v>
      </c>
      <c r="AK118" s="789">
        <f t="shared" si="17"/>
        <v>1801441.8742000002</v>
      </c>
      <c r="AL118" s="789">
        <f t="shared" si="17"/>
        <v>1801441.8742000002</v>
      </c>
      <c r="AM118" s="789">
        <f t="shared" si="17"/>
        <v>1801441.8742000002</v>
      </c>
      <c r="AN118" s="789">
        <f t="shared" si="17"/>
        <v>1801441.8742000002</v>
      </c>
      <c r="AO118" s="789">
        <f t="shared" si="17"/>
        <v>1801441.8742000002</v>
      </c>
      <c r="AP118" s="789">
        <f t="shared" si="17"/>
        <v>1801441.8742000002</v>
      </c>
      <c r="AQ118" s="789">
        <f t="shared" si="17"/>
        <v>1801441.8742000002</v>
      </c>
    </row>
    <row r="119" spans="2:43" ht="25.5" x14ac:dyDescent="0.25">
      <c r="B119" s="779" t="s">
        <v>401</v>
      </c>
      <c r="C119" s="750" t="s">
        <v>1171</v>
      </c>
      <c r="D119" s="746"/>
      <c r="E119" s="746"/>
      <c r="F119" s="746"/>
      <c r="G119" s="746"/>
      <c r="H119" s="755">
        <f>H120</f>
        <v>1392343.6</v>
      </c>
      <c r="I119" s="755">
        <f t="shared" ref="I119:U119" si="18">I120</f>
        <v>0</v>
      </c>
      <c r="J119" s="755">
        <f t="shared" si="18"/>
        <v>0</v>
      </c>
      <c r="K119" s="755">
        <f t="shared" si="18"/>
        <v>0</v>
      </c>
      <c r="L119" s="755">
        <f t="shared" si="18"/>
        <v>1392343.6</v>
      </c>
      <c r="M119" s="755">
        <f t="shared" si="18"/>
        <v>1392343.6</v>
      </c>
      <c r="N119" s="755">
        <f t="shared" si="18"/>
        <v>1392343.6</v>
      </c>
      <c r="O119" s="755">
        <f t="shared" si="18"/>
        <v>1392343.6</v>
      </c>
      <c r="P119" s="755">
        <f t="shared" si="18"/>
        <v>1392343.6</v>
      </c>
      <c r="Q119" s="755">
        <f t="shared" si="18"/>
        <v>1392343.6</v>
      </c>
      <c r="R119" s="755">
        <f t="shared" si="18"/>
        <v>1392343.6</v>
      </c>
      <c r="S119" s="755">
        <f t="shared" si="18"/>
        <v>1392343.6</v>
      </c>
      <c r="T119" s="755">
        <f t="shared" si="18"/>
        <v>1392343.6</v>
      </c>
      <c r="U119" s="755">
        <f t="shared" si="18"/>
        <v>1392343.6</v>
      </c>
      <c r="W119" s="779" t="str">
        <f t="shared" si="16"/>
        <v>1.1.</v>
      </c>
      <c r="X119" s="750" t="str">
        <f t="shared" si="16"/>
        <v>Costo de Producción de Alga como Materia Prima</v>
      </c>
      <c r="Y119" s="746"/>
      <c r="Z119" s="746"/>
      <c r="AA119" s="746"/>
      <c r="AB119" s="746"/>
      <c r="AC119" s="755">
        <f>AC120</f>
        <v>1392343.6</v>
      </c>
      <c r="AD119" s="746"/>
      <c r="AE119" s="775">
        <f t="shared" ref="AE119:AQ119" si="19">AE120</f>
        <v>0</v>
      </c>
      <c r="AF119" s="775">
        <f t="shared" si="19"/>
        <v>0</v>
      </c>
      <c r="AG119" s="775">
        <f t="shared" si="19"/>
        <v>0</v>
      </c>
      <c r="AH119" s="775">
        <f t="shared" si="19"/>
        <v>1249257.4492000001</v>
      </c>
      <c r="AI119" s="775">
        <f t="shared" si="19"/>
        <v>1249257.4492000001</v>
      </c>
      <c r="AJ119" s="775">
        <f t="shared" si="19"/>
        <v>1249257.4492000001</v>
      </c>
      <c r="AK119" s="775">
        <f t="shared" si="19"/>
        <v>1249257.4492000001</v>
      </c>
      <c r="AL119" s="775">
        <f t="shared" si="19"/>
        <v>1249257.4492000001</v>
      </c>
      <c r="AM119" s="775">
        <f t="shared" si="19"/>
        <v>1249257.4492000001</v>
      </c>
      <c r="AN119" s="775">
        <f t="shared" si="19"/>
        <v>1249257.4492000001</v>
      </c>
      <c r="AO119" s="775">
        <f t="shared" si="19"/>
        <v>1249257.4492000001</v>
      </c>
      <c r="AP119" s="775">
        <f t="shared" si="19"/>
        <v>1249257.4492000001</v>
      </c>
      <c r="AQ119" s="775">
        <f t="shared" si="19"/>
        <v>1249257.4492000001</v>
      </c>
    </row>
    <row r="120" spans="2:43" x14ac:dyDescent="0.25">
      <c r="B120" s="740" t="s">
        <v>584</v>
      </c>
      <c r="C120" s="756" t="str">
        <f t="shared" ref="C120:C139" si="20">C14</f>
        <v>I.COSTOS DE PRODUCCION</v>
      </c>
      <c r="D120" s="739"/>
      <c r="E120" s="739"/>
      <c r="F120" s="739"/>
      <c r="G120" s="739"/>
      <c r="H120" s="753">
        <f>H121+H132</f>
        <v>1392343.6</v>
      </c>
      <c r="I120" s="777">
        <f>I121+I132</f>
        <v>0</v>
      </c>
      <c r="J120" s="777">
        <f>J121+J132</f>
        <v>0</v>
      </c>
      <c r="K120" s="777">
        <f t="shared" ref="K120:U120" si="21">K121+K132</f>
        <v>0</v>
      </c>
      <c r="L120" s="754">
        <f t="shared" si="21"/>
        <v>1392343.6</v>
      </c>
      <c r="M120" s="754">
        <f t="shared" si="21"/>
        <v>1392343.6</v>
      </c>
      <c r="N120" s="754">
        <f t="shared" si="21"/>
        <v>1392343.6</v>
      </c>
      <c r="O120" s="754">
        <f t="shared" si="21"/>
        <v>1392343.6</v>
      </c>
      <c r="P120" s="754">
        <f t="shared" si="21"/>
        <v>1392343.6</v>
      </c>
      <c r="Q120" s="754">
        <f t="shared" si="21"/>
        <v>1392343.6</v>
      </c>
      <c r="R120" s="754">
        <f t="shared" si="21"/>
        <v>1392343.6</v>
      </c>
      <c r="S120" s="754">
        <f t="shared" si="21"/>
        <v>1392343.6</v>
      </c>
      <c r="T120" s="754">
        <f t="shared" si="21"/>
        <v>1392343.6</v>
      </c>
      <c r="U120" s="754">
        <f t="shared" si="21"/>
        <v>1392343.6</v>
      </c>
      <c r="W120" s="740" t="str">
        <f t="shared" si="16"/>
        <v>1.1.1.</v>
      </c>
      <c r="X120" s="756" t="str">
        <f t="shared" si="16"/>
        <v>I.COSTOS DE PRODUCCION</v>
      </c>
      <c r="Y120" s="739"/>
      <c r="Z120" s="739"/>
      <c r="AA120" s="739"/>
      <c r="AB120" s="739"/>
      <c r="AC120" s="753">
        <f>AC121+AC132</f>
        <v>1392343.6</v>
      </c>
      <c r="AE120" s="777">
        <f t="shared" ref="AE120:AQ120" si="22">AE121+AE132</f>
        <v>0</v>
      </c>
      <c r="AF120" s="777">
        <f t="shared" si="22"/>
        <v>0</v>
      </c>
      <c r="AG120" s="777">
        <f t="shared" si="22"/>
        <v>0</v>
      </c>
      <c r="AH120" s="754">
        <f t="shared" si="22"/>
        <v>1249257.4492000001</v>
      </c>
      <c r="AI120" s="754">
        <f t="shared" si="22"/>
        <v>1249257.4492000001</v>
      </c>
      <c r="AJ120" s="754">
        <f t="shared" si="22"/>
        <v>1249257.4492000001</v>
      </c>
      <c r="AK120" s="754">
        <f t="shared" si="22"/>
        <v>1249257.4492000001</v>
      </c>
      <c r="AL120" s="754">
        <f t="shared" si="22"/>
        <v>1249257.4492000001</v>
      </c>
      <c r="AM120" s="754">
        <f t="shared" si="22"/>
        <v>1249257.4492000001</v>
      </c>
      <c r="AN120" s="754">
        <f t="shared" si="22"/>
        <v>1249257.4492000001</v>
      </c>
      <c r="AO120" s="754">
        <f t="shared" si="22"/>
        <v>1249257.4492000001</v>
      </c>
      <c r="AP120" s="754">
        <f t="shared" si="22"/>
        <v>1249257.4492000001</v>
      </c>
      <c r="AQ120" s="754">
        <f t="shared" si="22"/>
        <v>1249257.4492000001</v>
      </c>
    </row>
    <row r="121" spans="2:43" x14ac:dyDescent="0.25">
      <c r="B121" s="765"/>
      <c r="C121" s="765" t="str">
        <f t="shared" si="20"/>
        <v xml:space="preserve">  A.COSTOS DIRECTOS</v>
      </c>
      <c r="D121" s="765"/>
      <c r="E121" s="765"/>
      <c r="F121" s="765"/>
      <c r="G121" s="765"/>
      <c r="H121" s="766">
        <f>SUM(H122:H131)</f>
        <v>935203.6</v>
      </c>
      <c r="I121" s="776">
        <f>SUM(I122:I131)</f>
        <v>0</v>
      </c>
      <c r="J121" s="776">
        <f t="shared" ref="J121:U121" si="23">SUM(J122:J131)</f>
        <v>0</v>
      </c>
      <c r="K121" s="776">
        <f t="shared" si="23"/>
        <v>0</v>
      </c>
      <c r="L121" s="770">
        <f t="shared" si="23"/>
        <v>935203.6</v>
      </c>
      <c r="M121" s="770">
        <f t="shared" si="23"/>
        <v>935203.6</v>
      </c>
      <c r="N121" s="770">
        <f t="shared" si="23"/>
        <v>935203.6</v>
      </c>
      <c r="O121" s="770">
        <f t="shared" si="23"/>
        <v>935203.6</v>
      </c>
      <c r="P121" s="770">
        <f t="shared" si="23"/>
        <v>935203.6</v>
      </c>
      <c r="Q121" s="770">
        <f t="shared" si="23"/>
        <v>935203.6</v>
      </c>
      <c r="R121" s="770">
        <f t="shared" si="23"/>
        <v>935203.6</v>
      </c>
      <c r="S121" s="770">
        <f t="shared" si="23"/>
        <v>935203.6</v>
      </c>
      <c r="T121" s="770">
        <f t="shared" si="23"/>
        <v>935203.6</v>
      </c>
      <c r="U121" s="770">
        <f t="shared" si="23"/>
        <v>935203.6</v>
      </c>
      <c r="W121" s="765"/>
      <c r="X121" s="765" t="str">
        <f>C121</f>
        <v xml:space="preserve">  A.COSTOS DIRECTOS</v>
      </c>
      <c r="Y121" s="765"/>
      <c r="Z121" s="765"/>
      <c r="AA121" s="765"/>
      <c r="AB121" s="765"/>
      <c r="AC121" s="766">
        <f>SUM(AC122:AC131)</f>
        <v>935203.6</v>
      </c>
      <c r="AE121" s="776">
        <f t="shared" ref="AE121:AQ121" si="24">SUM(AE122:AE131)</f>
        <v>0</v>
      </c>
      <c r="AF121" s="776">
        <f t="shared" si="24"/>
        <v>0</v>
      </c>
      <c r="AG121" s="776">
        <f t="shared" si="24"/>
        <v>0</v>
      </c>
      <c r="AH121" s="770">
        <f t="shared" si="24"/>
        <v>792117.44920000003</v>
      </c>
      <c r="AI121" s="770">
        <f t="shared" si="24"/>
        <v>792117.44920000003</v>
      </c>
      <c r="AJ121" s="770">
        <f t="shared" si="24"/>
        <v>792117.44920000003</v>
      </c>
      <c r="AK121" s="770">
        <f t="shared" si="24"/>
        <v>792117.44920000003</v>
      </c>
      <c r="AL121" s="770">
        <f t="shared" si="24"/>
        <v>792117.44920000003</v>
      </c>
      <c r="AM121" s="770">
        <f t="shared" si="24"/>
        <v>792117.44920000003</v>
      </c>
      <c r="AN121" s="770">
        <f t="shared" si="24"/>
        <v>792117.44920000003</v>
      </c>
      <c r="AO121" s="770">
        <f t="shared" si="24"/>
        <v>792117.44920000003</v>
      </c>
      <c r="AP121" s="770">
        <f t="shared" si="24"/>
        <v>792117.44920000003</v>
      </c>
      <c r="AQ121" s="770">
        <f t="shared" si="24"/>
        <v>792117.44920000003</v>
      </c>
    </row>
    <row r="122" spans="2:43" x14ac:dyDescent="0.25">
      <c r="B122" s="1881"/>
      <c r="C122" s="739" t="str">
        <f t="shared" si="20"/>
        <v xml:space="preserve">      Alga</v>
      </c>
      <c r="D122" s="740" t="str">
        <f t="shared" ref="D122:E131" si="25">D16</f>
        <v>Kilos</v>
      </c>
      <c r="E122" s="749">
        <f t="shared" si="25"/>
        <v>500</v>
      </c>
      <c r="F122" s="740" t="s">
        <v>669</v>
      </c>
      <c r="G122" s="752">
        <f t="shared" ref="G122:G139" si="26">F16</f>
        <v>100</v>
      </c>
      <c r="H122" s="753">
        <f>E122*G122</f>
        <v>50000</v>
      </c>
      <c r="I122" s="774">
        <v>0</v>
      </c>
      <c r="J122" s="774">
        <v>0</v>
      </c>
      <c r="K122" s="774">
        <v>0</v>
      </c>
      <c r="L122" s="754">
        <f>H122</f>
        <v>50000</v>
      </c>
      <c r="M122" s="754">
        <f>L122</f>
        <v>50000</v>
      </c>
      <c r="N122" s="754">
        <f t="shared" ref="N122:U122" si="27">M122</f>
        <v>50000</v>
      </c>
      <c r="O122" s="754">
        <f t="shared" si="27"/>
        <v>50000</v>
      </c>
      <c r="P122" s="754">
        <f t="shared" si="27"/>
        <v>50000</v>
      </c>
      <c r="Q122" s="754">
        <f t="shared" si="27"/>
        <v>50000</v>
      </c>
      <c r="R122" s="754">
        <f t="shared" si="27"/>
        <v>50000</v>
      </c>
      <c r="S122" s="754">
        <f t="shared" si="27"/>
        <v>50000</v>
      </c>
      <c r="T122" s="754">
        <f t="shared" si="27"/>
        <v>50000</v>
      </c>
      <c r="U122" s="754">
        <f t="shared" si="27"/>
        <v>50000</v>
      </c>
      <c r="W122" s="1881"/>
      <c r="X122" s="739" t="str">
        <f>C122</f>
        <v xml:space="preserve">      Alga</v>
      </c>
      <c r="Y122" s="740" t="str">
        <f>D122</f>
        <v>Kilos</v>
      </c>
      <c r="Z122" s="749">
        <f>E122</f>
        <v>500</v>
      </c>
      <c r="AA122" s="740" t="s">
        <v>669</v>
      </c>
      <c r="AB122" s="752">
        <f>G122</f>
        <v>100</v>
      </c>
      <c r="AC122" s="753">
        <f>Z122*AB122</f>
        <v>50000</v>
      </c>
      <c r="AD122" s="800">
        <v>0.84699999999999998</v>
      </c>
      <c r="AE122" s="774">
        <v>0</v>
      </c>
      <c r="AF122" s="774">
        <v>0</v>
      </c>
      <c r="AG122" s="774">
        <v>0</v>
      </c>
      <c r="AH122" s="754">
        <f>AC122*AD122</f>
        <v>42350</v>
      </c>
      <c r="AI122" s="754">
        <f>AH122</f>
        <v>42350</v>
      </c>
      <c r="AJ122" s="754">
        <f t="shared" ref="AJ122:AQ122" si="28">AI122</f>
        <v>42350</v>
      </c>
      <c r="AK122" s="754">
        <f t="shared" si="28"/>
        <v>42350</v>
      </c>
      <c r="AL122" s="754">
        <f t="shared" si="28"/>
        <v>42350</v>
      </c>
      <c r="AM122" s="754">
        <f t="shared" si="28"/>
        <v>42350</v>
      </c>
      <c r="AN122" s="754">
        <f t="shared" si="28"/>
        <v>42350</v>
      </c>
      <c r="AO122" s="754">
        <f t="shared" si="28"/>
        <v>42350</v>
      </c>
      <c r="AP122" s="754">
        <f t="shared" si="28"/>
        <v>42350</v>
      </c>
      <c r="AQ122" s="754">
        <f t="shared" si="28"/>
        <v>42350</v>
      </c>
    </row>
    <row r="123" spans="2:43" x14ac:dyDescent="0.25">
      <c r="B123" s="1882"/>
      <c r="C123" s="739" t="str">
        <f t="shared" si="20"/>
        <v xml:space="preserve">      NaHCO3</v>
      </c>
      <c r="D123" s="740" t="str">
        <f t="shared" si="25"/>
        <v>Kilos</v>
      </c>
      <c r="E123" s="749">
        <f t="shared" si="25"/>
        <v>700000</v>
      </c>
      <c r="F123" s="740" t="s">
        <v>669</v>
      </c>
      <c r="G123" s="752">
        <f t="shared" si="26"/>
        <v>0.8</v>
      </c>
      <c r="H123" s="753">
        <f t="shared" ref="H123:H139" si="29">E123*G123</f>
        <v>560000</v>
      </c>
      <c r="I123" s="774">
        <v>0</v>
      </c>
      <c r="J123" s="774">
        <v>0</v>
      </c>
      <c r="K123" s="774">
        <v>0</v>
      </c>
      <c r="L123" s="754">
        <f t="shared" ref="L123:L139" si="30">H123</f>
        <v>560000</v>
      </c>
      <c r="M123" s="754">
        <f t="shared" ref="M123:U139" si="31">L123</f>
        <v>560000</v>
      </c>
      <c r="N123" s="754">
        <f t="shared" si="31"/>
        <v>560000</v>
      </c>
      <c r="O123" s="754">
        <f t="shared" si="31"/>
        <v>560000</v>
      </c>
      <c r="P123" s="754">
        <f t="shared" si="31"/>
        <v>560000</v>
      </c>
      <c r="Q123" s="754">
        <f t="shared" si="31"/>
        <v>560000</v>
      </c>
      <c r="R123" s="754">
        <f t="shared" si="31"/>
        <v>560000</v>
      </c>
      <c r="S123" s="754">
        <f t="shared" si="31"/>
        <v>560000</v>
      </c>
      <c r="T123" s="754">
        <f t="shared" si="31"/>
        <v>560000</v>
      </c>
      <c r="U123" s="754">
        <f t="shared" si="31"/>
        <v>560000</v>
      </c>
      <c r="W123" s="1882"/>
      <c r="X123" s="739" t="str">
        <f t="shared" ref="X123:X131" si="32">C123</f>
        <v xml:space="preserve">      NaHCO3</v>
      </c>
      <c r="Y123" s="740" t="str">
        <f t="shared" ref="Y123:Z131" si="33">D123</f>
        <v>Kilos</v>
      </c>
      <c r="Z123" s="749">
        <f t="shared" si="33"/>
        <v>700000</v>
      </c>
      <c r="AA123" s="740" t="s">
        <v>669</v>
      </c>
      <c r="AB123" s="752">
        <f t="shared" ref="AB123:AB131" si="34">G123</f>
        <v>0.8</v>
      </c>
      <c r="AC123" s="753">
        <f t="shared" ref="AC123:AC131" si="35">Z123*AB123</f>
        <v>560000</v>
      </c>
      <c r="AD123" s="800">
        <v>0.84699999999999998</v>
      </c>
      <c r="AE123" s="774">
        <v>0</v>
      </c>
      <c r="AF123" s="774">
        <v>0</v>
      </c>
      <c r="AG123" s="774">
        <v>0</v>
      </c>
      <c r="AH123" s="754">
        <f t="shared" ref="AH123:AH131" si="36">AC123*AD123</f>
        <v>474320</v>
      </c>
      <c r="AI123" s="754">
        <f t="shared" ref="AI123:AQ123" si="37">AH123</f>
        <v>474320</v>
      </c>
      <c r="AJ123" s="754">
        <f t="shared" si="37"/>
        <v>474320</v>
      </c>
      <c r="AK123" s="754">
        <f t="shared" si="37"/>
        <v>474320</v>
      </c>
      <c r="AL123" s="754">
        <f t="shared" si="37"/>
        <v>474320</v>
      </c>
      <c r="AM123" s="754">
        <f t="shared" si="37"/>
        <v>474320</v>
      </c>
      <c r="AN123" s="754">
        <f t="shared" si="37"/>
        <v>474320</v>
      </c>
      <c r="AO123" s="754">
        <f t="shared" si="37"/>
        <v>474320</v>
      </c>
      <c r="AP123" s="754">
        <f t="shared" si="37"/>
        <v>474320</v>
      </c>
      <c r="AQ123" s="754">
        <f t="shared" si="37"/>
        <v>474320</v>
      </c>
    </row>
    <row r="124" spans="2:43" x14ac:dyDescent="0.25">
      <c r="B124" s="1882"/>
      <c r="C124" s="739" t="str">
        <f t="shared" si="20"/>
        <v xml:space="preserve">      K2HPO4</v>
      </c>
      <c r="D124" s="740" t="str">
        <f t="shared" si="25"/>
        <v>Kilos</v>
      </c>
      <c r="E124" s="749">
        <f t="shared" si="25"/>
        <v>21900</v>
      </c>
      <c r="F124" s="740" t="s">
        <v>669</v>
      </c>
      <c r="G124" s="752">
        <f t="shared" si="26"/>
        <v>2</v>
      </c>
      <c r="H124" s="753">
        <f t="shared" si="29"/>
        <v>43800</v>
      </c>
      <c r="I124" s="774">
        <v>0</v>
      </c>
      <c r="J124" s="774">
        <v>0</v>
      </c>
      <c r="K124" s="774">
        <v>0</v>
      </c>
      <c r="L124" s="754">
        <f t="shared" si="30"/>
        <v>43800</v>
      </c>
      <c r="M124" s="754">
        <f t="shared" si="31"/>
        <v>43800</v>
      </c>
      <c r="N124" s="754">
        <f t="shared" si="31"/>
        <v>43800</v>
      </c>
      <c r="O124" s="754">
        <f t="shared" si="31"/>
        <v>43800</v>
      </c>
      <c r="P124" s="754">
        <f t="shared" si="31"/>
        <v>43800</v>
      </c>
      <c r="Q124" s="754">
        <f t="shared" si="31"/>
        <v>43800</v>
      </c>
      <c r="R124" s="754">
        <f t="shared" si="31"/>
        <v>43800</v>
      </c>
      <c r="S124" s="754">
        <f t="shared" si="31"/>
        <v>43800</v>
      </c>
      <c r="T124" s="754">
        <f t="shared" si="31"/>
        <v>43800</v>
      </c>
      <c r="U124" s="754">
        <f t="shared" si="31"/>
        <v>43800</v>
      </c>
      <c r="W124" s="1882"/>
      <c r="X124" s="739" t="str">
        <f t="shared" si="32"/>
        <v xml:space="preserve">      K2HPO4</v>
      </c>
      <c r="Y124" s="740" t="str">
        <f t="shared" si="33"/>
        <v>Kilos</v>
      </c>
      <c r="Z124" s="749">
        <f t="shared" si="33"/>
        <v>21900</v>
      </c>
      <c r="AA124" s="740" t="s">
        <v>669</v>
      </c>
      <c r="AB124" s="752">
        <f t="shared" si="34"/>
        <v>2</v>
      </c>
      <c r="AC124" s="753">
        <f t="shared" si="35"/>
        <v>43800</v>
      </c>
      <c r="AD124" s="800">
        <v>0.84699999999999998</v>
      </c>
      <c r="AE124" s="774">
        <v>0</v>
      </c>
      <c r="AF124" s="774">
        <v>0</v>
      </c>
      <c r="AG124" s="774">
        <v>0</v>
      </c>
      <c r="AH124" s="754">
        <f t="shared" si="36"/>
        <v>37098.6</v>
      </c>
      <c r="AI124" s="754">
        <f t="shared" ref="AI124:AQ124" si="38">AH124</f>
        <v>37098.6</v>
      </c>
      <c r="AJ124" s="754">
        <f t="shared" si="38"/>
        <v>37098.6</v>
      </c>
      <c r="AK124" s="754">
        <f t="shared" si="38"/>
        <v>37098.6</v>
      </c>
      <c r="AL124" s="754">
        <f t="shared" si="38"/>
        <v>37098.6</v>
      </c>
      <c r="AM124" s="754">
        <f t="shared" si="38"/>
        <v>37098.6</v>
      </c>
      <c r="AN124" s="754">
        <f t="shared" si="38"/>
        <v>37098.6</v>
      </c>
      <c r="AO124" s="754">
        <f t="shared" si="38"/>
        <v>37098.6</v>
      </c>
      <c r="AP124" s="754">
        <f t="shared" si="38"/>
        <v>37098.6</v>
      </c>
      <c r="AQ124" s="754">
        <f t="shared" si="38"/>
        <v>37098.6</v>
      </c>
    </row>
    <row r="125" spans="2:43" x14ac:dyDescent="0.25">
      <c r="B125" s="1882"/>
      <c r="C125" s="739" t="str">
        <f t="shared" si="20"/>
        <v xml:space="preserve">      NaNO3</v>
      </c>
      <c r="D125" s="740" t="str">
        <f t="shared" si="25"/>
        <v>Kilos</v>
      </c>
      <c r="E125" s="749">
        <f t="shared" si="25"/>
        <v>109000</v>
      </c>
      <c r="F125" s="740" t="s">
        <v>669</v>
      </c>
      <c r="G125" s="752">
        <f t="shared" si="26"/>
        <v>1.5</v>
      </c>
      <c r="H125" s="753">
        <f t="shared" si="29"/>
        <v>163500</v>
      </c>
      <c r="I125" s="774">
        <v>0</v>
      </c>
      <c r="J125" s="774">
        <v>0</v>
      </c>
      <c r="K125" s="774">
        <v>0</v>
      </c>
      <c r="L125" s="754">
        <f t="shared" si="30"/>
        <v>163500</v>
      </c>
      <c r="M125" s="754">
        <f t="shared" si="31"/>
        <v>163500</v>
      </c>
      <c r="N125" s="754">
        <f t="shared" si="31"/>
        <v>163500</v>
      </c>
      <c r="O125" s="754">
        <f t="shared" si="31"/>
        <v>163500</v>
      </c>
      <c r="P125" s="754">
        <f t="shared" si="31"/>
        <v>163500</v>
      </c>
      <c r="Q125" s="754">
        <f t="shared" si="31"/>
        <v>163500</v>
      </c>
      <c r="R125" s="754">
        <f t="shared" si="31"/>
        <v>163500</v>
      </c>
      <c r="S125" s="754">
        <f t="shared" si="31"/>
        <v>163500</v>
      </c>
      <c r="T125" s="754">
        <f t="shared" si="31"/>
        <v>163500</v>
      </c>
      <c r="U125" s="754">
        <f t="shared" si="31"/>
        <v>163500</v>
      </c>
      <c r="W125" s="1882"/>
      <c r="X125" s="739" t="str">
        <f t="shared" si="32"/>
        <v xml:space="preserve">      NaNO3</v>
      </c>
      <c r="Y125" s="740" t="str">
        <f t="shared" si="33"/>
        <v>Kilos</v>
      </c>
      <c r="Z125" s="749">
        <f t="shared" si="33"/>
        <v>109000</v>
      </c>
      <c r="AA125" s="740" t="s">
        <v>669</v>
      </c>
      <c r="AB125" s="752">
        <f t="shared" si="34"/>
        <v>1.5</v>
      </c>
      <c r="AC125" s="753">
        <f t="shared" si="35"/>
        <v>163500</v>
      </c>
      <c r="AD125" s="800">
        <v>0.84699999999999998</v>
      </c>
      <c r="AE125" s="774">
        <v>0</v>
      </c>
      <c r="AF125" s="774">
        <v>0</v>
      </c>
      <c r="AG125" s="774">
        <v>0</v>
      </c>
      <c r="AH125" s="754">
        <f t="shared" si="36"/>
        <v>138484.5</v>
      </c>
      <c r="AI125" s="754">
        <f t="shared" ref="AI125:AQ125" si="39">AH125</f>
        <v>138484.5</v>
      </c>
      <c r="AJ125" s="754">
        <f t="shared" si="39"/>
        <v>138484.5</v>
      </c>
      <c r="AK125" s="754">
        <f t="shared" si="39"/>
        <v>138484.5</v>
      </c>
      <c r="AL125" s="754">
        <f t="shared" si="39"/>
        <v>138484.5</v>
      </c>
      <c r="AM125" s="754">
        <f t="shared" si="39"/>
        <v>138484.5</v>
      </c>
      <c r="AN125" s="754">
        <f t="shared" si="39"/>
        <v>138484.5</v>
      </c>
      <c r="AO125" s="754">
        <f t="shared" si="39"/>
        <v>138484.5</v>
      </c>
      <c r="AP125" s="754">
        <f t="shared" si="39"/>
        <v>138484.5</v>
      </c>
      <c r="AQ125" s="754">
        <f t="shared" si="39"/>
        <v>138484.5</v>
      </c>
    </row>
    <row r="126" spans="2:43" x14ac:dyDescent="0.25">
      <c r="B126" s="1882"/>
      <c r="C126" s="739" t="str">
        <f t="shared" si="20"/>
        <v xml:space="preserve">      NaCl</v>
      </c>
      <c r="D126" s="740" t="str">
        <f t="shared" si="25"/>
        <v>Kilos</v>
      </c>
      <c r="E126" s="749">
        <f t="shared" si="25"/>
        <v>43800</v>
      </c>
      <c r="F126" s="740" t="s">
        <v>669</v>
      </c>
      <c r="G126" s="752">
        <f t="shared" si="26"/>
        <v>0.7</v>
      </c>
      <c r="H126" s="753">
        <f t="shared" si="29"/>
        <v>30659.999999999996</v>
      </c>
      <c r="I126" s="774">
        <v>0</v>
      </c>
      <c r="J126" s="774">
        <v>0</v>
      </c>
      <c r="K126" s="774">
        <v>0</v>
      </c>
      <c r="L126" s="754">
        <f t="shared" si="30"/>
        <v>30659.999999999996</v>
      </c>
      <c r="M126" s="754">
        <f t="shared" si="31"/>
        <v>30659.999999999996</v>
      </c>
      <c r="N126" s="754">
        <f t="shared" si="31"/>
        <v>30659.999999999996</v>
      </c>
      <c r="O126" s="754">
        <f t="shared" si="31"/>
        <v>30659.999999999996</v>
      </c>
      <c r="P126" s="754">
        <f t="shared" si="31"/>
        <v>30659.999999999996</v>
      </c>
      <c r="Q126" s="754">
        <f t="shared" si="31"/>
        <v>30659.999999999996</v>
      </c>
      <c r="R126" s="754">
        <f t="shared" si="31"/>
        <v>30659.999999999996</v>
      </c>
      <c r="S126" s="754">
        <f t="shared" si="31"/>
        <v>30659.999999999996</v>
      </c>
      <c r="T126" s="754">
        <f t="shared" si="31"/>
        <v>30659.999999999996</v>
      </c>
      <c r="U126" s="754">
        <f t="shared" si="31"/>
        <v>30659.999999999996</v>
      </c>
      <c r="W126" s="1882"/>
      <c r="X126" s="739" t="str">
        <f t="shared" si="32"/>
        <v xml:space="preserve">      NaCl</v>
      </c>
      <c r="Y126" s="740" t="str">
        <f t="shared" si="33"/>
        <v>Kilos</v>
      </c>
      <c r="Z126" s="749">
        <f t="shared" si="33"/>
        <v>43800</v>
      </c>
      <c r="AA126" s="740" t="s">
        <v>669</v>
      </c>
      <c r="AB126" s="752">
        <f t="shared" si="34"/>
        <v>0.7</v>
      </c>
      <c r="AC126" s="753">
        <f t="shared" si="35"/>
        <v>30659.999999999996</v>
      </c>
      <c r="AD126" s="800">
        <v>0.84699999999999998</v>
      </c>
      <c r="AE126" s="774">
        <v>0</v>
      </c>
      <c r="AF126" s="774">
        <v>0</v>
      </c>
      <c r="AG126" s="774">
        <v>0</v>
      </c>
      <c r="AH126" s="754">
        <f t="shared" si="36"/>
        <v>25969.019999999997</v>
      </c>
      <c r="AI126" s="754">
        <f t="shared" ref="AI126:AQ126" si="40">AH126</f>
        <v>25969.019999999997</v>
      </c>
      <c r="AJ126" s="754">
        <f t="shared" si="40"/>
        <v>25969.019999999997</v>
      </c>
      <c r="AK126" s="754">
        <f t="shared" si="40"/>
        <v>25969.019999999997</v>
      </c>
      <c r="AL126" s="754">
        <f t="shared" si="40"/>
        <v>25969.019999999997</v>
      </c>
      <c r="AM126" s="754">
        <f t="shared" si="40"/>
        <v>25969.019999999997</v>
      </c>
      <c r="AN126" s="754">
        <f t="shared" si="40"/>
        <v>25969.019999999997</v>
      </c>
      <c r="AO126" s="754">
        <f t="shared" si="40"/>
        <v>25969.019999999997</v>
      </c>
      <c r="AP126" s="754">
        <f t="shared" si="40"/>
        <v>25969.019999999997</v>
      </c>
      <c r="AQ126" s="754">
        <f t="shared" si="40"/>
        <v>25969.019999999997</v>
      </c>
    </row>
    <row r="127" spans="2:43" x14ac:dyDescent="0.25">
      <c r="B127" s="1882"/>
      <c r="C127" s="739" t="str">
        <f t="shared" si="20"/>
        <v xml:space="preserve">      MgSO4</v>
      </c>
      <c r="D127" s="740" t="str">
        <f t="shared" si="25"/>
        <v>Kilos</v>
      </c>
      <c r="E127" s="749">
        <f t="shared" si="25"/>
        <v>8760</v>
      </c>
      <c r="F127" s="740" t="s">
        <v>669</v>
      </c>
      <c r="G127" s="752">
        <f t="shared" si="26"/>
        <v>1.5</v>
      </c>
      <c r="H127" s="753">
        <f t="shared" si="29"/>
        <v>13140</v>
      </c>
      <c r="I127" s="774">
        <v>0</v>
      </c>
      <c r="J127" s="774">
        <v>0</v>
      </c>
      <c r="K127" s="774">
        <v>0</v>
      </c>
      <c r="L127" s="754">
        <f t="shared" si="30"/>
        <v>13140</v>
      </c>
      <c r="M127" s="754">
        <f t="shared" si="31"/>
        <v>13140</v>
      </c>
      <c r="N127" s="754">
        <f t="shared" si="31"/>
        <v>13140</v>
      </c>
      <c r="O127" s="754">
        <f t="shared" si="31"/>
        <v>13140</v>
      </c>
      <c r="P127" s="754">
        <f t="shared" si="31"/>
        <v>13140</v>
      </c>
      <c r="Q127" s="754">
        <f t="shared" si="31"/>
        <v>13140</v>
      </c>
      <c r="R127" s="754">
        <f t="shared" si="31"/>
        <v>13140</v>
      </c>
      <c r="S127" s="754">
        <f t="shared" si="31"/>
        <v>13140</v>
      </c>
      <c r="T127" s="754">
        <f t="shared" si="31"/>
        <v>13140</v>
      </c>
      <c r="U127" s="754">
        <f t="shared" si="31"/>
        <v>13140</v>
      </c>
      <c r="W127" s="1882"/>
      <c r="X127" s="739" t="str">
        <f t="shared" si="32"/>
        <v xml:space="preserve">      MgSO4</v>
      </c>
      <c r="Y127" s="740" t="str">
        <f t="shared" si="33"/>
        <v>Kilos</v>
      </c>
      <c r="Z127" s="749">
        <f t="shared" si="33"/>
        <v>8760</v>
      </c>
      <c r="AA127" s="740" t="s">
        <v>669</v>
      </c>
      <c r="AB127" s="752">
        <f t="shared" si="34"/>
        <v>1.5</v>
      </c>
      <c r="AC127" s="753">
        <f t="shared" si="35"/>
        <v>13140</v>
      </c>
      <c r="AD127" s="800">
        <v>0.84699999999999998</v>
      </c>
      <c r="AE127" s="774">
        <v>0</v>
      </c>
      <c r="AF127" s="774">
        <v>0</v>
      </c>
      <c r="AG127" s="774">
        <v>0</v>
      </c>
      <c r="AH127" s="754">
        <f t="shared" si="36"/>
        <v>11129.58</v>
      </c>
      <c r="AI127" s="754">
        <f t="shared" ref="AI127:AQ127" si="41">AH127</f>
        <v>11129.58</v>
      </c>
      <c r="AJ127" s="754">
        <f t="shared" si="41"/>
        <v>11129.58</v>
      </c>
      <c r="AK127" s="754">
        <f t="shared" si="41"/>
        <v>11129.58</v>
      </c>
      <c r="AL127" s="754">
        <f t="shared" si="41"/>
        <v>11129.58</v>
      </c>
      <c r="AM127" s="754">
        <f t="shared" si="41"/>
        <v>11129.58</v>
      </c>
      <c r="AN127" s="754">
        <f t="shared" si="41"/>
        <v>11129.58</v>
      </c>
      <c r="AO127" s="754">
        <f t="shared" si="41"/>
        <v>11129.58</v>
      </c>
      <c r="AP127" s="754">
        <f t="shared" si="41"/>
        <v>11129.58</v>
      </c>
      <c r="AQ127" s="754">
        <f t="shared" si="41"/>
        <v>11129.58</v>
      </c>
    </row>
    <row r="128" spans="2:43" x14ac:dyDescent="0.25">
      <c r="B128" s="1882"/>
      <c r="C128" s="739" t="str">
        <f t="shared" si="20"/>
        <v xml:space="preserve">      FeSO4</v>
      </c>
      <c r="D128" s="740" t="str">
        <f t="shared" si="25"/>
        <v>Kilos</v>
      </c>
      <c r="E128" s="749">
        <f t="shared" si="25"/>
        <v>438</v>
      </c>
      <c r="F128" s="740" t="s">
        <v>669</v>
      </c>
      <c r="G128" s="752">
        <f t="shared" si="26"/>
        <v>3.2</v>
      </c>
      <c r="H128" s="753">
        <f t="shared" si="29"/>
        <v>1401.6000000000001</v>
      </c>
      <c r="I128" s="774">
        <v>0</v>
      </c>
      <c r="J128" s="774">
        <v>0</v>
      </c>
      <c r="K128" s="774">
        <v>0</v>
      </c>
      <c r="L128" s="754">
        <f t="shared" si="30"/>
        <v>1401.6000000000001</v>
      </c>
      <c r="M128" s="754">
        <f t="shared" si="31"/>
        <v>1401.6000000000001</v>
      </c>
      <c r="N128" s="754">
        <f t="shared" si="31"/>
        <v>1401.6000000000001</v>
      </c>
      <c r="O128" s="754">
        <f t="shared" si="31"/>
        <v>1401.6000000000001</v>
      </c>
      <c r="P128" s="754">
        <f t="shared" si="31"/>
        <v>1401.6000000000001</v>
      </c>
      <c r="Q128" s="754">
        <f t="shared" si="31"/>
        <v>1401.6000000000001</v>
      </c>
      <c r="R128" s="754">
        <f t="shared" si="31"/>
        <v>1401.6000000000001</v>
      </c>
      <c r="S128" s="754">
        <f t="shared" si="31"/>
        <v>1401.6000000000001</v>
      </c>
      <c r="T128" s="754">
        <f t="shared" si="31"/>
        <v>1401.6000000000001</v>
      </c>
      <c r="U128" s="754">
        <f t="shared" si="31"/>
        <v>1401.6000000000001</v>
      </c>
      <c r="W128" s="1882"/>
      <c r="X128" s="739" t="str">
        <f t="shared" si="32"/>
        <v xml:space="preserve">      FeSO4</v>
      </c>
      <c r="Y128" s="740" t="str">
        <f t="shared" si="33"/>
        <v>Kilos</v>
      </c>
      <c r="Z128" s="749">
        <f t="shared" si="33"/>
        <v>438</v>
      </c>
      <c r="AA128" s="740" t="s">
        <v>669</v>
      </c>
      <c r="AB128" s="752">
        <f t="shared" si="34"/>
        <v>3.2</v>
      </c>
      <c r="AC128" s="753">
        <f t="shared" si="35"/>
        <v>1401.6000000000001</v>
      </c>
      <c r="AD128" s="800">
        <v>0.84699999999999998</v>
      </c>
      <c r="AE128" s="774">
        <v>0</v>
      </c>
      <c r="AF128" s="774">
        <v>0</v>
      </c>
      <c r="AG128" s="774">
        <v>0</v>
      </c>
      <c r="AH128" s="754">
        <f t="shared" si="36"/>
        <v>1187.1552000000001</v>
      </c>
      <c r="AI128" s="754">
        <f t="shared" ref="AI128:AQ128" si="42">AH128</f>
        <v>1187.1552000000001</v>
      </c>
      <c r="AJ128" s="754">
        <f t="shared" si="42"/>
        <v>1187.1552000000001</v>
      </c>
      <c r="AK128" s="754">
        <f t="shared" si="42"/>
        <v>1187.1552000000001</v>
      </c>
      <c r="AL128" s="754">
        <f t="shared" si="42"/>
        <v>1187.1552000000001</v>
      </c>
      <c r="AM128" s="754">
        <f t="shared" si="42"/>
        <v>1187.1552000000001</v>
      </c>
      <c r="AN128" s="754">
        <f t="shared" si="42"/>
        <v>1187.1552000000001</v>
      </c>
      <c r="AO128" s="754">
        <f t="shared" si="42"/>
        <v>1187.1552000000001</v>
      </c>
      <c r="AP128" s="754">
        <f t="shared" si="42"/>
        <v>1187.1552000000001</v>
      </c>
      <c r="AQ128" s="754">
        <f t="shared" si="42"/>
        <v>1187.1552000000001</v>
      </c>
    </row>
    <row r="129" spans="2:43" x14ac:dyDescent="0.25">
      <c r="B129" s="1882"/>
      <c r="C129" s="739" t="str">
        <f t="shared" si="20"/>
        <v xml:space="preserve">      K2SO4</v>
      </c>
      <c r="D129" s="740" t="str">
        <f t="shared" si="25"/>
        <v>Kilos</v>
      </c>
      <c r="E129" s="749">
        <f t="shared" si="25"/>
        <v>43800</v>
      </c>
      <c r="F129" s="740" t="s">
        <v>669</v>
      </c>
      <c r="G129" s="752">
        <f t="shared" si="26"/>
        <v>0.9</v>
      </c>
      <c r="H129" s="753">
        <f t="shared" si="29"/>
        <v>39420</v>
      </c>
      <c r="I129" s="774">
        <v>0</v>
      </c>
      <c r="J129" s="774">
        <v>0</v>
      </c>
      <c r="K129" s="774">
        <v>0</v>
      </c>
      <c r="L129" s="754">
        <f t="shared" si="30"/>
        <v>39420</v>
      </c>
      <c r="M129" s="754">
        <f t="shared" si="31"/>
        <v>39420</v>
      </c>
      <c r="N129" s="754">
        <f t="shared" si="31"/>
        <v>39420</v>
      </c>
      <c r="O129" s="754">
        <f t="shared" si="31"/>
        <v>39420</v>
      </c>
      <c r="P129" s="754">
        <f t="shared" si="31"/>
        <v>39420</v>
      </c>
      <c r="Q129" s="754">
        <f t="shared" si="31"/>
        <v>39420</v>
      </c>
      <c r="R129" s="754">
        <f t="shared" si="31"/>
        <v>39420</v>
      </c>
      <c r="S129" s="754">
        <f t="shared" si="31"/>
        <v>39420</v>
      </c>
      <c r="T129" s="754">
        <f t="shared" si="31"/>
        <v>39420</v>
      </c>
      <c r="U129" s="754">
        <f t="shared" si="31"/>
        <v>39420</v>
      </c>
      <c r="W129" s="1882"/>
      <c r="X129" s="739" t="str">
        <f t="shared" si="32"/>
        <v xml:space="preserve">      K2SO4</v>
      </c>
      <c r="Y129" s="740" t="str">
        <f t="shared" si="33"/>
        <v>Kilos</v>
      </c>
      <c r="Z129" s="749">
        <f t="shared" si="33"/>
        <v>43800</v>
      </c>
      <c r="AA129" s="740" t="s">
        <v>669</v>
      </c>
      <c r="AB129" s="752">
        <f t="shared" si="34"/>
        <v>0.9</v>
      </c>
      <c r="AC129" s="753">
        <f t="shared" si="35"/>
        <v>39420</v>
      </c>
      <c r="AD129" s="800">
        <v>0.84699999999999998</v>
      </c>
      <c r="AE129" s="774">
        <v>0</v>
      </c>
      <c r="AF129" s="774">
        <v>0</v>
      </c>
      <c r="AG129" s="774">
        <v>0</v>
      </c>
      <c r="AH129" s="754">
        <f t="shared" si="36"/>
        <v>33388.74</v>
      </c>
      <c r="AI129" s="754">
        <f t="shared" ref="AI129:AQ129" si="43">AH129</f>
        <v>33388.74</v>
      </c>
      <c r="AJ129" s="754">
        <f t="shared" si="43"/>
        <v>33388.74</v>
      </c>
      <c r="AK129" s="754">
        <f t="shared" si="43"/>
        <v>33388.74</v>
      </c>
      <c r="AL129" s="754">
        <f t="shared" si="43"/>
        <v>33388.74</v>
      </c>
      <c r="AM129" s="754">
        <f t="shared" si="43"/>
        <v>33388.74</v>
      </c>
      <c r="AN129" s="754">
        <f t="shared" si="43"/>
        <v>33388.74</v>
      </c>
      <c r="AO129" s="754">
        <f t="shared" si="43"/>
        <v>33388.74</v>
      </c>
      <c r="AP129" s="754">
        <f t="shared" si="43"/>
        <v>33388.74</v>
      </c>
      <c r="AQ129" s="754">
        <f t="shared" si="43"/>
        <v>33388.74</v>
      </c>
    </row>
    <row r="130" spans="2:43" x14ac:dyDescent="0.25">
      <c r="B130" s="1882"/>
      <c r="C130" s="739" t="str">
        <f t="shared" si="20"/>
        <v xml:space="preserve">      CaCl2</v>
      </c>
      <c r="D130" s="740" t="str">
        <f t="shared" si="25"/>
        <v>Kilos</v>
      </c>
      <c r="E130" s="749">
        <f t="shared" si="25"/>
        <v>1750</v>
      </c>
      <c r="F130" s="740" t="s">
        <v>669</v>
      </c>
      <c r="G130" s="752">
        <f t="shared" si="26"/>
        <v>3</v>
      </c>
      <c r="H130" s="753">
        <f t="shared" si="29"/>
        <v>5250</v>
      </c>
      <c r="I130" s="774">
        <v>0</v>
      </c>
      <c r="J130" s="774">
        <v>0</v>
      </c>
      <c r="K130" s="774">
        <v>0</v>
      </c>
      <c r="L130" s="754">
        <f t="shared" si="30"/>
        <v>5250</v>
      </c>
      <c r="M130" s="754">
        <f t="shared" si="31"/>
        <v>5250</v>
      </c>
      <c r="N130" s="754">
        <f t="shared" si="31"/>
        <v>5250</v>
      </c>
      <c r="O130" s="754">
        <f t="shared" si="31"/>
        <v>5250</v>
      </c>
      <c r="P130" s="754">
        <f t="shared" si="31"/>
        <v>5250</v>
      </c>
      <c r="Q130" s="754">
        <f t="shared" si="31"/>
        <v>5250</v>
      </c>
      <c r="R130" s="754">
        <f t="shared" si="31"/>
        <v>5250</v>
      </c>
      <c r="S130" s="754">
        <f t="shared" si="31"/>
        <v>5250</v>
      </c>
      <c r="T130" s="754">
        <f t="shared" si="31"/>
        <v>5250</v>
      </c>
      <c r="U130" s="754">
        <f t="shared" si="31"/>
        <v>5250</v>
      </c>
      <c r="W130" s="1882"/>
      <c r="X130" s="739" t="str">
        <f t="shared" si="32"/>
        <v xml:space="preserve">      CaCl2</v>
      </c>
      <c r="Y130" s="740" t="str">
        <f t="shared" si="33"/>
        <v>Kilos</v>
      </c>
      <c r="Z130" s="749">
        <f t="shared" si="33"/>
        <v>1750</v>
      </c>
      <c r="AA130" s="740" t="s">
        <v>669</v>
      </c>
      <c r="AB130" s="752">
        <f t="shared" si="34"/>
        <v>3</v>
      </c>
      <c r="AC130" s="753">
        <f t="shared" si="35"/>
        <v>5250</v>
      </c>
      <c r="AD130" s="800">
        <v>0.84699999999999998</v>
      </c>
      <c r="AE130" s="774">
        <v>0</v>
      </c>
      <c r="AF130" s="774">
        <v>0</v>
      </c>
      <c r="AG130" s="774">
        <v>0</v>
      </c>
      <c r="AH130" s="754">
        <f t="shared" si="36"/>
        <v>4446.75</v>
      </c>
      <c r="AI130" s="754">
        <f t="shared" ref="AI130:AQ130" si="44">AH130</f>
        <v>4446.75</v>
      </c>
      <c r="AJ130" s="754">
        <f t="shared" si="44"/>
        <v>4446.75</v>
      </c>
      <c r="AK130" s="754">
        <f t="shared" si="44"/>
        <v>4446.75</v>
      </c>
      <c r="AL130" s="754">
        <f t="shared" si="44"/>
        <v>4446.75</v>
      </c>
      <c r="AM130" s="754">
        <f t="shared" si="44"/>
        <v>4446.75</v>
      </c>
      <c r="AN130" s="754">
        <f t="shared" si="44"/>
        <v>4446.75</v>
      </c>
      <c r="AO130" s="754">
        <f t="shared" si="44"/>
        <v>4446.75</v>
      </c>
      <c r="AP130" s="754">
        <f t="shared" si="44"/>
        <v>4446.75</v>
      </c>
      <c r="AQ130" s="754">
        <f t="shared" si="44"/>
        <v>4446.75</v>
      </c>
    </row>
    <row r="131" spans="2:43" x14ac:dyDescent="0.25">
      <c r="B131" s="1883"/>
      <c r="C131" s="739" t="str">
        <f t="shared" si="20"/>
        <v xml:space="preserve">      EDTA</v>
      </c>
      <c r="D131" s="740" t="str">
        <f t="shared" si="25"/>
        <v>Kilos</v>
      </c>
      <c r="E131" s="749">
        <f t="shared" si="25"/>
        <v>3504</v>
      </c>
      <c r="F131" s="740" t="s">
        <v>669</v>
      </c>
      <c r="G131" s="752">
        <f t="shared" si="26"/>
        <v>8</v>
      </c>
      <c r="H131" s="753">
        <f t="shared" si="29"/>
        <v>28032</v>
      </c>
      <c r="I131" s="774">
        <v>0</v>
      </c>
      <c r="J131" s="774">
        <v>0</v>
      </c>
      <c r="K131" s="774">
        <v>0</v>
      </c>
      <c r="L131" s="754">
        <f t="shared" si="30"/>
        <v>28032</v>
      </c>
      <c r="M131" s="754">
        <f t="shared" si="31"/>
        <v>28032</v>
      </c>
      <c r="N131" s="754">
        <f t="shared" si="31"/>
        <v>28032</v>
      </c>
      <c r="O131" s="754">
        <f t="shared" si="31"/>
        <v>28032</v>
      </c>
      <c r="P131" s="754">
        <f t="shared" si="31"/>
        <v>28032</v>
      </c>
      <c r="Q131" s="754">
        <f t="shared" si="31"/>
        <v>28032</v>
      </c>
      <c r="R131" s="754">
        <f t="shared" si="31"/>
        <v>28032</v>
      </c>
      <c r="S131" s="754">
        <f t="shared" si="31"/>
        <v>28032</v>
      </c>
      <c r="T131" s="754">
        <f t="shared" si="31"/>
        <v>28032</v>
      </c>
      <c r="U131" s="754">
        <f t="shared" si="31"/>
        <v>28032</v>
      </c>
      <c r="W131" s="1883"/>
      <c r="X131" s="739" t="str">
        <f t="shared" si="32"/>
        <v xml:space="preserve">      EDTA</v>
      </c>
      <c r="Y131" s="740" t="str">
        <f t="shared" si="33"/>
        <v>Kilos</v>
      </c>
      <c r="Z131" s="749">
        <f t="shared" si="33"/>
        <v>3504</v>
      </c>
      <c r="AA131" s="740" t="s">
        <v>669</v>
      </c>
      <c r="AB131" s="752">
        <f t="shared" si="34"/>
        <v>8</v>
      </c>
      <c r="AC131" s="753">
        <f t="shared" si="35"/>
        <v>28032</v>
      </c>
      <c r="AD131" s="800">
        <v>0.84699999999999998</v>
      </c>
      <c r="AE131" s="774">
        <v>0</v>
      </c>
      <c r="AF131" s="774">
        <v>0</v>
      </c>
      <c r="AG131" s="774">
        <v>0</v>
      </c>
      <c r="AH131" s="754">
        <f t="shared" si="36"/>
        <v>23743.103999999999</v>
      </c>
      <c r="AI131" s="754">
        <f t="shared" ref="AI131:AQ131" si="45">AH131</f>
        <v>23743.103999999999</v>
      </c>
      <c r="AJ131" s="754">
        <f t="shared" si="45"/>
        <v>23743.103999999999</v>
      </c>
      <c r="AK131" s="754">
        <f t="shared" si="45"/>
        <v>23743.103999999999</v>
      </c>
      <c r="AL131" s="754">
        <f t="shared" si="45"/>
        <v>23743.103999999999</v>
      </c>
      <c r="AM131" s="754">
        <f t="shared" si="45"/>
        <v>23743.103999999999</v>
      </c>
      <c r="AN131" s="754">
        <f t="shared" si="45"/>
        <v>23743.103999999999</v>
      </c>
      <c r="AO131" s="754">
        <f t="shared" si="45"/>
        <v>23743.103999999999</v>
      </c>
      <c r="AP131" s="754">
        <f t="shared" si="45"/>
        <v>23743.103999999999</v>
      </c>
      <c r="AQ131" s="754">
        <f t="shared" si="45"/>
        <v>23743.103999999999</v>
      </c>
    </row>
    <row r="132" spans="2:43" x14ac:dyDescent="0.25">
      <c r="B132" s="765"/>
      <c r="C132" s="765" t="str">
        <f t="shared" si="20"/>
        <v xml:space="preserve">  B.COSTOS INDIRECTOS</v>
      </c>
      <c r="D132" s="765"/>
      <c r="E132" s="767"/>
      <c r="F132" s="768"/>
      <c r="G132" s="769">
        <f t="shared" si="26"/>
        <v>0</v>
      </c>
      <c r="H132" s="766">
        <f>SUM(H133:H139)</f>
        <v>457140</v>
      </c>
      <c r="I132" s="776"/>
      <c r="J132" s="776"/>
      <c r="K132" s="776"/>
      <c r="L132" s="770">
        <f t="shared" si="30"/>
        <v>457140</v>
      </c>
      <c r="M132" s="770">
        <f t="shared" si="31"/>
        <v>457140</v>
      </c>
      <c r="N132" s="770">
        <f t="shared" si="31"/>
        <v>457140</v>
      </c>
      <c r="O132" s="770">
        <f t="shared" si="31"/>
        <v>457140</v>
      </c>
      <c r="P132" s="770">
        <f t="shared" si="31"/>
        <v>457140</v>
      </c>
      <c r="Q132" s="770">
        <f t="shared" si="31"/>
        <v>457140</v>
      </c>
      <c r="R132" s="770">
        <f t="shared" si="31"/>
        <v>457140</v>
      </c>
      <c r="S132" s="770">
        <f t="shared" si="31"/>
        <v>457140</v>
      </c>
      <c r="T132" s="770">
        <f t="shared" si="31"/>
        <v>457140</v>
      </c>
      <c r="U132" s="770">
        <f t="shared" si="31"/>
        <v>457140</v>
      </c>
      <c r="W132" s="765"/>
      <c r="X132" s="765" t="str">
        <f>C132</f>
        <v xml:space="preserve">  B.COSTOS INDIRECTOS</v>
      </c>
      <c r="Y132" s="765"/>
      <c r="Z132" s="767"/>
      <c r="AA132" s="768"/>
      <c r="AB132" s="769">
        <f>AA26</f>
        <v>0</v>
      </c>
      <c r="AC132" s="766">
        <f>SUM(AC133:AC139)</f>
        <v>457140</v>
      </c>
      <c r="AE132" s="776"/>
      <c r="AF132" s="776"/>
      <c r="AG132" s="776"/>
      <c r="AH132" s="770">
        <f>AC132</f>
        <v>457140</v>
      </c>
      <c r="AI132" s="770">
        <f t="shared" ref="AI132:AQ132" si="46">AH132</f>
        <v>457140</v>
      </c>
      <c r="AJ132" s="770">
        <f t="shared" si="46"/>
        <v>457140</v>
      </c>
      <c r="AK132" s="770">
        <f t="shared" si="46"/>
        <v>457140</v>
      </c>
      <c r="AL132" s="770">
        <f t="shared" si="46"/>
        <v>457140</v>
      </c>
      <c r="AM132" s="770">
        <f t="shared" si="46"/>
        <v>457140</v>
      </c>
      <c r="AN132" s="770">
        <f t="shared" si="46"/>
        <v>457140</v>
      </c>
      <c r="AO132" s="770">
        <f t="shared" si="46"/>
        <v>457140</v>
      </c>
      <c r="AP132" s="770">
        <f t="shared" si="46"/>
        <v>457140</v>
      </c>
      <c r="AQ132" s="770">
        <f t="shared" si="46"/>
        <v>457140</v>
      </c>
    </row>
    <row r="133" spans="2:43" x14ac:dyDescent="0.25">
      <c r="B133" s="1881"/>
      <c r="C133" s="739" t="str">
        <f t="shared" si="20"/>
        <v xml:space="preserve">     Agua</v>
      </c>
      <c r="D133" s="740" t="str">
        <f t="shared" ref="D133:E139" si="47">D27</f>
        <v>m3</v>
      </c>
      <c r="E133" s="749">
        <f t="shared" si="47"/>
        <v>43800</v>
      </c>
      <c r="F133" s="740" t="s">
        <v>669</v>
      </c>
      <c r="G133" s="752">
        <f t="shared" si="26"/>
        <v>0.3</v>
      </c>
      <c r="H133" s="753">
        <f t="shared" si="29"/>
        <v>13140</v>
      </c>
      <c r="I133" s="774">
        <v>0</v>
      </c>
      <c r="J133" s="774">
        <v>0</v>
      </c>
      <c r="K133" s="774">
        <v>0</v>
      </c>
      <c r="L133" s="754">
        <f t="shared" si="30"/>
        <v>13140</v>
      </c>
      <c r="M133" s="754">
        <f t="shared" si="31"/>
        <v>13140</v>
      </c>
      <c r="N133" s="754">
        <f t="shared" si="31"/>
        <v>13140</v>
      </c>
      <c r="O133" s="754">
        <f t="shared" si="31"/>
        <v>13140</v>
      </c>
      <c r="P133" s="754">
        <f t="shared" si="31"/>
        <v>13140</v>
      </c>
      <c r="Q133" s="754">
        <f t="shared" si="31"/>
        <v>13140</v>
      </c>
      <c r="R133" s="754">
        <f t="shared" si="31"/>
        <v>13140</v>
      </c>
      <c r="S133" s="754">
        <f t="shared" si="31"/>
        <v>13140</v>
      </c>
      <c r="T133" s="754">
        <f t="shared" si="31"/>
        <v>13140</v>
      </c>
      <c r="U133" s="754">
        <f t="shared" si="31"/>
        <v>13140</v>
      </c>
      <c r="W133" s="1881"/>
      <c r="X133" s="739" t="str">
        <f>C133</f>
        <v xml:space="preserve">     Agua</v>
      </c>
      <c r="Y133" s="740" t="str">
        <f>D133</f>
        <v>m3</v>
      </c>
      <c r="Z133" s="749">
        <f>E133</f>
        <v>43800</v>
      </c>
      <c r="AA133" s="740" t="s">
        <v>669</v>
      </c>
      <c r="AB133" s="752">
        <f>G133</f>
        <v>0.3</v>
      </c>
      <c r="AC133" s="753">
        <f t="shared" ref="AC133:AC139" si="48">Z133*AB133</f>
        <v>13140</v>
      </c>
      <c r="AD133" s="800">
        <v>0.84699999999999998</v>
      </c>
      <c r="AE133" s="774">
        <v>0</v>
      </c>
      <c r="AF133" s="774">
        <v>0</v>
      </c>
      <c r="AG133" s="774">
        <v>0</v>
      </c>
      <c r="AH133" s="754">
        <f>AC133*AD133</f>
        <v>11129.58</v>
      </c>
      <c r="AI133" s="754">
        <f t="shared" ref="AI133:AQ133" si="49">AH133</f>
        <v>11129.58</v>
      </c>
      <c r="AJ133" s="754">
        <f t="shared" si="49"/>
        <v>11129.58</v>
      </c>
      <c r="AK133" s="754">
        <f t="shared" si="49"/>
        <v>11129.58</v>
      </c>
      <c r="AL133" s="754">
        <f t="shared" si="49"/>
        <v>11129.58</v>
      </c>
      <c r="AM133" s="754">
        <f t="shared" si="49"/>
        <v>11129.58</v>
      </c>
      <c r="AN133" s="754">
        <f t="shared" si="49"/>
        <v>11129.58</v>
      </c>
      <c r="AO133" s="754">
        <f t="shared" si="49"/>
        <v>11129.58</v>
      </c>
      <c r="AP133" s="754">
        <f t="shared" si="49"/>
        <v>11129.58</v>
      </c>
      <c r="AQ133" s="754">
        <f t="shared" si="49"/>
        <v>11129.58</v>
      </c>
    </row>
    <row r="134" spans="2:43" x14ac:dyDescent="0.25">
      <c r="B134" s="1882"/>
      <c r="C134" s="739" t="str">
        <f t="shared" si="20"/>
        <v xml:space="preserve">     Energía eléctrica luces</v>
      </c>
      <c r="D134" s="740" t="str">
        <f t="shared" si="47"/>
        <v>KW/h</v>
      </c>
      <c r="E134" s="749">
        <f t="shared" si="47"/>
        <v>6250</v>
      </c>
      <c r="F134" s="740" t="s">
        <v>669</v>
      </c>
      <c r="G134" s="752">
        <f t="shared" si="26"/>
        <v>3.5</v>
      </c>
      <c r="H134" s="753">
        <f t="shared" si="29"/>
        <v>21875</v>
      </c>
      <c r="I134" s="774">
        <v>0</v>
      </c>
      <c r="J134" s="774">
        <v>0</v>
      </c>
      <c r="K134" s="774">
        <v>0</v>
      </c>
      <c r="L134" s="754">
        <f t="shared" si="30"/>
        <v>21875</v>
      </c>
      <c r="M134" s="754">
        <f t="shared" si="31"/>
        <v>21875</v>
      </c>
      <c r="N134" s="754">
        <f t="shared" si="31"/>
        <v>21875</v>
      </c>
      <c r="O134" s="754">
        <f t="shared" si="31"/>
        <v>21875</v>
      </c>
      <c r="P134" s="754">
        <f t="shared" si="31"/>
        <v>21875</v>
      </c>
      <c r="Q134" s="754">
        <f t="shared" si="31"/>
        <v>21875</v>
      </c>
      <c r="R134" s="754">
        <f t="shared" si="31"/>
        <v>21875</v>
      </c>
      <c r="S134" s="754">
        <f t="shared" si="31"/>
        <v>21875</v>
      </c>
      <c r="T134" s="754">
        <f t="shared" si="31"/>
        <v>21875</v>
      </c>
      <c r="U134" s="754">
        <f t="shared" si="31"/>
        <v>21875</v>
      </c>
      <c r="W134" s="1882"/>
      <c r="X134" s="739" t="str">
        <f t="shared" ref="X134:X139" si="50">C134</f>
        <v xml:space="preserve">     Energía eléctrica luces</v>
      </c>
      <c r="Y134" s="740" t="str">
        <f t="shared" ref="Y134:Y139" si="51">D134</f>
        <v>KW/h</v>
      </c>
      <c r="Z134" s="749">
        <f t="shared" ref="Z134:Z139" si="52">E134</f>
        <v>6250</v>
      </c>
      <c r="AA134" s="740" t="s">
        <v>669</v>
      </c>
      <c r="AB134" s="752">
        <f t="shared" ref="AB134:AB139" si="53">G134</f>
        <v>3.5</v>
      </c>
      <c r="AC134" s="753">
        <f t="shared" si="48"/>
        <v>21875</v>
      </c>
      <c r="AD134" s="800">
        <v>0.84699999999999998</v>
      </c>
      <c r="AE134" s="774">
        <v>0</v>
      </c>
      <c r="AF134" s="774">
        <v>0</v>
      </c>
      <c r="AG134" s="774">
        <v>0</v>
      </c>
      <c r="AH134" s="754">
        <f t="shared" ref="AH134:AH139" si="54">AC134*AD134</f>
        <v>18528.125</v>
      </c>
      <c r="AI134" s="754">
        <f t="shared" ref="AI134:AQ134" si="55">AH134</f>
        <v>18528.125</v>
      </c>
      <c r="AJ134" s="754">
        <f t="shared" si="55"/>
        <v>18528.125</v>
      </c>
      <c r="AK134" s="754">
        <f t="shared" si="55"/>
        <v>18528.125</v>
      </c>
      <c r="AL134" s="754">
        <f t="shared" si="55"/>
        <v>18528.125</v>
      </c>
      <c r="AM134" s="754">
        <f t="shared" si="55"/>
        <v>18528.125</v>
      </c>
      <c r="AN134" s="754">
        <f t="shared" si="55"/>
        <v>18528.125</v>
      </c>
      <c r="AO134" s="754">
        <f t="shared" si="55"/>
        <v>18528.125</v>
      </c>
      <c r="AP134" s="754">
        <f t="shared" si="55"/>
        <v>18528.125</v>
      </c>
      <c r="AQ134" s="754">
        <f t="shared" si="55"/>
        <v>18528.125</v>
      </c>
    </row>
    <row r="135" spans="2:43" x14ac:dyDescent="0.25">
      <c r="B135" s="1882"/>
      <c r="C135" s="739" t="str">
        <f t="shared" si="20"/>
        <v xml:space="preserve">     Energía eléctrica motores</v>
      </c>
      <c r="D135" s="740" t="str">
        <f t="shared" si="47"/>
        <v>Kw/h</v>
      </c>
      <c r="E135" s="749">
        <f t="shared" si="47"/>
        <v>55750</v>
      </c>
      <c r="F135" s="740" t="s">
        <v>669</v>
      </c>
      <c r="G135" s="752">
        <f t="shared" si="26"/>
        <v>3.5</v>
      </c>
      <c r="H135" s="753">
        <f t="shared" si="29"/>
        <v>195125</v>
      </c>
      <c r="I135" s="774">
        <v>0</v>
      </c>
      <c r="J135" s="774">
        <v>0</v>
      </c>
      <c r="K135" s="774">
        <v>0</v>
      </c>
      <c r="L135" s="754">
        <f t="shared" si="30"/>
        <v>195125</v>
      </c>
      <c r="M135" s="754">
        <f t="shared" si="31"/>
        <v>195125</v>
      </c>
      <c r="N135" s="754">
        <f t="shared" si="31"/>
        <v>195125</v>
      </c>
      <c r="O135" s="754">
        <f t="shared" si="31"/>
        <v>195125</v>
      </c>
      <c r="P135" s="754">
        <f t="shared" si="31"/>
        <v>195125</v>
      </c>
      <c r="Q135" s="754">
        <f t="shared" si="31"/>
        <v>195125</v>
      </c>
      <c r="R135" s="754">
        <f t="shared" si="31"/>
        <v>195125</v>
      </c>
      <c r="S135" s="754">
        <f t="shared" si="31"/>
        <v>195125</v>
      </c>
      <c r="T135" s="754">
        <f t="shared" si="31"/>
        <v>195125</v>
      </c>
      <c r="U135" s="754">
        <f t="shared" si="31"/>
        <v>195125</v>
      </c>
      <c r="W135" s="1882"/>
      <c r="X135" s="739" t="str">
        <f t="shared" si="50"/>
        <v xml:space="preserve">     Energía eléctrica motores</v>
      </c>
      <c r="Y135" s="740" t="str">
        <f t="shared" si="51"/>
        <v>Kw/h</v>
      </c>
      <c r="Z135" s="749">
        <f t="shared" si="52"/>
        <v>55750</v>
      </c>
      <c r="AA135" s="740" t="s">
        <v>669</v>
      </c>
      <c r="AB135" s="752">
        <f t="shared" si="53"/>
        <v>3.5</v>
      </c>
      <c r="AC135" s="753">
        <f t="shared" si="48"/>
        <v>195125</v>
      </c>
      <c r="AD135" s="800">
        <v>0.84699999999999998</v>
      </c>
      <c r="AE135" s="774">
        <v>0</v>
      </c>
      <c r="AF135" s="774">
        <v>0</v>
      </c>
      <c r="AG135" s="774">
        <v>0</v>
      </c>
      <c r="AH135" s="754">
        <f t="shared" si="54"/>
        <v>165270.875</v>
      </c>
      <c r="AI135" s="754">
        <f t="shared" ref="AI135:AQ135" si="56">AH135</f>
        <v>165270.875</v>
      </c>
      <c r="AJ135" s="754">
        <f t="shared" si="56"/>
        <v>165270.875</v>
      </c>
      <c r="AK135" s="754">
        <f t="shared" si="56"/>
        <v>165270.875</v>
      </c>
      <c r="AL135" s="754">
        <f t="shared" si="56"/>
        <v>165270.875</v>
      </c>
      <c r="AM135" s="754">
        <f t="shared" si="56"/>
        <v>165270.875</v>
      </c>
      <c r="AN135" s="754">
        <f t="shared" si="56"/>
        <v>165270.875</v>
      </c>
      <c r="AO135" s="754">
        <f t="shared" si="56"/>
        <v>165270.875</v>
      </c>
      <c r="AP135" s="754">
        <f t="shared" si="56"/>
        <v>165270.875</v>
      </c>
      <c r="AQ135" s="754">
        <f t="shared" si="56"/>
        <v>165270.875</v>
      </c>
    </row>
    <row r="136" spans="2:43" x14ac:dyDescent="0.25">
      <c r="B136" s="1882"/>
      <c r="C136" s="739" t="str">
        <f t="shared" si="20"/>
        <v xml:space="preserve">     Mano de obra indirecta</v>
      </c>
      <c r="D136" s="740" t="str">
        <f t="shared" si="47"/>
        <v>global</v>
      </c>
      <c r="E136" s="749">
        <f t="shared" si="47"/>
        <v>39</v>
      </c>
      <c r="F136" s="740" t="s">
        <v>669</v>
      </c>
      <c r="G136" s="752">
        <f t="shared" si="26"/>
        <v>3000</v>
      </c>
      <c r="H136" s="753">
        <f t="shared" si="29"/>
        <v>117000</v>
      </c>
      <c r="I136" s="774">
        <v>0</v>
      </c>
      <c r="J136" s="774">
        <v>0</v>
      </c>
      <c r="K136" s="774">
        <v>0</v>
      </c>
      <c r="L136" s="754">
        <f t="shared" si="30"/>
        <v>117000</v>
      </c>
      <c r="M136" s="754">
        <f t="shared" si="31"/>
        <v>117000</v>
      </c>
      <c r="N136" s="754">
        <f t="shared" si="31"/>
        <v>117000</v>
      </c>
      <c r="O136" s="754">
        <f t="shared" si="31"/>
        <v>117000</v>
      </c>
      <c r="P136" s="754">
        <f t="shared" si="31"/>
        <v>117000</v>
      </c>
      <c r="Q136" s="754">
        <f t="shared" si="31"/>
        <v>117000</v>
      </c>
      <c r="R136" s="754">
        <f t="shared" si="31"/>
        <v>117000</v>
      </c>
      <c r="S136" s="754">
        <f t="shared" si="31"/>
        <v>117000</v>
      </c>
      <c r="T136" s="754">
        <f t="shared" si="31"/>
        <v>117000</v>
      </c>
      <c r="U136" s="754">
        <f t="shared" si="31"/>
        <v>117000</v>
      </c>
      <c r="W136" s="1882"/>
      <c r="X136" s="739" t="str">
        <f t="shared" si="50"/>
        <v xml:space="preserve">     Mano de obra indirecta</v>
      </c>
      <c r="Y136" s="740" t="str">
        <f t="shared" si="51"/>
        <v>global</v>
      </c>
      <c r="Z136" s="749">
        <f t="shared" si="52"/>
        <v>39</v>
      </c>
      <c r="AA136" s="740" t="s">
        <v>669</v>
      </c>
      <c r="AB136" s="752">
        <f t="shared" si="53"/>
        <v>3000</v>
      </c>
      <c r="AC136" s="753">
        <f t="shared" si="48"/>
        <v>117000</v>
      </c>
      <c r="AD136" s="800">
        <v>0.84699999999999998</v>
      </c>
      <c r="AE136" s="774">
        <v>0</v>
      </c>
      <c r="AF136" s="774">
        <v>0</v>
      </c>
      <c r="AG136" s="774">
        <v>0</v>
      </c>
      <c r="AH136" s="754">
        <f t="shared" si="54"/>
        <v>99099</v>
      </c>
      <c r="AI136" s="754">
        <f t="shared" ref="AI136:AQ136" si="57">AH136</f>
        <v>99099</v>
      </c>
      <c r="AJ136" s="754">
        <f t="shared" si="57"/>
        <v>99099</v>
      </c>
      <c r="AK136" s="754">
        <f t="shared" si="57"/>
        <v>99099</v>
      </c>
      <c r="AL136" s="754">
        <f t="shared" si="57"/>
        <v>99099</v>
      </c>
      <c r="AM136" s="754">
        <f t="shared" si="57"/>
        <v>99099</v>
      </c>
      <c r="AN136" s="754">
        <f t="shared" si="57"/>
        <v>99099</v>
      </c>
      <c r="AO136" s="754">
        <f t="shared" si="57"/>
        <v>99099</v>
      </c>
      <c r="AP136" s="754">
        <f t="shared" si="57"/>
        <v>99099</v>
      </c>
      <c r="AQ136" s="754">
        <f t="shared" si="57"/>
        <v>99099</v>
      </c>
    </row>
    <row r="137" spans="2:43" x14ac:dyDescent="0.25">
      <c r="B137" s="1882"/>
      <c r="C137" s="739" t="str">
        <f t="shared" si="20"/>
        <v xml:space="preserve">     Mantenimiento y repuesto</v>
      </c>
      <c r="D137" s="740" t="str">
        <f t="shared" si="47"/>
        <v>Global</v>
      </c>
      <c r="E137" s="749">
        <f t="shared" si="47"/>
        <v>1</v>
      </c>
      <c r="F137" s="740" t="s">
        <v>669</v>
      </c>
      <c r="G137" s="752">
        <f t="shared" si="26"/>
        <v>40000</v>
      </c>
      <c r="H137" s="753">
        <f t="shared" si="29"/>
        <v>40000</v>
      </c>
      <c r="I137" s="774">
        <v>0</v>
      </c>
      <c r="J137" s="774">
        <v>0</v>
      </c>
      <c r="K137" s="774">
        <v>0</v>
      </c>
      <c r="L137" s="754">
        <f t="shared" si="30"/>
        <v>40000</v>
      </c>
      <c r="M137" s="754">
        <f t="shared" si="31"/>
        <v>40000</v>
      </c>
      <c r="N137" s="754">
        <f t="shared" si="31"/>
        <v>40000</v>
      </c>
      <c r="O137" s="754">
        <f t="shared" si="31"/>
        <v>40000</v>
      </c>
      <c r="P137" s="754">
        <f t="shared" si="31"/>
        <v>40000</v>
      </c>
      <c r="Q137" s="754">
        <f t="shared" si="31"/>
        <v>40000</v>
      </c>
      <c r="R137" s="754">
        <f t="shared" si="31"/>
        <v>40000</v>
      </c>
      <c r="S137" s="754">
        <f t="shared" si="31"/>
        <v>40000</v>
      </c>
      <c r="T137" s="754">
        <f t="shared" si="31"/>
        <v>40000</v>
      </c>
      <c r="U137" s="754">
        <f t="shared" si="31"/>
        <v>40000</v>
      </c>
      <c r="W137" s="1882"/>
      <c r="X137" s="739" t="str">
        <f t="shared" si="50"/>
        <v xml:space="preserve">     Mantenimiento y repuesto</v>
      </c>
      <c r="Y137" s="740" t="str">
        <f t="shared" si="51"/>
        <v>Global</v>
      </c>
      <c r="Z137" s="749">
        <f t="shared" si="52"/>
        <v>1</v>
      </c>
      <c r="AA137" s="740" t="s">
        <v>669</v>
      </c>
      <c r="AB137" s="752">
        <f t="shared" si="53"/>
        <v>40000</v>
      </c>
      <c r="AC137" s="753">
        <f t="shared" si="48"/>
        <v>40000</v>
      </c>
      <c r="AD137" s="800">
        <v>0.84699999999999998</v>
      </c>
      <c r="AE137" s="774">
        <v>0</v>
      </c>
      <c r="AF137" s="774">
        <v>0</v>
      </c>
      <c r="AG137" s="774">
        <v>0</v>
      </c>
      <c r="AH137" s="754">
        <f t="shared" si="54"/>
        <v>33880</v>
      </c>
      <c r="AI137" s="754">
        <f t="shared" ref="AI137:AQ137" si="58">AH137</f>
        <v>33880</v>
      </c>
      <c r="AJ137" s="754">
        <f t="shared" si="58"/>
        <v>33880</v>
      </c>
      <c r="AK137" s="754">
        <f t="shared" si="58"/>
        <v>33880</v>
      </c>
      <c r="AL137" s="754">
        <f t="shared" si="58"/>
        <v>33880</v>
      </c>
      <c r="AM137" s="754">
        <f t="shared" si="58"/>
        <v>33880</v>
      </c>
      <c r="AN137" s="754">
        <f t="shared" si="58"/>
        <v>33880</v>
      </c>
      <c r="AO137" s="754">
        <f t="shared" si="58"/>
        <v>33880</v>
      </c>
      <c r="AP137" s="754">
        <f t="shared" si="58"/>
        <v>33880</v>
      </c>
      <c r="AQ137" s="754">
        <f t="shared" si="58"/>
        <v>33880</v>
      </c>
    </row>
    <row r="138" spans="2:43" x14ac:dyDescent="0.25">
      <c r="B138" s="1882"/>
      <c r="C138" s="739" t="str">
        <f t="shared" si="20"/>
        <v xml:space="preserve">     Depreciaciones</v>
      </c>
      <c r="D138" s="740" t="str">
        <f t="shared" si="47"/>
        <v>Global</v>
      </c>
      <c r="E138" s="749">
        <f t="shared" si="47"/>
        <v>1</v>
      </c>
      <c r="F138" s="740" t="s">
        <v>669</v>
      </c>
      <c r="G138" s="752">
        <f t="shared" si="26"/>
        <v>20000</v>
      </c>
      <c r="H138" s="753">
        <f t="shared" si="29"/>
        <v>20000</v>
      </c>
      <c r="I138" s="774">
        <v>0</v>
      </c>
      <c r="J138" s="774">
        <v>0</v>
      </c>
      <c r="K138" s="774">
        <v>0</v>
      </c>
      <c r="L138" s="754">
        <f t="shared" si="30"/>
        <v>20000</v>
      </c>
      <c r="M138" s="754">
        <f t="shared" si="31"/>
        <v>20000</v>
      </c>
      <c r="N138" s="754">
        <f t="shared" si="31"/>
        <v>20000</v>
      </c>
      <c r="O138" s="754">
        <f t="shared" si="31"/>
        <v>20000</v>
      </c>
      <c r="P138" s="754">
        <f t="shared" si="31"/>
        <v>20000</v>
      </c>
      <c r="Q138" s="754">
        <f t="shared" si="31"/>
        <v>20000</v>
      </c>
      <c r="R138" s="754">
        <f t="shared" si="31"/>
        <v>20000</v>
      </c>
      <c r="S138" s="754">
        <f t="shared" si="31"/>
        <v>20000</v>
      </c>
      <c r="T138" s="754">
        <f t="shared" si="31"/>
        <v>20000</v>
      </c>
      <c r="U138" s="754">
        <f t="shared" si="31"/>
        <v>20000</v>
      </c>
      <c r="W138" s="1882"/>
      <c r="X138" s="739" t="str">
        <f t="shared" si="50"/>
        <v xml:space="preserve">     Depreciaciones</v>
      </c>
      <c r="Y138" s="740" t="str">
        <f t="shared" si="51"/>
        <v>Global</v>
      </c>
      <c r="Z138" s="749">
        <f t="shared" si="52"/>
        <v>1</v>
      </c>
      <c r="AA138" s="740" t="s">
        <v>669</v>
      </c>
      <c r="AB138" s="752">
        <f t="shared" si="53"/>
        <v>20000</v>
      </c>
      <c r="AC138" s="753">
        <f t="shared" si="48"/>
        <v>20000</v>
      </c>
      <c r="AD138" s="800">
        <v>0.84699999999999998</v>
      </c>
      <c r="AE138" s="774">
        <v>0</v>
      </c>
      <c r="AF138" s="774">
        <v>0</v>
      </c>
      <c r="AG138" s="774">
        <v>0</v>
      </c>
      <c r="AH138" s="754">
        <f t="shared" si="54"/>
        <v>16940</v>
      </c>
      <c r="AI138" s="754">
        <f t="shared" ref="AI138:AQ138" si="59">AH138</f>
        <v>16940</v>
      </c>
      <c r="AJ138" s="754">
        <f t="shared" si="59"/>
        <v>16940</v>
      </c>
      <c r="AK138" s="754">
        <f t="shared" si="59"/>
        <v>16940</v>
      </c>
      <c r="AL138" s="754">
        <f t="shared" si="59"/>
        <v>16940</v>
      </c>
      <c r="AM138" s="754">
        <f t="shared" si="59"/>
        <v>16940</v>
      </c>
      <c r="AN138" s="754">
        <f t="shared" si="59"/>
        <v>16940</v>
      </c>
      <c r="AO138" s="754">
        <f t="shared" si="59"/>
        <v>16940</v>
      </c>
      <c r="AP138" s="754">
        <f t="shared" si="59"/>
        <v>16940</v>
      </c>
      <c r="AQ138" s="754">
        <f t="shared" si="59"/>
        <v>16940</v>
      </c>
    </row>
    <row r="139" spans="2:43" x14ac:dyDescent="0.25">
      <c r="B139" s="1883"/>
      <c r="C139" s="739" t="str">
        <f t="shared" si="20"/>
        <v xml:space="preserve">     Imprevistos</v>
      </c>
      <c r="D139" s="740" t="str">
        <f t="shared" si="47"/>
        <v>Global</v>
      </c>
      <c r="E139" s="749">
        <f t="shared" si="47"/>
        <v>1</v>
      </c>
      <c r="F139" s="740" t="s">
        <v>669</v>
      </c>
      <c r="G139" s="752">
        <f t="shared" si="26"/>
        <v>50000</v>
      </c>
      <c r="H139" s="753">
        <f t="shared" si="29"/>
        <v>50000</v>
      </c>
      <c r="I139" s="774">
        <v>0</v>
      </c>
      <c r="J139" s="774">
        <v>0</v>
      </c>
      <c r="K139" s="774">
        <v>0</v>
      </c>
      <c r="L139" s="754">
        <f t="shared" si="30"/>
        <v>50000</v>
      </c>
      <c r="M139" s="754">
        <f t="shared" si="31"/>
        <v>50000</v>
      </c>
      <c r="N139" s="754">
        <f t="shared" si="31"/>
        <v>50000</v>
      </c>
      <c r="O139" s="754">
        <f t="shared" si="31"/>
        <v>50000</v>
      </c>
      <c r="P139" s="754">
        <f t="shared" si="31"/>
        <v>50000</v>
      </c>
      <c r="Q139" s="754">
        <f t="shared" si="31"/>
        <v>50000</v>
      </c>
      <c r="R139" s="754">
        <f t="shared" si="31"/>
        <v>50000</v>
      </c>
      <c r="S139" s="754">
        <f t="shared" si="31"/>
        <v>50000</v>
      </c>
      <c r="T139" s="754">
        <f t="shared" si="31"/>
        <v>50000</v>
      </c>
      <c r="U139" s="754">
        <f t="shared" si="31"/>
        <v>50000</v>
      </c>
      <c r="W139" s="1883"/>
      <c r="X139" s="739" t="str">
        <f t="shared" si="50"/>
        <v xml:space="preserve">     Imprevistos</v>
      </c>
      <c r="Y139" s="740" t="str">
        <f t="shared" si="51"/>
        <v>Global</v>
      </c>
      <c r="Z139" s="749">
        <f t="shared" si="52"/>
        <v>1</v>
      </c>
      <c r="AA139" s="740" t="s">
        <v>669</v>
      </c>
      <c r="AB139" s="752">
        <f t="shared" si="53"/>
        <v>50000</v>
      </c>
      <c r="AC139" s="753">
        <f t="shared" si="48"/>
        <v>50000</v>
      </c>
      <c r="AD139" s="800">
        <v>0.84699999999999998</v>
      </c>
      <c r="AE139" s="774">
        <v>0</v>
      </c>
      <c r="AF139" s="774">
        <v>0</v>
      </c>
      <c r="AG139" s="774">
        <v>0</v>
      </c>
      <c r="AH139" s="754">
        <f t="shared" si="54"/>
        <v>42350</v>
      </c>
      <c r="AI139" s="754">
        <f t="shared" ref="AI139:AQ139" si="60">AH139</f>
        <v>42350</v>
      </c>
      <c r="AJ139" s="754">
        <f t="shared" si="60"/>
        <v>42350</v>
      </c>
      <c r="AK139" s="754">
        <f t="shared" si="60"/>
        <v>42350</v>
      </c>
      <c r="AL139" s="754">
        <f t="shared" si="60"/>
        <v>42350</v>
      </c>
      <c r="AM139" s="754">
        <f t="shared" si="60"/>
        <v>42350</v>
      </c>
      <c r="AN139" s="754">
        <f t="shared" si="60"/>
        <v>42350</v>
      </c>
      <c r="AO139" s="754">
        <f t="shared" si="60"/>
        <v>42350</v>
      </c>
      <c r="AP139" s="754">
        <f t="shared" si="60"/>
        <v>42350</v>
      </c>
      <c r="AQ139" s="754">
        <f t="shared" si="60"/>
        <v>42350</v>
      </c>
    </row>
    <row r="140" spans="2:43" ht="25.5" x14ac:dyDescent="0.25">
      <c r="B140" s="779">
        <v>1.2</v>
      </c>
      <c r="C140" s="750" t="s">
        <v>1172</v>
      </c>
      <c r="D140" s="746"/>
      <c r="E140" s="763"/>
      <c r="F140" s="742" t="s">
        <v>669</v>
      </c>
      <c r="G140" s="764"/>
      <c r="H140" s="755">
        <f>H141+H155+H160</f>
        <v>633175</v>
      </c>
      <c r="I140" s="775">
        <f t="shared" ref="I140:U140" si="61">I141+I155+I160</f>
        <v>0</v>
      </c>
      <c r="J140" s="775">
        <f t="shared" si="61"/>
        <v>0</v>
      </c>
      <c r="K140" s="775">
        <f t="shared" si="61"/>
        <v>0</v>
      </c>
      <c r="L140" s="775">
        <f t="shared" si="61"/>
        <v>633175</v>
      </c>
      <c r="M140" s="775">
        <f t="shared" si="61"/>
        <v>633175</v>
      </c>
      <c r="N140" s="775">
        <f t="shared" si="61"/>
        <v>633175</v>
      </c>
      <c r="O140" s="775">
        <f t="shared" si="61"/>
        <v>633175</v>
      </c>
      <c r="P140" s="775">
        <f t="shared" si="61"/>
        <v>633175</v>
      </c>
      <c r="Q140" s="775">
        <f t="shared" si="61"/>
        <v>633175</v>
      </c>
      <c r="R140" s="775">
        <f t="shared" si="61"/>
        <v>633175</v>
      </c>
      <c r="S140" s="775">
        <f t="shared" si="61"/>
        <v>633175</v>
      </c>
      <c r="T140" s="775">
        <f t="shared" si="61"/>
        <v>633175</v>
      </c>
      <c r="U140" s="775">
        <f t="shared" si="61"/>
        <v>633175</v>
      </c>
      <c r="W140" s="779">
        <f>B140</f>
        <v>1.2</v>
      </c>
      <c r="X140" s="750" t="str">
        <f>C140</f>
        <v>Costo de Producción de Espirulina en Polvo</v>
      </c>
      <c r="Y140" s="746"/>
      <c r="Z140" s="763"/>
      <c r="AA140" s="742" t="s">
        <v>669</v>
      </c>
      <c r="AB140" s="764"/>
      <c r="AC140" s="755">
        <f>AC141+AC155+AC160</f>
        <v>633175</v>
      </c>
      <c r="AD140" s="746"/>
      <c r="AE140" s="775">
        <f t="shared" ref="AE140:AQ140" si="62">AE141+AE155+AE160</f>
        <v>0</v>
      </c>
      <c r="AF140" s="775">
        <f t="shared" si="62"/>
        <v>0</v>
      </c>
      <c r="AG140" s="775">
        <f t="shared" si="62"/>
        <v>0</v>
      </c>
      <c r="AH140" s="775">
        <f t="shared" si="62"/>
        <v>473322.02500000002</v>
      </c>
      <c r="AI140" s="775">
        <f t="shared" si="62"/>
        <v>510759.42500000005</v>
      </c>
      <c r="AJ140" s="775">
        <f t="shared" si="62"/>
        <v>510759.42500000005</v>
      </c>
      <c r="AK140" s="775">
        <f t="shared" si="62"/>
        <v>510759.42500000005</v>
      </c>
      <c r="AL140" s="775">
        <f t="shared" si="62"/>
        <v>510759.42500000005</v>
      </c>
      <c r="AM140" s="775">
        <f t="shared" si="62"/>
        <v>510759.42500000005</v>
      </c>
      <c r="AN140" s="775">
        <f t="shared" si="62"/>
        <v>510759.42500000005</v>
      </c>
      <c r="AO140" s="775">
        <f t="shared" si="62"/>
        <v>510759.42500000005</v>
      </c>
      <c r="AP140" s="775">
        <f t="shared" si="62"/>
        <v>510759.42500000005</v>
      </c>
      <c r="AQ140" s="775">
        <f t="shared" si="62"/>
        <v>510759.42500000005</v>
      </c>
    </row>
    <row r="141" spans="2:43" x14ac:dyDescent="0.25">
      <c r="B141" s="760"/>
      <c r="C141" s="761" t="str">
        <f t="shared" ref="C141:C161" si="63">C50</f>
        <v>I.COSTOS DE PRODUCCION</v>
      </c>
      <c r="D141" s="760"/>
      <c r="E141" s="760"/>
      <c r="F141" s="762"/>
      <c r="G141" s="760"/>
      <c r="H141" s="773">
        <f>H142+H146</f>
        <v>588975</v>
      </c>
      <c r="I141" s="777">
        <f t="shared" ref="I141:U141" si="64">I142+I146</f>
        <v>0</v>
      </c>
      <c r="J141" s="777">
        <f t="shared" si="64"/>
        <v>0</v>
      </c>
      <c r="K141" s="777">
        <f t="shared" si="64"/>
        <v>0</v>
      </c>
      <c r="L141" s="777">
        <f t="shared" si="64"/>
        <v>588975</v>
      </c>
      <c r="M141" s="777">
        <f t="shared" si="64"/>
        <v>588975</v>
      </c>
      <c r="N141" s="777">
        <f t="shared" si="64"/>
        <v>588975</v>
      </c>
      <c r="O141" s="777">
        <f t="shared" si="64"/>
        <v>588975</v>
      </c>
      <c r="P141" s="777">
        <f t="shared" si="64"/>
        <v>588975</v>
      </c>
      <c r="Q141" s="777">
        <f t="shared" si="64"/>
        <v>588975</v>
      </c>
      <c r="R141" s="777">
        <f t="shared" si="64"/>
        <v>588975</v>
      </c>
      <c r="S141" s="777">
        <f t="shared" si="64"/>
        <v>588975</v>
      </c>
      <c r="T141" s="777">
        <f t="shared" si="64"/>
        <v>588975</v>
      </c>
      <c r="U141" s="777">
        <f t="shared" si="64"/>
        <v>588975</v>
      </c>
      <c r="W141" s="760"/>
      <c r="X141" s="761" t="str">
        <f t="shared" ref="X141:X147" si="65">C141</f>
        <v>I.COSTOS DE PRODUCCION</v>
      </c>
      <c r="Y141" s="760"/>
      <c r="Z141" s="760"/>
      <c r="AA141" s="762"/>
      <c r="AB141" s="760"/>
      <c r="AC141" s="773">
        <f>AC142+AC146</f>
        <v>588975</v>
      </c>
      <c r="AE141" s="777">
        <f t="shared" ref="AE141:AQ141" si="66">AE142+AE146</f>
        <v>0</v>
      </c>
      <c r="AF141" s="777">
        <f t="shared" si="66"/>
        <v>0</v>
      </c>
      <c r="AG141" s="777">
        <f t="shared" si="66"/>
        <v>0</v>
      </c>
      <c r="AH141" s="777">
        <f t="shared" si="66"/>
        <v>473322.02500000002</v>
      </c>
      <c r="AI141" s="777">
        <f t="shared" si="66"/>
        <v>473322.02500000002</v>
      </c>
      <c r="AJ141" s="777">
        <f t="shared" si="66"/>
        <v>473322.02500000002</v>
      </c>
      <c r="AK141" s="777">
        <f t="shared" si="66"/>
        <v>473322.02500000002</v>
      </c>
      <c r="AL141" s="777">
        <f t="shared" si="66"/>
        <v>473322.02500000002</v>
      </c>
      <c r="AM141" s="777">
        <f t="shared" si="66"/>
        <v>473322.02500000002</v>
      </c>
      <c r="AN141" s="777">
        <f t="shared" si="66"/>
        <v>473322.02500000002</v>
      </c>
      <c r="AO141" s="777">
        <f t="shared" si="66"/>
        <v>473322.02500000002</v>
      </c>
      <c r="AP141" s="777">
        <f t="shared" si="66"/>
        <v>473322.02500000002</v>
      </c>
      <c r="AQ141" s="777">
        <f t="shared" si="66"/>
        <v>473322.02500000002</v>
      </c>
    </row>
    <row r="142" spans="2:43" x14ac:dyDescent="0.25">
      <c r="B142" s="765"/>
      <c r="C142" s="765" t="str">
        <f t="shared" si="63"/>
        <v xml:space="preserve">  A.COSTOS DIRECTOS</v>
      </c>
      <c r="D142" s="765"/>
      <c r="E142" s="765"/>
      <c r="F142" s="768"/>
      <c r="G142" s="765"/>
      <c r="H142" s="772">
        <f>SUM(H143:H145)</f>
        <v>231400</v>
      </c>
      <c r="I142" s="776">
        <f t="shared" ref="I142:U142" si="67">SUM(I143:I145)</f>
        <v>0</v>
      </c>
      <c r="J142" s="776">
        <f t="shared" si="67"/>
        <v>0</v>
      </c>
      <c r="K142" s="776">
        <f t="shared" si="67"/>
        <v>0</v>
      </c>
      <c r="L142" s="776">
        <f t="shared" si="67"/>
        <v>231400</v>
      </c>
      <c r="M142" s="776">
        <f t="shared" si="67"/>
        <v>231400</v>
      </c>
      <c r="N142" s="776">
        <f t="shared" si="67"/>
        <v>231400</v>
      </c>
      <c r="O142" s="776">
        <f t="shared" si="67"/>
        <v>231400</v>
      </c>
      <c r="P142" s="776">
        <f t="shared" si="67"/>
        <v>231400</v>
      </c>
      <c r="Q142" s="776">
        <f t="shared" si="67"/>
        <v>231400</v>
      </c>
      <c r="R142" s="776">
        <f t="shared" si="67"/>
        <v>231400</v>
      </c>
      <c r="S142" s="776">
        <f t="shared" si="67"/>
        <v>231400</v>
      </c>
      <c r="T142" s="776">
        <f t="shared" si="67"/>
        <v>231400</v>
      </c>
      <c r="U142" s="776">
        <f t="shared" si="67"/>
        <v>231400</v>
      </c>
      <c r="W142" s="765"/>
      <c r="X142" s="765" t="str">
        <f t="shared" si="65"/>
        <v xml:space="preserve">  A.COSTOS DIRECTOS</v>
      </c>
      <c r="Y142" s="765"/>
      <c r="Z142" s="765"/>
      <c r="AA142" s="768"/>
      <c r="AB142" s="765"/>
      <c r="AC142" s="772">
        <f>SUM(AC143:AC145)</f>
        <v>231400</v>
      </c>
      <c r="AE142" s="776">
        <f t="shared" ref="AE142:AQ142" si="68">SUM(AE143:AE145)</f>
        <v>0</v>
      </c>
      <c r="AF142" s="776">
        <f t="shared" si="68"/>
        <v>0</v>
      </c>
      <c r="AG142" s="776">
        <f t="shared" si="68"/>
        <v>0</v>
      </c>
      <c r="AH142" s="776">
        <f t="shared" si="68"/>
        <v>170456</v>
      </c>
      <c r="AI142" s="776">
        <f t="shared" si="68"/>
        <v>170456</v>
      </c>
      <c r="AJ142" s="776">
        <f t="shared" si="68"/>
        <v>170456</v>
      </c>
      <c r="AK142" s="776">
        <f t="shared" si="68"/>
        <v>170456</v>
      </c>
      <c r="AL142" s="776">
        <f t="shared" si="68"/>
        <v>170456</v>
      </c>
      <c r="AM142" s="776">
        <f t="shared" si="68"/>
        <v>170456</v>
      </c>
      <c r="AN142" s="776">
        <f t="shared" si="68"/>
        <v>170456</v>
      </c>
      <c r="AO142" s="776">
        <f t="shared" si="68"/>
        <v>170456</v>
      </c>
      <c r="AP142" s="776">
        <f t="shared" si="68"/>
        <v>170456</v>
      </c>
      <c r="AQ142" s="776">
        <f t="shared" si="68"/>
        <v>170456</v>
      </c>
    </row>
    <row r="143" spans="2:43" x14ac:dyDescent="0.25">
      <c r="B143" s="1881"/>
      <c r="C143" s="739" t="str">
        <f t="shared" si="63"/>
        <v xml:space="preserve">     Espirulina</v>
      </c>
      <c r="D143" s="758" t="str">
        <f t="shared" ref="D143:E145" si="69">D52</f>
        <v>Kilos</v>
      </c>
      <c r="E143" s="749">
        <f t="shared" si="69"/>
        <v>40000</v>
      </c>
      <c r="F143" s="740" t="s">
        <v>669</v>
      </c>
      <c r="G143" s="743">
        <f>F52</f>
        <v>0</v>
      </c>
      <c r="H143" s="757">
        <f>E143*G143</f>
        <v>0</v>
      </c>
      <c r="I143" s="774">
        <v>0</v>
      </c>
      <c r="J143" s="774">
        <v>0</v>
      </c>
      <c r="K143" s="774">
        <v>0</v>
      </c>
      <c r="L143" s="774">
        <f t="shared" ref="L143:L161" si="70">H143</f>
        <v>0</v>
      </c>
      <c r="M143" s="774">
        <f>L143</f>
        <v>0</v>
      </c>
      <c r="N143" s="774">
        <f t="shared" ref="N143:T143" si="71">M143</f>
        <v>0</v>
      </c>
      <c r="O143" s="774">
        <f t="shared" si="71"/>
        <v>0</v>
      </c>
      <c r="P143" s="774">
        <f t="shared" si="71"/>
        <v>0</v>
      </c>
      <c r="Q143" s="774">
        <f t="shared" si="71"/>
        <v>0</v>
      </c>
      <c r="R143" s="774">
        <f t="shared" si="71"/>
        <v>0</v>
      </c>
      <c r="S143" s="774">
        <f t="shared" si="71"/>
        <v>0</v>
      </c>
      <c r="T143" s="774">
        <f t="shared" si="71"/>
        <v>0</v>
      </c>
      <c r="U143" s="774">
        <f>T143</f>
        <v>0</v>
      </c>
      <c r="W143" s="1881"/>
      <c r="X143" s="739" t="str">
        <f t="shared" si="65"/>
        <v xml:space="preserve">     Espirulina</v>
      </c>
      <c r="Y143" s="758" t="str">
        <f t="shared" ref="Y143:Z145" si="72">D143</f>
        <v>Kilos</v>
      </c>
      <c r="Z143" s="749">
        <f t="shared" si="72"/>
        <v>40000</v>
      </c>
      <c r="AA143" s="740" t="s">
        <v>669</v>
      </c>
      <c r="AB143" s="743">
        <f>G143</f>
        <v>0</v>
      </c>
      <c r="AC143" s="743">
        <f>Z143*AB143</f>
        <v>0</v>
      </c>
      <c r="AD143" s="800">
        <v>0.84699999999999998</v>
      </c>
      <c r="AE143" s="774">
        <v>0</v>
      </c>
      <c r="AF143" s="774">
        <v>0</v>
      </c>
      <c r="AG143" s="774">
        <v>0</v>
      </c>
      <c r="AH143" s="774">
        <f>AC143*AD143</f>
        <v>0</v>
      </c>
      <c r="AI143" s="774">
        <f>AH143</f>
        <v>0</v>
      </c>
      <c r="AJ143" s="774">
        <f t="shared" ref="AJ143:AP143" si="73">AI143</f>
        <v>0</v>
      </c>
      <c r="AK143" s="774">
        <f t="shared" si="73"/>
        <v>0</v>
      </c>
      <c r="AL143" s="774">
        <f t="shared" si="73"/>
        <v>0</v>
      </c>
      <c r="AM143" s="774">
        <f t="shared" si="73"/>
        <v>0</v>
      </c>
      <c r="AN143" s="774">
        <f t="shared" si="73"/>
        <v>0</v>
      </c>
      <c r="AO143" s="774">
        <f t="shared" si="73"/>
        <v>0</v>
      </c>
      <c r="AP143" s="774">
        <f t="shared" si="73"/>
        <v>0</v>
      </c>
      <c r="AQ143" s="774">
        <f>AP143</f>
        <v>0</v>
      </c>
    </row>
    <row r="144" spans="2:43" x14ac:dyDescent="0.25">
      <c r="B144" s="1882"/>
      <c r="C144" s="739" t="str">
        <f t="shared" si="63"/>
        <v xml:space="preserve">     Mano de obra directa (4)</v>
      </c>
      <c r="D144" s="758" t="str">
        <f t="shared" si="69"/>
        <v>Global</v>
      </c>
      <c r="E144" s="749">
        <f t="shared" si="69"/>
        <v>52</v>
      </c>
      <c r="F144" s="740" t="s">
        <v>669</v>
      </c>
      <c r="G144" s="743">
        <f>F53</f>
        <v>3200</v>
      </c>
      <c r="H144" s="743">
        <f t="shared" ref="H144:H161" si="74">E144*G144</f>
        <v>166400</v>
      </c>
      <c r="I144" s="774">
        <v>0</v>
      </c>
      <c r="J144" s="774">
        <v>0</v>
      </c>
      <c r="K144" s="774">
        <v>0</v>
      </c>
      <c r="L144" s="754">
        <f t="shared" si="70"/>
        <v>166400</v>
      </c>
      <c r="M144" s="754">
        <f t="shared" ref="M144:T161" si="75">L144</f>
        <v>166400</v>
      </c>
      <c r="N144" s="754">
        <f t="shared" si="75"/>
        <v>166400</v>
      </c>
      <c r="O144" s="754">
        <f t="shared" si="75"/>
        <v>166400</v>
      </c>
      <c r="P144" s="754">
        <f t="shared" si="75"/>
        <v>166400</v>
      </c>
      <c r="Q144" s="754">
        <f t="shared" si="75"/>
        <v>166400</v>
      </c>
      <c r="R144" s="754">
        <f t="shared" si="75"/>
        <v>166400</v>
      </c>
      <c r="S144" s="754">
        <f t="shared" si="75"/>
        <v>166400</v>
      </c>
      <c r="T144" s="754">
        <f t="shared" si="75"/>
        <v>166400</v>
      </c>
      <c r="U144" s="754">
        <f>T144</f>
        <v>166400</v>
      </c>
      <c r="W144" s="1882"/>
      <c r="X144" s="739" t="str">
        <f t="shared" si="65"/>
        <v xml:space="preserve">     Mano de obra directa (4)</v>
      </c>
      <c r="Y144" s="758" t="str">
        <f t="shared" si="72"/>
        <v>Global</v>
      </c>
      <c r="Z144" s="749">
        <f t="shared" si="72"/>
        <v>52</v>
      </c>
      <c r="AA144" s="740" t="s">
        <v>669</v>
      </c>
      <c r="AB144" s="743">
        <f>G144</f>
        <v>3200</v>
      </c>
      <c r="AC144" s="743">
        <f>Z144*AB144</f>
        <v>166400</v>
      </c>
      <c r="AD144" s="800">
        <v>0.79</v>
      </c>
      <c r="AE144" s="774">
        <v>0</v>
      </c>
      <c r="AF144" s="774">
        <v>0</v>
      </c>
      <c r="AG144" s="774">
        <v>0</v>
      </c>
      <c r="AH144" s="774">
        <f>AC144*AD144</f>
        <v>131456</v>
      </c>
      <c r="AI144" s="754">
        <f t="shared" ref="AI144:AQ145" si="76">AH144</f>
        <v>131456</v>
      </c>
      <c r="AJ144" s="754">
        <f t="shared" si="76"/>
        <v>131456</v>
      </c>
      <c r="AK144" s="754">
        <f t="shared" si="76"/>
        <v>131456</v>
      </c>
      <c r="AL144" s="754">
        <f t="shared" si="76"/>
        <v>131456</v>
      </c>
      <c r="AM144" s="754">
        <f t="shared" si="76"/>
        <v>131456</v>
      </c>
      <c r="AN144" s="754">
        <f t="shared" si="76"/>
        <v>131456</v>
      </c>
      <c r="AO144" s="754">
        <f t="shared" si="76"/>
        <v>131456</v>
      </c>
      <c r="AP144" s="754">
        <f t="shared" si="76"/>
        <v>131456</v>
      </c>
      <c r="AQ144" s="754">
        <f t="shared" si="76"/>
        <v>131456</v>
      </c>
    </row>
    <row r="145" spans="2:43" x14ac:dyDescent="0.25">
      <c r="B145" s="1883"/>
      <c r="C145" s="739" t="str">
        <f t="shared" si="63"/>
        <v xml:space="preserve">     Mano de obra Indirecta (2)</v>
      </c>
      <c r="D145" s="758" t="str">
        <f t="shared" si="69"/>
        <v>Global</v>
      </c>
      <c r="E145" s="749">
        <f t="shared" si="69"/>
        <v>26</v>
      </c>
      <c r="F145" s="740" t="s">
        <v>669</v>
      </c>
      <c r="G145" s="743">
        <f>F54</f>
        <v>2500</v>
      </c>
      <c r="H145" s="743">
        <f t="shared" si="74"/>
        <v>65000</v>
      </c>
      <c r="I145" s="774">
        <v>0</v>
      </c>
      <c r="J145" s="774">
        <v>0</v>
      </c>
      <c r="K145" s="774">
        <v>0</v>
      </c>
      <c r="L145" s="754">
        <f t="shared" si="70"/>
        <v>65000</v>
      </c>
      <c r="M145" s="754">
        <f t="shared" si="75"/>
        <v>65000</v>
      </c>
      <c r="N145" s="754">
        <f t="shared" si="75"/>
        <v>65000</v>
      </c>
      <c r="O145" s="754">
        <f t="shared" si="75"/>
        <v>65000</v>
      </c>
      <c r="P145" s="754">
        <f t="shared" si="75"/>
        <v>65000</v>
      </c>
      <c r="Q145" s="754">
        <f t="shared" si="75"/>
        <v>65000</v>
      </c>
      <c r="R145" s="754">
        <f t="shared" si="75"/>
        <v>65000</v>
      </c>
      <c r="S145" s="754">
        <f t="shared" si="75"/>
        <v>65000</v>
      </c>
      <c r="T145" s="754">
        <f t="shared" si="75"/>
        <v>65000</v>
      </c>
      <c r="U145" s="754">
        <f>T145</f>
        <v>65000</v>
      </c>
      <c r="W145" s="1883"/>
      <c r="X145" s="739" t="str">
        <f t="shared" si="65"/>
        <v xml:space="preserve">     Mano de obra Indirecta (2)</v>
      </c>
      <c r="Y145" s="758" t="str">
        <f t="shared" si="72"/>
        <v>Global</v>
      </c>
      <c r="Z145" s="749">
        <f t="shared" si="72"/>
        <v>26</v>
      </c>
      <c r="AA145" s="740" t="s">
        <v>669</v>
      </c>
      <c r="AB145" s="743">
        <f>G145</f>
        <v>2500</v>
      </c>
      <c r="AC145" s="743">
        <f>Z145*AB145</f>
        <v>65000</v>
      </c>
      <c r="AD145" s="800">
        <v>0.6</v>
      </c>
      <c r="AE145" s="774">
        <v>0</v>
      </c>
      <c r="AF145" s="774">
        <v>0</v>
      </c>
      <c r="AG145" s="774">
        <v>0</v>
      </c>
      <c r="AH145" s="774">
        <f>AC145*AD145</f>
        <v>39000</v>
      </c>
      <c r="AI145" s="754">
        <f t="shared" ref="AI145:AP145" si="77">AH145</f>
        <v>39000</v>
      </c>
      <c r="AJ145" s="754">
        <f t="shared" si="77"/>
        <v>39000</v>
      </c>
      <c r="AK145" s="754">
        <f t="shared" si="77"/>
        <v>39000</v>
      </c>
      <c r="AL145" s="754">
        <f t="shared" si="77"/>
        <v>39000</v>
      </c>
      <c r="AM145" s="754">
        <f t="shared" si="77"/>
        <v>39000</v>
      </c>
      <c r="AN145" s="754">
        <f t="shared" si="77"/>
        <v>39000</v>
      </c>
      <c r="AO145" s="754">
        <f t="shared" si="77"/>
        <v>39000</v>
      </c>
      <c r="AP145" s="754">
        <f t="shared" si="77"/>
        <v>39000</v>
      </c>
      <c r="AQ145" s="754">
        <f t="shared" si="76"/>
        <v>39000</v>
      </c>
    </row>
    <row r="146" spans="2:43" x14ac:dyDescent="0.25">
      <c r="B146" s="765"/>
      <c r="C146" s="765" t="str">
        <f t="shared" si="63"/>
        <v xml:space="preserve">  B.COSTOS INDIRECTOS</v>
      </c>
      <c r="D146" s="771"/>
      <c r="E146" s="767"/>
      <c r="F146" s="768"/>
      <c r="G146" s="772"/>
      <c r="H146" s="772">
        <f>SUM(H147:H154)</f>
        <v>357575</v>
      </c>
      <c r="I146" s="776">
        <f t="shared" ref="I146:U146" si="78">SUM(I147:I154)</f>
        <v>0</v>
      </c>
      <c r="J146" s="776">
        <f t="shared" si="78"/>
        <v>0</v>
      </c>
      <c r="K146" s="776">
        <f t="shared" si="78"/>
        <v>0</v>
      </c>
      <c r="L146" s="776">
        <f t="shared" si="78"/>
        <v>357575</v>
      </c>
      <c r="M146" s="776">
        <f t="shared" si="78"/>
        <v>357575</v>
      </c>
      <c r="N146" s="776">
        <f t="shared" si="78"/>
        <v>357575</v>
      </c>
      <c r="O146" s="776">
        <f t="shared" si="78"/>
        <v>357575</v>
      </c>
      <c r="P146" s="776">
        <f t="shared" si="78"/>
        <v>357575</v>
      </c>
      <c r="Q146" s="776">
        <f t="shared" si="78"/>
        <v>357575</v>
      </c>
      <c r="R146" s="776">
        <f t="shared" si="78"/>
        <v>357575</v>
      </c>
      <c r="S146" s="776">
        <f t="shared" si="78"/>
        <v>357575</v>
      </c>
      <c r="T146" s="776">
        <f t="shared" si="78"/>
        <v>357575</v>
      </c>
      <c r="U146" s="776">
        <f t="shared" si="78"/>
        <v>357575</v>
      </c>
      <c r="W146" s="765"/>
      <c r="X146" s="765" t="str">
        <f t="shared" si="65"/>
        <v xml:space="preserve">  B.COSTOS INDIRECTOS</v>
      </c>
      <c r="Y146" s="771"/>
      <c r="Z146" s="767"/>
      <c r="AA146" s="768"/>
      <c r="AB146" s="772"/>
      <c r="AC146" s="772">
        <f>SUM(AC147:AC154)</f>
        <v>357575</v>
      </c>
      <c r="AE146" s="776">
        <f t="shared" ref="AE146:AQ146" si="79">SUM(AE147:AE154)</f>
        <v>0</v>
      </c>
      <c r="AF146" s="776">
        <f t="shared" si="79"/>
        <v>0</v>
      </c>
      <c r="AG146" s="776">
        <f t="shared" si="79"/>
        <v>0</v>
      </c>
      <c r="AH146" s="776">
        <f t="shared" si="79"/>
        <v>302866.02500000002</v>
      </c>
      <c r="AI146" s="776">
        <f t="shared" si="79"/>
        <v>302866.02500000002</v>
      </c>
      <c r="AJ146" s="776">
        <f t="shared" si="79"/>
        <v>302866.02500000002</v>
      </c>
      <c r="AK146" s="776">
        <f t="shared" si="79"/>
        <v>302866.02500000002</v>
      </c>
      <c r="AL146" s="776">
        <f t="shared" si="79"/>
        <v>302866.02500000002</v>
      </c>
      <c r="AM146" s="776">
        <f t="shared" si="79"/>
        <v>302866.02500000002</v>
      </c>
      <c r="AN146" s="776">
        <f t="shared" si="79"/>
        <v>302866.02500000002</v>
      </c>
      <c r="AO146" s="776">
        <f t="shared" si="79"/>
        <v>302866.02500000002</v>
      </c>
      <c r="AP146" s="776">
        <f t="shared" si="79"/>
        <v>302866.02500000002</v>
      </c>
      <c r="AQ146" s="776">
        <f t="shared" si="79"/>
        <v>302866.02500000002</v>
      </c>
    </row>
    <row r="147" spans="2:43" x14ac:dyDescent="0.25">
      <c r="B147" s="1881"/>
      <c r="C147" s="739" t="str">
        <f t="shared" si="63"/>
        <v xml:space="preserve">     a.Mangas Poliet. envasar''</v>
      </c>
      <c r="D147" s="758" t="str">
        <f t="shared" ref="D147:E154" si="80">D56</f>
        <v>Millar</v>
      </c>
      <c r="E147" s="749">
        <f t="shared" si="80"/>
        <v>10</v>
      </c>
      <c r="F147" s="740" t="s">
        <v>669</v>
      </c>
      <c r="G147" s="743">
        <f t="shared" ref="G147:G154" si="81">F56</f>
        <v>1000</v>
      </c>
      <c r="H147" s="743">
        <f t="shared" si="74"/>
        <v>10000</v>
      </c>
      <c r="I147" s="774">
        <v>0</v>
      </c>
      <c r="J147" s="774">
        <v>0</v>
      </c>
      <c r="K147" s="774">
        <v>0</v>
      </c>
      <c r="L147" s="754">
        <f t="shared" si="70"/>
        <v>10000</v>
      </c>
      <c r="M147" s="754">
        <f t="shared" si="75"/>
        <v>10000</v>
      </c>
      <c r="N147" s="754">
        <f t="shared" si="75"/>
        <v>10000</v>
      </c>
      <c r="O147" s="754">
        <f t="shared" si="75"/>
        <v>10000</v>
      </c>
      <c r="P147" s="754">
        <f t="shared" si="75"/>
        <v>10000</v>
      </c>
      <c r="Q147" s="754">
        <f t="shared" si="75"/>
        <v>10000</v>
      </c>
      <c r="R147" s="754">
        <f t="shared" si="75"/>
        <v>10000</v>
      </c>
      <c r="S147" s="754">
        <f t="shared" si="75"/>
        <v>10000</v>
      </c>
      <c r="T147" s="754">
        <f t="shared" si="75"/>
        <v>10000</v>
      </c>
      <c r="U147" s="754">
        <f t="shared" ref="U147:U154" si="82">T147</f>
        <v>10000</v>
      </c>
      <c r="W147" s="1881"/>
      <c r="X147" s="739" t="str">
        <f t="shared" si="65"/>
        <v xml:space="preserve">     a.Mangas Poliet. envasar''</v>
      </c>
      <c r="Y147" s="758" t="str">
        <f>D147</f>
        <v>Millar</v>
      </c>
      <c r="Z147" s="749">
        <f>E147</f>
        <v>10</v>
      </c>
      <c r="AA147" s="740" t="s">
        <v>669</v>
      </c>
      <c r="AB147" s="743">
        <f>G147</f>
        <v>1000</v>
      </c>
      <c r="AC147" s="743">
        <f t="shared" ref="AC147:AC154" si="83">Z147*AB147</f>
        <v>10000</v>
      </c>
      <c r="AD147" s="800">
        <v>0.84699999999999998</v>
      </c>
      <c r="AE147" s="774">
        <v>0</v>
      </c>
      <c r="AF147" s="774">
        <v>0</v>
      </c>
      <c r="AG147" s="774">
        <v>0</v>
      </c>
      <c r="AH147" s="754">
        <f>AC147*AD147</f>
        <v>8470</v>
      </c>
      <c r="AI147" s="754">
        <f t="shared" ref="AI147:AQ147" si="84">AH147</f>
        <v>8470</v>
      </c>
      <c r="AJ147" s="754">
        <f t="shared" si="84"/>
        <v>8470</v>
      </c>
      <c r="AK147" s="754">
        <f t="shared" si="84"/>
        <v>8470</v>
      </c>
      <c r="AL147" s="754">
        <f t="shared" si="84"/>
        <v>8470</v>
      </c>
      <c r="AM147" s="754">
        <f t="shared" si="84"/>
        <v>8470</v>
      </c>
      <c r="AN147" s="754">
        <f t="shared" si="84"/>
        <v>8470</v>
      </c>
      <c r="AO147" s="754">
        <f t="shared" si="84"/>
        <v>8470</v>
      </c>
      <c r="AP147" s="754">
        <f t="shared" si="84"/>
        <v>8470</v>
      </c>
      <c r="AQ147" s="754">
        <f t="shared" si="84"/>
        <v>8470</v>
      </c>
    </row>
    <row r="148" spans="2:43" x14ac:dyDescent="0.25">
      <c r="B148" s="1882"/>
      <c r="C148" s="739" t="str">
        <f t="shared" si="63"/>
        <v xml:space="preserve">     b.Polietileno alta dens.</v>
      </c>
      <c r="D148" s="758" t="str">
        <f t="shared" si="80"/>
        <v>Bobina</v>
      </c>
      <c r="E148" s="749">
        <f t="shared" si="80"/>
        <v>100</v>
      </c>
      <c r="F148" s="740" t="s">
        <v>669</v>
      </c>
      <c r="G148" s="743">
        <f t="shared" si="81"/>
        <v>10</v>
      </c>
      <c r="H148" s="743">
        <f t="shared" si="74"/>
        <v>1000</v>
      </c>
      <c r="I148" s="774">
        <v>0</v>
      </c>
      <c r="J148" s="774">
        <v>0</v>
      </c>
      <c r="K148" s="774">
        <v>0</v>
      </c>
      <c r="L148" s="754">
        <f t="shared" si="70"/>
        <v>1000</v>
      </c>
      <c r="M148" s="754">
        <f t="shared" si="75"/>
        <v>1000</v>
      </c>
      <c r="N148" s="754">
        <f t="shared" si="75"/>
        <v>1000</v>
      </c>
      <c r="O148" s="754">
        <f t="shared" si="75"/>
        <v>1000</v>
      </c>
      <c r="P148" s="754">
        <f t="shared" si="75"/>
        <v>1000</v>
      </c>
      <c r="Q148" s="754">
        <f t="shared" si="75"/>
        <v>1000</v>
      </c>
      <c r="R148" s="754">
        <f t="shared" si="75"/>
        <v>1000</v>
      </c>
      <c r="S148" s="754">
        <f t="shared" si="75"/>
        <v>1000</v>
      </c>
      <c r="T148" s="754">
        <f t="shared" si="75"/>
        <v>1000</v>
      </c>
      <c r="U148" s="754">
        <f t="shared" si="82"/>
        <v>1000</v>
      </c>
      <c r="W148" s="1882"/>
      <c r="X148" s="739" t="str">
        <f t="shared" ref="X148:X155" si="85">C148</f>
        <v xml:space="preserve">     b.Polietileno alta dens.</v>
      </c>
      <c r="Y148" s="758" t="str">
        <f t="shared" ref="Y148:Y154" si="86">D148</f>
        <v>Bobina</v>
      </c>
      <c r="Z148" s="749">
        <f t="shared" ref="Z148:Z154" si="87">E148</f>
        <v>100</v>
      </c>
      <c r="AA148" s="740" t="s">
        <v>669</v>
      </c>
      <c r="AB148" s="743">
        <f t="shared" ref="AB148:AB154" si="88">G148</f>
        <v>10</v>
      </c>
      <c r="AC148" s="743">
        <f t="shared" si="83"/>
        <v>1000</v>
      </c>
      <c r="AD148" s="800">
        <v>0.84699999999999998</v>
      </c>
      <c r="AE148" s="774">
        <v>0</v>
      </c>
      <c r="AF148" s="774">
        <v>0</v>
      </c>
      <c r="AG148" s="774">
        <v>0</v>
      </c>
      <c r="AH148" s="754">
        <f t="shared" ref="AH148:AH155" si="89">AC148*AD148</f>
        <v>847</v>
      </c>
      <c r="AI148" s="754">
        <f t="shared" ref="AI148:AP148" si="90">AH148</f>
        <v>847</v>
      </c>
      <c r="AJ148" s="754">
        <f t="shared" si="90"/>
        <v>847</v>
      </c>
      <c r="AK148" s="754">
        <f t="shared" si="90"/>
        <v>847</v>
      </c>
      <c r="AL148" s="754">
        <f t="shared" si="90"/>
        <v>847</v>
      </c>
      <c r="AM148" s="754">
        <f t="shared" si="90"/>
        <v>847</v>
      </c>
      <c r="AN148" s="754">
        <f t="shared" si="90"/>
        <v>847</v>
      </c>
      <c r="AO148" s="754">
        <f t="shared" si="90"/>
        <v>847</v>
      </c>
      <c r="AP148" s="754">
        <f t="shared" si="90"/>
        <v>847</v>
      </c>
      <c r="AQ148" s="754">
        <f t="shared" ref="AQ148:AQ154" si="91">AP148</f>
        <v>847</v>
      </c>
    </row>
    <row r="149" spans="2:43" x14ac:dyDescent="0.25">
      <c r="B149" s="1882"/>
      <c r="C149" s="739" t="str">
        <f t="shared" si="63"/>
        <v xml:space="preserve">     c.Cajas de carton.</v>
      </c>
      <c r="D149" s="758" t="str">
        <f t="shared" si="80"/>
        <v>Millar</v>
      </c>
      <c r="E149" s="749">
        <f t="shared" si="80"/>
        <v>1</v>
      </c>
      <c r="F149" s="740" t="s">
        <v>669</v>
      </c>
      <c r="G149" s="743">
        <f t="shared" si="81"/>
        <v>2500</v>
      </c>
      <c r="H149" s="743">
        <f t="shared" si="74"/>
        <v>2500</v>
      </c>
      <c r="I149" s="774">
        <v>0</v>
      </c>
      <c r="J149" s="774">
        <v>0</v>
      </c>
      <c r="K149" s="774">
        <v>0</v>
      </c>
      <c r="L149" s="754">
        <f t="shared" si="70"/>
        <v>2500</v>
      </c>
      <c r="M149" s="754">
        <f t="shared" si="75"/>
        <v>2500</v>
      </c>
      <c r="N149" s="754">
        <f t="shared" si="75"/>
        <v>2500</v>
      </c>
      <c r="O149" s="754">
        <f t="shared" si="75"/>
        <v>2500</v>
      </c>
      <c r="P149" s="754">
        <f t="shared" si="75"/>
        <v>2500</v>
      </c>
      <c r="Q149" s="754">
        <f t="shared" si="75"/>
        <v>2500</v>
      </c>
      <c r="R149" s="754">
        <f t="shared" si="75"/>
        <v>2500</v>
      </c>
      <c r="S149" s="754">
        <f t="shared" si="75"/>
        <v>2500</v>
      </c>
      <c r="T149" s="754">
        <f t="shared" si="75"/>
        <v>2500</v>
      </c>
      <c r="U149" s="754">
        <f t="shared" si="82"/>
        <v>2500</v>
      </c>
      <c r="W149" s="1882"/>
      <c r="X149" s="739" t="str">
        <f t="shared" si="85"/>
        <v xml:space="preserve">     c.Cajas de carton.</v>
      </c>
      <c r="Y149" s="758" t="str">
        <f t="shared" si="86"/>
        <v>Millar</v>
      </c>
      <c r="Z149" s="749">
        <f t="shared" si="87"/>
        <v>1</v>
      </c>
      <c r="AA149" s="740" t="s">
        <v>669</v>
      </c>
      <c r="AB149" s="743">
        <f t="shared" si="88"/>
        <v>2500</v>
      </c>
      <c r="AC149" s="743">
        <f t="shared" si="83"/>
        <v>2500</v>
      </c>
      <c r="AD149" s="800">
        <v>0.84699999999999998</v>
      </c>
      <c r="AE149" s="774">
        <v>0</v>
      </c>
      <c r="AF149" s="774">
        <v>0</v>
      </c>
      <c r="AG149" s="774">
        <v>0</v>
      </c>
      <c r="AH149" s="754">
        <f t="shared" si="89"/>
        <v>2117.5</v>
      </c>
      <c r="AI149" s="754">
        <f t="shared" ref="AI149:AP149" si="92">AH149</f>
        <v>2117.5</v>
      </c>
      <c r="AJ149" s="754">
        <f t="shared" si="92"/>
        <v>2117.5</v>
      </c>
      <c r="AK149" s="754">
        <f t="shared" si="92"/>
        <v>2117.5</v>
      </c>
      <c r="AL149" s="754">
        <f t="shared" si="92"/>
        <v>2117.5</v>
      </c>
      <c r="AM149" s="754">
        <f t="shared" si="92"/>
        <v>2117.5</v>
      </c>
      <c r="AN149" s="754">
        <f t="shared" si="92"/>
        <v>2117.5</v>
      </c>
      <c r="AO149" s="754">
        <f t="shared" si="92"/>
        <v>2117.5</v>
      </c>
      <c r="AP149" s="754">
        <f t="shared" si="92"/>
        <v>2117.5</v>
      </c>
      <c r="AQ149" s="754">
        <f t="shared" si="91"/>
        <v>2117.5</v>
      </c>
    </row>
    <row r="150" spans="2:43" x14ac:dyDescent="0.25">
      <c r="B150" s="1882"/>
      <c r="C150" s="739" t="str">
        <f t="shared" si="63"/>
        <v xml:space="preserve">     d.Energía eléctrica</v>
      </c>
      <c r="D150" s="758" t="str">
        <f t="shared" si="80"/>
        <v>Kw/h</v>
      </c>
      <c r="E150" s="749">
        <f t="shared" si="80"/>
        <v>75850</v>
      </c>
      <c r="F150" s="740" t="s">
        <v>669</v>
      </c>
      <c r="G150" s="743">
        <f t="shared" si="81"/>
        <v>3.5</v>
      </c>
      <c r="H150" s="743">
        <f t="shared" si="74"/>
        <v>265475</v>
      </c>
      <c r="I150" s="774">
        <v>0</v>
      </c>
      <c r="J150" s="774">
        <v>0</v>
      </c>
      <c r="K150" s="774">
        <v>0</v>
      </c>
      <c r="L150" s="754">
        <f t="shared" si="70"/>
        <v>265475</v>
      </c>
      <c r="M150" s="754">
        <f t="shared" si="75"/>
        <v>265475</v>
      </c>
      <c r="N150" s="754">
        <f t="shared" si="75"/>
        <v>265475</v>
      </c>
      <c r="O150" s="754">
        <f t="shared" si="75"/>
        <v>265475</v>
      </c>
      <c r="P150" s="754">
        <f t="shared" si="75"/>
        <v>265475</v>
      </c>
      <c r="Q150" s="754">
        <f t="shared" si="75"/>
        <v>265475</v>
      </c>
      <c r="R150" s="754">
        <f t="shared" si="75"/>
        <v>265475</v>
      </c>
      <c r="S150" s="754">
        <f t="shared" si="75"/>
        <v>265475</v>
      </c>
      <c r="T150" s="754">
        <f t="shared" si="75"/>
        <v>265475</v>
      </c>
      <c r="U150" s="754">
        <f t="shared" si="82"/>
        <v>265475</v>
      </c>
      <c r="W150" s="1882"/>
      <c r="X150" s="739" t="str">
        <f t="shared" si="85"/>
        <v xml:space="preserve">     d.Energía eléctrica</v>
      </c>
      <c r="Y150" s="758" t="str">
        <f t="shared" si="86"/>
        <v>Kw/h</v>
      </c>
      <c r="Z150" s="749">
        <f t="shared" si="87"/>
        <v>75850</v>
      </c>
      <c r="AA150" s="740" t="s">
        <v>669</v>
      </c>
      <c r="AB150" s="743">
        <f t="shared" si="88"/>
        <v>3.5</v>
      </c>
      <c r="AC150" s="743">
        <f t="shared" si="83"/>
        <v>265475</v>
      </c>
      <c r="AD150" s="800">
        <v>0.84699999999999998</v>
      </c>
      <c r="AE150" s="774">
        <v>0</v>
      </c>
      <c r="AF150" s="774">
        <v>0</v>
      </c>
      <c r="AG150" s="774">
        <v>0</v>
      </c>
      <c r="AH150" s="754">
        <f t="shared" si="89"/>
        <v>224857.32499999998</v>
      </c>
      <c r="AI150" s="754">
        <f t="shared" ref="AI150:AP150" si="93">AH150</f>
        <v>224857.32499999998</v>
      </c>
      <c r="AJ150" s="754">
        <f t="shared" si="93"/>
        <v>224857.32499999998</v>
      </c>
      <c r="AK150" s="754">
        <f t="shared" si="93"/>
        <v>224857.32499999998</v>
      </c>
      <c r="AL150" s="754">
        <f t="shared" si="93"/>
        <v>224857.32499999998</v>
      </c>
      <c r="AM150" s="754">
        <f t="shared" si="93"/>
        <v>224857.32499999998</v>
      </c>
      <c r="AN150" s="754">
        <f t="shared" si="93"/>
        <v>224857.32499999998</v>
      </c>
      <c r="AO150" s="754">
        <f t="shared" si="93"/>
        <v>224857.32499999998</v>
      </c>
      <c r="AP150" s="754">
        <f t="shared" si="93"/>
        <v>224857.32499999998</v>
      </c>
      <c r="AQ150" s="754">
        <f t="shared" si="91"/>
        <v>224857.32499999998</v>
      </c>
    </row>
    <row r="151" spans="2:43" x14ac:dyDescent="0.25">
      <c r="B151" s="1882"/>
      <c r="C151" s="739" t="str">
        <f t="shared" si="63"/>
        <v xml:space="preserve">     e.Agua</v>
      </c>
      <c r="D151" s="758" t="str">
        <f t="shared" si="80"/>
        <v>m3</v>
      </c>
      <c r="E151" s="749">
        <f t="shared" si="80"/>
        <v>1200</v>
      </c>
      <c r="F151" s="740" t="s">
        <v>669</v>
      </c>
      <c r="G151" s="743">
        <f t="shared" si="81"/>
        <v>0.5</v>
      </c>
      <c r="H151" s="743">
        <f t="shared" si="74"/>
        <v>600</v>
      </c>
      <c r="I151" s="774">
        <v>0</v>
      </c>
      <c r="J151" s="774">
        <v>0</v>
      </c>
      <c r="K151" s="774">
        <v>0</v>
      </c>
      <c r="L151" s="754">
        <f t="shared" si="70"/>
        <v>600</v>
      </c>
      <c r="M151" s="754">
        <f t="shared" si="75"/>
        <v>600</v>
      </c>
      <c r="N151" s="754">
        <f t="shared" si="75"/>
        <v>600</v>
      </c>
      <c r="O151" s="754">
        <f t="shared" si="75"/>
        <v>600</v>
      </c>
      <c r="P151" s="754">
        <f t="shared" si="75"/>
        <v>600</v>
      </c>
      <c r="Q151" s="754">
        <f t="shared" si="75"/>
        <v>600</v>
      </c>
      <c r="R151" s="754">
        <f t="shared" si="75"/>
        <v>600</v>
      </c>
      <c r="S151" s="754">
        <f t="shared" si="75"/>
        <v>600</v>
      </c>
      <c r="T151" s="754">
        <f t="shared" si="75"/>
        <v>600</v>
      </c>
      <c r="U151" s="754">
        <f t="shared" si="82"/>
        <v>600</v>
      </c>
      <c r="W151" s="1882"/>
      <c r="X151" s="739" t="str">
        <f t="shared" si="85"/>
        <v xml:space="preserve">     e.Agua</v>
      </c>
      <c r="Y151" s="758" t="str">
        <f t="shared" si="86"/>
        <v>m3</v>
      </c>
      <c r="Z151" s="749">
        <f t="shared" si="87"/>
        <v>1200</v>
      </c>
      <c r="AA151" s="740" t="s">
        <v>669</v>
      </c>
      <c r="AB151" s="743">
        <f t="shared" si="88"/>
        <v>0.5</v>
      </c>
      <c r="AC151" s="743">
        <f t="shared" si="83"/>
        <v>600</v>
      </c>
      <c r="AD151" s="800">
        <v>0.84699999999999998</v>
      </c>
      <c r="AE151" s="774">
        <v>0</v>
      </c>
      <c r="AF151" s="774">
        <v>0</v>
      </c>
      <c r="AG151" s="774">
        <v>0</v>
      </c>
      <c r="AH151" s="754">
        <f t="shared" si="89"/>
        <v>508.2</v>
      </c>
      <c r="AI151" s="754">
        <f t="shared" ref="AI151:AP151" si="94">AH151</f>
        <v>508.2</v>
      </c>
      <c r="AJ151" s="754">
        <f t="shared" si="94"/>
        <v>508.2</v>
      </c>
      <c r="AK151" s="754">
        <f t="shared" si="94"/>
        <v>508.2</v>
      </c>
      <c r="AL151" s="754">
        <f t="shared" si="94"/>
        <v>508.2</v>
      </c>
      <c r="AM151" s="754">
        <f t="shared" si="94"/>
        <v>508.2</v>
      </c>
      <c r="AN151" s="754">
        <f t="shared" si="94"/>
        <v>508.2</v>
      </c>
      <c r="AO151" s="754">
        <f t="shared" si="94"/>
        <v>508.2</v>
      </c>
      <c r="AP151" s="754">
        <f t="shared" si="94"/>
        <v>508.2</v>
      </c>
      <c r="AQ151" s="754">
        <f t="shared" si="91"/>
        <v>508.2</v>
      </c>
    </row>
    <row r="152" spans="2:43" x14ac:dyDescent="0.25">
      <c r="B152" s="1882"/>
      <c r="C152" s="739" t="str">
        <f t="shared" si="63"/>
        <v xml:space="preserve">     g.Mantenimiento y repuesto</v>
      </c>
      <c r="D152" s="758" t="str">
        <f t="shared" si="80"/>
        <v>Global</v>
      </c>
      <c r="E152" s="749">
        <f t="shared" si="80"/>
        <v>1</v>
      </c>
      <c r="F152" s="740" t="s">
        <v>669</v>
      </c>
      <c r="G152" s="743">
        <f t="shared" si="81"/>
        <v>40000</v>
      </c>
      <c r="H152" s="743">
        <f t="shared" si="74"/>
        <v>40000</v>
      </c>
      <c r="I152" s="774"/>
      <c r="J152" s="774"/>
      <c r="K152" s="774"/>
      <c r="L152" s="754">
        <f t="shared" si="70"/>
        <v>40000</v>
      </c>
      <c r="M152" s="754">
        <f t="shared" si="75"/>
        <v>40000</v>
      </c>
      <c r="N152" s="754">
        <f t="shared" si="75"/>
        <v>40000</v>
      </c>
      <c r="O152" s="754">
        <f t="shared" si="75"/>
        <v>40000</v>
      </c>
      <c r="P152" s="754">
        <f t="shared" si="75"/>
        <v>40000</v>
      </c>
      <c r="Q152" s="754">
        <f t="shared" si="75"/>
        <v>40000</v>
      </c>
      <c r="R152" s="754">
        <f t="shared" si="75"/>
        <v>40000</v>
      </c>
      <c r="S152" s="754">
        <f t="shared" si="75"/>
        <v>40000</v>
      </c>
      <c r="T152" s="754">
        <f t="shared" si="75"/>
        <v>40000</v>
      </c>
      <c r="U152" s="754">
        <f t="shared" si="82"/>
        <v>40000</v>
      </c>
      <c r="W152" s="1882"/>
      <c r="X152" s="739" t="str">
        <f t="shared" si="85"/>
        <v xml:space="preserve">     g.Mantenimiento y repuesto</v>
      </c>
      <c r="Y152" s="758" t="str">
        <f t="shared" si="86"/>
        <v>Global</v>
      </c>
      <c r="Z152" s="749">
        <f t="shared" si="87"/>
        <v>1</v>
      </c>
      <c r="AA152" s="740" t="s">
        <v>669</v>
      </c>
      <c r="AB152" s="743">
        <f t="shared" si="88"/>
        <v>40000</v>
      </c>
      <c r="AC152" s="743">
        <f t="shared" si="83"/>
        <v>40000</v>
      </c>
      <c r="AD152" s="800">
        <v>0.84699999999999998</v>
      </c>
      <c r="AE152" s="774"/>
      <c r="AF152" s="774"/>
      <c r="AG152" s="774"/>
      <c r="AH152" s="754">
        <f t="shared" si="89"/>
        <v>33880</v>
      </c>
      <c r="AI152" s="754">
        <f t="shared" ref="AI152:AP152" si="95">AH152</f>
        <v>33880</v>
      </c>
      <c r="AJ152" s="754">
        <f t="shared" si="95"/>
        <v>33880</v>
      </c>
      <c r="AK152" s="754">
        <f t="shared" si="95"/>
        <v>33880</v>
      </c>
      <c r="AL152" s="754">
        <f t="shared" si="95"/>
        <v>33880</v>
      </c>
      <c r="AM152" s="754">
        <f t="shared" si="95"/>
        <v>33880</v>
      </c>
      <c r="AN152" s="754">
        <f t="shared" si="95"/>
        <v>33880</v>
      </c>
      <c r="AO152" s="754">
        <f t="shared" si="95"/>
        <v>33880</v>
      </c>
      <c r="AP152" s="754">
        <f t="shared" si="95"/>
        <v>33880</v>
      </c>
      <c r="AQ152" s="754">
        <f t="shared" si="91"/>
        <v>33880</v>
      </c>
    </row>
    <row r="153" spans="2:43" x14ac:dyDescent="0.25">
      <c r="B153" s="1882"/>
      <c r="C153" s="739" t="str">
        <f t="shared" si="63"/>
        <v xml:space="preserve">     i.Depreciaciones</v>
      </c>
      <c r="D153" s="758" t="str">
        <f t="shared" si="80"/>
        <v>Global</v>
      </c>
      <c r="E153" s="749">
        <f t="shared" si="80"/>
        <v>1</v>
      </c>
      <c r="F153" s="740" t="s">
        <v>669</v>
      </c>
      <c r="G153" s="743">
        <f t="shared" si="81"/>
        <v>18000</v>
      </c>
      <c r="H153" s="743">
        <f t="shared" si="74"/>
        <v>18000</v>
      </c>
      <c r="I153" s="774">
        <v>0</v>
      </c>
      <c r="J153" s="774">
        <v>0</v>
      </c>
      <c r="K153" s="774">
        <v>0</v>
      </c>
      <c r="L153" s="754">
        <f t="shared" si="70"/>
        <v>18000</v>
      </c>
      <c r="M153" s="754">
        <f t="shared" si="75"/>
        <v>18000</v>
      </c>
      <c r="N153" s="754">
        <f t="shared" si="75"/>
        <v>18000</v>
      </c>
      <c r="O153" s="754">
        <f t="shared" si="75"/>
        <v>18000</v>
      </c>
      <c r="P153" s="754">
        <f t="shared" si="75"/>
        <v>18000</v>
      </c>
      <c r="Q153" s="754">
        <f t="shared" si="75"/>
        <v>18000</v>
      </c>
      <c r="R153" s="754">
        <f t="shared" si="75"/>
        <v>18000</v>
      </c>
      <c r="S153" s="754">
        <f t="shared" si="75"/>
        <v>18000</v>
      </c>
      <c r="T153" s="754">
        <f t="shared" si="75"/>
        <v>18000</v>
      </c>
      <c r="U153" s="754">
        <f t="shared" si="82"/>
        <v>18000</v>
      </c>
      <c r="W153" s="1882"/>
      <c r="X153" s="739" t="str">
        <f t="shared" si="85"/>
        <v xml:space="preserve">     i.Depreciaciones</v>
      </c>
      <c r="Y153" s="758" t="str">
        <f t="shared" si="86"/>
        <v>Global</v>
      </c>
      <c r="Z153" s="749">
        <f t="shared" si="87"/>
        <v>1</v>
      </c>
      <c r="AA153" s="740" t="s">
        <v>669</v>
      </c>
      <c r="AB153" s="743">
        <f t="shared" si="88"/>
        <v>18000</v>
      </c>
      <c r="AC153" s="743">
        <f t="shared" si="83"/>
        <v>18000</v>
      </c>
      <c r="AD153" s="800">
        <v>0.84699999999999998</v>
      </c>
      <c r="AE153" s="774">
        <v>0</v>
      </c>
      <c r="AF153" s="774">
        <v>0</v>
      </c>
      <c r="AG153" s="774">
        <v>0</v>
      </c>
      <c r="AH153" s="754">
        <f t="shared" si="89"/>
        <v>15246</v>
      </c>
      <c r="AI153" s="754">
        <f t="shared" ref="AI153:AP153" si="96">AH153</f>
        <v>15246</v>
      </c>
      <c r="AJ153" s="754">
        <f t="shared" si="96"/>
        <v>15246</v>
      </c>
      <c r="AK153" s="754">
        <f t="shared" si="96"/>
        <v>15246</v>
      </c>
      <c r="AL153" s="754">
        <f t="shared" si="96"/>
        <v>15246</v>
      </c>
      <c r="AM153" s="754">
        <f t="shared" si="96"/>
        <v>15246</v>
      </c>
      <c r="AN153" s="754">
        <f t="shared" si="96"/>
        <v>15246</v>
      </c>
      <c r="AO153" s="754">
        <f t="shared" si="96"/>
        <v>15246</v>
      </c>
      <c r="AP153" s="754">
        <f t="shared" si="96"/>
        <v>15246</v>
      </c>
      <c r="AQ153" s="754">
        <f t="shared" si="91"/>
        <v>15246</v>
      </c>
    </row>
    <row r="154" spans="2:43" x14ac:dyDescent="0.25">
      <c r="B154" s="1882"/>
      <c r="C154" s="739" t="str">
        <f t="shared" si="63"/>
        <v xml:space="preserve">     j.Imprevistos</v>
      </c>
      <c r="D154" s="758" t="str">
        <f t="shared" si="80"/>
        <v>Global</v>
      </c>
      <c r="E154" s="749">
        <f t="shared" si="80"/>
        <v>1</v>
      </c>
      <c r="F154" s="740" t="s">
        <v>669</v>
      </c>
      <c r="G154" s="743">
        <f t="shared" si="81"/>
        <v>20000</v>
      </c>
      <c r="H154" s="743">
        <f t="shared" si="74"/>
        <v>20000</v>
      </c>
      <c r="I154" s="774">
        <v>0</v>
      </c>
      <c r="J154" s="774">
        <v>0</v>
      </c>
      <c r="K154" s="774">
        <v>0</v>
      </c>
      <c r="L154" s="754">
        <f t="shared" si="70"/>
        <v>20000</v>
      </c>
      <c r="M154" s="754">
        <f t="shared" si="75"/>
        <v>20000</v>
      </c>
      <c r="N154" s="754">
        <f t="shared" si="75"/>
        <v>20000</v>
      </c>
      <c r="O154" s="754">
        <f t="shared" si="75"/>
        <v>20000</v>
      </c>
      <c r="P154" s="754">
        <f t="shared" si="75"/>
        <v>20000</v>
      </c>
      <c r="Q154" s="754">
        <f t="shared" si="75"/>
        <v>20000</v>
      </c>
      <c r="R154" s="754">
        <f t="shared" si="75"/>
        <v>20000</v>
      </c>
      <c r="S154" s="754">
        <f t="shared" si="75"/>
        <v>20000</v>
      </c>
      <c r="T154" s="754">
        <f t="shared" si="75"/>
        <v>20000</v>
      </c>
      <c r="U154" s="754">
        <f t="shared" si="82"/>
        <v>20000</v>
      </c>
      <c r="W154" s="1882"/>
      <c r="X154" s="739" t="str">
        <f t="shared" si="85"/>
        <v xml:space="preserve">     j.Imprevistos</v>
      </c>
      <c r="Y154" s="758" t="str">
        <f t="shared" si="86"/>
        <v>Global</v>
      </c>
      <c r="Z154" s="749">
        <f t="shared" si="87"/>
        <v>1</v>
      </c>
      <c r="AA154" s="740" t="s">
        <v>669</v>
      </c>
      <c r="AB154" s="743">
        <f t="shared" si="88"/>
        <v>20000</v>
      </c>
      <c r="AC154" s="743">
        <f t="shared" si="83"/>
        <v>20000</v>
      </c>
      <c r="AD154" s="800">
        <v>0.84699999999999998</v>
      </c>
      <c r="AE154" s="774">
        <v>0</v>
      </c>
      <c r="AF154" s="774">
        <v>0</v>
      </c>
      <c r="AG154" s="774">
        <v>0</v>
      </c>
      <c r="AH154" s="754">
        <f t="shared" si="89"/>
        <v>16940</v>
      </c>
      <c r="AI154" s="754">
        <f t="shared" ref="AI154:AP154" si="97">AH154</f>
        <v>16940</v>
      </c>
      <c r="AJ154" s="754">
        <f t="shared" si="97"/>
        <v>16940</v>
      </c>
      <c r="AK154" s="754">
        <f t="shared" si="97"/>
        <v>16940</v>
      </c>
      <c r="AL154" s="754">
        <f t="shared" si="97"/>
        <v>16940</v>
      </c>
      <c r="AM154" s="754">
        <f t="shared" si="97"/>
        <v>16940</v>
      </c>
      <c r="AN154" s="754">
        <f t="shared" si="97"/>
        <v>16940</v>
      </c>
      <c r="AO154" s="754">
        <f t="shared" si="97"/>
        <v>16940</v>
      </c>
      <c r="AP154" s="754">
        <f t="shared" si="97"/>
        <v>16940</v>
      </c>
      <c r="AQ154" s="754">
        <f t="shared" si="91"/>
        <v>16940</v>
      </c>
    </row>
    <row r="155" spans="2:43" x14ac:dyDescent="0.25">
      <c r="B155" s="1883"/>
      <c r="C155" s="759" t="str">
        <f t="shared" si="63"/>
        <v>II.COSTOS DE OPERACION</v>
      </c>
      <c r="D155" s="758"/>
      <c r="E155" s="749"/>
      <c r="F155" s="740"/>
      <c r="G155" s="743"/>
      <c r="H155" s="743">
        <f>SUM(H156)</f>
        <v>44200</v>
      </c>
      <c r="I155" s="774">
        <f t="shared" ref="I155:U155" si="98">SUM(I156)</f>
        <v>0</v>
      </c>
      <c r="J155" s="774">
        <f t="shared" si="98"/>
        <v>0</v>
      </c>
      <c r="K155" s="774">
        <f t="shared" si="98"/>
        <v>0</v>
      </c>
      <c r="L155" s="774">
        <f t="shared" si="98"/>
        <v>44200</v>
      </c>
      <c r="M155" s="774">
        <f t="shared" si="98"/>
        <v>44200</v>
      </c>
      <c r="N155" s="774">
        <f t="shared" si="98"/>
        <v>44200</v>
      </c>
      <c r="O155" s="774">
        <f t="shared" si="98"/>
        <v>44200</v>
      </c>
      <c r="P155" s="774">
        <f t="shared" si="98"/>
        <v>44200</v>
      </c>
      <c r="Q155" s="774">
        <f t="shared" si="98"/>
        <v>44200</v>
      </c>
      <c r="R155" s="774">
        <f t="shared" si="98"/>
        <v>44200</v>
      </c>
      <c r="S155" s="774">
        <f t="shared" si="98"/>
        <v>44200</v>
      </c>
      <c r="T155" s="774">
        <f t="shared" si="98"/>
        <v>44200</v>
      </c>
      <c r="U155" s="774">
        <f t="shared" si="98"/>
        <v>44200</v>
      </c>
      <c r="W155" s="1883"/>
      <c r="X155" s="759" t="str">
        <f t="shared" si="85"/>
        <v>II.COSTOS DE OPERACION</v>
      </c>
      <c r="Y155" s="758"/>
      <c r="Z155" s="749"/>
      <c r="AA155" s="740"/>
      <c r="AB155" s="743"/>
      <c r="AC155" s="743">
        <f>SUM(AC156)</f>
        <v>44200</v>
      </c>
      <c r="AD155" s="739"/>
      <c r="AE155" s="774">
        <f>SUM(AE156)</f>
        <v>0</v>
      </c>
      <c r="AF155" s="774">
        <f>SUM(AF156)</f>
        <v>0</v>
      </c>
      <c r="AG155" s="774">
        <f>SUM(AG156)</f>
        <v>0</v>
      </c>
      <c r="AH155" s="774">
        <f t="shared" si="89"/>
        <v>0</v>
      </c>
      <c r="AI155" s="774">
        <f t="shared" ref="AI155:AQ155" si="99">SUM(AI156)</f>
        <v>37437.4</v>
      </c>
      <c r="AJ155" s="774">
        <f t="shared" si="99"/>
        <v>37437.4</v>
      </c>
      <c r="AK155" s="774">
        <f t="shared" si="99"/>
        <v>37437.4</v>
      </c>
      <c r="AL155" s="774">
        <f t="shared" si="99"/>
        <v>37437.4</v>
      </c>
      <c r="AM155" s="774">
        <f t="shared" si="99"/>
        <v>37437.4</v>
      </c>
      <c r="AN155" s="774">
        <f t="shared" si="99"/>
        <v>37437.4</v>
      </c>
      <c r="AO155" s="774">
        <f t="shared" si="99"/>
        <v>37437.4</v>
      </c>
      <c r="AP155" s="774">
        <f t="shared" si="99"/>
        <v>37437.4</v>
      </c>
      <c r="AQ155" s="774">
        <f t="shared" si="99"/>
        <v>37437.4</v>
      </c>
    </row>
    <row r="156" spans="2:43" x14ac:dyDescent="0.25">
      <c r="B156" s="765"/>
      <c r="C156" s="765" t="str">
        <f t="shared" si="63"/>
        <v xml:space="preserve">  A.COSTOS DE COMERCIALIZACION</v>
      </c>
      <c r="D156" s="771"/>
      <c r="E156" s="767"/>
      <c r="F156" s="768"/>
      <c r="G156" s="772"/>
      <c r="H156" s="772">
        <f>SUM(H157:H159)</f>
        <v>44200</v>
      </c>
      <c r="I156" s="776">
        <f t="shared" ref="I156:U156" si="100">SUM(I157:I159)</f>
        <v>0</v>
      </c>
      <c r="J156" s="776">
        <f t="shared" si="100"/>
        <v>0</v>
      </c>
      <c r="K156" s="776">
        <f t="shared" si="100"/>
        <v>0</v>
      </c>
      <c r="L156" s="776">
        <f t="shared" si="100"/>
        <v>44200</v>
      </c>
      <c r="M156" s="776">
        <f t="shared" si="100"/>
        <v>44200</v>
      </c>
      <c r="N156" s="776">
        <f t="shared" si="100"/>
        <v>44200</v>
      </c>
      <c r="O156" s="776">
        <f t="shared" si="100"/>
        <v>44200</v>
      </c>
      <c r="P156" s="776">
        <f t="shared" si="100"/>
        <v>44200</v>
      </c>
      <c r="Q156" s="776">
        <f t="shared" si="100"/>
        <v>44200</v>
      </c>
      <c r="R156" s="776">
        <f t="shared" si="100"/>
        <v>44200</v>
      </c>
      <c r="S156" s="776">
        <f t="shared" si="100"/>
        <v>44200</v>
      </c>
      <c r="T156" s="776">
        <f t="shared" si="100"/>
        <v>44200</v>
      </c>
      <c r="U156" s="776">
        <f t="shared" si="100"/>
        <v>44200</v>
      </c>
      <c r="W156" s="765"/>
      <c r="X156" s="765" t="str">
        <f t="shared" ref="X156:X170" si="101">C156</f>
        <v xml:space="preserve">  A.COSTOS DE COMERCIALIZACION</v>
      </c>
      <c r="Y156" s="771"/>
      <c r="Z156" s="767"/>
      <c r="AA156" s="768"/>
      <c r="AB156" s="772"/>
      <c r="AC156" s="772">
        <f>SUM(AC157:AC159)</f>
        <v>44200</v>
      </c>
      <c r="AE156" s="776">
        <f t="shared" ref="AE156:AQ156" si="102">SUM(AE157:AE159)</f>
        <v>0</v>
      </c>
      <c r="AF156" s="776">
        <f t="shared" si="102"/>
        <v>0</v>
      </c>
      <c r="AG156" s="776">
        <f t="shared" si="102"/>
        <v>0</v>
      </c>
      <c r="AH156" s="776">
        <f t="shared" si="102"/>
        <v>37437.4</v>
      </c>
      <c r="AI156" s="776">
        <f t="shared" si="102"/>
        <v>37437.4</v>
      </c>
      <c r="AJ156" s="776">
        <f t="shared" si="102"/>
        <v>37437.4</v>
      </c>
      <c r="AK156" s="776">
        <f t="shared" si="102"/>
        <v>37437.4</v>
      </c>
      <c r="AL156" s="776">
        <f t="shared" si="102"/>
        <v>37437.4</v>
      </c>
      <c r="AM156" s="776">
        <f t="shared" si="102"/>
        <v>37437.4</v>
      </c>
      <c r="AN156" s="776">
        <f t="shared" si="102"/>
        <v>37437.4</v>
      </c>
      <c r="AO156" s="776">
        <f t="shared" si="102"/>
        <v>37437.4</v>
      </c>
      <c r="AP156" s="776">
        <f t="shared" si="102"/>
        <v>37437.4</v>
      </c>
      <c r="AQ156" s="776">
        <f t="shared" si="102"/>
        <v>37437.4</v>
      </c>
    </row>
    <row r="157" spans="2:43" x14ac:dyDescent="0.25">
      <c r="B157" s="1881"/>
      <c r="C157" s="739" t="str">
        <f t="shared" si="63"/>
        <v xml:space="preserve">     a.Publicidad</v>
      </c>
      <c r="D157" s="758" t="str">
        <f t="shared" ref="D157:E159" si="103">D66</f>
        <v>Global</v>
      </c>
      <c r="E157" s="749">
        <f t="shared" si="103"/>
        <v>4</v>
      </c>
      <c r="F157" s="740" t="s">
        <v>669</v>
      </c>
      <c r="G157" s="743">
        <f>F66</f>
        <v>5000</v>
      </c>
      <c r="H157" s="743">
        <f t="shared" si="74"/>
        <v>20000</v>
      </c>
      <c r="I157" s="774">
        <v>0</v>
      </c>
      <c r="J157" s="774">
        <v>0</v>
      </c>
      <c r="K157" s="774">
        <v>0</v>
      </c>
      <c r="L157" s="754">
        <f t="shared" si="70"/>
        <v>20000</v>
      </c>
      <c r="M157" s="754">
        <f t="shared" si="75"/>
        <v>20000</v>
      </c>
      <c r="N157" s="754">
        <f t="shared" si="75"/>
        <v>20000</v>
      </c>
      <c r="O157" s="754">
        <f t="shared" si="75"/>
        <v>20000</v>
      </c>
      <c r="P157" s="754">
        <f t="shared" si="75"/>
        <v>20000</v>
      </c>
      <c r="Q157" s="754">
        <f t="shared" si="75"/>
        <v>20000</v>
      </c>
      <c r="R157" s="754">
        <f t="shared" si="75"/>
        <v>20000</v>
      </c>
      <c r="S157" s="754">
        <f t="shared" si="75"/>
        <v>20000</v>
      </c>
      <c r="T157" s="754">
        <f t="shared" si="75"/>
        <v>20000</v>
      </c>
      <c r="U157" s="754">
        <f>T157</f>
        <v>20000</v>
      </c>
      <c r="W157" s="1881"/>
      <c r="X157" s="739" t="str">
        <f t="shared" si="101"/>
        <v xml:space="preserve">     a.Publicidad</v>
      </c>
      <c r="Y157" s="758" t="str">
        <f t="shared" ref="Y157:Z159" si="104">D157</f>
        <v>Global</v>
      </c>
      <c r="Z157" s="749">
        <f t="shared" si="104"/>
        <v>4</v>
      </c>
      <c r="AA157" s="740" t="s">
        <v>669</v>
      </c>
      <c r="AB157" s="743">
        <f>G157</f>
        <v>5000</v>
      </c>
      <c r="AC157" s="743">
        <f>Z157*AB157</f>
        <v>20000</v>
      </c>
      <c r="AD157" s="800">
        <v>0.84699999999999998</v>
      </c>
      <c r="AE157" s="774">
        <v>0</v>
      </c>
      <c r="AF157" s="774">
        <v>0</v>
      </c>
      <c r="AG157" s="774">
        <v>0</v>
      </c>
      <c r="AH157" s="754">
        <f>AC157*AD157</f>
        <v>16940</v>
      </c>
      <c r="AI157" s="754">
        <f t="shared" ref="AI157:AQ157" si="105">AH157</f>
        <v>16940</v>
      </c>
      <c r="AJ157" s="754">
        <f t="shared" si="105"/>
        <v>16940</v>
      </c>
      <c r="AK157" s="754">
        <f t="shared" si="105"/>
        <v>16940</v>
      </c>
      <c r="AL157" s="754">
        <f t="shared" si="105"/>
        <v>16940</v>
      </c>
      <c r="AM157" s="754">
        <f t="shared" si="105"/>
        <v>16940</v>
      </c>
      <c r="AN157" s="754">
        <f t="shared" si="105"/>
        <v>16940</v>
      </c>
      <c r="AO157" s="754">
        <f t="shared" si="105"/>
        <v>16940</v>
      </c>
      <c r="AP157" s="754">
        <f t="shared" si="105"/>
        <v>16940</v>
      </c>
      <c r="AQ157" s="754">
        <f t="shared" si="105"/>
        <v>16940</v>
      </c>
    </row>
    <row r="158" spans="2:43" x14ac:dyDescent="0.25">
      <c r="B158" s="1882"/>
      <c r="C158" s="739" t="str">
        <f t="shared" si="63"/>
        <v xml:space="preserve">     b. Trasnporte productos term</v>
      </c>
      <c r="D158" s="758" t="str">
        <f t="shared" si="103"/>
        <v>Global</v>
      </c>
      <c r="E158" s="749">
        <f t="shared" si="103"/>
        <v>24</v>
      </c>
      <c r="F158" s="740" t="s">
        <v>669</v>
      </c>
      <c r="G158" s="743">
        <f>F67</f>
        <v>800</v>
      </c>
      <c r="H158" s="743">
        <f t="shared" si="74"/>
        <v>19200</v>
      </c>
      <c r="I158" s="774">
        <v>0</v>
      </c>
      <c r="J158" s="774">
        <v>0</v>
      </c>
      <c r="K158" s="774">
        <v>0</v>
      </c>
      <c r="L158" s="754">
        <f t="shared" si="70"/>
        <v>19200</v>
      </c>
      <c r="M158" s="754">
        <f t="shared" si="75"/>
        <v>19200</v>
      </c>
      <c r="N158" s="754">
        <f t="shared" si="75"/>
        <v>19200</v>
      </c>
      <c r="O158" s="754">
        <f t="shared" si="75"/>
        <v>19200</v>
      </c>
      <c r="P158" s="754">
        <f t="shared" si="75"/>
        <v>19200</v>
      </c>
      <c r="Q158" s="754">
        <f t="shared" si="75"/>
        <v>19200</v>
      </c>
      <c r="R158" s="754">
        <f t="shared" si="75"/>
        <v>19200</v>
      </c>
      <c r="S158" s="754">
        <f t="shared" si="75"/>
        <v>19200</v>
      </c>
      <c r="T158" s="754">
        <f t="shared" si="75"/>
        <v>19200</v>
      </c>
      <c r="U158" s="754">
        <f>T158</f>
        <v>19200</v>
      </c>
      <c r="W158" s="1882"/>
      <c r="X158" s="739" t="str">
        <f t="shared" si="101"/>
        <v xml:space="preserve">     b. Trasnporte productos term</v>
      </c>
      <c r="Y158" s="758" t="str">
        <f t="shared" si="104"/>
        <v>Global</v>
      </c>
      <c r="Z158" s="749">
        <f t="shared" si="104"/>
        <v>24</v>
      </c>
      <c r="AA158" s="740" t="s">
        <v>669</v>
      </c>
      <c r="AB158" s="743">
        <f>G158</f>
        <v>800</v>
      </c>
      <c r="AC158" s="743">
        <f>Z158*AB158</f>
        <v>19200</v>
      </c>
      <c r="AD158" s="800">
        <v>0.84699999999999998</v>
      </c>
      <c r="AE158" s="774">
        <v>0</v>
      </c>
      <c r="AF158" s="774">
        <v>0</v>
      </c>
      <c r="AG158" s="774">
        <v>0</v>
      </c>
      <c r="AH158" s="754">
        <f>AC158*AD158</f>
        <v>16262.4</v>
      </c>
      <c r="AI158" s="754">
        <f t="shared" ref="AI158:AP158" si="106">AH158</f>
        <v>16262.4</v>
      </c>
      <c r="AJ158" s="754">
        <f t="shared" si="106"/>
        <v>16262.4</v>
      </c>
      <c r="AK158" s="754">
        <f t="shared" si="106"/>
        <v>16262.4</v>
      </c>
      <c r="AL158" s="754">
        <f t="shared" si="106"/>
        <v>16262.4</v>
      </c>
      <c r="AM158" s="754">
        <f t="shared" si="106"/>
        <v>16262.4</v>
      </c>
      <c r="AN158" s="754">
        <f t="shared" si="106"/>
        <v>16262.4</v>
      </c>
      <c r="AO158" s="754">
        <f t="shared" si="106"/>
        <v>16262.4</v>
      </c>
      <c r="AP158" s="754">
        <f t="shared" si="106"/>
        <v>16262.4</v>
      </c>
      <c r="AQ158" s="754">
        <f>AP158</f>
        <v>16262.4</v>
      </c>
    </row>
    <row r="159" spans="2:43" x14ac:dyDescent="0.25">
      <c r="B159" s="1882"/>
      <c r="C159" s="739" t="str">
        <f t="shared" si="63"/>
        <v xml:space="preserve">     c.Utiles de oficina</v>
      </c>
      <c r="D159" s="758" t="str">
        <f t="shared" si="103"/>
        <v>Global</v>
      </c>
      <c r="E159" s="749">
        <f t="shared" si="103"/>
        <v>1</v>
      </c>
      <c r="F159" s="740" t="s">
        <v>669</v>
      </c>
      <c r="G159" s="743">
        <f>F68</f>
        <v>5000</v>
      </c>
      <c r="H159" s="743">
        <f t="shared" si="74"/>
        <v>5000</v>
      </c>
      <c r="I159" s="774">
        <v>0</v>
      </c>
      <c r="J159" s="774">
        <v>0</v>
      </c>
      <c r="K159" s="774">
        <v>0</v>
      </c>
      <c r="L159" s="754">
        <f t="shared" si="70"/>
        <v>5000</v>
      </c>
      <c r="M159" s="754">
        <f t="shared" si="75"/>
        <v>5000</v>
      </c>
      <c r="N159" s="754">
        <f t="shared" si="75"/>
        <v>5000</v>
      </c>
      <c r="O159" s="754">
        <f t="shared" si="75"/>
        <v>5000</v>
      </c>
      <c r="P159" s="754">
        <f t="shared" si="75"/>
        <v>5000</v>
      </c>
      <c r="Q159" s="754">
        <f t="shared" si="75"/>
        <v>5000</v>
      </c>
      <c r="R159" s="754">
        <f t="shared" si="75"/>
        <v>5000</v>
      </c>
      <c r="S159" s="754">
        <f t="shared" si="75"/>
        <v>5000</v>
      </c>
      <c r="T159" s="754">
        <f t="shared" si="75"/>
        <v>5000</v>
      </c>
      <c r="U159" s="754">
        <f>T159</f>
        <v>5000</v>
      </c>
      <c r="W159" s="1882"/>
      <c r="X159" s="739" t="str">
        <f t="shared" si="101"/>
        <v xml:space="preserve">     c.Utiles de oficina</v>
      </c>
      <c r="Y159" s="758" t="str">
        <f t="shared" si="104"/>
        <v>Global</v>
      </c>
      <c r="Z159" s="749">
        <f t="shared" si="104"/>
        <v>1</v>
      </c>
      <c r="AA159" s="740" t="s">
        <v>669</v>
      </c>
      <c r="AB159" s="743">
        <f>G159</f>
        <v>5000</v>
      </c>
      <c r="AC159" s="743">
        <f>Z159*AB159</f>
        <v>5000</v>
      </c>
      <c r="AD159" s="800">
        <v>0.84699999999999998</v>
      </c>
      <c r="AE159" s="774">
        <v>0</v>
      </c>
      <c r="AF159" s="774">
        <v>0</v>
      </c>
      <c r="AG159" s="774">
        <v>0</v>
      </c>
      <c r="AH159" s="754">
        <f>AC159*AD159</f>
        <v>4235</v>
      </c>
      <c r="AI159" s="754">
        <f t="shared" ref="AI159:AP159" si="107">AH159</f>
        <v>4235</v>
      </c>
      <c r="AJ159" s="754">
        <f t="shared" si="107"/>
        <v>4235</v>
      </c>
      <c r="AK159" s="754">
        <f t="shared" si="107"/>
        <v>4235</v>
      </c>
      <c r="AL159" s="754">
        <f t="shared" si="107"/>
        <v>4235</v>
      </c>
      <c r="AM159" s="754">
        <f t="shared" si="107"/>
        <v>4235</v>
      </c>
      <c r="AN159" s="754">
        <f t="shared" si="107"/>
        <v>4235</v>
      </c>
      <c r="AO159" s="754">
        <f t="shared" si="107"/>
        <v>4235</v>
      </c>
      <c r="AP159" s="754">
        <f t="shared" si="107"/>
        <v>4235</v>
      </c>
      <c r="AQ159" s="754">
        <f>AP159</f>
        <v>4235</v>
      </c>
    </row>
    <row r="160" spans="2:43" x14ac:dyDescent="0.25">
      <c r="B160" s="1882"/>
      <c r="C160" s="759" t="str">
        <f t="shared" si="63"/>
        <v>III.COSTOS FINANCIEROS</v>
      </c>
      <c r="D160" s="758"/>
      <c r="E160" s="749"/>
      <c r="F160" s="740"/>
      <c r="G160" s="743"/>
      <c r="H160" s="743">
        <f>SUM(H161)</f>
        <v>0</v>
      </c>
      <c r="I160" s="774">
        <f t="shared" ref="I160:U160" si="108">SUM(I161)</f>
        <v>0</v>
      </c>
      <c r="J160" s="774">
        <f t="shared" si="108"/>
        <v>0</v>
      </c>
      <c r="K160" s="774">
        <f t="shared" si="108"/>
        <v>0</v>
      </c>
      <c r="L160" s="774">
        <f t="shared" si="108"/>
        <v>0</v>
      </c>
      <c r="M160" s="774">
        <f t="shared" si="108"/>
        <v>0</v>
      </c>
      <c r="N160" s="774">
        <f t="shared" si="108"/>
        <v>0</v>
      </c>
      <c r="O160" s="774">
        <f t="shared" si="108"/>
        <v>0</v>
      </c>
      <c r="P160" s="774">
        <f t="shared" si="108"/>
        <v>0</v>
      </c>
      <c r="Q160" s="774">
        <f t="shared" si="108"/>
        <v>0</v>
      </c>
      <c r="R160" s="774">
        <f t="shared" si="108"/>
        <v>0</v>
      </c>
      <c r="S160" s="774">
        <f t="shared" si="108"/>
        <v>0</v>
      </c>
      <c r="T160" s="774">
        <f t="shared" si="108"/>
        <v>0</v>
      </c>
      <c r="U160" s="774">
        <f t="shared" si="108"/>
        <v>0</v>
      </c>
      <c r="W160" s="1882"/>
      <c r="X160" s="739" t="str">
        <f t="shared" si="101"/>
        <v>III.COSTOS FINANCIEROS</v>
      </c>
      <c r="Y160" s="758"/>
      <c r="Z160" s="749"/>
      <c r="AA160" s="740"/>
      <c r="AB160" s="743"/>
      <c r="AC160" s="743">
        <f>SUM(AC161)</f>
        <v>0</v>
      </c>
      <c r="AE160" s="774">
        <f>SUM(AE161)</f>
        <v>0</v>
      </c>
      <c r="AF160" s="774">
        <f>SUM(AF161)</f>
        <v>0</v>
      </c>
      <c r="AG160" s="774">
        <f>SUM(AG161)</f>
        <v>0</v>
      </c>
      <c r="AH160" s="774">
        <f>AC160*AD160</f>
        <v>0</v>
      </c>
      <c r="AI160" s="774">
        <f t="shared" ref="AI160:AQ160" si="109">SUM(AI161)</f>
        <v>0</v>
      </c>
      <c r="AJ160" s="774">
        <f t="shared" si="109"/>
        <v>0</v>
      </c>
      <c r="AK160" s="774">
        <f t="shared" si="109"/>
        <v>0</v>
      </c>
      <c r="AL160" s="774">
        <f t="shared" si="109"/>
        <v>0</v>
      </c>
      <c r="AM160" s="774">
        <f t="shared" si="109"/>
        <v>0</v>
      </c>
      <c r="AN160" s="774">
        <f t="shared" si="109"/>
        <v>0</v>
      </c>
      <c r="AO160" s="774">
        <f t="shared" si="109"/>
        <v>0</v>
      </c>
      <c r="AP160" s="774">
        <f t="shared" si="109"/>
        <v>0</v>
      </c>
      <c r="AQ160" s="774">
        <f t="shared" si="109"/>
        <v>0</v>
      </c>
    </row>
    <row r="161" spans="2:43" x14ac:dyDescent="0.25">
      <c r="B161" s="1883"/>
      <c r="C161" s="739" t="str">
        <f t="shared" si="63"/>
        <v>Intereses 0</v>
      </c>
      <c r="D161" s="740" t="s">
        <v>669</v>
      </c>
      <c r="E161" s="749">
        <f>E70</f>
        <v>0</v>
      </c>
      <c r="F161" s="740" t="s">
        <v>669</v>
      </c>
      <c r="G161" s="743">
        <f>F70</f>
        <v>0</v>
      </c>
      <c r="H161" s="743">
        <f t="shared" si="74"/>
        <v>0</v>
      </c>
      <c r="I161" s="774">
        <v>0</v>
      </c>
      <c r="J161" s="774">
        <v>0</v>
      </c>
      <c r="K161" s="774">
        <v>0</v>
      </c>
      <c r="L161" s="774">
        <f t="shared" si="70"/>
        <v>0</v>
      </c>
      <c r="M161" s="774">
        <f t="shared" si="75"/>
        <v>0</v>
      </c>
      <c r="N161" s="774">
        <f t="shared" si="75"/>
        <v>0</v>
      </c>
      <c r="O161" s="774">
        <f t="shared" si="75"/>
        <v>0</v>
      </c>
      <c r="P161" s="774">
        <f t="shared" si="75"/>
        <v>0</v>
      </c>
      <c r="Q161" s="774">
        <f t="shared" si="75"/>
        <v>0</v>
      </c>
      <c r="R161" s="774">
        <f t="shared" si="75"/>
        <v>0</v>
      </c>
      <c r="S161" s="774">
        <f t="shared" si="75"/>
        <v>0</v>
      </c>
      <c r="T161" s="774">
        <f t="shared" si="75"/>
        <v>0</v>
      </c>
      <c r="U161" s="774">
        <f>T161</f>
        <v>0</v>
      </c>
      <c r="W161" s="1883"/>
      <c r="X161" s="739" t="str">
        <f t="shared" si="101"/>
        <v>Intereses 0</v>
      </c>
      <c r="Y161" s="740" t="str">
        <f>D161</f>
        <v>-</v>
      </c>
      <c r="Z161" s="749">
        <f>E161</f>
        <v>0</v>
      </c>
      <c r="AA161" s="740" t="s">
        <v>669</v>
      </c>
      <c r="AB161" s="743">
        <f>G161</f>
        <v>0</v>
      </c>
      <c r="AC161" s="743">
        <f>Z161*AB161</f>
        <v>0</v>
      </c>
      <c r="AD161" s="800">
        <v>0.84699999999999998</v>
      </c>
      <c r="AE161" s="774">
        <v>0</v>
      </c>
      <c r="AF161" s="774">
        <v>0</v>
      </c>
      <c r="AG161" s="774">
        <v>0</v>
      </c>
      <c r="AH161" s="774">
        <f>AC161*AD161</f>
        <v>0</v>
      </c>
      <c r="AI161" s="774">
        <f t="shared" ref="AI161:AQ161" si="110">AH161</f>
        <v>0</v>
      </c>
      <c r="AJ161" s="774">
        <f t="shared" si="110"/>
        <v>0</v>
      </c>
      <c r="AK161" s="774">
        <f t="shared" si="110"/>
        <v>0</v>
      </c>
      <c r="AL161" s="774">
        <f t="shared" si="110"/>
        <v>0</v>
      </c>
      <c r="AM161" s="774">
        <f t="shared" si="110"/>
        <v>0</v>
      </c>
      <c r="AN161" s="774">
        <f t="shared" si="110"/>
        <v>0</v>
      </c>
      <c r="AO161" s="774">
        <f t="shared" si="110"/>
        <v>0</v>
      </c>
      <c r="AP161" s="774">
        <f t="shared" si="110"/>
        <v>0</v>
      </c>
      <c r="AQ161" s="774">
        <f t="shared" si="110"/>
        <v>0</v>
      </c>
    </row>
    <row r="162" spans="2:43" ht="27" customHeight="1" x14ac:dyDescent="0.25">
      <c r="B162" s="779">
        <v>1.3</v>
      </c>
      <c r="C162" s="750" t="s">
        <v>1204</v>
      </c>
      <c r="D162" s="742"/>
      <c r="E162" s="742"/>
      <c r="F162" s="742"/>
      <c r="G162" s="744"/>
      <c r="H162" s="744">
        <f>SUM(H163:H167)</f>
        <v>60000</v>
      </c>
      <c r="I162" s="744">
        <f t="shared" ref="I162:U162" si="111">SUM(I163:I167)</f>
        <v>0</v>
      </c>
      <c r="J162" s="744">
        <f t="shared" si="111"/>
        <v>0</v>
      </c>
      <c r="K162" s="744">
        <f t="shared" si="111"/>
        <v>0</v>
      </c>
      <c r="L162" s="744">
        <f t="shared" si="111"/>
        <v>60000</v>
      </c>
      <c r="M162" s="744">
        <f t="shared" si="111"/>
        <v>60000</v>
      </c>
      <c r="N162" s="744">
        <f t="shared" si="111"/>
        <v>60000</v>
      </c>
      <c r="O162" s="744">
        <f t="shared" si="111"/>
        <v>60000</v>
      </c>
      <c r="P162" s="744">
        <f t="shared" si="111"/>
        <v>60000</v>
      </c>
      <c r="Q162" s="744">
        <f t="shared" si="111"/>
        <v>60000</v>
      </c>
      <c r="R162" s="744">
        <f t="shared" si="111"/>
        <v>60000</v>
      </c>
      <c r="S162" s="744">
        <f t="shared" si="111"/>
        <v>60000</v>
      </c>
      <c r="T162" s="744">
        <f t="shared" si="111"/>
        <v>60000</v>
      </c>
      <c r="U162" s="744">
        <f t="shared" si="111"/>
        <v>60000</v>
      </c>
      <c r="W162" s="779">
        <f>B162</f>
        <v>1.3</v>
      </c>
      <c r="X162" s="750" t="str">
        <f t="shared" si="101"/>
        <v>Costo de Operación en Biohuertos</v>
      </c>
      <c r="Y162" s="742"/>
      <c r="Z162" s="742"/>
      <c r="AA162" s="742"/>
      <c r="AB162" s="744"/>
      <c r="AC162" s="744">
        <f>SUM(AC163:AC167)</f>
        <v>60000</v>
      </c>
      <c r="AD162" s="745"/>
      <c r="AE162" s="744">
        <f t="shared" ref="AE162:AQ162" si="112">SUM(AE163:AE167)</f>
        <v>0</v>
      </c>
      <c r="AF162" s="744">
        <f t="shared" si="112"/>
        <v>0</v>
      </c>
      <c r="AG162" s="744">
        <f t="shared" si="112"/>
        <v>0</v>
      </c>
      <c r="AH162" s="744">
        <f t="shared" si="112"/>
        <v>41425</v>
      </c>
      <c r="AI162" s="744">
        <f t="shared" si="112"/>
        <v>41425</v>
      </c>
      <c r="AJ162" s="744">
        <f t="shared" si="112"/>
        <v>41425</v>
      </c>
      <c r="AK162" s="744">
        <f t="shared" si="112"/>
        <v>41425</v>
      </c>
      <c r="AL162" s="744">
        <f t="shared" si="112"/>
        <v>41425</v>
      </c>
      <c r="AM162" s="744">
        <f t="shared" si="112"/>
        <v>41425</v>
      </c>
      <c r="AN162" s="744">
        <f t="shared" si="112"/>
        <v>41425</v>
      </c>
      <c r="AO162" s="744">
        <f t="shared" si="112"/>
        <v>41425</v>
      </c>
      <c r="AP162" s="744">
        <f t="shared" si="112"/>
        <v>41425</v>
      </c>
      <c r="AQ162" s="744">
        <f t="shared" si="112"/>
        <v>41425</v>
      </c>
    </row>
    <row r="163" spans="2:43" x14ac:dyDescent="0.25">
      <c r="B163" s="1881"/>
      <c r="C163" s="741" t="s">
        <v>1205</v>
      </c>
      <c r="D163" s="758" t="str">
        <f>D159</f>
        <v>Global</v>
      </c>
      <c r="E163" s="740">
        <v>1</v>
      </c>
      <c r="F163" s="740" t="s">
        <v>669</v>
      </c>
      <c r="G163" s="743">
        <v>5000</v>
      </c>
      <c r="H163" s="743">
        <f>E163*G163</f>
        <v>5000</v>
      </c>
      <c r="I163" s="774">
        <v>0</v>
      </c>
      <c r="J163" s="774">
        <v>0</v>
      </c>
      <c r="K163" s="774">
        <v>0</v>
      </c>
      <c r="L163" s="774">
        <f>H163</f>
        <v>5000</v>
      </c>
      <c r="M163" s="774">
        <f>L163</f>
        <v>5000</v>
      </c>
      <c r="N163" s="774">
        <f t="shared" ref="N163:U163" si="113">M163</f>
        <v>5000</v>
      </c>
      <c r="O163" s="774">
        <f t="shared" si="113"/>
        <v>5000</v>
      </c>
      <c r="P163" s="774">
        <f t="shared" si="113"/>
        <v>5000</v>
      </c>
      <c r="Q163" s="774">
        <f t="shared" si="113"/>
        <v>5000</v>
      </c>
      <c r="R163" s="774">
        <f t="shared" si="113"/>
        <v>5000</v>
      </c>
      <c r="S163" s="774">
        <f t="shared" si="113"/>
        <v>5000</v>
      </c>
      <c r="T163" s="774">
        <f t="shared" si="113"/>
        <v>5000</v>
      </c>
      <c r="U163" s="774">
        <f t="shared" si="113"/>
        <v>5000</v>
      </c>
      <c r="W163" s="1881"/>
      <c r="X163" s="741" t="str">
        <f t="shared" si="101"/>
        <v>Adquisición de insumos (semillas)</v>
      </c>
      <c r="Y163" s="758" t="str">
        <f t="shared" ref="Y163:AB167" si="114">D163</f>
        <v>Global</v>
      </c>
      <c r="Z163" s="740">
        <f t="shared" si="114"/>
        <v>1</v>
      </c>
      <c r="AA163" s="740" t="str">
        <f t="shared" si="114"/>
        <v>-</v>
      </c>
      <c r="AB163" s="743">
        <f t="shared" si="114"/>
        <v>5000</v>
      </c>
      <c r="AC163" s="743">
        <f>Z163*AB163</f>
        <v>5000</v>
      </c>
      <c r="AD163" s="800">
        <v>0.84699999999999998</v>
      </c>
      <c r="AE163" s="774">
        <v>0</v>
      </c>
      <c r="AF163" s="774">
        <v>0</v>
      </c>
      <c r="AG163" s="774">
        <v>0</v>
      </c>
      <c r="AH163" s="774">
        <f>AC163*AD163</f>
        <v>4235</v>
      </c>
      <c r="AI163" s="774">
        <f>AH163</f>
        <v>4235</v>
      </c>
      <c r="AJ163" s="774">
        <f t="shared" ref="AJ163:AQ163" si="115">AI163</f>
        <v>4235</v>
      </c>
      <c r="AK163" s="774">
        <f t="shared" si="115"/>
        <v>4235</v>
      </c>
      <c r="AL163" s="774">
        <f t="shared" si="115"/>
        <v>4235</v>
      </c>
      <c r="AM163" s="774">
        <f t="shared" si="115"/>
        <v>4235</v>
      </c>
      <c r="AN163" s="774">
        <f t="shared" si="115"/>
        <v>4235</v>
      </c>
      <c r="AO163" s="774">
        <f t="shared" si="115"/>
        <v>4235</v>
      </c>
      <c r="AP163" s="774">
        <f t="shared" si="115"/>
        <v>4235</v>
      </c>
      <c r="AQ163" s="774">
        <f t="shared" si="115"/>
        <v>4235</v>
      </c>
    </row>
    <row r="164" spans="2:43" ht="27" customHeight="1" x14ac:dyDescent="0.25">
      <c r="B164" s="1882"/>
      <c r="C164" s="741" t="s">
        <v>1215</v>
      </c>
      <c r="D164" s="758" t="str">
        <f>D163</f>
        <v>Global</v>
      </c>
      <c r="E164" s="740">
        <v>1</v>
      </c>
      <c r="F164" s="740" t="s">
        <v>669</v>
      </c>
      <c r="G164" s="743">
        <v>10000</v>
      </c>
      <c r="H164" s="743">
        <f>E164*G164</f>
        <v>10000</v>
      </c>
      <c r="I164" s="774">
        <v>0</v>
      </c>
      <c r="J164" s="774">
        <v>0</v>
      </c>
      <c r="K164" s="774">
        <v>0</v>
      </c>
      <c r="L164" s="774">
        <f>H164</f>
        <v>10000</v>
      </c>
      <c r="M164" s="774">
        <f t="shared" ref="M164:U167" si="116">L164</f>
        <v>10000</v>
      </c>
      <c r="N164" s="774">
        <f t="shared" si="116"/>
        <v>10000</v>
      </c>
      <c r="O164" s="774">
        <f t="shared" si="116"/>
        <v>10000</v>
      </c>
      <c r="P164" s="774">
        <f t="shared" si="116"/>
        <v>10000</v>
      </c>
      <c r="Q164" s="774">
        <f t="shared" si="116"/>
        <v>10000</v>
      </c>
      <c r="R164" s="774">
        <f t="shared" si="116"/>
        <v>10000</v>
      </c>
      <c r="S164" s="774">
        <f t="shared" si="116"/>
        <v>10000</v>
      </c>
      <c r="T164" s="774">
        <f t="shared" si="116"/>
        <v>10000</v>
      </c>
      <c r="U164" s="774">
        <f t="shared" si="116"/>
        <v>10000</v>
      </c>
      <c r="W164" s="1882"/>
      <c r="X164" s="741" t="str">
        <f t="shared" si="101"/>
        <v>Operación de camas almacigueras</v>
      </c>
      <c r="Y164" s="758" t="str">
        <f t="shared" si="114"/>
        <v>Global</v>
      </c>
      <c r="Z164" s="740">
        <f t="shared" si="114"/>
        <v>1</v>
      </c>
      <c r="AA164" s="740" t="str">
        <f t="shared" si="114"/>
        <v>-</v>
      </c>
      <c r="AB164" s="743">
        <f t="shared" si="114"/>
        <v>10000</v>
      </c>
      <c r="AC164" s="743">
        <f>Z164*AB164</f>
        <v>10000</v>
      </c>
      <c r="AD164" s="800">
        <v>0.84699999999999998</v>
      </c>
      <c r="AE164" s="774">
        <v>0</v>
      </c>
      <c r="AF164" s="774">
        <v>0</v>
      </c>
      <c r="AG164" s="774">
        <v>0</v>
      </c>
      <c r="AH164" s="774">
        <f>AC164*AD164</f>
        <v>8470</v>
      </c>
      <c r="AI164" s="774">
        <f t="shared" ref="AI164:AQ164" si="117">AH164</f>
        <v>8470</v>
      </c>
      <c r="AJ164" s="774">
        <f t="shared" si="117"/>
        <v>8470</v>
      </c>
      <c r="AK164" s="774">
        <f t="shared" si="117"/>
        <v>8470</v>
      </c>
      <c r="AL164" s="774">
        <f t="shared" si="117"/>
        <v>8470</v>
      </c>
      <c r="AM164" s="774">
        <f t="shared" si="117"/>
        <v>8470</v>
      </c>
      <c r="AN164" s="774">
        <f t="shared" si="117"/>
        <v>8470</v>
      </c>
      <c r="AO164" s="774">
        <f t="shared" si="117"/>
        <v>8470</v>
      </c>
      <c r="AP164" s="774">
        <f t="shared" si="117"/>
        <v>8470</v>
      </c>
      <c r="AQ164" s="774">
        <f t="shared" si="117"/>
        <v>8470</v>
      </c>
    </row>
    <row r="165" spans="2:43" ht="39.75" customHeight="1" x14ac:dyDescent="0.25">
      <c r="B165" s="1882"/>
      <c r="C165" s="741" t="s">
        <v>1216</v>
      </c>
      <c r="D165" s="758" t="str">
        <f>D164</f>
        <v>Global</v>
      </c>
      <c r="E165" s="740">
        <v>1</v>
      </c>
      <c r="F165" s="740" t="s">
        <v>669</v>
      </c>
      <c r="G165" s="743">
        <v>10000</v>
      </c>
      <c r="H165" s="743">
        <f>E165*G165</f>
        <v>10000</v>
      </c>
      <c r="I165" s="774">
        <v>0</v>
      </c>
      <c r="J165" s="774">
        <v>0</v>
      </c>
      <c r="K165" s="774">
        <v>0</v>
      </c>
      <c r="L165" s="774">
        <f>H165</f>
        <v>10000</v>
      </c>
      <c r="M165" s="774">
        <f t="shared" si="116"/>
        <v>10000</v>
      </c>
      <c r="N165" s="774">
        <f t="shared" si="116"/>
        <v>10000</v>
      </c>
      <c r="O165" s="774">
        <f t="shared" si="116"/>
        <v>10000</v>
      </c>
      <c r="P165" s="774">
        <f t="shared" si="116"/>
        <v>10000</v>
      </c>
      <c r="Q165" s="774">
        <f t="shared" si="116"/>
        <v>10000</v>
      </c>
      <c r="R165" s="774">
        <f t="shared" si="116"/>
        <v>10000</v>
      </c>
      <c r="S165" s="774">
        <f t="shared" si="116"/>
        <v>10000</v>
      </c>
      <c r="T165" s="774">
        <f t="shared" si="116"/>
        <v>10000</v>
      </c>
      <c r="U165" s="774">
        <f t="shared" si="116"/>
        <v>10000</v>
      </c>
      <c r="W165" s="1882"/>
      <c r="X165" s="741" t="str">
        <f t="shared" si="101"/>
        <v>Operación de módulos de producción de hortalizas</v>
      </c>
      <c r="Y165" s="758" t="str">
        <f t="shared" si="114"/>
        <v>Global</v>
      </c>
      <c r="Z165" s="740">
        <f t="shared" si="114"/>
        <v>1</v>
      </c>
      <c r="AA165" s="740" t="str">
        <f t="shared" si="114"/>
        <v>-</v>
      </c>
      <c r="AB165" s="743">
        <f t="shared" si="114"/>
        <v>10000</v>
      </c>
      <c r="AC165" s="743">
        <f>Z165*AB165</f>
        <v>10000</v>
      </c>
      <c r="AD165" s="800">
        <v>0.84699999999999998</v>
      </c>
      <c r="AE165" s="774">
        <v>0</v>
      </c>
      <c r="AF165" s="774">
        <v>0</v>
      </c>
      <c r="AG165" s="774">
        <v>0</v>
      </c>
      <c r="AH165" s="774">
        <f>AC165*AD165</f>
        <v>8470</v>
      </c>
      <c r="AI165" s="774">
        <f t="shared" ref="AI165:AQ165" si="118">AH165</f>
        <v>8470</v>
      </c>
      <c r="AJ165" s="774">
        <f t="shared" si="118"/>
        <v>8470</v>
      </c>
      <c r="AK165" s="774">
        <f t="shared" si="118"/>
        <v>8470</v>
      </c>
      <c r="AL165" s="774">
        <f t="shared" si="118"/>
        <v>8470</v>
      </c>
      <c r="AM165" s="774">
        <f t="shared" si="118"/>
        <v>8470</v>
      </c>
      <c r="AN165" s="774">
        <f t="shared" si="118"/>
        <v>8470</v>
      </c>
      <c r="AO165" s="774">
        <f t="shared" si="118"/>
        <v>8470</v>
      </c>
      <c r="AP165" s="774">
        <f t="shared" si="118"/>
        <v>8470</v>
      </c>
      <c r="AQ165" s="774">
        <f t="shared" si="118"/>
        <v>8470</v>
      </c>
    </row>
    <row r="166" spans="2:43" ht="25.5" x14ac:dyDescent="0.25">
      <c r="B166" s="1882"/>
      <c r="C166" s="741" t="s">
        <v>1206</v>
      </c>
      <c r="D166" s="758" t="str">
        <f>D165</f>
        <v>Global</v>
      </c>
      <c r="E166" s="740">
        <v>1</v>
      </c>
      <c r="F166" s="740" t="s">
        <v>669</v>
      </c>
      <c r="G166" s="743">
        <v>15000</v>
      </c>
      <c r="H166" s="743">
        <f>E166*G166</f>
        <v>15000</v>
      </c>
      <c r="I166" s="774">
        <v>0</v>
      </c>
      <c r="J166" s="774">
        <v>0</v>
      </c>
      <c r="K166" s="774">
        <v>0</v>
      </c>
      <c r="L166" s="774">
        <f>H166</f>
        <v>15000</v>
      </c>
      <c r="M166" s="774">
        <f t="shared" si="116"/>
        <v>15000</v>
      </c>
      <c r="N166" s="774">
        <f t="shared" si="116"/>
        <v>15000</v>
      </c>
      <c r="O166" s="774">
        <f t="shared" si="116"/>
        <v>15000</v>
      </c>
      <c r="P166" s="774">
        <f t="shared" si="116"/>
        <v>15000</v>
      </c>
      <c r="Q166" s="774">
        <f t="shared" si="116"/>
        <v>15000</v>
      </c>
      <c r="R166" s="774">
        <f t="shared" si="116"/>
        <v>15000</v>
      </c>
      <c r="S166" s="774">
        <f t="shared" si="116"/>
        <v>15000</v>
      </c>
      <c r="T166" s="774">
        <f t="shared" si="116"/>
        <v>15000</v>
      </c>
      <c r="U166" s="774">
        <f t="shared" si="116"/>
        <v>15000</v>
      </c>
      <c r="W166" s="1882"/>
      <c r="X166" s="741" t="str">
        <f t="shared" si="101"/>
        <v>Mano de Obra Calificada (Asistencia Técnica)</v>
      </c>
      <c r="Y166" s="758" t="str">
        <f t="shared" si="114"/>
        <v>Global</v>
      </c>
      <c r="Z166" s="740">
        <f t="shared" si="114"/>
        <v>1</v>
      </c>
      <c r="AA166" s="740" t="str">
        <f t="shared" si="114"/>
        <v>-</v>
      </c>
      <c r="AB166" s="743">
        <f t="shared" si="114"/>
        <v>15000</v>
      </c>
      <c r="AC166" s="743">
        <f>Z166*AB166</f>
        <v>15000</v>
      </c>
      <c r="AD166" s="800">
        <v>0.79</v>
      </c>
      <c r="AE166" s="774">
        <v>0</v>
      </c>
      <c r="AF166" s="774">
        <v>0</v>
      </c>
      <c r="AG166" s="774">
        <v>0</v>
      </c>
      <c r="AH166" s="774">
        <f>AC166*AD166</f>
        <v>11850</v>
      </c>
      <c r="AI166" s="774">
        <f t="shared" ref="AI166:AQ166" si="119">AH166</f>
        <v>11850</v>
      </c>
      <c r="AJ166" s="774">
        <f t="shared" si="119"/>
        <v>11850</v>
      </c>
      <c r="AK166" s="774">
        <f t="shared" si="119"/>
        <v>11850</v>
      </c>
      <c r="AL166" s="774">
        <f t="shared" si="119"/>
        <v>11850</v>
      </c>
      <c r="AM166" s="774">
        <f t="shared" si="119"/>
        <v>11850</v>
      </c>
      <c r="AN166" s="774">
        <f t="shared" si="119"/>
        <v>11850</v>
      </c>
      <c r="AO166" s="774">
        <f t="shared" si="119"/>
        <v>11850</v>
      </c>
      <c r="AP166" s="774">
        <f t="shared" si="119"/>
        <v>11850</v>
      </c>
      <c r="AQ166" s="774">
        <f t="shared" si="119"/>
        <v>11850</v>
      </c>
    </row>
    <row r="167" spans="2:43" x14ac:dyDescent="0.25">
      <c r="B167" s="1883"/>
      <c r="C167" s="741" t="s">
        <v>1207</v>
      </c>
      <c r="D167" s="758" t="str">
        <f>D166</f>
        <v>Global</v>
      </c>
      <c r="E167" s="740">
        <v>1</v>
      </c>
      <c r="F167" s="740" t="s">
        <v>669</v>
      </c>
      <c r="G167" s="743">
        <v>20000</v>
      </c>
      <c r="H167" s="743">
        <f>E167*G167</f>
        <v>20000</v>
      </c>
      <c r="I167" s="774">
        <v>0</v>
      </c>
      <c r="J167" s="774">
        <v>0</v>
      </c>
      <c r="K167" s="774">
        <v>0</v>
      </c>
      <c r="L167" s="774">
        <f>H167</f>
        <v>20000</v>
      </c>
      <c r="M167" s="774">
        <f t="shared" si="116"/>
        <v>20000</v>
      </c>
      <c r="N167" s="774">
        <f t="shared" si="116"/>
        <v>20000</v>
      </c>
      <c r="O167" s="774">
        <f t="shared" si="116"/>
        <v>20000</v>
      </c>
      <c r="P167" s="774">
        <f t="shared" si="116"/>
        <v>20000</v>
      </c>
      <c r="Q167" s="774">
        <f t="shared" si="116"/>
        <v>20000</v>
      </c>
      <c r="R167" s="774">
        <f t="shared" si="116"/>
        <v>20000</v>
      </c>
      <c r="S167" s="774">
        <f t="shared" si="116"/>
        <v>20000</v>
      </c>
      <c r="T167" s="774">
        <f t="shared" si="116"/>
        <v>20000</v>
      </c>
      <c r="U167" s="774">
        <f t="shared" si="116"/>
        <v>20000</v>
      </c>
      <c r="W167" s="1883"/>
      <c r="X167" s="741" t="str">
        <f t="shared" si="101"/>
        <v>Mano de Obra No Calificada</v>
      </c>
      <c r="Y167" s="758" t="str">
        <f t="shared" si="114"/>
        <v>Global</v>
      </c>
      <c r="Z167" s="740">
        <f t="shared" si="114"/>
        <v>1</v>
      </c>
      <c r="AA167" s="740" t="str">
        <f t="shared" si="114"/>
        <v>-</v>
      </c>
      <c r="AB167" s="743">
        <f t="shared" si="114"/>
        <v>20000</v>
      </c>
      <c r="AC167" s="743">
        <f>Z167*AB167</f>
        <v>20000</v>
      </c>
      <c r="AD167" s="800">
        <v>0.42</v>
      </c>
      <c r="AE167" s="774">
        <v>0</v>
      </c>
      <c r="AF167" s="774">
        <v>0</v>
      </c>
      <c r="AG167" s="774">
        <v>0</v>
      </c>
      <c r="AH167" s="774">
        <f>AC167*AD167</f>
        <v>8400</v>
      </c>
      <c r="AI167" s="774">
        <f t="shared" ref="AI167:AQ167" si="120">AH167</f>
        <v>8400</v>
      </c>
      <c r="AJ167" s="774">
        <f t="shared" si="120"/>
        <v>8400</v>
      </c>
      <c r="AK167" s="774">
        <f t="shared" si="120"/>
        <v>8400</v>
      </c>
      <c r="AL167" s="774">
        <f t="shared" si="120"/>
        <v>8400</v>
      </c>
      <c r="AM167" s="774">
        <f t="shared" si="120"/>
        <v>8400</v>
      </c>
      <c r="AN167" s="774">
        <f t="shared" si="120"/>
        <v>8400</v>
      </c>
      <c r="AO167" s="774">
        <f t="shared" si="120"/>
        <v>8400</v>
      </c>
      <c r="AP167" s="774">
        <f t="shared" si="120"/>
        <v>8400</v>
      </c>
      <c r="AQ167" s="774">
        <f t="shared" si="120"/>
        <v>8400</v>
      </c>
    </row>
    <row r="168" spans="2:43" x14ac:dyDescent="0.25">
      <c r="B168" s="786">
        <v>2</v>
      </c>
      <c r="C168" s="787" t="s">
        <v>1173</v>
      </c>
      <c r="D168" s="785"/>
      <c r="E168" s="785"/>
      <c r="F168" s="785"/>
      <c r="G168" s="788"/>
      <c r="H168" s="789">
        <f>H169+H184+H187</f>
        <v>42353</v>
      </c>
      <c r="I168" s="789">
        <f t="shared" ref="I168:U168" si="121">I169+I184+I187</f>
        <v>0</v>
      </c>
      <c r="J168" s="789">
        <f t="shared" si="121"/>
        <v>0</v>
      </c>
      <c r="K168" s="789">
        <f t="shared" si="121"/>
        <v>0</v>
      </c>
      <c r="L168" s="789">
        <f t="shared" si="121"/>
        <v>42353</v>
      </c>
      <c r="M168" s="789">
        <f t="shared" si="121"/>
        <v>42353</v>
      </c>
      <c r="N168" s="789">
        <f t="shared" si="121"/>
        <v>42353</v>
      </c>
      <c r="O168" s="789">
        <f t="shared" si="121"/>
        <v>42353</v>
      </c>
      <c r="P168" s="789">
        <f t="shared" si="121"/>
        <v>42353</v>
      </c>
      <c r="Q168" s="789">
        <f t="shared" si="121"/>
        <v>42353</v>
      </c>
      <c r="R168" s="789">
        <f t="shared" si="121"/>
        <v>42353</v>
      </c>
      <c r="S168" s="789">
        <f t="shared" si="121"/>
        <v>42353</v>
      </c>
      <c r="T168" s="789">
        <f t="shared" si="121"/>
        <v>42353</v>
      </c>
      <c r="U168" s="789">
        <f t="shared" si="121"/>
        <v>42353</v>
      </c>
      <c r="W168" s="786">
        <f>B168</f>
        <v>2</v>
      </c>
      <c r="X168" s="787" t="str">
        <f t="shared" si="101"/>
        <v>COSTOS DE MANTENIMIENTO</v>
      </c>
      <c r="Y168" s="785"/>
      <c r="Z168" s="785"/>
      <c r="AA168" s="785"/>
      <c r="AB168" s="788"/>
      <c r="AC168" s="789">
        <f>AC169+AC184+AC187</f>
        <v>42353</v>
      </c>
      <c r="AD168" s="804"/>
      <c r="AE168" s="789">
        <f t="shared" ref="AE168:AQ168" si="122">AE169+AE184+AE187</f>
        <v>0</v>
      </c>
      <c r="AF168" s="789">
        <f t="shared" si="122"/>
        <v>0</v>
      </c>
      <c r="AG168" s="789">
        <f t="shared" si="122"/>
        <v>0</v>
      </c>
      <c r="AH168" s="789">
        <f t="shared" si="122"/>
        <v>34966.690999999999</v>
      </c>
      <c r="AI168" s="789">
        <f t="shared" si="122"/>
        <v>34966.690999999999</v>
      </c>
      <c r="AJ168" s="789">
        <f t="shared" si="122"/>
        <v>34966.690999999999</v>
      </c>
      <c r="AK168" s="789">
        <f t="shared" si="122"/>
        <v>34966.690999999999</v>
      </c>
      <c r="AL168" s="789">
        <f t="shared" si="122"/>
        <v>34966.690999999999</v>
      </c>
      <c r="AM168" s="789">
        <f t="shared" si="122"/>
        <v>34966.690999999999</v>
      </c>
      <c r="AN168" s="789">
        <f t="shared" si="122"/>
        <v>34966.690999999999</v>
      </c>
      <c r="AO168" s="789">
        <f t="shared" si="122"/>
        <v>34966.690999999999</v>
      </c>
      <c r="AP168" s="789">
        <f t="shared" si="122"/>
        <v>34966.690999999999</v>
      </c>
      <c r="AQ168" s="789">
        <f t="shared" si="122"/>
        <v>34966.690999999999</v>
      </c>
    </row>
    <row r="169" spans="2:43" ht="26.25" customHeight="1" x14ac:dyDescent="0.25">
      <c r="B169" s="779">
        <v>2.1</v>
      </c>
      <c r="C169" s="750" t="s">
        <v>1174</v>
      </c>
      <c r="D169" s="746"/>
      <c r="E169" s="746"/>
      <c r="F169" s="746"/>
      <c r="G169" s="746"/>
      <c r="H169" s="755">
        <f>SUM(H170:H183)</f>
        <v>2353</v>
      </c>
      <c r="I169" s="755">
        <f t="shared" ref="I169:U169" si="123">SUM(I170:I183)</f>
        <v>0</v>
      </c>
      <c r="J169" s="755">
        <f t="shared" si="123"/>
        <v>0</v>
      </c>
      <c r="K169" s="755">
        <f t="shared" si="123"/>
        <v>0</v>
      </c>
      <c r="L169" s="755">
        <f t="shared" si="123"/>
        <v>2353</v>
      </c>
      <c r="M169" s="755">
        <f t="shared" si="123"/>
        <v>2353</v>
      </c>
      <c r="N169" s="755">
        <f t="shared" si="123"/>
        <v>2353</v>
      </c>
      <c r="O169" s="755">
        <f t="shared" si="123"/>
        <v>2353</v>
      </c>
      <c r="P169" s="755">
        <f t="shared" si="123"/>
        <v>2353</v>
      </c>
      <c r="Q169" s="755">
        <f t="shared" si="123"/>
        <v>2353</v>
      </c>
      <c r="R169" s="755">
        <f t="shared" si="123"/>
        <v>2353</v>
      </c>
      <c r="S169" s="755">
        <f t="shared" si="123"/>
        <v>2353</v>
      </c>
      <c r="T169" s="755">
        <f t="shared" si="123"/>
        <v>2353</v>
      </c>
      <c r="U169" s="755">
        <f t="shared" si="123"/>
        <v>2353</v>
      </c>
      <c r="W169" s="779">
        <f>B169</f>
        <v>2.1</v>
      </c>
      <c r="X169" s="750" t="str">
        <f t="shared" si="101"/>
        <v xml:space="preserve">Mantenimiento de la infraestructura </v>
      </c>
      <c r="Y169" s="746"/>
      <c r="Z169" s="746"/>
      <c r="AA169" s="746"/>
      <c r="AB169" s="746"/>
      <c r="AC169" s="755">
        <f>SUM(AC170:AC183)</f>
        <v>2353</v>
      </c>
      <c r="AD169" s="746"/>
      <c r="AE169" s="755">
        <f t="shared" ref="AE169:AQ169" si="124">SUM(AE170:AE183)</f>
        <v>0</v>
      </c>
      <c r="AF169" s="755">
        <f t="shared" si="124"/>
        <v>0</v>
      </c>
      <c r="AG169" s="755">
        <f t="shared" si="124"/>
        <v>0</v>
      </c>
      <c r="AH169" s="755">
        <f t="shared" si="124"/>
        <v>1941.691</v>
      </c>
      <c r="AI169" s="755">
        <f t="shared" si="124"/>
        <v>1941.691</v>
      </c>
      <c r="AJ169" s="755">
        <f t="shared" si="124"/>
        <v>1941.691</v>
      </c>
      <c r="AK169" s="755">
        <f t="shared" si="124"/>
        <v>1941.691</v>
      </c>
      <c r="AL169" s="755">
        <f t="shared" si="124"/>
        <v>1941.691</v>
      </c>
      <c r="AM169" s="755">
        <f t="shared" si="124"/>
        <v>1941.691</v>
      </c>
      <c r="AN169" s="755">
        <f t="shared" si="124"/>
        <v>1941.691</v>
      </c>
      <c r="AO169" s="755">
        <f t="shared" si="124"/>
        <v>1941.691</v>
      </c>
      <c r="AP169" s="755">
        <f t="shared" si="124"/>
        <v>1941.691</v>
      </c>
      <c r="AQ169" s="755">
        <f t="shared" si="124"/>
        <v>1941.691</v>
      </c>
    </row>
    <row r="170" spans="2:43" x14ac:dyDescent="0.25">
      <c r="B170" s="1893"/>
      <c r="C170" s="780" t="s">
        <v>1175</v>
      </c>
      <c r="D170" s="740" t="s">
        <v>1190</v>
      </c>
      <c r="E170" s="749">
        <v>7</v>
      </c>
      <c r="F170" s="740" t="s">
        <v>669</v>
      </c>
      <c r="G170" s="743">
        <v>28</v>
      </c>
      <c r="H170" s="743">
        <f>E170*G170</f>
        <v>196</v>
      </c>
      <c r="I170" s="774">
        <v>0</v>
      </c>
      <c r="J170" s="774">
        <v>0</v>
      </c>
      <c r="K170" s="774">
        <v>0</v>
      </c>
      <c r="L170" s="743">
        <f>H170</f>
        <v>196</v>
      </c>
      <c r="M170" s="743">
        <f>L170</f>
        <v>196</v>
      </c>
      <c r="N170" s="743">
        <f t="shared" ref="N170:U170" si="125">M170</f>
        <v>196</v>
      </c>
      <c r="O170" s="743">
        <f t="shared" si="125"/>
        <v>196</v>
      </c>
      <c r="P170" s="743">
        <f t="shared" si="125"/>
        <v>196</v>
      </c>
      <c r="Q170" s="743">
        <f t="shared" si="125"/>
        <v>196</v>
      </c>
      <c r="R170" s="743">
        <f t="shared" si="125"/>
        <v>196</v>
      </c>
      <c r="S170" s="743">
        <f t="shared" si="125"/>
        <v>196</v>
      </c>
      <c r="T170" s="743">
        <f t="shared" si="125"/>
        <v>196</v>
      </c>
      <c r="U170" s="743">
        <f t="shared" si="125"/>
        <v>196</v>
      </c>
      <c r="W170" s="1893"/>
      <c r="X170" s="780" t="str">
        <f t="shared" si="101"/>
        <v>Pintura esmalte</v>
      </c>
      <c r="Y170" s="740" t="str">
        <f>D170</f>
        <v>Gln.</v>
      </c>
      <c r="Z170" s="749">
        <f>E170</f>
        <v>7</v>
      </c>
      <c r="AA170" s="740" t="str">
        <f>F170</f>
        <v>-</v>
      </c>
      <c r="AB170" s="743">
        <f>G170</f>
        <v>28</v>
      </c>
      <c r="AC170" s="743">
        <f>Z170*AB170</f>
        <v>196</v>
      </c>
      <c r="AD170" s="800">
        <v>0.84699999999999998</v>
      </c>
      <c r="AE170" s="774">
        <v>0</v>
      </c>
      <c r="AF170" s="774">
        <v>0</v>
      </c>
      <c r="AG170" s="774">
        <v>0</v>
      </c>
      <c r="AH170" s="743">
        <f>AC170*AD170</f>
        <v>166.012</v>
      </c>
      <c r="AI170" s="743">
        <f>AH170</f>
        <v>166.012</v>
      </c>
      <c r="AJ170" s="743">
        <f t="shared" ref="AJ170:AQ170" si="126">AI170</f>
        <v>166.012</v>
      </c>
      <c r="AK170" s="743">
        <f t="shared" si="126"/>
        <v>166.012</v>
      </c>
      <c r="AL170" s="743">
        <f t="shared" si="126"/>
        <v>166.012</v>
      </c>
      <c r="AM170" s="743">
        <f t="shared" si="126"/>
        <v>166.012</v>
      </c>
      <c r="AN170" s="743">
        <f t="shared" si="126"/>
        <v>166.012</v>
      </c>
      <c r="AO170" s="743">
        <f t="shared" si="126"/>
        <v>166.012</v>
      </c>
      <c r="AP170" s="743">
        <f t="shared" si="126"/>
        <v>166.012</v>
      </c>
      <c r="AQ170" s="743">
        <f t="shared" si="126"/>
        <v>166.012</v>
      </c>
    </row>
    <row r="171" spans="2:43" x14ac:dyDescent="0.25">
      <c r="B171" s="1894"/>
      <c r="C171" s="780" t="s">
        <v>1176</v>
      </c>
      <c r="D171" s="740" t="s">
        <v>1190</v>
      </c>
      <c r="E171" s="749">
        <v>5</v>
      </c>
      <c r="F171" s="740" t="s">
        <v>669</v>
      </c>
      <c r="G171" s="743">
        <v>18</v>
      </c>
      <c r="H171" s="743">
        <f t="shared" ref="H171:H183" si="127">E171*G171</f>
        <v>90</v>
      </c>
      <c r="I171" s="774">
        <v>0</v>
      </c>
      <c r="J171" s="774">
        <v>0</v>
      </c>
      <c r="K171" s="774">
        <v>0</v>
      </c>
      <c r="L171" s="743">
        <f t="shared" ref="L171:L183" si="128">H171</f>
        <v>90</v>
      </c>
      <c r="M171" s="743">
        <f t="shared" ref="M171:U183" si="129">L171</f>
        <v>90</v>
      </c>
      <c r="N171" s="743">
        <f t="shared" si="129"/>
        <v>90</v>
      </c>
      <c r="O171" s="743">
        <f t="shared" si="129"/>
        <v>90</v>
      </c>
      <c r="P171" s="743">
        <f t="shared" si="129"/>
        <v>90</v>
      </c>
      <c r="Q171" s="743">
        <f t="shared" si="129"/>
        <v>90</v>
      </c>
      <c r="R171" s="743">
        <f t="shared" si="129"/>
        <v>90</v>
      </c>
      <c r="S171" s="743">
        <f t="shared" si="129"/>
        <v>90</v>
      </c>
      <c r="T171" s="743">
        <f t="shared" si="129"/>
        <v>90</v>
      </c>
      <c r="U171" s="743">
        <f t="shared" si="129"/>
        <v>90</v>
      </c>
      <c r="W171" s="1894"/>
      <c r="X171" s="780" t="str">
        <f t="shared" ref="X171:X183" si="130">C171</f>
        <v>Pintura látex</v>
      </c>
      <c r="Y171" s="740" t="str">
        <f t="shared" ref="Y171:Y183" si="131">D171</f>
        <v>Gln.</v>
      </c>
      <c r="Z171" s="749">
        <f t="shared" ref="Z171:Z183" si="132">E171</f>
        <v>5</v>
      </c>
      <c r="AA171" s="740" t="str">
        <f t="shared" ref="AA171:AA183" si="133">F171</f>
        <v>-</v>
      </c>
      <c r="AB171" s="743">
        <f t="shared" ref="AB171:AB183" si="134">G171</f>
        <v>18</v>
      </c>
      <c r="AC171" s="743">
        <f t="shared" ref="AC171:AC183" si="135">Z171*AB171</f>
        <v>90</v>
      </c>
      <c r="AD171" s="800">
        <v>0.84699999999999998</v>
      </c>
      <c r="AE171" s="774">
        <v>0</v>
      </c>
      <c r="AF171" s="774">
        <v>0</v>
      </c>
      <c r="AG171" s="774">
        <v>0</v>
      </c>
      <c r="AH171" s="743">
        <f t="shared" ref="AH171:AH183" si="136">AC171*AD171</f>
        <v>76.23</v>
      </c>
      <c r="AI171" s="743">
        <f t="shared" ref="AI171:AQ171" si="137">AH171</f>
        <v>76.23</v>
      </c>
      <c r="AJ171" s="743">
        <f t="shared" si="137"/>
        <v>76.23</v>
      </c>
      <c r="AK171" s="743">
        <f t="shared" si="137"/>
        <v>76.23</v>
      </c>
      <c r="AL171" s="743">
        <f t="shared" si="137"/>
        <v>76.23</v>
      </c>
      <c r="AM171" s="743">
        <f t="shared" si="137"/>
        <v>76.23</v>
      </c>
      <c r="AN171" s="743">
        <f t="shared" si="137"/>
        <v>76.23</v>
      </c>
      <c r="AO171" s="743">
        <f t="shared" si="137"/>
        <v>76.23</v>
      </c>
      <c r="AP171" s="743">
        <f t="shared" si="137"/>
        <v>76.23</v>
      </c>
      <c r="AQ171" s="743">
        <f t="shared" si="137"/>
        <v>76.23</v>
      </c>
    </row>
    <row r="172" spans="2:43" x14ac:dyDescent="0.25">
      <c r="B172" s="1894"/>
      <c r="C172" s="780" t="s">
        <v>1177</v>
      </c>
      <c r="D172" s="740" t="s">
        <v>1191</v>
      </c>
      <c r="E172" s="749">
        <v>6</v>
      </c>
      <c r="F172" s="740" t="s">
        <v>669</v>
      </c>
      <c r="G172" s="743">
        <v>15</v>
      </c>
      <c r="H172" s="743">
        <f t="shared" si="127"/>
        <v>90</v>
      </c>
      <c r="I172" s="774">
        <v>0</v>
      </c>
      <c r="J172" s="774">
        <v>0</v>
      </c>
      <c r="K172" s="774">
        <v>0</v>
      </c>
      <c r="L172" s="743">
        <f t="shared" si="128"/>
        <v>90</v>
      </c>
      <c r="M172" s="743">
        <f t="shared" si="129"/>
        <v>90</v>
      </c>
      <c r="N172" s="743">
        <f t="shared" si="129"/>
        <v>90</v>
      </c>
      <c r="O172" s="743">
        <f t="shared" si="129"/>
        <v>90</v>
      </c>
      <c r="P172" s="743">
        <f t="shared" si="129"/>
        <v>90</v>
      </c>
      <c r="Q172" s="743">
        <f t="shared" si="129"/>
        <v>90</v>
      </c>
      <c r="R172" s="743">
        <f t="shared" si="129"/>
        <v>90</v>
      </c>
      <c r="S172" s="743">
        <f t="shared" si="129"/>
        <v>90</v>
      </c>
      <c r="T172" s="743">
        <f t="shared" si="129"/>
        <v>90</v>
      </c>
      <c r="U172" s="743">
        <f t="shared" si="129"/>
        <v>90</v>
      </c>
      <c r="W172" s="1894"/>
      <c r="X172" s="780" t="str">
        <f t="shared" si="130"/>
        <v>Rodillo</v>
      </c>
      <c r="Y172" s="740" t="str">
        <f t="shared" si="131"/>
        <v>Unid.</v>
      </c>
      <c r="Z172" s="749">
        <f t="shared" si="132"/>
        <v>6</v>
      </c>
      <c r="AA172" s="740" t="str">
        <f t="shared" si="133"/>
        <v>-</v>
      </c>
      <c r="AB172" s="743">
        <f t="shared" si="134"/>
        <v>15</v>
      </c>
      <c r="AC172" s="743">
        <f t="shared" si="135"/>
        <v>90</v>
      </c>
      <c r="AD172" s="800">
        <v>0.84699999999999998</v>
      </c>
      <c r="AE172" s="774">
        <v>0</v>
      </c>
      <c r="AF172" s="774">
        <v>0</v>
      </c>
      <c r="AG172" s="774">
        <v>0</v>
      </c>
      <c r="AH172" s="743">
        <f t="shared" si="136"/>
        <v>76.23</v>
      </c>
      <c r="AI172" s="743">
        <f t="shared" ref="AI172:AQ172" si="138">AH172</f>
        <v>76.23</v>
      </c>
      <c r="AJ172" s="743">
        <f t="shared" si="138"/>
        <v>76.23</v>
      </c>
      <c r="AK172" s="743">
        <f t="shared" si="138"/>
        <v>76.23</v>
      </c>
      <c r="AL172" s="743">
        <f t="shared" si="138"/>
        <v>76.23</v>
      </c>
      <c r="AM172" s="743">
        <f t="shared" si="138"/>
        <v>76.23</v>
      </c>
      <c r="AN172" s="743">
        <f t="shared" si="138"/>
        <v>76.23</v>
      </c>
      <c r="AO172" s="743">
        <f t="shared" si="138"/>
        <v>76.23</v>
      </c>
      <c r="AP172" s="743">
        <f t="shared" si="138"/>
        <v>76.23</v>
      </c>
      <c r="AQ172" s="743">
        <f t="shared" si="138"/>
        <v>76.23</v>
      </c>
    </row>
    <row r="173" spans="2:43" x14ac:dyDescent="0.25">
      <c r="B173" s="1894"/>
      <c r="C173" s="780" t="s">
        <v>1178</v>
      </c>
      <c r="D173" s="740" t="s">
        <v>1191</v>
      </c>
      <c r="E173" s="749">
        <v>6</v>
      </c>
      <c r="F173" s="740" t="s">
        <v>669</v>
      </c>
      <c r="G173" s="743">
        <v>8</v>
      </c>
      <c r="H173" s="743">
        <f t="shared" si="127"/>
        <v>48</v>
      </c>
      <c r="I173" s="774">
        <v>0</v>
      </c>
      <c r="J173" s="774">
        <v>0</v>
      </c>
      <c r="K173" s="774">
        <v>0</v>
      </c>
      <c r="L173" s="743">
        <f t="shared" si="128"/>
        <v>48</v>
      </c>
      <c r="M173" s="743">
        <f t="shared" si="129"/>
        <v>48</v>
      </c>
      <c r="N173" s="743">
        <f t="shared" si="129"/>
        <v>48</v>
      </c>
      <c r="O173" s="743">
        <f t="shared" si="129"/>
        <v>48</v>
      </c>
      <c r="P173" s="743">
        <f t="shared" si="129"/>
        <v>48</v>
      </c>
      <c r="Q173" s="743">
        <f t="shared" si="129"/>
        <v>48</v>
      </c>
      <c r="R173" s="743">
        <f t="shared" si="129"/>
        <v>48</v>
      </c>
      <c r="S173" s="743">
        <f t="shared" si="129"/>
        <v>48</v>
      </c>
      <c r="T173" s="743">
        <f t="shared" si="129"/>
        <v>48</v>
      </c>
      <c r="U173" s="743">
        <f t="shared" si="129"/>
        <v>48</v>
      </c>
      <c r="W173" s="1894"/>
      <c r="X173" s="780" t="str">
        <f t="shared" si="130"/>
        <v>Brochas</v>
      </c>
      <c r="Y173" s="740" t="str">
        <f t="shared" si="131"/>
        <v>Unid.</v>
      </c>
      <c r="Z173" s="749">
        <f t="shared" si="132"/>
        <v>6</v>
      </c>
      <c r="AA173" s="740" t="str">
        <f t="shared" si="133"/>
        <v>-</v>
      </c>
      <c r="AB173" s="743">
        <f t="shared" si="134"/>
        <v>8</v>
      </c>
      <c r="AC173" s="743">
        <f t="shared" si="135"/>
        <v>48</v>
      </c>
      <c r="AD173" s="800">
        <v>0.84699999999999998</v>
      </c>
      <c r="AE173" s="774">
        <v>0</v>
      </c>
      <c r="AF173" s="774">
        <v>0</v>
      </c>
      <c r="AG173" s="774">
        <v>0</v>
      </c>
      <c r="AH173" s="743">
        <f t="shared" si="136"/>
        <v>40.655999999999999</v>
      </c>
      <c r="AI173" s="743">
        <f t="shared" ref="AI173:AQ173" si="139">AH173</f>
        <v>40.655999999999999</v>
      </c>
      <c r="AJ173" s="743">
        <f t="shared" si="139"/>
        <v>40.655999999999999</v>
      </c>
      <c r="AK173" s="743">
        <f t="shared" si="139"/>
        <v>40.655999999999999</v>
      </c>
      <c r="AL173" s="743">
        <f t="shared" si="139"/>
        <v>40.655999999999999</v>
      </c>
      <c r="AM173" s="743">
        <f t="shared" si="139"/>
        <v>40.655999999999999</v>
      </c>
      <c r="AN173" s="743">
        <f t="shared" si="139"/>
        <v>40.655999999999999</v>
      </c>
      <c r="AO173" s="743">
        <f t="shared" si="139"/>
        <v>40.655999999999999</v>
      </c>
      <c r="AP173" s="743">
        <f t="shared" si="139"/>
        <v>40.655999999999999</v>
      </c>
      <c r="AQ173" s="743">
        <f t="shared" si="139"/>
        <v>40.655999999999999</v>
      </c>
    </row>
    <row r="174" spans="2:43" x14ac:dyDescent="0.25">
      <c r="B174" s="1894"/>
      <c r="C174" s="780" t="s">
        <v>1179</v>
      </c>
      <c r="D174" s="740" t="s">
        <v>1192</v>
      </c>
      <c r="E174" s="749">
        <v>8</v>
      </c>
      <c r="F174" s="740" t="s">
        <v>669</v>
      </c>
      <c r="G174" s="743">
        <v>5</v>
      </c>
      <c r="H174" s="743">
        <f t="shared" si="127"/>
        <v>40</v>
      </c>
      <c r="I174" s="774">
        <v>0</v>
      </c>
      <c r="J174" s="774">
        <v>0</v>
      </c>
      <c r="K174" s="774">
        <v>0</v>
      </c>
      <c r="L174" s="743">
        <f t="shared" si="128"/>
        <v>40</v>
      </c>
      <c r="M174" s="743">
        <f t="shared" si="129"/>
        <v>40</v>
      </c>
      <c r="N174" s="743">
        <f t="shared" si="129"/>
        <v>40</v>
      </c>
      <c r="O174" s="743">
        <f t="shared" si="129"/>
        <v>40</v>
      </c>
      <c r="P174" s="743">
        <f t="shared" si="129"/>
        <v>40</v>
      </c>
      <c r="Q174" s="743">
        <f t="shared" si="129"/>
        <v>40</v>
      </c>
      <c r="R174" s="743">
        <f t="shared" si="129"/>
        <v>40</v>
      </c>
      <c r="S174" s="743">
        <f t="shared" si="129"/>
        <v>40</v>
      </c>
      <c r="T174" s="743">
        <f t="shared" si="129"/>
        <v>40</v>
      </c>
      <c r="U174" s="743">
        <f t="shared" si="129"/>
        <v>40</v>
      </c>
      <c r="W174" s="1894"/>
      <c r="X174" s="780" t="str">
        <f t="shared" si="130"/>
        <v>Tiner</v>
      </c>
      <c r="Y174" s="740" t="str">
        <f t="shared" si="131"/>
        <v>Lt</v>
      </c>
      <c r="Z174" s="749">
        <f t="shared" si="132"/>
        <v>8</v>
      </c>
      <c r="AA174" s="740" t="str">
        <f t="shared" si="133"/>
        <v>-</v>
      </c>
      <c r="AB174" s="743">
        <f t="shared" si="134"/>
        <v>5</v>
      </c>
      <c r="AC174" s="743">
        <f t="shared" si="135"/>
        <v>40</v>
      </c>
      <c r="AD174" s="800">
        <v>0.84699999999999998</v>
      </c>
      <c r="AE174" s="774">
        <v>0</v>
      </c>
      <c r="AF174" s="774">
        <v>0</v>
      </c>
      <c r="AG174" s="774">
        <v>0</v>
      </c>
      <c r="AH174" s="743">
        <f t="shared" si="136"/>
        <v>33.879999999999995</v>
      </c>
      <c r="AI174" s="743">
        <f t="shared" ref="AI174:AQ174" si="140">AH174</f>
        <v>33.879999999999995</v>
      </c>
      <c r="AJ174" s="743">
        <f t="shared" si="140"/>
        <v>33.879999999999995</v>
      </c>
      <c r="AK174" s="743">
        <f t="shared" si="140"/>
        <v>33.879999999999995</v>
      </c>
      <c r="AL174" s="743">
        <f t="shared" si="140"/>
        <v>33.879999999999995</v>
      </c>
      <c r="AM174" s="743">
        <f t="shared" si="140"/>
        <v>33.879999999999995</v>
      </c>
      <c r="AN174" s="743">
        <f t="shared" si="140"/>
        <v>33.879999999999995</v>
      </c>
      <c r="AO174" s="743">
        <f t="shared" si="140"/>
        <v>33.879999999999995</v>
      </c>
      <c r="AP174" s="743">
        <f t="shared" si="140"/>
        <v>33.879999999999995</v>
      </c>
      <c r="AQ174" s="743">
        <f t="shared" si="140"/>
        <v>33.879999999999995</v>
      </c>
    </row>
    <row r="175" spans="2:43" x14ac:dyDescent="0.25">
      <c r="B175" s="1894"/>
      <c r="C175" s="780" t="s">
        <v>1180</v>
      </c>
      <c r="D175" s="740" t="s">
        <v>1193</v>
      </c>
      <c r="E175" s="749">
        <v>25</v>
      </c>
      <c r="F175" s="740" t="s">
        <v>669</v>
      </c>
      <c r="G175" s="743">
        <v>2.68</v>
      </c>
      <c r="H175" s="743">
        <f t="shared" si="127"/>
        <v>67</v>
      </c>
      <c r="I175" s="774">
        <v>0</v>
      </c>
      <c r="J175" s="774">
        <v>0</v>
      </c>
      <c r="K175" s="774">
        <v>0</v>
      </c>
      <c r="L175" s="743">
        <f t="shared" si="128"/>
        <v>67</v>
      </c>
      <c r="M175" s="743">
        <f t="shared" si="129"/>
        <v>67</v>
      </c>
      <c r="N175" s="743">
        <f t="shared" si="129"/>
        <v>67</v>
      </c>
      <c r="O175" s="743">
        <f t="shared" si="129"/>
        <v>67</v>
      </c>
      <c r="P175" s="743">
        <f t="shared" si="129"/>
        <v>67</v>
      </c>
      <c r="Q175" s="743">
        <f t="shared" si="129"/>
        <v>67</v>
      </c>
      <c r="R175" s="743">
        <f t="shared" si="129"/>
        <v>67</v>
      </c>
      <c r="S175" s="743">
        <f t="shared" si="129"/>
        <v>67</v>
      </c>
      <c r="T175" s="743">
        <f t="shared" si="129"/>
        <v>67</v>
      </c>
      <c r="U175" s="743">
        <f t="shared" si="129"/>
        <v>67</v>
      </c>
      <c r="W175" s="1894"/>
      <c r="X175" s="780" t="str">
        <f t="shared" si="130"/>
        <v>Vidrio</v>
      </c>
      <c r="Y175" s="740" t="str">
        <f t="shared" si="131"/>
        <v>p2</v>
      </c>
      <c r="Z175" s="749">
        <f t="shared" si="132"/>
        <v>25</v>
      </c>
      <c r="AA175" s="740" t="str">
        <f t="shared" si="133"/>
        <v>-</v>
      </c>
      <c r="AB175" s="743">
        <f t="shared" si="134"/>
        <v>2.68</v>
      </c>
      <c r="AC175" s="743">
        <f t="shared" si="135"/>
        <v>67</v>
      </c>
      <c r="AD175" s="800">
        <v>0.84699999999999998</v>
      </c>
      <c r="AE175" s="774">
        <v>0</v>
      </c>
      <c r="AF175" s="774">
        <v>0</v>
      </c>
      <c r="AG175" s="774">
        <v>0</v>
      </c>
      <c r="AH175" s="743">
        <f t="shared" si="136"/>
        <v>56.748999999999995</v>
      </c>
      <c r="AI175" s="743">
        <f t="shared" ref="AI175:AQ175" si="141">AH175</f>
        <v>56.748999999999995</v>
      </c>
      <c r="AJ175" s="743">
        <f t="shared" si="141"/>
        <v>56.748999999999995</v>
      </c>
      <c r="AK175" s="743">
        <f t="shared" si="141"/>
        <v>56.748999999999995</v>
      </c>
      <c r="AL175" s="743">
        <f t="shared" si="141"/>
        <v>56.748999999999995</v>
      </c>
      <c r="AM175" s="743">
        <f t="shared" si="141"/>
        <v>56.748999999999995</v>
      </c>
      <c r="AN175" s="743">
        <f t="shared" si="141"/>
        <v>56.748999999999995</v>
      </c>
      <c r="AO175" s="743">
        <f t="shared" si="141"/>
        <v>56.748999999999995</v>
      </c>
      <c r="AP175" s="743">
        <f t="shared" si="141"/>
        <v>56.748999999999995</v>
      </c>
      <c r="AQ175" s="743">
        <f t="shared" si="141"/>
        <v>56.748999999999995</v>
      </c>
    </row>
    <row r="176" spans="2:43" x14ac:dyDescent="0.25">
      <c r="B176" s="1894"/>
      <c r="C176" s="780" t="s">
        <v>1181</v>
      </c>
      <c r="D176" s="740" t="s">
        <v>1191</v>
      </c>
      <c r="E176" s="749">
        <v>6</v>
      </c>
      <c r="F176" s="740" t="s">
        <v>669</v>
      </c>
      <c r="G176" s="743">
        <v>2</v>
      </c>
      <c r="H176" s="743">
        <f t="shared" si="127"/>
        <v>12</v>
      </c>
      <c r="I176" s="774">
        <v>0</v>
      </c>
      <c r="J176" s="774">
        <v>0</v>
      </c>
      <c r="K176" s="774">
        <v>0</v>
      </c>
      <c r="L176" s="743">
        <f t="shared" si="128"/>
        <v>12</v>
      </c>
      <c r="M176" s="743">
        <f t="shared" si="129"/>
        <v>12</v>
      </c>
      <c r="N176" s="743">
        <f t="shared" si="129"/>
        <v>12</v>
      </c>
      <c r="O176" s="743">
        <f t="shared" si="129"/>
        <v>12</v>
      </c>
      <c r="P176" s="743">
        <f t="shared" si="129"/>
        <v>12</v>
      </c>
      <c r="Q176" s="743">
        <f t="shared" si="129"/>
        <v>12</v>
      </c>
      <c r="R176" s="743">
        <f t="shared" si="129"/>
        <v>12</v>
      </c>
      <c r="S176" s="743">
        <f t="shared" si="129"/>
        <v>12</v>
      </c>
      <c r="T176" s="743">
        <f t="shared" si="129"/>
        <v>12</v>
      </c>
      <c r="U176" s="743">
        <f t="shared" si="129"/>
        <v>12</v>
      </c>
      <c r="W176" s="1894"/>
      <c r="X176" s="780" t="str">
        <f t="shared" si="130"/>
        <v>Bisagra para puertas</v>
      </c>
      <c r="Y176" s="740" t="str">
        <f t="shared" si="131"/>
        <v>Unid.</v>
      </c>
      <c r="Z176" s="749">
        <f t="shared" si="132"/>
        <v>6</v>
      </c>
      <c r="AA176" s="740" t="str">
        <f t="shared" si="133"/>
        <v>-</v>
      </c>
      <c r="AB176" s="743">
        <f t="shared" si="134"/>
        <v>2</v>
      </c>
      <c r="AC176" s="743">
        <f t="shared" si="135"/>
        <v>12</v>
      </c>
      <c r="AD176" s="800">
        <v>0.84699999999999998</v>
      </c>
      <c r="AE176" s="774">
        <v>0</v>
      </c>
      <c r="AF176" s="774">
        <v>0</v>
      </c>
      <c r="AG176" s="774">
        <v>0</v>
      </c>
      <c r="AH176" s="743">
        <f t="shared" si="136"/>
        <v>10.164</v>
      </c>
      <c r="AI176" s="743">
        <f t="shared" ref="AI176:AQ176" si="142">AH176</f>
        <v>10.164</v>
      </c>
      <c r="AJ176" s="743">
        <f t="shared" si="142"/>
        <v>10.164</v>
      </c>
      <c r="AK176" s="743">
        <f t="shared" si="142"/>
        <v>10.164</v>
      </c>
      <c r="AL176" s="743">
        <f t="shared" si="142"/>
        <v>10.164</v>
      </c>
      <c r="AM176" s="743">
        <f t="shared" si="142"/>
        <v>10.164</v>
      </c>
      <c r="AN176" s="743">
        <f t="shared" si="142"/>
        <v>10.164</v>
      </c>
      <c r="AO176" s="743">
        <f t="shared" si="142"/>
        <v>10.164</v>
      </c>
      <c r="AP176" s="743">
        <f t="shared" si="142"/>
        <v>10.164</v>
      </c>
      <c r="AQ176" s="743">
        <f t="shared" si="142"/>
        <v>10.164</v>
      </c>
    </row>
    <row r="177" spans="2:43" x14ac:dyDescent="0.25">
      <c r="B177" s="1894"/>
      <c r="C177" s="780" t="s">
        <v>1182</v>
      </c>
      <c r="D177" s="740" t="s">
        <v>1191</v>
      </c>
      <c r="E177" s="749">
        <v>10</v>
      </c>
      <c r="F177" s="740" t="s">
        <v>669</v>
      </c>
      <c r="G177" s="743">
        <v>12</v>
      </c>
      <c r="H177" s="743">
        <f t="shared" si="127"/>
        <v>120</v>
      </c>
      <c r="I177" s="774">
        <v>0</v>
      </c>
      <c r="J177" s="774">
        <v>0</v>
      </c>
      <c r="K177" s="774">
        <v>0</v>
      </c>
      <c r="L177" s="743">
        <f t="shared" si="128"/>
        <v>120</v>
      </c>
      <c r="M177" s="743">
        <f t="shared" si="129"/>
        <v>120</v>
      </c>
      <c r="N177" s="743">
        <f t="shared" si="129"/>
        <v>120</v>
      </c>
      <c r="O177" s="743">
        <f t="shared" si="129"/>
        <v>120</v>
      </c>
      <c r="P177" s="743">
        <f t="shared" si="129"/>
        <v>120</v>
      </c>
      <c r="Q177" s="743">
        <f t="shared" si="129"/>
        <v>120</v>
      </c>
      <c r="R177" s="743">
        <f t="shared" si="129"/>
        <v>120</v>
      </c>
      <c r="S177" s="743">
        <f t="shared" si="129"/>
        <v>120</v>
      </c>
      <c r="T177" s="743">
        <f t="shared" si="129"/>
        <v>120</v>
      </c>
      <c r="U177" s="743">
        <f t="shared" si="129"/>
        <v>120</v>
      </c>
      <c r="W177" s="1894"/>
      <c r="X177" s="780" t="str">
        <f t="shared" si="130"/>
        <v>Candados</v>
      </c>
      <c r="Y177" s="740" t="str">
        <f t="shared" si="131"/>
        <v>Unid.</v>
      </c>
      <c r="Z177" s="749">
        <f t="shared" si="132"/>
        <v>10</v>
      </c>
      <c r="AA177" s="740" t="str">
        <f t="shared" si="133"/>
        <v>-</v>
      </c>
      <c r="AB177" s="743">
        <f t="shared" si="134"/>
        <v>12</v>
      </c>
      <c r="AC177" s="743">
        <f t="shared" si="135"/>
        <v>120</v>
      </c>
      <c r="AD177" s="800">
        <v>0.84699999999999998</v>
      </c>
      <c r="AE177" s="774">
        <v>0</v>
      </c>
      <c r="AF177" s="774">
        <v>0</v>
      </c>
      <c r="AG177" s="774">
        <v>0</v>
      </c>
      <c r="AH177" s="743">
        <f t="shared" si="136"/>
        <v>101.64</v>
      </c>
      <c r="AI177" s="743">
        <f t="shared" ref="AI177:AQ177" si="143">AH177</f>
        <v>101.64</v>
      </c>
      <c r="AJ177" s="743">
        <f t="shared" si="143"/>
        <v>101.64</v>
      </c>
      <c r="AK177" s="743">
        <f t="shared" si="143"/>
        <v>101.64</v>
      </c>
      <c r="AL177" s="743">
        <f t="shared" si="143"/>
        <v>101.64</v>
      </c>
      <c r="AM177" s="743">
        <f t="shared" si="143"/>
        <v>101.64</v>
      </c>
      <c r="AN177" s="743">
        <f t="shared" si="143"/>
        <v>101.64</v>
      </c>
      <c r="AO177" s="743">
        <f t="shared" si="143"/>
        <v>101.64</v>
      </c>
      <c r="AP177" s="743">
        <f t="shared" si="143"/>
        <v>101.64</v>
      </c>
      <c r="AQ177" s="743">
        <f t="shared" si="143"/>
        <v>101.64</v>
      </c>
    </row>
    <row r="178" spans="2:43" x14ac:dyDescent="0.25">
      <c r="B178" s="1894"/>
      <c r="C178" s="780" t="s">
        <v>1183</v>
      </c>
      <c r="D178" s="740" t="s">
        <v>1191</v>
      </c>
      <c r="E178" s="749">
        <v>30</v>
      </c>
      <c r="F178" s="740" t="s">
        <v>669</v>
      </c>
      <c r="G178" s="743">
        <v>18</v>
      </c>
      <c r="H178" s="743">
        <f t="shared" si="127"/>
        <v>540</v>
      </c>
      <c r="I178" s="774">
        <v>0</v>
      </c>
      <c r="J178" s="774">
        <v>0</v>
      </c>
      <c r="K178" s="774">
        <v>0</v>
      </c>
      <c r="L178" s="743">
        <f t="shared" si="128"/>
        <v>540</v>
      </c>
      <c r="M178" s="743">
        <f t="shared" si="129"/>
        <v>540</v>
      </c>
      <c r="N178" s="743">
        <f t="shared" si="129"/>
        <v>540</v>
      </c>
      <c r="O178" s="743">
        <f t="shared" si="129"/>
        <v>540</v>
      </c>
      <c r="P178" s="743">
        <f t="shared" si="129"/>
        <v>540</v>
      </c>
      <c r="Q178" s="743">
        <f t="shared" si="129"/>
        <v>540</v>
      </c>
      <c r="R178" s="743">
        <f t="shared" si="129"/>
        <v>540</v>
      </c>
      <c r="S178" s="743">
        <f t="shared" si="129"/>
        <v>540</v>
      </c>
      <c r="T178" s="743">
        <f t="shared" si="129"/>
        <v>540</v>
      </c>
      <c r="U178" s="743">
        <f t="shared" si="129"/>
        <v>540</v>
      </c>
      <c r="W178" s="1894"/>
      <c r="X178" s="780" t="str">
        <f t="shared" si="130"/>
        <v>Calamina</v>
      </c>
      <c r="Y178" s="740" t="str">
        <f t="shared" si="131"/>
        <v>Unid.</v>
      </c>
      <c r="Z178" s="749">
        <f t="shared" si="132"/>
        <v>30</v>
      </c>
      <c r="AA178" s="740" t="str">
        <f t="shared" si="133"/>
        <v>-</v>
      </c>
      <c r="AB178" s="743">
        <f t="shared" si="134"/>
        <v>18</v>
      </c>
      <c r="AC178" s="743">
        <f t="shared" si="135"/>
        <v>540</v>
      </c>
      <c r="AD178" s="800">
        <v>0.84699999999999998</v>
      </c>
      <c r="AE178" s="774">
        <v>0</v>
      </c>
      <c r="AF178" s="774">
        <v>0</v>
      </c>
      <c r="AG178" s="774">
        <v>0</v>
      </c>
      <c r="AH178" s="743">
        <f t="shared" si="136"/>
        <v>457.38</v>
      </c>
      <c r="AI178" s="743">
        <f t="shared" ref="AI178:AQ178" si="144">AH178</f>
        <v>457.38</v>
      </c>
      <c r="AJ178" s="743">
        <f t="shared" si="144"/>
        <v>457.38</v>
      </c>
      <c r="AK178" s="743">
        <f t="shared" si="144"/>
        <v>457.38</v>
      </c>
      <c r="AL178" s="743">
        <f t="shared" si="144"/>
        <v>457.38</v>
      </c>
      <c r="AM178" s="743">
        <f t="shared" si="144"/>
        <v>457.38</v>
      </c>
      <c r="AN178" s="743">
        <f t="shared" si="144"/>
        <v>457.38</v>
      </c>
      <c r="AO178" s="743">
        <f t="shared" si="144"/>
        <v>457.38</v>
      </c>
      <c r="AP178" s="743">
        <f t="shared" si="144"/>
        <v>457.38</v>
      </c>
      <c r="AQ178" s="743">
        <f t="shared" si="144"/>
        <v>457.38</v>
      </c>
    </row>
    <row r="179" spans="2:43" x14ac:dyDescent="0.25">
      <c r="B179" s="1894"/>
      <c r="C179" s="780" t="s">
        <v>1184</v>
      </c>
      <c r="D179" s="740" t="s">
        <v>1194</v>
      </c>
      <c r="E179" s="749">
        <v>0.5</v>
      </c>
      <c r="F179" s="740" t="s">
        <v>669</v>
      </c>
      <c r="G179" s="743">
        <v>250</v>
      </c>
      <c r="H179" s="743">
        <f t="shared" si="127"/>
        <v>125</v>
      </c>
      <c r="I179" s="774">
        <v>0</v>
      </c>
      <c r="J179" s="774">
        <v>0</v>
      </c>
      <c r="K179" s="774">
        <v>0</v>
      </c>
      <c r="L179" s="743">
        <f t="shared" si="128"/>
        <v>125</v>
      </c>
      <c r="M179" s="743">
        <f t="shared" si="129"/>
        <v>125</v>
      </c>
      <c r="N179" s="743">
        <f t="shared" si="129"/>
        <v>125</v>
      </c>
      <c r="O179" s="743">
        <f t="shared" si="129"/>
        <v>125</v>
      </c>
      <c r="P179" s="743">
        <f t="shared" si="129"/>
        <v>125</v>
      </c>
      <c r="Q179" s="743">
        <f t="shared" si="129"/>
        <v>125</v>
      </c>
      <c r="R179" s="743">
        <f t="shared" si="129"/>
        <v>125</v>
      </c>
      <c r="S179" s="743">
        <f t="shared" si="129"/>
        <v>125</v>
      </c>
      <c r="T179" s="743">
        <f t="shared" si="129"/>
        <v>125</v>
      </c>
      <c r="U179" s="743">
        <f t="shared" si="129"/>
        <v>125</v>
      </c>
      <c r="W179" s="1894"/>
      <c r="X179" s="780" t="str">
        <f t="shared" si="130"/>
        <v xml:space="preserve">Accesorios para agua </v>
      </c>
      <c r="Y179" s="740" t="str">
        <f t="shared" si="131"/>
        <v>Glob</v>
      </c>
      <c r="Z179" s="749">
        <f t="shared" si="132"/>
        <v>0.5</v>
      </c>
      <c r="AA179" s="740" t="str">
        <f t="shared" si="133"/>
        <v>-</v>
      </c>
      <c r="AB179" s="743">
        <f t="shared" si="134"/>
        <v>250</v>
      </c>
      <c r="AC179" s="743">
        <f t="shared" si="135"/>
        <v>125</v>
      </c>
      <c r="AD179" s="800">
        <v>0.84699999999999998</v>
      </c>
      <c r="AE179" s="774">
        <v>0</v>
      </c>
      <c r="AF179" s="774">
        <v>0</v>
      </c>
      <c r="AG179" s="774">
        <v>0</v>
      </c>
      <c r="AH179" s="743">
        <f t="shared" si="136"/>
        <v>105.875</v>
      </c>
      <c r="AI179" s="743">
        <f t="shared" ref="AI179:AQ179" si="145">AH179</f>
        <v>105.875</v>
      </c>
      <c r="AJ179" s="743">
        <f t="shared" si="145"/>
        <v>105.875</v>
      </c>
      <c r="AK179" s="743">
        <f t="shared" si="145"/>
        <v>105.875</v>
      </c>
      <c r="AL179" s="743">
        <f t="shared" si="145"/>
        <v>105.875</v>
      </c>
      <c r="AM179" s="743">
        <f t="shared" si="145"/>
        <v>105.875</v>
      </c>
      <c r="AN179" s="743">
        <f t="shared" si="145"/>
        <v>105.875</v>
      </c>
      <c r="AO179" s="743">
        <f t="shared" si="145"/>
        <v>105.875</v>
      </c>
      <c r="AP179" s="743">
        <f t="shared" si="145"/>
        <v>105.875</v>
      </c>
      <c r="AQ179" s="743">
        <f t="shared" si="145"/>
        <v>105.875</v>
      </c>
    </row>
    <row r="180" spans="2:43" x14ac:dyDescent="0.25">
      <c r="B180" s="1894"/>
      <c r="C180" s="780" t="s">
        <v>1185</v>
      </c>
      <c r="D180" s="740" t="s">
        <v>1194</v>
      </c>
      <c r="E180" s="749">
        <v>0.5</v>
      </c>
      <c r="F180" s="740" t="s">
        <v>669</v>
      </c>
      <c r="G180" s="743">
        <v>250</v>
      </c>
      <c r="H180" s="743">
        <f t="shared" si="127"/>
        <v>125</v>
      </c>
      <c r="I180" s="774">
        <v>0</v>
      </c>
      <c r="J180" s="774">
        <v>0</v>
      </c>
      <c r="K180" s="774">
        <v>0</v>
      </c>
      <c r="L180" s="743">
        <f t="shared" si="128"/>
        <v>125</v>
      </c>
      <c r="M180" s="743">
        <f t="shared" si="129"/>
        <v>125</v>
      </c>
      <c r="N180" s="743">
        <f t="shared" si="129"/>
        <v>125</v>
      </c>
      <c r="O180" s="743">
        <f t="shared" si="129"/>
        <v>125</v>
      </c>
      <c r="P180" s="743">
        <f t="shared" si="129"/>
        <v>125</v>
      </c>
      <c r="Q180" s="743">
        <f t="shared" si="129"/>
        <v>125</v>
      </c>
      <c r="R180" s="743">
        <f t="shared" si="129"/>
        <v>125</v>
      </c>
      <c r="S180" s="743">
        <f t="shared" si="129"/>
        <v>125</v>
      </c>
      <c r="T180" s="743">
        <f t="shared" si="129"/>
        <v>125</v>
      </c>
      <c r="U180" s="743">
        <f t="shared" si="129"/>
        <v>125</v>
      </c>
      <c r="W180" s="1894"/>
      <c r="X180" s="780" t="str">
        <f t="shared" si="130"/>
        <v>Accesorios instalaciones eléctricas</v>
      </c>
      <c r="Y180" s="740" t="str">
        <f t="shared" si="131"/>
        <v>Glob</v>
      </c>
      <c r="Z180" s="749">
        <f t="shared" si="132"/>
        <v>0.5</v>
      </c>
      <c r="AA180" s="740" t="str">
        <f t="shared" si="133"/>
        <v>-</v>
      </c>
      <c r="AB180" s="743">
        <f t="shared" si="134"/>
        <v>250</v>
      </c>
      <c r="AC180" s="743">
        <f t="shared" si="135"/>
        <v>125</v>
      </c>
      <c r="AD180" s="800">
        <v>0.84699999999999998</v>
      </c>
      <c r="AE180" s="774">
        <v>0</v>
      </c>
      <c r="AF180" s="774">
        <v>0</v>
      </c>
      <c r="AG180" s="774">
        <v>0</v>
      </c>
      <c r="AH180" s="743">
        <f t="shared" si="136"/>
        <v>105.875</v>
      </c>
      <c r="AI180" s="743">
        <f t="shared" ref="AI180:AQ180" si="146">AH180</f>
        <v>105.875</v>
      </c>
      <c r="AJ180" s="743">
        <f t="shared" si="146"/>
        <v>105.875</v>
      </c>
      <c r="AK180" s="743">
        <f t="shared" si="146"/>
        <v>105.875</v>
      </c>
      <c r="AL180" s="743">
        <f t="shared" si="146"/>
        <v>105.875</v>
      </c>
      <c r="AM180" s="743">
        <f t="shared" si="146"/>
        <v>105.875</v>
      </c>
      <c r="AN180" s="743">
        <f t="shared" si="146"/>
        <v>105.875</v>
      </c>
      <c r="AO180" s="743">
        <f t="shared" si="146"/>
        <v>105.875</v>
      </c>
      <c r="AP180" s="743">
        <f t="shared" si="146"/>
        <v>105.875</v>
      </c>
      <c r="AQ180" s="743">
        <f t="shared" si="146"/>
        <v>105.875</v>
      </c>
    </row>
    <row r="181" spans="2:43" ht="25.5" x14ac:dyDescent="0.25">
      <c r="B181" s="1894"/>
      <c r="C181" s="780" t="s">
        <v>1186</v>
      </c>
      <c r="D181" s="740" t="s">
        <v>780</v>
      </c>
      <c r="E181" s="749">
        <v>1</v>
      </c>
      <c r="F181" s="740" t="s">
        <v>669</v>
      </c>
      <c r="G181" s="743">
        <v>500</v>
      </c>
      <c r="H181" s="743">
        <f t="shared" si="127"/>
        <v>500</v>
      </c>
      <c r="I181" s="774">
        <v>0</v>
      </c>
      <c r="J181" s="774">
        <v>0</v>
      </c>
      <c r="K181" s="774">
        <v>0</v>
      </c>
      <c r="L181" s="743">
        <f t="shared" si="128"/>
        <v>500</v>
      </c>
      <c r="M181" s="743">
        <f t="shared" si="129"/>
        <v>500</v>
      </c>
      <c r="N181" s="743">
        <f t="shared" si="129"/>
        <v>500</v>
      </c>
      <c r="O181" s="743">
        <f t="shared" si="129"/>
        <v>500</v>
      </c>
      <c r="P181" s="743">
        <f t="shared" si="129"/>
        <v>500</v>
      </c>
      <c r="Q181" s="743">
        <f t="shared" si="129"/>
        <v>500</v>
      </c>
      <c r="R181" s="743">
        <f t="shared" si="129"/>
        <v>500</v>
      </c>
      <c r="S181" s="743">
        <f t="shared" si="129"/>
        <v>500</v>
      </c>
      <c r="T181" s="743">
        <f t="shared" si="129"/>
        <v>500</v>
      </c>
      <c r="U181" s="743">
        <f t="shared" si="129"/>
        <v>500</v>
      </c>
      <c r="W181" s="1894"/>
      <c r="X181" s="780" t="str">
        <f t="shared" si="130"/>
        <v>Servicio de mantenimiento de infraestructura</v>
      </c>
      <c r="Y181" s="740" t="str">
        <f t="shared" si="131"/>
        <v>Servicio</v>
      </c>
      <c r="Z181" s="749">
        <f t="shared" si="132"/>
        <v>1</v>
      </c>
      <c r="AA181" s="740" t="str">
        <f t="shared" si="133"/>
        <v>-</v>
      </c>
      <c r="AB181" s="743">
        <f t="shared" si="134"/>
        <v>500</v>
      </c>
      <c r="AC181" s="743">
        <f t="shared" si="135"/>
        <v>500</v>
      </c>
      <c r="AD181" s="800">
        <v>0.79</v>
      </c>
      <c r="AE181" s="774">
        <v>0</v>
      </c>
      <c r="AF181" s="774">
        <v>0</v>
      </c>
      <c r="AG181" s="774">
        <v>0</v>
      </c>
      <c r="AH181" s="743">
        <f t="shared" si="136"/>
        <v>395</v>
      </c>
      <c r="AI181" s="743">
        <f t="shared" ref="AI181:AQ181" si="147">AH181</f>
        <v>395</v>
      </c>
      <c r="AJ181" s="743">
        <f t="shared" si="147"/>
        <v>395</v>
      </c>
      <c r="AK181" s="743">
        <f t="shared" si="147"/>
        <v>395</v>
      </c>
      <c r="AL181" s="743">
        <f t="shared" si="147"/>
        <v>395</v>
      </c>
      <c r="AM181" s="743">
        <f t="shared" si="147"/>
        <v>395</v>
      </c>
      <c r="AN181" s="743">
        <f t="shared" si="147"/>
        <v>395</v>
      </c>
      <c r="AO181" s="743">
        <f t="shared" si="147"/>
        <v>395</v>
      </c>
      <c r="AP181" s="743">
        <f t="shared" si="147"/>
        <v>395</v>
      </c>
      <c r="AQ181" s="743">
        <f t="shared" si="147"/>
        <v>395</v>
      </c>
    </row>
    <row r="182" spans="2:43" ht="25.5" x14ac:dyDescent="0.25">
      <c r="B182" s="1894"/>
      <c r="C182" s="780" t="s">
        <v>1187</v>
      </c>
      <c r="D182" s="740" t="s">
        <v>780</v>
      </c>
      <c r="E182" s="749">
        <v>1</v>
      </c>
      <c r="F182" s="740" t="s">
        <v>669</v>
      </c>
      <c r="G182" s="743">
        <v>200</v>
      </c>
      <c r="H182" s="743">
        <f t="shared" si="127"/>
        <v>200</v>
      </c>
      <c r="I182" s="774">
        <v>0</v>
      </c>
      <c r="J182" s="774">
        <v>0</v>
      </c>
      <c r="K182" s="774">
        <v>0</v>
      </c>
      <c r="L182" s="743">
        <f t="shared" si="128"/>
        <v>200</v>
      </c>
      <c r="M182" s="743">
        <f t="shared" si="129"/>
        <v>200</v>
      </c>
      <c r="N182" s="743">
        <f t="shared" si="129"/>
        <v>200</v>
      </c>
      <c r="O182" s="743">
        <f t="shared" si="129"/>
        <v>200</v>
      </c>
      <c r="P182" s="743">
        <f t="shared" si="129"/>
        <v>200</v>
      </c>
      <c r="Q182" s="743">
        <f t="shared" si="129"/>
        <v>200</v>
      </c>
      <c r="R182" s="743">
        <f t="shared" si="129"/>
        <v>200</v>
      </c>
      <c r="S182" s="743">
        <f t="shared" si="129"/>
        <v>200</v>
      </c>
      <c r="T182" s="743">
        <f t="shared" si="129"/>
        <v>200</v>
      </c>
      <c r="U182" s="743">
        <f t="shared" si="129"/>
        <v>200</v>
      </c>
      <c r="W182" s="1894"/>
      <c r="X182" s="780" t="str">
        <f t="shared" si="130"/>
        <v xml:space="preserve">Servicio de mantenimiento de instalaciones eléctricas </v>
      </c>
      <c r="Y182" s="740" t="str">
        <f t="shared" si="131"/>
        <v>Servicio</v>
      </c>
      <c r="Z182" s="749">
        <f t="shared" si="132"/>
        <v>1</v>
      </c>
      <c r="AA182" s="740" t="str">
        <f t="shared" si="133"/>
        <v>-</v>
      </c>
      <c r="AB182" s="743">
        <f t="shared" si="134"/>
        <v>200</v>
      </c>
      <c r="AC182" s="743">
        <f t="shared" si="135"/>
        <v>200</v>
      </c>
      <c r="AD182" s="800">
        <v>0.79</v>
      </c>
      <c r="AE182" s="774">
        <v>0</v>
      </c>
      <c r="AF182" s="774">
        <v>0</v>
      </c>
      <c r="AG182" s="774">
        <v>0</v>
      </c>
      <c r="AH182" s="743">
        <f t="shared" si="136"/>
        <v>158</v>
      </c>
      <c r="AI182" s="743">
        <f t="shared" ref="AI182:AQ182" si="148">AH182</f>
        <v>158</v>
      </c>
      <c r="AJ182" s="743">
        <f t="shared" si="148"/>
        <v>158</v>
      </c>
      <c r="AK182" s="743">
        <f t="shared" si="148"/>
        <v>158</v>
      </c>
      <c r="AL182" s="743">
        <f t="shared" si="148"/>
        <v>158</v>
      </c>
      <c r="AM182" s="743">
        <f t="shared" si="148"/>
        <v>158</v>
      </c>
      <c r="AN182" s="743">
        <f t="shared" si="148"/>
        <v>158</v>
      </c>
      <c r="AO182" s="743">
        <f t="shared" si="148"/>
        <v>158</v>
      </c>
      <c r="AP182" s="743">
        <f t="shared" si="148"/>
        <v>158</v>
      </c>
      <c r="AQ182" s="743">
        <f t="shared" si="148"/>
        <v>158</v>
      </c>
    </row>
    <row r="183" spans="2:43" ht="25.5" x14ac:dyDescent="0.25">
      <c r="B183" s="1895"/>
      <c r="C183" s="780" t="s">
        <v>1188</v>
      </c>
      <c r="D183" s="740" t="s">
        <v>780</v>
      </c>
      <c r="E183" s="749">
        <v>1</v>
      </c>
      <c r="F183" s="740" t="s">
        <v>669</v>
      </c>
      <c r="G183" s="743">
        <v>200</v>
      </c>
      <c r="H183" s="743">
        <f t="shared" si="127"/>
        <v>200</v>
      </c>
      <c r="I183" s="774">
        <v>0</v>
      </c>
      <c r="J183" s="774">
        <v>0</v>
      </c>
      <c r="K183" s="774">
        <v>0</v>
      </c>
      <c r="L183" s="743">
        <f t="shared" si="128"/>
        <v>200</v>
      </c>
      <c r="M183" s="743">
        <f t="shared" si="129"/>
        <v>200</v>
      </c>
      <c r="N183" s="743">
        <f t="shared" si="129"/>
        <v>200</v>
      </c>
      <c r="O183" s="743">
        <f t="shared" si="129"/>
        <v>200</v>
      </c>
      <c r="P183" s="743">
        <f t="shared" si="129"/>
        <v>200</v>
      </c>
      <c r="Q183" s="743">
        <f t="shared" si="129"/>
        <v>200</v>
      </c>
      <c r="R183" s="743">
        <f t="shared" si="129"/>
        <v>200</v>
      </c>
      <c r="S183" s="743">
        <f t="shared" si="129"/>
        <v>200</v>
      </c>
      <c r="T183" s="743">
        <f t="shared" si="129"/>
        <v>200</v>
      </c>
      <c r="U183" s="743">
        <f t="shared" si="129"/>
        <v>200</v>
      </c>
      <c r="W183" s="1895"/>
      <c r="X183" s="780" t="str">
        <f t="shared" si="130"/>
        <v xml:space="preserve">Servicio de mantenimiento de instalaciones sanitarias </v>
      </c>
      <c r="Y183" s="740" t="str">
        <f t="shared" si="131"/>
        <v>Servicio</v>
      </c>
      <c r="Z183" s="749">
        <f t="shared" si="132"/>
        <v>1</v>
      </c>
      <c r="AA183" s="740" t="str">
        <f t="shared" si="133"/>
        <v>-</v>
      </c>
      <c r="AB183" s="743">
        <f t="shared" si="134"/>
        <v>200</v>
      </c>
      <c r="AC183" s="743">
        <f t="shared" si="135"/>
        <v>200</v>
      </c>
      <c r="AD183" s="800">
        <v>0.79</v>
      </c>
      <c r="AE183" s="774">
        <v>0</v>
      </c>
      <c r="AF183" s="774">
        <v>0</v>
      </c>
      <c r="AG183" s="774">
        <v>0</v>
      </c>
      <c r="AH183" s="743">
        <f t="shared" si="136"/>
        <v>158</v>
      </c>
      <c r="AI183" s="743">
        <f t="shared" ref="AI183:AQ183" si="149">AH183</f>
        <v>158</v>
      </c>
      <c r="AJ183" s="743">
        <f t="shared" si="149"/>
        <v>158</v>
      </c>
      <c r="AK183" s="743">
        <f t="shared" si="149"/>
        <v>158</v>
      </c>
      <c r="AL183" s="743">
        <f t="shared" si="149"/>
        <v>158</v>
      </c>
      <c r="AM183" s="743">
        <f t="shared" si="149"/>
        <v>158</v>
      </c>
      <c r="AN183" s="743">
        <f t="shared" si="149"/>
        <v>158</v>
      </c>
      <c r="AO183" s="743">
        <f t="shared" si="149"/>
        <v>158</v>
      </c>
      <c r="AP183" s="743">
        <f t="shared" si="149"/>
        <v>158</v>
      </c>
      <c r="AQ183" s="743">
        <f t="shared" si="149"/>
        <v>158</v>
      </c>
    </row>
    <row r="184" spans="2:43" x14ac:dyDescent="0.25">
      <c r="B184" s="779">
        <v>2.2000000000000002</v>
      </c>
      <c r="C184" s="750" t="s">
        <v>1195</v>
      </c>
      <c r="D184" s="746"/>
      <c r="E184" s="746"/>
      <c r="F184" s="746"/>
      <c r="G184" s="746"/>
      <c r="H184" s="755">
        <f>SUM(H185:H186)</f>
        <v>15000</v>
      </c>
      <c r="I184" s="755">
        <f t="shared" ref="I184:U184" si="150">SUM(I185:I186)</f>
        <v>0</v>
      </c>
      <c r="J184" s="755">
        <f t="shared" si="150"/>
        <v>0</v>
      </c>
      <c r="K184" s="755">
        <f t="shared" si="150"/>
        <v>0</v>
      </c>
      <c r="L184" s="755">
        <f t="shared" si="150"/>
        <v>15000</v>
      </c>
      <c r="M184" s="755">
        <f t="shared" si="150"/>
        <v>15000</v>
      </c>
      <c r="N184" s="755">
        <f t="shared" si="150"/>
        <v>15000</v>
      </c>
      <c r="O184" s="755">
        <f t="shared" si="150"/>
        <v>15000</v>
      </c>
      <c r="P184" s="755">
        <f t="shared" si="150"/>
        <v>15000</v>
      </c>
      <c r="Q184" s="755">
        <f t="shared" si="150"/>
        <v>15000</v>
      </c>
      <c r="R184" s="755">
        <f t="shared" si="150"/>
        <v>15000</v>
      </c>
      <c r="S184" s="755">
        <f t="shared" si="150"/>
        <v>15000</v>
      </c>
      <c r="T184" s="755">
        <f t="shared" si="150"/>
        <v>15000</v>
      </c>
      <c r="U184" s="755">
        <f t="shared" si="150"/>
        <v>15000</v>
      </c>
      <c r="W184" s="779">
        <f>B184</f>
        <v>2.2000000000000002</v>
      </c>
      <c r="X184" s="750" t="str">
        <f>C184</f>
        <v xml:space="preserve">Mantenimiento del equipamiento </v>
      </c>
      <c r="Y184" s="746"/>
      <c r="Z184" s="746"/>
      <c r="AA184" s="746"/>
      <c r="AB184" s="746"/>
      <c r="AC184" s="755">
        <f>SUM(AC185:AC186)</f>
        <v>15000</v>
      </c>
      <c r="AD184" s="745"/>
      <c r="AE184" s="755">
        <f t="shared" ref="AE184:AQ184" si="151">SUM(AE185:AE186)</f>
        <v>0</v>
      </c>
      <c r="AF184" s="755">
        <f t="shared" si="151"/>
        <v>0</v>
      </c>
      <c r="AG184" s="755">
        <f t="shared" si="151"/>
        <v>0</v>
      </c>
      <c r="AH184" s="755">
        <f t="shared" si="151"/>
        <v>11850</v>
      </c>
      <c r="AI184" s="755">
        <f t="shared" si="151"/>
        <v>11850</v>
      </c>
      <c r="AJ184" s="755">
        <f t="shared" si="151"/>
        <v>11850</v>
      </c>
      <c r="AK184" s="755">
        <f t="shared" si="151"/>
        <v>11850</v>
      </c>
      <c r="AL184" s="755">
        <f t="shared" si="151"/>
        <v>11850</v>
      </c>
      <c r="AM184" s="755">
        <f t="shared" si="151"/>
        <v>11850</v>
      </c>
      <c r="AN184" s="755">
        <f t="shared" si="151"/>
        <v>11850</v>
      </c>
      <c r="AO184" s="755">
        <f t="shared" si="151"/>
        <v>11850</v>
      </c>
      <c r="AP184" s="755">
        <f t="shared" si="151"/>
        <v>11850</v>
      </c>
      <c r="AQ184" s="755">
        <f t="shared" si="151"/>
        <v>11850</v>
      </c>
    </row>
    <row r="185" spans="2:43" ht="25.5" x14ac:dyDescent="0.25">
      <c r="B185" s="1893"/>
      <c r="C185" s="780" t="s">
        <v>1197</v>
      </c>
      <c r="D185" s="740" t="s">
        <v>780</v>
      </c>
      <c r="E185" s="749">
        <v>1</v>
      </c>
      <c r="F185" s="740" t="s">
        <v>669</v>
      </c>
      <c r="G185" s="743">
        <v>10000</v>
      </c>
      <c r="H185" s="743">
        <f>E185*G185</f>
        <v>10000</v>
      </c>
      <c r="I185" s="774">
        <v>0</v>
      </c>
      <c r="J185" s="774">
        <v>0</v>
      </c>
      <c r="K185" s="774">
        <v>0</v>
      </c>
      <c r="L185" s="743">
        <f>H185</f>
        <v>10000</v>
      </c>
      <c r="M185" s="743">
        <f>L185</f>
        <v>10000</v>
      </c>
      <c r="N185" s="743">
        <f t="shared" ref="N185:U185" si="152">M185</f>
        <v>10000</v>
      </c>
      <c r="O185" s="743">
        <f t="shared" si="152"/>
        <v>10000</v>
      </c>
      <c r="P185" s="743">
        <f t="shared" si="152"/>
        <v>10000</v>
      </c>
      <c r="Q185" s="743">
        <f t="shared" si="152"/>
        <v>10000</v>
      </c>
      <c r="R185" s="743">
        <f t="shared" si="152"/>
        <v>10000</v>
      </c>
      <c r="S185" s="743">
        <f t="shared" si="152"/>
        <v>10000</v>
      </c>
      <c r="T185" s="743">
        <f t="shared" si="152"/>
        <v>10000</v>
      </c>
      <c r="U185" s="743">
        <f t="shared" si="152"/>
        <v>10000</v>
      </c>
      <c r="W185" s="1893"/>
      <c r="X185" s="780" t="str">
        <f t="shared" ref="X185:Z186" si="153">C185</f>
        <v>Servicio de mantenimiento  de equipo de equipos y máquinas</v>
      </c>
      <c r="Y185" s="740" t="str">
        <f t="shared" si="153"/>
        <v>Servicio</v>
      </c>
      <c r="Z185" s="749">
        <f t="shared" si="153"/>
        <v>1</v>
      </c>
      <c r="AA185" s="740" t="s">
        <v>669</v>
      </c>
      <c r="AB185" s="743">
        <f>G185</f>
        <v>10000</v>
      </c>
      <c r="AC185" s="743">
        <f>Z185*AB185</f>
        <v>10000</v>
      </c>
      <c r="AD185" s="800">
        <v>0.79</v>
      </c>
      <c r="AE185" s="774">
        <v>0</v>
      </c>
      <c r="AF185" s="774">
        <v>0</v>
      </c>
      <c r="AG185" s="774">
        <v>0</v>
      </c>
      <c r="AH185" s="743">
        <f>AC185*AD185</f>
        <v>7900</v>
      </c>
      <c r="AI185" s="743">
        <f>AH185</f>
        <v>7900</v>
      </c>
      <c r="AJ185" s="743">
        <f t="shared" ref="AJ185:AQ185" si="154">AI185</f>
        <v>7900</v>
      </c>
      <c r="AK185" s="743">
        <f t="shared" si="154"/>
        <v>7900</v>
      </c>
      <c r="AL185" s="743">
        <f t="shared" si="154"/>
        <v>7900</v>
      </c>
      <c r="AM185" s="743">
        <f t="shared" si="154"/>
        <v>7900</v>
      </c>
      <c r="AN185" s="743">
        <f t="shared" si="154"/>
        <v>7900</v>
      </c>
      <c r="AO185" s="743">
        <f t="shared" si="154"/>
        <v>7900</v>
      </c>
      <c r="AP185" s="743">
        <f t="shared" si="154"/>
        <v>7900</v>
      </c>
      <c r="AQ185" s="743">
        <f t="shared" si="154"/>
        <v>7900</v>
      </c>
    </row>
    <row r="186" spans="2:43" ht="38.25" x14ac:dyDescent="0.25">
      <c r="B186" s="1895"/>
      <c r="C186" s="780" t="s">
        <v>1196</v>
      </c>
      <c r="D186" s="740" t="s">
        <v>780</v>
      </c>
      <c r="E186" s="749">
        <v>1</v>
      </c>
      <c r="F186" s="740" t="s">
        <v>669</v>
      </c>
      <c r="G186" s="743">
        <v>5000</v>
      </c>
      <c r="H186" s="743">
        <f>E186*G186</f>
        <v>5000</v>
      </c>
      <c r="I186" s="774">
        <v>0</v>
      </c>
      <c r="J186" s="774">
        <v>0</v>
      </c>
      <c r="K186" s="774">
        <v>0</v>
      </c>
      <c r="L186" s="743">
        <f>H186</f>
        <v>5000</v>
      </c>
      <c r="M186" s="743">
        <f>L186</f>
        <v>5000</v>
      </c>
      <c r="N186" s="743">
        <f t="shared" ref="N186:U186" si="155">M186</f>
        <v>5000</v>
      </c>
      <c r="O186" s="743">
        <f t="shared" si="155"/>
        <v>5000</v>
      </c>
      <c r="P186" s="743">
        <f t="shared" si="155"/>
        <v>5000</v>
      </c>
      <c r="Q186" s="743">
        <f t="shared" si="155"/>
        <v>5000</v>
      </c>
      <c r="R186" s="743">
        <f t="shared" si="155"/>
        <v>5000</v>
      </c>
      <c r="S186" s="743">
        <f t="shared" si="155"/>
        <v>5000</v>
      </c>
      <c r="T186" s="743">
        <f t="shared" si="155"/>
        <v>5000</v>
      </c>
      <c r="U186" s="743">
        <f t="shared" si="155"/>
        <v>5000</v>
      </c>
      <c r="W186" s="1895"/>
      <c r="X186" s="780" t="str">
        <f t="shared" si="153"/>
        <v>Servicio de mantenimiento de las posas de producción y ambientes de procesamiento</v>
      </c>
      <c r="Y186" s="740" t="str">
        <f t="shared" si="153"/>
        <v>Servicio</v>
      </c>
      <c r="Z186" s="749">
        <f t="shared" si="153"/>
        <v>1</v>
      </c>
      <c r="AA186" s="740" t="s">
        <v>669</v>
      </c>
      <c r="AB186" s="743">
        <f>G186</f>
        <v>5000</v>
      </c>
      <c r="AC186" s="743">
        <f>Z186*AB186</f>
        <v>5000</v>
      </c>
      <c r="AD186" s="800">
        <v>0.79</v>
      </c>
      <c r="AE186" s="774">
        <v>0</v>
      </c>
      <c r="AF186" s="774">
        <v>0</v>
      </c>
      <c r="AG186" s="774">
        <v>0</v>
      </c>
      <c r="AH186" s="743">
        <f>AC186*AD186</f>
        <v>3950</v>
      </c>
      <c r="AI186" s="743">
        <f>AH186</f>
        <v>3950</v>
      </c>
      <c r="AJ186" s="743">
        <f t="shared" ref="AJ186:AQ186" si="156">AI186</f>
        <v>3950</v>
      </c>
      <c r="AK186" s="743">
        <f t="shared" si="156"/>
        <v>3950</v>
      </c>
      <c r="AL186" s="743">
        <f t="shared" si="156"/>
        <v>3950</v>
      </c>
      <c r="AM186" s="743">
        <f t="shared" si="156"/>
        <v>3950</v>
      </c>
      <c r="AN186" s="743">
        <f t="shared" si="156"/>
        <v>3950</v>
      </c>
      <c r="AO186" s="743">
        <f t="shared" si="156"/>
        <v>3950</v>
      </c>
      <c r="AP186" s="743">
        <f t="shared" si="156"/>
        <v>3950</v>
      </c>
      <c r="AQ186" s="743">
        <f t="shared" si="156"/>
        <v>3950</v>
      </c>
    </row>
    <row r="187" spans="2:43" x14ac:dyDescent="0.25">
      <c r="B187" s="779">
        <v>2.2999999999999998</v>
      </c>
      <c r="C187" s="750" t="s">
        <v>1213</v>
      </c>
      <c r="D187" s="746"/>
      <c r="E187" s="746"/>
      <c r="F187" s="746"/>
      <c r="G187" s="746"/>
      <c r="H187" s="755">
        <f t="shared" ref="H187:U187" si="157">SUM(H188:H189)</f>
        <v>25000</v>
      </c>
      <c r="I187" s="755">
        <f t="shared" si="157"/>
        <v>0</v>
      </c>
      <c r="J187" s="755">
        <f t="shared" si="157"/>
        <v>0</v>
      </c>
      <c r="K187" s="755">
        <f t="shared" si="157"/>
        <v>0</v>
      </c>
      <c r="L187" s="755">
        <f t="shared" si="157"/>
        <v>25000</v>
      </c>
      <c r="M187" s="755">
        <f t="shared" si="157"/>
        <v>25000</v>
      </c>
      <c r="N187" s="755">
        <f t="shared" si="157"/>
        <v>25000</v>
      </c>
      <c r="O187" s="755">
        <f t="shared" si="157"/>
        <v>25000</v>
      </c>
      <c r="P187" s="755">
        <f t="shared" si="157"/>
        <v>25000</v>
      </c>
      <c r="Q187" s="755">
        <f t="shared" si="157"/>
        <v>25000</v>
      </c>
      <c r="R187" s="755">
        <f t="shared" si="157"/>
        <v>25000</v>
      </c>
      <c r="S187" s="755">
        <f t="shared" si="157"/>
        <v>25000</v>
      </c>
      <c r="T187" s="755">
        <f t="shared" si="157"/>
        <v>25000</v>
      </c>
      <c r="U187" s="755">
        <f t="shared" si="157"/>
        <v>25000</v>
      </c>
      <c r="W187" s="779">
        <f>B187</f>
        <v>2.2999999999999998</v>
      </c>
      <c r="X187" s="750" t="str">
        <f>C187</f>
        <v>Mantenimiento del Biohuerto</v>
      </c>
      <c r="Y187" s="746"/>
      <c r="Z187" s="746"/>
      <c r="AA187" s="746"/>
      <c r="AB187" s="746"/>
      <c r="AC187" s="755">
        <f>SUM(AC188:AC189)</f>
        <v>25000</v>
      </c>
      <c r="AD187" s="745"/>
      <c r="AE187" s="755">
        <f t="shared" ref="AE187:AQ187" si="158">SUM(AE188:AE189)</f>
        <v>0</v>
      </c>
      <c r="AF187" s="755">
        <f t="shared" si="158"/>
        <v>0</v>
      </c>
      <c r="AG187" s="755">
        <f t="shared" si="158"/>
        <v>0</v>
      </c>
      <c r="AH187" s="755">
        <f t="shared" si="158"/>
        <v>21175</v>
      </c>
      <c r="AI187" s="755">
        <f t="shared" si="158"/>
        <v>21175</v>
      </c>
      <c r="AJ187" s="755">
        <f t="shared" si="158"/>
        <v>21175</v>
      </c>
      <c r="AK187" s="755">
        <f t="shared" si="158"/>
        <v>21175</v>
      </c>
      <c r="AL187" s="755">
        <f t="shared" si="158"/>
        <v>21175</v>
      </c>
      <c r="AM187" s="755">
        <f t="shared" si="158"/>
        <v>21175</v>
      </c>
      <c r="AN187" s="755">
        <f t="shared" si="158"/>
        <v>21175</v>
      </c>
      <c r="AO187" s="755">
        <f t="shared" si="158"/>
        <v>21175</v>
      </c>
      <c r="AP187" s="755">
        <f t="shared" si="158"/>
        <v>21175</v>
      </c>
      <c r="AQ187" s="755">
        <f t="shared" si="158"/>
        <v>21175</v>
      </c>
    </row>
    <row r="188" spans="2:43" ht="25.5" x14ac:dyDescent="0.25">
      <c r="B188" s="1893"/>
      <c r="C188" s="780" t="s">
        <v>1208</v>
      </c>
      <c r="D188" s="758" t="str">
        <f>D167</f>
        <v>Global</v>
      </c>
      <c r="E188" s="749">
        <v>1</v>
      </c>
      <c r="F188" s="740" t="s">
        <v>669</v>
      </c>
      <c r="G188" s="743">
        <v>10000</v>
      </c>
      <c r="H188" s="743">
        <f>E188*G188</f>
        <v>10000</v>
      </c>
      <c r="I188" s="774">
        <v>0</v>
      </c>
      <c r="J188" s="774">
        <v>0</v>
      </c>
      <c r="K188" s="774">
        <v>0</v>
      </c>
      <c r="L188" s="743">
        <f>H188</f>
        <v>10000</v>
      </c>
      <c r="M188" s="743">
        <f>L188</f>
        <v>10000</v>
      </c>
      <c r="N188" s="743">
        <f t="shared" ref="N188:U188" si="159">M188</f>
        <v>10000</v>
      </c>
      <c r="O188" s="743">
        <f t="shared" si="159"/>
        <v>10000</v>
      </c>
      <c r="P188" s="743">
        <f t="shared" si="159"/>
        <v>10000</v>
      </c>
      <c r="Q188" s="743">
        <f t="shared" si="159"/>
        <v>10000</v>
      </c>
      <c r="R188" s="743">
        <f t="shared" si="159"/>
        <v>10000</v>
      </c>
      <c r="S188" s="743">
        <f t="shared" si="159"/>
        <v>10000</v>
      </c>
      <c r="T188" s="743">
        <f t="shared" si="159"/>
        <v>10000</v>
      </c>
      <c r="U188" s="743">
        <f t="shared" si="159"/>
        <v>10000</v>
      </c>
      <c r="W188" s="1893"/>
      <c r="X188" s="780" t="str">
        <f t="shared" ref="X188:Z191" si="160">C188</f>
        <v>Adquisición de los componentes del sistema de riego</v>
      </c>
      <c r="Y188" s="758" t="str">
        <f t="shared" si="160"/>
        <v>Global</v>
      </c>
      <c r="Z188" s="749">
        <f t="shared" si="160"/>
        <v>1</v>
      </c>
      <c r="AA188" s="740" t="s">
        <v>669</v>
      </c>
      <c r="AB188" s="743">
        <f>G188</f>
        <v>10000</v>
      </c>
      <c r="AC188" s="743">
        <f>Z188*AB188</f>
        <v>10000</v>
      </c>
      <c r="AD188" s="800">
        <v>0.84699999999999998</v>
      </c>
      <c r="AE188" s="774">
        <v>0</v>
      </c>
      <c r="AF188" s="774">
        <v>0</v>
      </c>
      <c r="AG188" s="774">
        <v>0</v>
      </c>
      <c r="AH188" s="743">
        <f>AC188*AD188</f>
        <v>8470</v>
      </c>
      <c r="AI188" s="743">
        <f>AH188</f>
        <v>8470</v>
      </c>
      <c r="AJ188" s="743">
        <f t="shared" ref="AJ188:AQ188" si="161">AI188</f>
        <v>8470</v>
      </c>
      <c r="AK188" s="743">
        <f t="shared" si="161"/>
        <v>8470</v>
      </c>
      <c r="AL188" s="743">
        <f t="shared" si="161"/>
        <v>8470</v>
      </c>
      <c r="AM188" s="743">
        <f t="shared" si="161"/>
        <v>8470</v>
      </c>
      <c r="AN188" s="743">
        <f t="shared" si="161"/>
        <v>8470</v>
      </c>
      <c r="AO188" s="743">
        <f t="shared" si="161"/>
        <v>8470</v>
      </c>
      <c r="AP188" s="743">
        <f t="shared" si="161"/>
        <v>8470</v>
      </c>
      <c r="AQ188" s="743">
        <f t="shared" si="161"/>
        <v>8470</v>
      </c>
    </row>
    <row r="189" spans="2:43" ht="25.5" x14ac:dyDescent="0.25">
      <c r="B189" s="1894"/>
      <c r="C189" s="780" t="s">
        <v>1209</v>
      </c>
      <c r="D189" s="758" t="str">
        <f>D188</f>
        <v>Global</v>
      </c>
      <c r="E189" s="749">
        <v>1</v>
      </c>
      <c r="F189" s="740" t="s">
        <v>669</v>
      </c>
      <c r="G189" s="743">
        <v>15000</v>
      </c>
      <c r="H189" s="743">
        <f>E189*G189</f>
        <v>15000</v>
      </c>
      <c r="I189" s="774">
        <v>0</v>
      </c>
      <c r="J189" s="774">
        <v>0</v>
      </c>
      <c r="K189" s="774">
        <v>0</v>
      </c>
      <c r="L189" s="743">
        <f>H189</f>
        <v>15000</v>
      </c>
      <c r="M189" s="743">
        <f t="shared" ref="M189:U191" si="162">L189</f>
        <v>15000</v>
      </c>
      <c r="N189" s="743">
        <f t="shared" si="162"/>
        <v>15000</v>
      </c>
      <c r="O189" s="743">
        <f t="shared" si="162"/>
        <v>15000</v>
      </c>
      <c r="P189" s="743">
        <f t="shared" si="162"/>
        <v>15000</v>
      </c>
      <c r="Q189" s="743">
        <f t="shared" si="162"/>
        <v>15000</v>
      </c>
      <c r="R189" s="743">
        <f t="shared" si="162"/>
        <v>15000</v>
      </c>
      <c r="S189" s="743">
        <f t="shared" si="162"/>
        <v>15000</v>
      </c>
      <c r="T189" s="743">
        <f t="shared" si="162"/>
        <v>15000</v>
      </c>
      <c r="U189" s="743">
        <f t="shared" si="162"/>
        <v>15000</v>
      </c>
      <c r="W189" s="1894"/>
      <c r="X189" s="780" t="str">
        <f t="shared" si="160"/>
        <v>Mantenimiento del Biohuerto bajo fitotoldo</v>
      </c>
      <c r="Y189" s="758" t="str">
        <f t="shared" si="160"/>
        <v>Global</v>
      </c>
      <c r="Z189" s="749">
        <f t="shared" si="160"/>
        <v>1</v>
      </c>
      <c r="AA189" s="740" t="s">
        <v>669</v>
      </c>
      <c r="AB189" s="743">
        <f>G189</f>
        <v>15000</v>
      </c>
      <c r="AC189" s="743">
        <f>Z189*AB189</f>
        <v>15000</v>
      </c>
      <c r="AD189" s="800">
        <v>0.84699999999999998</v>
      </c>
      <c r="AE189" s="774">
        <v>0</v>
      </c>
      <c r="AF189" s="774">
        <v>0</v>
      </c>
      <c r="AG189" s="774">
        <v>0</v>
      </c>
      <c r="AH189" s="743">
        <f>AC189*AD189</f>
        <v>12705</v>
      </c>
      <c r="AI189" s="743">
        <f t="shared" ref="AI189:AQ189" si="163">AH189</f>
        <v>12705</v>
      </c>
      <c r="AJ189" s="743">
        <f t="shared" si="163"/>
        <v>12705</v>
      </c>
      <c r="AK189" s="743">
        <f t="shared" si="163"/>
        <v>12705</v>
      </c>
      <c r="AL189" s="743">
        <f t="shared" si="163"/>
        <v>12705</v>
      </c>
      <c r="AM189" s="743">
        <f t="shared" si="163"/>
        <v>12705</v>
      </c>
      <c r="AN189" s="743">
        <f t="shared" si="163"/>
        <v>12705</v>
      </c>
      <c r="AO189" s="743">
        <f t="shared" si="163"/>
        <v>12705</v>
      </c>
      <c r="AP189" s="743">
        <f t="shared" si="163"/>
        <v>12705</v>
      </c>
      <c r="AQ189" s="743">
        <f t="shared" si="163"/>
        <v>12705</v>
      </c>
    </row>
    <row r="190" spans="2:43" x14ac:dyDescent="0.25">
      <c r="B190" s="1894"/>
      <c r="C190" s="780" t="s">
        <v>1210</v>
      </c>
      <c r="D190" s="758" t="str">
        <f>D189</f>
        <v>Global</v>
      </c>
      <c r="E190" s="749">
        <v>1</v>
      </c>
      <c r="F190" s="740" t="s">
        <v>669</v>
      </c>
      <c r="G190" s="743">
        <v>5000</v>
      </c>
      <c r="H190" s="743">
        <f>E190*G190</f>
        <v>5000</v>
      </c>
      <c r="I190" s="774">
        <v>0</v>
      </c>
      <c r="J190" s="774">
        <v>0</v>
      </c>
      <c r="K190" s="774">
        <v>0</v>
      </c>
      <c r="L190" s="743">
        <f>H190</f>
        <v>5000</v>
      </c>
      <c r="M190" s="743">
        <f t="shared" si="162"/>
        <v>5000</v>
      </c>
      <c r="N190" s="743">
        <f t="shared" si="162"/>
        <v>5000</v>
      </c>
      <c r="O190" s="743">
        <f t="shared" si="162"/>
        <v>5000</v>
      </c>
      <c r="P190" s="743">
        <f t="shared" si="162"/>
        <v>5000</v>
      </c>
      <c r="Q190" s="743">
        <f t="shared" si="162"/>
        <v>5000</v>
      </c>
      <c r="R190" s="743">
        <f t="shared" si="162"/>
        <v>5000</v>
      </c>
      <c r="S190" s="743">
        <f t="shared" si="162"/>
        <v>5000</v>
      </c>
      <c r="T190" s="743">
        <f t="shared" si="162"/>
        <v>5000</v>
      </c>
      <c r="U190" s="743">
        <f t="shared" si="162"/>
        <v>5000</v>
      </c>
      <c r="W190" s="1894"/>
      <c r="X190" s="780" t="str">
        <f t="shared" si="160"/>
        <v>Herramientas</v>
      </c>
      <c r="Y190" s="758" t="str">
        <f t="shared" si="160"/>
        <v>Global</v>
      </c>
      <c r="Z190" s="749">
        <f t="shared" si="160"/>
        <v>1</v>
      </c>
      <c r="AA190" s="740" t="s">
        <v>669</v>
      </c>
      <c r="AB190" s="743">
        <f>G190</f>
        <v>5000</v>
      </c>
      <c r="AC190" s="743">
        <f>Z190*AB190</f>
        <v>5000</v>
      </c>
      <c r="AD190" s="800">
        <v>0.84699999999999998</v>
      </c>
      <c r="AE190" s="774">
        <v>0</v>
      </c>
      <c r="AF190" s="774">
        <v>0</v>
      </c>
      <c r="AG190" s="774">
        <v>0</v>
      </c>
      <c r="AH190" s="743">
        <f>AC190*AD190</f>
        <v>4235</v>
      </c>
      <c r="AI190" s="743">
        <f t="shared" ref="AI190:AQ190" si="164">AH190</f>
        <v>4235</v>
      </c>
      <c r="AJ190" s="743">
        <f t="shared" si="164"/>
        <v>4235</v>
      </c>
      <c r="AK190" s="743">
        <f t="shared" si="164"/>
        <v>4235</v>
      </c>
      <c r="AL190" s="743">
        <f t="shared" si="164"/>
        <v>4235</v>
      </c>
      <c r="AM190" s="743">
        <f t="shared" si="164"/>
        <v>4235</v>
      </c>
      <c r="AN190" s="743">
        <f t="shared" si="164"/>
        <v>4235</v>
      </c>
      <c r="AO190" s="743">
        <f t="shared" si="164"/>
        <v>4235</v>
      </c>
      <c r="AP190" s="743">
        <f t="shared" si="164"/>
        <v>4235</v>
      </c>
      <c r="AQ190" s="743">
        <f t="shared" si="164"/>
        <v>4235</v>
      </c>
    </row>
    <row r="191" spans="2:43" ht="25.5" x14ac:dyDescent="0.25">
      <c r="B191" s="1895"/>
      <c r="C191" s="780" t="s">
        <v>1211</v>
      </c>
      <c r="D191" s="758" t="str">
        <f>D190</f>
        <v>Global</v>
      </c>
      <c r="E191" s="749">
        <v>1</v>
      </c>
      <c r="F191" s="740" t="s">
        <v>669</v>
      </c>
      <c r="G191" s="743">
        <v>12000</v>
      </c>
      <c r="H191" s="743">
        <f>E191*G191</f>
        <v>12000</v>
      </c>
      <c r="I191" s="774">
        <v>0</v>
      </c>
      <c r="J191" s="774">
        <v>0</v>
      </c>
      <c r="K191" s="774">
        <v>0</v>
      </c>
      <c r="L191" s="743">
        <f>H191</f>
        <v>12000</v>
      </c>
      <c r="M191" s="743">
        <f t="shared" si="162"/>
        <v>12000</v>
      </c>
      <c r="N191" s="743">
        <f t="shared" si="162"/>
        <v>12000</v>
      </c>
      <c r="O191" s="743">
        <f t="shared" si="162"/>
        <v>12000</v>
      </c>
      <c r="P191" s="743">
        <f t="shared" si="162"/>
        <v>12000</v>
      </c>
      <c r="Q191" s="743">
        <f t="shared" si="162"/>
        <v>12000</v>
      </c>
      <c r="R191" s="743">
        <f t="shared" si="162"/>
        <v>12000</v>
      </c>
      <c r="S191" s="743">
        <f t="shared" si="162"/>
        <v>12000</v>
      </c>
      <c r="T191" s="743">
        <f t="shared" si="162"/>
        <v>12000</v>
      </c>
      <c r="U191" s="743">
        <f t="shared" si="162"/>
        <v>12000</v>
      </c>
      <c r="W191" s="1895"/>
      <c r="X191" s="780" t="str">
        <f t="shared" si="160"/>
        <v>Mantenimiento del módulo de producción de compos</v>
      </c>
      <c r="Y191" s="758" t="str">
        <f t="shared" si="160"/>
        <v>Global</v>
      </c>
      <c r="Z191" s="749">
        <f t="shared" si="160"/>
        <v>1</v>
      </c>
      <c r="AA191" s="740" t="s">
        <v>669</v>
      </c>
      <c r="AB191" s="743">
        <f>G191</f>
        <v>12000</v>
      </c>
      <c r="AC191" s="743">
        <f>Z191*AB191</f>
        <v>12000</v>
      </c>
      <c r="AD191" s="800">
        <v>0.84699999999999998</v>
      </c>
      <c r="AE191" s="774">
        <v>0</v>
      </c>
      <c r="AF191" s="774">
        <v>0</v>
      </c>
      <c r="AG191" s="774">
        <v>0</v>
      </c>
      <c r="AH191" s="743">
        <f>AC191*AD191</f>
        <v>10164</v>
      </c>
      <c r="AI191" s="743">
        <f t="shared" ref="AI191:AQ191" si="165">AH191</f>
        <v>10164</v>
      </c>
      <c r="AJ191" s="743">
        <f t="shared" si="165"/>
        <v>10164</v>
      </c>
      <c r="AK191" s="743">
        <f t="shared" si="165"/>
        <v>10164</v>
      </c>
      <c r="AL191" s="743">
        <f t="shared" si="165"/>
        <v>10164</v>
      </c>
      <c r="AM191" s="743">
        <f t="shared" si="165"/>
        <v>10164</v>
      </c>
      <c r="AN191" s="743">
        <f t="shared" si="165"/>
        <v>10164</v>
      </c>
      <c r="AO191" s="743">
        <f t="shared" si="165"/>
        <v>10164</v>
      </c>
      <c r="AP191" s="743">
        <f t="shared" si="165"/>
        <v>10164</v>
      </c>
      <c r="AQ191" s="743">
        <f t="shared" si="165"/>
        <v>10164</v>
      </c>
    </row>
    <row r="192" spans="2:43" x14ac:dyDescent="0.25">
      <c r="B192" s="778">
        <v>3</v>
      </c>
      <c r="C192" s="781" t="s">
        <v>1189</v>
      </c>
      <c r="D192" s="785"/>
      <c r="E192" s="785"/>
      <c r="F192" s="785"/>
      <c r="G192" s="785"/>
      <c r="H192" s="791">
        <f>SUM(H193)</f>
        <v>0</v>
      </c>
      <c r="I192" s="791">
        <f t="shared" ref="I192:U192" si="166">SUM(I193)</f>
        <v>0</v>
      </c>
      <c r="J192" s="791">
        <f t="shared" si="166"/>
        <v>0</v>
      </c>
      <c r="K192" s="791">
        <f t="shared" si="166"/>
        <v>0</v>
      </c>
      <c r="L192" s="791">
        <f t="shared" si="166"/>
        <v>0</v>
      </c>
      <c r="M192" s="791">
        <f t="shared" si="166"/>
        <v>0</v>
      </c>
      <c r="N192" s="791">
        <f t="shared" si="166"/>
        <v>0</v>
      </c>
      <c r="O192" s="791">
        <f t="shared" si="166"/>
        <v>0</v>
      </c>
      <c r="P192" s="791">
        <f t="shared" si="166"/>
        <v>70000</v>
      </c>
      <c r="Q192" s="791">
        <f t="shared" si="166"/>
        <v>0</v>
      </c>
      <c r="R192" s="791">
        <f t="shared" si="166"/>
        <v>0</v>
      </c>
      <c r="S192" s="791">
        <f t="shared" si="166"/>
        <v>0</v>
      </c>
      <c r="T192" s="791">
        <f t="shared" si="166"/>
        <v>0</v>
      </c>
      <c r="U192" s="791">
        <f t="shared" si="166"/>
        <v>300000</v>
      </c>
      <c r="W192" s="778">
        <f>B192</f>
        <v>3</v>
      </c>
      <c r="X192" s="781" t="str">
        <f>C192</f>
        <v>REPOSICIÓN</v>
      </c>
      <c r="Y192" s="785"/>
      <c r="Z192" s="785"/>
      <c r="AA192" s="785"/>
      <c r="AB192" s="785"/>
      <c r="AC192" s="791">
        <f>SUM(AC193)</f>
        <v>0</v>
      </c>
      <c r="AD192" s="804"/>
      <c r="AE192" s="791">
        <f t="shared" ref="AE192:AQ192" si="167">SUM(AE193)</f>
        <v>0</v>
      </c>
      <c r="AF192" s="791">
        <f t="shared" si="167"/>
        <v>0</v>
      </c>
      <c r="AG192" s="791">
        <f t="shared" si="167"/>
        <v>0</v>
      </c>
      <c r="AH192" s="791">
        <f t="shared" si="167"/>
        <v>0</v>
      </c>
      <c r="AI192" s="791">
        <f t="shared" si="167"/>
        <v>0</v>
      </c>
      <c r="AJ192" s="791">
        <f t="shared" si="167"/>
        <v>0</v>
      </c>
      <c r="AK192" s="791">
        <f t="shared" si="167"/>
        <v>0</v>
      </c>
      <c r="AL192" s="791">
        <f t="shared" si="167"/>
        <v>59290</v>
      </c>
      <c r="AM192" s="791">
        <f t="shared" si="167"/>
        <v>0</v>
      </c>
      <c r="AN192" s="791">
        <f t="shared" si="167"/>
        <v>0</v>
      </c>
      <c r="AO192" s="791">
        <f t="shared" si="167"/>
        <v>0</v>
      </c>
      <c r="AP192" s="791">
        <f t="shared" si="167"/>
        <v>0</v>
      </c>
      <c r="AQ192" s="791">
        <f t="shared" si="167"/>
        <v>254100</v>
      </c>
    </row>
    <row r="193" spans="2:43" x14ac:dyDescent="0.25">
      <c r="B193" s="782" t="s">
        <v>714</v>
      </c>
      <c r="C193" s="784" t="s">
        <v>1199</v>
      </c>
      <c r="D193" s="740" t="s">
        <v>411</v>
      </c>
      <c r="E193" s="740">
        <v>1</v>
      </c>
      <c r="F193" s="739"/>
      <c r="G193" s="757"/>
      <c r="H193" s="757">
        <v>0</v>
      </c>
      <c r="I193" s="757">
        <v>0</v>
      </c>
      <c r="J193" s="757">
        <v>0</v>
      </c>
      <c r="K193" s="757">
        <v>0</v>
      </c>
      <c r="L193" s="757">
        <v>0</v>
      </c>
      <c r="M193" s="757">
        <v>0</v>
      </c>
      <c r="N193" s="757">
        <v>0</v>
      </c>
      <c r="O193" s="757">
        <v>0</v>
      </c>
      <c r="P193" s="743">
        <v>70000</v>
      </c>
      <c r="Q193" s="757">
        <v>0</v>
      </c>
      <c r="R193" s="757">
        <v>0</v>
      </c>
      <c r="S193" s="757">
        <v>0</v>
      </c>
      <c r="T193" s="757">
        <v>0</v>
      </c>
      <c r="U193" s="743">
        <v>300000</v>
      </c>
      <c r="W193" s="782" t="s">
        <v>714</v>
      </c>
      <c r="X193" s="784" t="str">
        <f>C193</f>
        <v>Reposición de Equipos</v>
      </c>
      <c r="Y193" s="740" t="str">
        <f>D193</f>
        <v>Glb.</v>
      </c>
      <c r="Z193" s="740">
        <f>E193</f>
        <v>1</v>
      </c>
      <c r="AA193" s="739"/>
      <c r="AB193" s="739"/>
      <c r="AC193" s="757">
        <f>H193</f>
        <v>0</v>
      </c>
      <c r="AD193" s="800">
        <v>0.84699999999999998</v>
      </c>
      <c r="AE193" s="757">
        <f>AC193</f>
        <v>0</v>
      </c>
      <c r="AF193" s="739"/>
      <c r="AG193" s="739"/>
      <c r="AH193" s="757">
        <v>0</v>
      </c>
      <c r="AI193" s="757">
        <v>0</v>
      </c>
      <c r="AJ193" s="757">
        <v>0</v>
      </c>
      <c r="AK193" s="757">
        <v>0</v>
      </c>
      <c r="AL193" s="743">
        <f>P193*AD193</f>
        <v>59290</v>
      </c>
      <c r="AM193" s="757">
        <v>0</v>
      </c>
      <c r="AN193" s="757">
        <v>0</v>
      </c>
      <c r="AO193" s="757">
        <v>0</v>
      </c>
      <c r="AP193" s="757">
        <v>0</v>
      </c>
      <c r="AQ193" s="743">
        <f>U193*AD193</f>
        <v>254100</v>
      </c>
    </row>
    <row r="194" spans="2:43" ht="12.75" customHeight="1" x14ac:dyDescent="0.25">
      <c r="B194" s="1906" t="s">
        <v>1198</v>
      </c>
      <c r="C194" s="1907"/>
      <c r="D194" s="1907"/>
      <c r="E194" s="1907"/>
      <c r="F194" s="1907"/>
      <c r="G194" s="1907"/>
      <c r="H194" s="1907"/>
      <c r="I194" s="1907"/>
      <c r="J194" s="1907"/>
      <c r="K194" s="1908"/>
      <c r="L194" s="799">
        <f t="shared" ref="L194:U194" si="168">L118+L168+L192</f>
        <v>2127871.6</v>
      </c>
      <c r="M194" s="799">
        <f t="shared" si="168"/>
        <v>2127871.6</v>
      </c>
      <c r="N194" s="799">
        <f t="shared" si="168"/>
        <v>2127871.6</v>
      </c>
      <c r="O194" s="799">
        <f t="shared" si="168"/>
        <v>2127871.6</v>
      </c>
      <c r="P194" s="799">
        <f t="shared" si="168"/>
        <v>2197871.6</v>
      </c>
      <c r="Q194" s="799">
        <f t="shared" si="168"/>
        <v>2127871.6</v>
      </c>
      <c r="R194" s="799">
        <f t="shared" si="168"/>
        <v>2127871.6</v>
      </c>
      <c r="S194" s="799">
        <f t="shared" si="168"/>
        <v>2127871.6</v>
      </c>
      <c r="T194" s="799">
        <f t="shared" si="168"/>
        <v>2127871.6</v>
      </c>
      <c r="U194" s="799">
        <f t="shared" si="168"/>
        <v>2427871.6</v>
      </c>
      <c r="W194" s="1906" t="s">
        <v>1198</v>
      </c>
      <c r="X194" s="1907"/>
      <c r="Y194" s="1907"/>
      <c r="Z194" s="1907"/>
      <c r="AA194" s="1907"/>
      <c r="AB194" s="1907"/>
      <c r="AC194" s="1907"/>
      <c r="AD194" s="1907"/>
      <c r="AE194" s="1907"/>
      <c r="AF194" s="1907"/>
      <c r="AG194" s="1908"/>
      <c r="AH194" s="799">
        <f t="shared" ref="AH194:AQ194" si="169">AH118+AH168+AH192</f>
        <v>1798971.1652000002</v>
      </c>
      <c r="AI194" s="799">
        <f t="shared" si="169"/>
        <v>1836408.5652000003</v>
      </c>
      <c r="AJ194" s="799">
        <f t="shared" si="169"/>
        <v>1836408.5652000003</v>
      </c>
      <c r="AK194" s="799">
        <f t="shared" si="169"/>
        <v>1836408.5652000003</v>
      </c>
      <c r="AL194" s="799">
        <f t="shared" si="169"/>
        <v>1895698.5652000003</v>
      </c>
      <c r="AM194" s="799">
        <f t="shared" si="169"/>
        <v>1836408.5652000003</v>
      </c>
      <c r="AN194" s="799">
        <f t="shared" si="169"/>
        <v>1836408.5652000003</v>
      </c>
      <c r="AO194" s="799">
        <f t="shared" si="169"/>
        <v>1836408.5652000003</v>
      </c>
      <c r="AP194" s="799">
        <f t="shared" si="169"/>
        <v>1836408.5652000003</v>
      </c>
      <c r="AQ194" s="799">
        <f t="shared" si="169"/>
        <v>2090508.5652000003</v>
      </c>
    </row>
  </sheetData>
  <mergeCells count="67">
    <mergeCell ref="W194:AG194"/>
    <mergeCell ref="AE115:AQ115"/>
    <mergeCell ref="AD115:AD117"/>
    <mergeCell ref="B188:B191"/>
    <mergeCell ref="W188:W191"/>
    <mergeCell ref="W157:W161"/>
    <mergeCell ref="B157:B161"/>
    <mergeCell ref="B147:B155"/>
    <mergeCell ref="W147:W155"/>
    <mergeCell ref="B143:B145"/>
    <mergeCell ref="W122:W131"/>
    <mergeCell ref="W133:W139"/>
    <mergeCell ref="W163:W167"/>
    <mergeCell ref="W170:W183"/>
    <mergeCell ref="W185:W186"/>
    <mergeCell ref="W143:W145"/>
    <mergeCell ref="AD96:AD98"/>
    <mergeCell ref="W115:W117"/>
    <mergeCell ref="X115:X117"/>
    <mergeCell ref="Y115:Y117"/>
    <mergeCell ref="Z115:Z117"/>
    <mergeCell ref="AA115:AA117"/>
    <mergeCell ref="AB115:AB117"/>
    <mergeCell ref="AC115:AC117"/>
    <mergeCell ref="AB96:AB98"/>
    <mergeCell ref="AC96:AC98"/>
    <mergeCell ref="B194:K194"/>
    <mergeCell ref="W94:AQ94"/>
    <mergeCell ref="W96:W98"/>
    <mergeCell ref="X96:X98"/>
    <mergeCell ref="Y96:Y98"/>
    <mergeCell ref="Z96:Z98"/>
    <mergeCell ref="AA96:AA98"/>
    <mergeCell ref="F96:F98"/>
    <mergeCell ref="G96:G98"/>
    <mergeCell ref="H96:H98"/>
    <mergeCell ref="I96:U96"/>
    <mergeCell ref="I98:K98"/>
    <mergeCell ref="B185:B186"/>
    <mergeCell ref="B96:B98"/>
    <mergeCell ref="AE96:AQ96"/>
    <mergeCell ref="AE98:AG98"/>
    <mergeCell ref="B163:B167"/>
    <mergeCell ref="W112:AP112"/>
    <mergeCell ref="B170:B183"/>
    <mergeCell ref="B91:F91"/>
    <mergeCell ref="I117:K117"/>
    <mergeCell ref="B115:B117"/>
    <mergeCell ref="C115:C117"/>
    <mergeCell ref="D115:D117"/>
    <mergeCell ref="E115:E117"/>
    <mergeCell ref="F115:F117"/>
    <mergeCell ref="C96:C98"/>
    <mergeCell ref="D96:D98"/>
    <mergeCell ref="E96:E98"/>
    <mergeCell ref="G115:G117"/>
    <mergeCell ref="H115:H117"/>
    <mergeCell ref="B94:U94"/>
    <mergeCell ref="B112:U112"/>
    <mergeCell ref="B133:B139"/>
    <mergeCell ref="C12:C13"/>
    <mergeCell ref="D12:I12"/>
    <mergeCell ref="C48:C49"/>
    <mergeCell ref="D48:I48"/>
    <mergeCell ref="D71:F71"/>
    <mergeCell ref="I115:U115"/>
    <mergeCell ref="B122:B131"/>
  </mergeCells>
  <phoneticPr fontId="59" type="noConversion"/>
  <pageMargins left="0.7" right="0.7" top="0.75" bottom="0.75" header="0.3" footer="0.3"/>
  <pageSetup scale="33" orientation="portrait" horizontalDpi="4294967295" verticalDpi="4294967295" r:id="rId1"/>
  <rowBreaks count="1" manualBreakCount="1">
    <brk id="139" min="1" max="42" man="1"/>
  </rowBreaks>
  <colBreaks count="1" manualBreakCount="1">
    <brk id="21" min="2" max="210" man="1"/>
  </colBreaks>
  <ignoredErrors>
    <ignoredError sqref="H132 H146:U146 H160 L160:U160 N156:U156 H184:U184 L162:U162 H187:U187 AC184:AC187 AC146:AK158 AC160:AK160 AC159:AG159 AI159:AK159 AC161:AG161 AI161:AK161 AH184:AQ187 AL160:AQ161 AL146:AQ146 AH103:AQ106" formula="1"/>
    <ignoredError sqref="AE187:AG187"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6" tint="-0.249977111117893"/>
  </sheetPr>
  <dimension ref="B3:AL27"/>
  <sheetViews>
    <sheetView view="pageBreakPreview" zoomScale="80" zoomScaleNormal="100" zoomScaleSheetLayoutView="80" workbookViewId="0">
      <selection activeCell="K26" sqref="K26"/>
    </sheetView>
  </sheetViews>
  <sheetFormatPr baseColWidth="10" defaultRowHeight="12.75" x14ac:dyDescent="0.25"/>
  <cols>
    <col min="1" max="2" width="11.42578125" style="222"/>
    <col min="3" max="3" width="30.140625" style="222" customWidth="1"/>
    <col min="4" max="18" width="11.42578125" style="222"/>
    <col min="19" max="19" width="31.140625" style="222" customWidth="1"/>
    <col min="20" max="16384" width="11.42578125" style="222"/>
  </cols>
  <sheetData>
    <row r="3" spans="2:38" x14ac:dyDescent="0.25">
      <c r="B3" s="204" t="s">
        <v>1245</v>
      </c>
    </row>
    <row r="7" spans="2:38" ht="33.75" x14ac:dyDescent="0.25">
      <c r="B7" s="1904" t="s">
        <v>1201</v>
      </c>
      <c r="C7" s="1904"/>
      <c r="D7" s="1904"/>
      <c r="E7" s="1904"/>
      <c r="F7" s="1904"/>
      <c r="G7" s="1904"/>
      <c r="H7" s="1904"/>
      <c r="I7" s="1904"/>
      <c r="J7" s="1904"/>
      <c r="K7" s="1904"/>
      <c r="L7" s="1904"/>
      <c r="M7" s="1904"/>
      <c r="N7" s="1904"/>
      <c r="O7" s="1904"/>
      <c r="P7" s="1904"/>
      <c r="Q7" s="807"/>
      <c r="R7" s="1904" t="s">
        <v>1202</v>
      </c>
      <c r="S7" s="1904"/>
      <c r="T7" s="1904"/>
      <c r="U7" s="1904"/>
      <c r="V7" s="1904"/>
      <c r="W7" s="1904"/>
      <c r="X7" s="1904"/>
      <c r="Y7" s="1904"/>
      <c r="Z7" s="1904"/>
      <c r="AA7" s="1904"/>
      <c r="AB7" s="1904"/>
      <c r="AC7" s="1904"/>
      <c r="AD7" s="1904"/>
      <c r="AE7" s="1904"/>
      <c r="AF7" s="1904"/>
      <c r="AG7" s="204"/>
      <c r="AH7" s="204"/>
      <c r="AI7" s="204"/>
      <c r="AJ7" s="204"/>
      <c r="AK7" s="204"/>
      <c r="AL7" s="204"/>
    </row>
    <row r="9" spans="2:38" x14ac:dyDescent="0.25">
      <c r="B9" s="1898" t="s">
        <v>398</v>
      </c>
      <c r="C9" s="1901" t="s">
        <v>1141</v>
      </c>
      <c r="D9" s="1890" t="s">
        <v>1156</v>
      </c>
      <c r="E9" s="1891"/>
      <c r="F9" s="1891"/>
      <c r="G9" s="1891"/>
      <c r="H9" s="1891"/>
      <c r="I9" s="1891"/>
      <c r="J9" s="1891"/>
      <c r="K9" s="1891"/>
      <c r="L9" s="1891"/>
      <c r="M9" s="1891"/>
      <c r="N9" s="1891"/>
      <c r="O9" s="1891"/>
      <c r="P9" s="1892"/>
      <c r="R9" s="1898" t="s">
        <v>398</v>
      </c>
      <c r="S9" s="1901" t="s">
        <v>1141</v>
      </c>
      <c r="T9" s="1890" t="s">
        <v>1156</v>
      </c>
      <c r="U9" s="1891"/>
      <c r="V9" s="1891"/>
      <c r="W9" s="1891"/>
      <c r="X9" s="1891"/>
      <c r="Y9" s="1891"/>
      <c r="Z9" s="1891"/>
      <c r="AA9" s="1891"/>
      <c r="AB9" s="1891"/>
      <c r="AC9" s="1891"/>
      <c r="AD9" s="1891"/>
      <c r="AE9" s="1891"/>
      <c r="AF9" s="1892"/>
    </row>
    <row r="10" spans="2:38" x14ac:dyDescent="0.25">
      <c r="B10" s="1899"/>
      <c r="C10" s="1902"/>
      <c r="D10" s="738">
        <v>2021</v>
      </c>
      <c r="E10" s="738">
        <v>2022</v>
      </c>
      <c r="F10" s="738">
        <v>2023</v>
      </c>
      <c r="G10" s="738">
        <v>2024</v>
      </c>
      <c r="H10" s="738">
        <v>2025</v>
      </c>
      <c r="I10" s="738">
        <v>2026</v>
      </c>
      <c r="J10" s="738">
        <v>2027</v>
      </c>
      <c r="K10" s="738">
        <v>2028</v>
      </c>
      <c r="L10" s="738">
        <v>2029</v>
      </c>
      <c r="M10" s="738">
        <v>2030</v>
      </c>
      <c r="N10" s="738">
        <v>2031</v>
      </c>
      <c r="O10" s="738">
        <v>2032</v>
      </c>
      <c r="P10" s="738">
        <v>2033</v>
      </c>
      <c r="R10" s="1899"/>
      <c r="S10" s="1902"/>
      <c r="T10" s="738">
        <v>2021</v>
      </c>
      <c r="U10" s="738">
        <v>2022</v>
      </c>
      <c r="V10" s="738">
        <v>2023</v>
      </c>
      <c r="W10" s="738">
        <v>2024</v>
      </c>
      <c r="X10" s="738">
        <v>2025</v>
      </c>
      <c r="Y10" s="738">
        <v>2026</v>
      </c>
      <c r="Z10" s="738">
        <v>2027</v>
      </c>
      <c r="AA10" s="738">
        <v>2028</v>
      </c>
      <c r="AB10" s="738">
        <v>2029</v>
      </c>
      <c r="AC10" s="738">
        <v>2030</v>
      </c>
      <c r="AD10" s="738">
        <v>2031</v>
      </c>
      <c r="AE10" s="738">
        <v>2032</v>
      </c>
      <c r="AF10" s="738">
        <v>2033</v>
      </c>
    </row>
    <row r="11" spans="2:38" x14ac:dyDescent="0.25">
      <c r="B11" s="1900"/>
      <c r="C11" s="1903"/>
      <c r="D11" s="1897">
        <v>0</v>
      </c>
      <c r="E11" s="1897"/>
      <c r="F11" s="1897"/>
      <c r="G11" s="738" t="s">
        <v>1146</v>
      </c>
      <c r="H11" s="738" t="s">
        <v>1147</v>
      </c>
      <c r="I11" s="738" t="s">
        <v>1148</v>
      </c>
      <c r="J11" s="738" t="s">
        <v>1149</v>
      </c>
      <c r="K11" s="738" t="s">
        <v>1150</v>
      </c>
      <c r="L11" s="738" t="s">
        <v>1151</v>
      </c>
      <c r="M11" s="738" t="s">
        <v>1152</v>
      </c>
      <c r="N11" s="738" t="s">
        <v>1153</v>
      </c>
      <c r="O11" s="738" t="s">
        <v>1154</v>
      </c>
      <c r="P11" s="738" t="s">
        <v>1155</v>
      </c>
      <c r="R11" s="1900"/>
      <c r="S11" s="1903"/>
      <c r="T11" s="1897">
        <v>0</v>
      </c>
      <c r="U11" s="1897"/>
      <c r="V11" s="1897"/>
      <c r="W11" s="738" t="s">
        <v>1146</v>
      </c>
      <c r="X11" s="738" t="s">
        <v>1147</v>
      </c>
      <c r="Y11" s="738" t="s">
        <v>1148</v>
      </c>
      <c r="Z11" s="738" t="s">
        <v>1149</v>
      </c>
      <c r="AA11" s="738" t="s">
        <v>1150</v>
      </c>
      <c r="AB11" s="738" t="s">
        <v>1151</v>
      </c>
      <c r="AC11" s="738" t="s">
        <v>1152</v>
      </c>
      <c r="AD11" s="738" t="s">
        <v>1153</v>
      </c>
      <c r="AE11" s="738" t="s">
        <v>1154</v>
      </c>
      <c r="AF11" s="738" t="s">
        <v>1155</v>
      </c>
    </row>
    <row r="12" spans="2:38" x14ac:dyDescent="0.25">
      <c r="B12" s="740">
        <v>1</v>
      </c>
      <c r="C12" s="739" t="s">
        <v>1142</v>
      </c>
      <c r="D12" s="743">
        <f>'O&amp;M'!I99</f>
        <v>0</v>
      </c>
      <c r="E12" s="743">
        <f>'O&amp;M'!J99</f>
        <v>0</v>
      </c>
      <c r="F12" s="743">
        <f>'O&amp;M'!K99</f>
        <v>0</v>
      </c>
      <c r="G12" s="743">
        <f>'PERS - O&amp;M'!D22</f>
        <v>64200</v>
      </c>
      <c r="H12" s="743">
        <f>'PERS - O&amp;M'!E22</f>
        <v>64200</v>
      </c>
      <c r="I12" s="743">
        <f>'PERS - O&amp;M'!F22</f>
        <v>64200</v>
      </c>
      <c r="J12" s="743">
        <f>'PERS - O&amp;M'!G22</f>
        <v>64200</v>
      </c>
      <c r="K12" s="743">
        <f>'PERS - O&amp;M'!H22</f>
        <v>64200</v>
      </c>
      <c r="L12" s="743">
        <f>'PERS - O&amp;M'!I22</f>
        <v>64200</v>
      </c>
      <c r="M12" s="743">
        <f>'PERS - O&amp;M'!J22</f>
        <v>64200</v>
      </c>
      <c r="N12" s="743">
        <f>'PERS - O&amp;M'!K22</f>
        <v>64200</v>
      </c>
      <c r="O12" s="743">
        <f>'PERS - O&amp;M'!L22</f>
        <v>64200</v>
      </c>
      <c r="P12" s="743">
        <f>'PERS - O&amp;M'!M22</f>
        <v>64200</v>
      </c>
      <c r="R12" s="740">
        <v>1</v>
      </c>
      <c r="S12" s="739" t="s">
        <v>1142</v>
      </c>
      <c r="T12" s="743">
        <f>'O&amp;M'!AE99</f>
        <v>0</v>
      </c>
      <c r="U12" s="743">
        <f>'O&amp;M'!AF99</f>
        <v>0</v>
      </c>
      <c r="V12" s="743">
        <f>'O&amp;M'!AG99</f>
        <v>0</v>
      </c>
      <c r="W12" s="743">
        <f>'PERS - O&amp;M'!Q22</f>
        <v>58391.76</v>
      </c>
      <c r="X12" s="743">
        <f>'PERS - O&amp;M'!R22</f>
        <v>58391.76</v>
      </c>
      <c r="Y12" s="743">
        <f>'PERS - O&amp;M'!S22</f>
        <v>58391.76</v>
      </c>
      <c r="Z12" s="743">
        <f>'PERS - O&amp;M'!T22</f>
        <v>58391.76</v>
      </c>
      <c r="AA12" s="743">
        <f>'PERS - O&amp;M'!U22</f>
        <v>58391.76</v>
      </c>
      <c r="AB12" s="743">
        <f>'PERS - O&amp;M'!V22</f>
        <v>58391.76</v>
      </c>
      <c r="AC12" s="743">
        <f>'PERS - O&amp;M'!W22</f>
        <v>58391.76</v>
      </c>
      <c r="AD12" s="743">
        <f>'PERS - O&amp;M'!X22</f>
        <v>58391.76</v>
      </c>
      <c r="AE12" s="743">
        <f>'PERS - O&amp;M'!Y22</f>
        <v>58391.76</v>
      </c>
      <c r="AF12" s="743">
        <f>'PERS - O&amp;M'!Z22</f>
        <v>58391.76</v>
      </c>
    </row>
    <row r="13" spans="2:38" x14ac:dyDescent="0.25">
      <c r="B13" s="740">
        <v>2</v>
      </c>
      <c r="C13" s="739" t="s">
        <v>1173</v>
      </c>
      <c r="D13" s="743">
        <f>'O&amp;M'!I103</f>
        <v>0</v>
      </c>
      <c r="E13" s="743">
        <f>'O&amp;M'!J103</f>
        <v>0</v>
      </c>
      <c r="F13" s="743">
        <f>'O&amp;M'!K103</f>
        <v>0</v>
      </c>
      <c r="G13" s="743">
        <f>'PERS - O&amp;M'!D27</f>
        <v>550</v>
      </c>
      <c r="H13" s="743">
        <f>'PERS - O&amp;M'!E27</f>
        <v>550</v>
      </c>
      <c r="I13" s="743">
        <f>'PERS - O&amp;M'!F27</f>
        <v>550</v>
      </c>
      <c r="J13" s="743">
        <f>'PERS - O&amp;M'!G27</f>
        <v>550</v>
      </c>
      <c r="K13" s="743">
        <f>'PERS - O&amp;M'!H27</f>
        <v>550</v>
      </c>
      <c r="L13" s="743">
        <f>'PERS - O&amp;M'!I27</f>
        <v>550</v>
      </c>
      <c r="M13" s="743">
        <f>'PERS - O&amp;M'!J27</f>
        <v>550</v>
      </c>
      <c r="N13" s="743">
        <f>'PERS - O&amp;M'!K27</f>
        <v>550</v>
      </c>
      <c r="O13" s="743">
        <f>'PERS - O&amp;M'!L27</f>
        <v>550</v>
      </c>
      <c r="P13" s="743">
        <f>'PERS - O&amp;M'!M27</f>
        <v>550</v>
      </c>
      <c r="R13" s="740">
        <v>2</v>
      </c>
      <c r="S13" s="739" t="s">
        <v>1173</v>
      </c>
      <c r="T13" s="743">
        <f>'O&amp;M'!AE103</f>
        <v>0</v>
      </c>
      <c r="U13" s="743">
        <f>'O&amp;M'!AF103</f>
        <v>0</v>
      </c>
      <c r="V13" s="743">
        <f>'O&amp;M'!AG103</f>
        <v>0</v>
      </c>
      <c r="W13" s="743">
        <f>'PERS - O&amp;M'!Q27</f>
        <v>465.85</v>
      </c>
      <c r="X13" s="743">
        <f>'PERS - O&amp;M'!R27</f>
        <v>465.85</v>
      </c>
      <c r="Y13" s="743">
        <f>'PERS - O&amp;M'!S27</f>
        <v>465.85</v>
      </c>
      <c r="Z13" s="743">
        <f>'PERS - O&amp;M'!T27</f>
        <v>465.85</v>
      </c>
      <c r="AA13" s="743">
        <f>'PERS - O&amp;M'!U27</f>
        <v>465.85</v>
      </c>
      <c r="AB13" s="743">
        <f>'PERS - O&amp;M'!V27</f>
        <v>465.85</v>
      </c>
      <c r="AC13" s="743">
        <f>'PERS - O&amp;M'!W27</f>
        <v>465.85</v>
      </c>
      <c r="AD13" s="743">
        <f>'PERS - O&amp;M'!X27</f>
        <v>465.85</v>
      </c>
      <c r="AE13" s="743">
        <f>'PERS - O&amp;M'!Y27</f>
        <v>465.85</v>
      </c>
      <c r="AF13" s="743">
        <f>'PERS - O&amp;M'!Z27</f>
        <v>465.85</v>
      </c>
    </row>
    <row r="14" spans="2:38" x14ac:dyDescent="0.25">
      <c r="B14" s="805">
        <v>3</v>
      </c>
      <c r="C14" s="806" t="s">
        <v>1189</v>
      </c>
      <c r="D14" s="774">
        <f>'O&amp;M'!H106</f>
        <v>0</v>
      </c>
      <c r="E14" s="774">
        <f>'O&amp;M'!I106</f>
        <v>0</v>
      </c>
      <c r="F14" s="774">
        <f>'O&amp;M'!J106</f>
        <v>0</v>
      </c>
      <c r="G14" s="774">
        <f>'O&amp;M'!K106</f>
        <v>0</v>
      </c>
      <c r="H14" s="774">
        <f>'O&amp;M'!L106</f>
        <v>0</v>
      </c>
      <c r="I14" s="774">
        <f>'O&amp;M'!M106</f>
        <v>0</v>
      </c>
      <c r="J14" s="774">
        <f>'O&amp;M'!N106</f>
        <v>0</v>
      </c>
      <c r="K14" s="774">
        <f>'O&amp;M'!O106</f>
        <v>0</v>
      </c>
      <c r="L14" s="774">
        <f>'O&amp;M'!P106</f>
        <v>0</v>
      </c>
      <c r="M14" s="774">
        <f>'O&amp;M'!Q106</f>
        <v>0</v>
      </c>
      <c r="N14" s="774">
        <f>'O&amp;M'!R106</f>
        <v>0</v>
      </c>
      <c r="O14" s="774">
        <f>'O&amp;M'!S106</f>
        <v>0</v>
      </c>
      <c r="P14" s="774">
        <f>'O&amp;M'!T106</f>
        <v>0</v>
      </c>
      <c r="R14" s="805">
        <v>3</v>
      </c>
      <c r="S14" s="806" t="s">
        <v>1189</v>
      </c>
      <c r="T14" s="774">
        <f>'O&amp;M'!AE106</f>
        <v>0</v>
      </c>
      <c r="U14" s="774">
        <f>'O&amp;M'!AF106</f>
        <v>0</v>
      </c>
      <c r="V14" s="774">
        <f>'O&amp;M'!AG106</f>
        <v>0</v>
      </c>
      <c r="W14" s="774">
        <f>'O&amp;M'!AH106</f>
        <v>0</v>
      </c>
      <c r="X14" s="774">
        <f>'O&amp;M'!AI106</f>
        <v>0</v>
      </c>
      <c r="Y14" s="774">
        <f>'O&amp;M'!AJ106</f>
        <v>0</v>
      </c>
      <c r="Z14" s="774">
        <f>'O&amp;M'!AK106</f>
        <v>0</v>
      </c>
      <c r="AA14" s="774">
        <f>'O&amp;M'!AL106</f>
        <v>0</v>
      </c>
      <c r="AB14" s="774">
        <f>'O&amp;M'!AM106</f>
        <v>0</v>
      </c>
      <c r="AC14" s="774">
        <f>'O&amp;M'!AN106</f>
        <v>0</v>
      </c>
      <c r="AD14" s="774">
        <f>'O&amp;M'!AO106</f>
        <v>0</v>
      </c>
      <c r="AE14" s="774">
        <f>'O&amp;M'!AP106</f>
        <v>0</v>
      </c>
      <c r="AF14" s="774">
        <f>'O&amp;M'!AQ106</f>
        <v>0</v>
      </c>
    </row>
    <row r="15" spans="2:38" x14ac:dyDescent="0.25">
      <c r="B15" s="1906" t="s">
        <v>1198</v>
      </c>
      <c r="C15" s="1907"/>
      <c r="D15" s="1907"/>
      <c r="E15" s="1907"/>
      <c r="F15" s="1908"/>
      <c r="G15" s="799">
        <f t="shared" ref="G15:P15" si="0">G12+G13+G14</f>
        <v>64750</v>
      </c>
      <c r="H15" s="799">
        <f t="shared" si="0"/>
        <v>64750</v>
      </c>
      <c r="I15" s="799">
        <f t="shared" si="0"/>
        <v>64750</v>
      </c>
      <c r="J15" s="799">
        <f t="shared" si="0"/>
        <v>64750</v>
      </c>
      <c r="K15" s="799">
        <f t="shared" si="0"/>
        <v>64750</v>
      </c>
      <c r="L15" s="799">
        <f t="shared" si="0"/>
        <v>64750</v>
      </c>
      <c r="M15" s="799">
        <f t="shared" si="0"/>
        <v>64750</v>
      </c>
      <c r="N15" s="799">
        <f t="shared" si="0"/>
        <v>64750</v>
      </c>
      <c r="O15" s="799">
        <f t="shared" si="0"/>
        <v>64750</v>
      </c>
      <c r="P15" s="799">
        <f t="shared" si="0"/>
        <v>64750</v>
      </c>
      <c r="R15" s="1906" t="s">
        <v>1198</v>
      </c>
      <c r="S15" s="1907"/>
      <c r="T15" s="1907"/>
      <c r="U15" s="1907"/>
      <c r="V15" s="1908"/>
      <c r="W15" s="799">
        <f>W12+W13+W14</f>
        <v>58857.61</v>
      </c>
      <c r="X15" s="799">
        <f t="shared" ref="X15:AF15" si="1">X12+X13+X14</f>
        <v>58857.61</v>
      </c>
      <c r="Y15" s="799">
        <f t="shared" si="1"/>
        <v>58857.61</v>
      </c>
      <c r="Z15" s="799">
        <f t="shared" si="1"/>
        <v>58857.61</v>
      </c>
      <c r="AA15" s="799">
        <f t="shared" si="1"/>
        <v>58857.61</v>
      </c>
      <c r="AB15" s="799">
        <f t="shared" si="1"/>
        <v>58857.61</v>
      </c>
      <c r="AC15" s="799">
        <f t="shared" si="1"/>
        <v>58857.61</v>
      </c>
      <c r="AD15" s="799">
        <f t="shared" si="1"/>
        <v>58857.61</v>
      </c>
      <c r="AE15" s="799">
        <f t="shared" si="1"/>
        <v>58857.61</v>
      </c>
      <c r="AF15" s="799">
        <f t="shared" si="1"/>
        <v>58857.61</v>
      </c>
    </row>
    <row r="19" spans="2:37" ht="33.75" x14ac:dyDescent="0.25">
      <c r="B19" s="1880" t="s">
        <v>1200</v>
      </c>
      <c r="C19" s="1880"/>
      <c r="D19" s="1880"/>
      <c r="E19" s="1880"/>
      <c r="F19" s="1880"/>
      <c r="G19" s="1880"/>
      <c r="H19" s="1880"/>
      <c r="I19" s="1880"/>
      <c r="J19" s="1880"/>
      <c r="K19" s="1880"/>
      <c r="L19" s="1880"/>
      <c r="M19" s="1880"/>
      <c r="N19" s="1880"/>
      <c r="O19" s="1880"/>
      <c r="P19" s="1880"/>
      <c r="Q19" s="807"/>
      <c r="R19" s="1880" t="s">
        <v>1214</v>
      </c>
      <c r="S19" s="1880"/>
      <c r="T19" s="1880"/>
      <c r="U19" s="1880"/>
      <c r="V19" s="1880"/>
      <c r="W19" s="1880"/>
      <c r="X19" s="1880"/>
      <c r="Y19" s="1880"/>
      <c r="Z19" s="1880"/>
      <c r="AA19" s="1880"/>
      <c r="AB19" s="1880"/>
      <c r="AC19" s="1880"/>
      <c r="AD19" s="1880"/>
      <c r="AE19" s="1880"/>
      <c r="AF19" s="1880"/>
      <c r="AG19" s="204"/>
      <c r="AH19" s="204"/>
      <c r="AI19" s="204"/>
      <c r="AJ19" s="204"/>
      <c r="AK19" s="204"/>
    </row>
    <row r="21" spans="2:37" x14ac:dyDescent="0.25">
      <c r="B21" s="1898" t="s">
        <v>398</v>
      </c>
      <c r="C21" s="1901" t="s">
        <v>1141</v>
      </c>
      <c r="D21" s="1890" t="s">
        <v>1156</v>
      </c>
      <c r="E21" s="1891"/>
      <c r="F21" s="1891"/>
      <c r="G21" s="1891"/>
      <c r="H21" s="1891"/>
      <c r="I21" s="1891"/>
      <c r="J21" s="1891"/>
      <c r="K21" s="1891"/>
      <c r="L21" s="1891"/>
      <c r="M21" s="1891"/>
      <c r="N21" s="1891"/>
      <c r="O21" s="1891"/>
      <c r="P21" s="1892"/>
      <c r="R21" s="1898" t="s">
        <v>398</v>
      </c>
      <c r="S21" s="1901" t="s">
        <v>1141</v>
      </c>
      <c r="T21" s="1890" t="s">
        <v>1156</v>
      </c>
      <c r="U21" s="1891"/>
      <c r="V21" s="1891"/>
      <c r="W21" s="1891"/>
      <c r="X21" s="1891"/>
      <c r="Y21" s="1891"/>
      <c r="Z21" s="1891"/>
      <c r="AA21" s="1891"/>
      <c r="AB21" s="1891"/>
      <c r="AC21" s="1891"/>
      <c r="AD21" s="1891"/>
      <c r="AE21" s="1891"/>
      <c r="AF21" s="1892"/>
    </row>
    <row r="22" spans="2:37" x14ac:dyDescent="0.25">
      <c r="B22" s="1899"/>
      <c r="C22" s="1902"/>
      <c r="D22" s="738">
        <v>2021</v>
      </c>
      <c r="E22" s="738">
        <v>2022</v>
      </c>
      <c r="F22" s="738">
        <v>2023</v>
      </c>
      <c r="G22" s="738">
        <v>2024</v>
      </c>
      <c r="H22" s="738">
        <v>2025</v>
      </c>
      <c r="I22" s="738">
        <v>2026</v>
      </c>
      <c r="J22" s="738">
        <v>2027</v>
      </c>
      <c r="K22" s="738">
        <v>2028</v>
      </c>
      <c r="L22" s="738">
        <v>2029</v>
      </c>
      <c r="M22" s="738">
        <v>2030</v>
      </c>
      <c r="N22" s="738">
        <v>2031</v>
      </c>
      <c r="O22" s="738">
        <v>2032</v>
      </c>
      <c r="P22" s="738">
        <v>2033</v>
      </c>
      <c r="R22" s="1899"/>
      <c r="S22" s="1902"/>
      <c r="T22" s="738">
        <v>2021</v>
      </c>
      <c r="U22" s="738">
        <v>2022</v>
      </c>
      <c r="V22" s="738">
        <v>2023</v>
      </c>
      <c r="W22" s="738">
        <v>2024</v>
      </c>
      <c r="X22" s="738">
        <v>2025</v>
      </c>
      <c r="Y22" s="738">
        <v>2026</v>
      </c>
      <c r="Z22" s="738">
        <v>2027</v>
      </c>
      <c r="AA22" s="738">
        <v>2028</v>
      </c>
      <c r="AB22" s="738">
        <v>2029</v>
      </c>
      <c r="AC22" s="738">
        <v>2030</v>
      </c>
      <c r="AD22" s="738">
        <v>2031</v>
      </c>
      <c r="AE22" s="738">
        <v>2032</v>
      </c>
      <c r="AF22" s="738">
        <v>2033</v>
      </c>
    </row>
    <row r="23" spans="2:37" x14ac:dyDescent="0.25">
      <c r="B23" s="1900"/>
      <c r="C23" s="1903"/>
      <c r="D23" s="1897">
        <v>0</v>
      </c>
      <c r="E23" s="1897"/>
      <c r="F23" s="1897"/>
      <c r="G23" s="738" t="s">
        <v>1146</v>
      </c>
      <c r="H23" s="738" t="s">
        <v>1147</v>
      </c>
      <c r="I23" s="738" t="s">
        <v>1148</v>
      </c>
      <c r="J23" s="738" t="s">
        <v>1149</v>
      </c>
      <c r="K23" s="738" t="s">
        <v>1150</v>
      </c>
      <c r="L23" s="738" t="s">
        <v>1151</v>
      </c>
      <c r="M23" s="738" t="s">
        <v>1152</v>
      </c>
      <c r="N23" s="738" t="s">
        <v>1153</v>
      </c>
      <c r="O23" s="738" t="s">
        <v>1154</v>
      </c>
      <c r="P23" s="738" t="s">
        <v>1155</v>
      </c>
      <c r="R23" s="1900"/>
      <c r="S23" s="1903"/>
      <c r="T23" s="1897">
        <v>0</v>
      </c>
      <c r="U23" s="1897"/>
      <c r="V23" s="1897"/>
      <c r="W23" s="738" t="s">
        <v>1146</v>
      </c>
      <c r="X23" s="738" t="s">
        <v>1147</v>
      </c>
      <c r="Y23" s="738" t="s">
        <v>1148</v>
      </c>
      <c r="Z23" s="738" t="s">
        <v>1149</v>
      </c>
      <c r="AA23" s="738" t="s">
        <v>1150</v>
      </c>
      <c r="AB23" s="738" t="s">
        <v>1151</v>
      </c>
      <c r="AC23" s="738" t="s">
        <v>1152</v>
      </c>
      <c r="AD23" s="738" t="s">
        <v>1153</v>
      </c>
      <c r="AE23" s="738" t="s">
        <v>1154</v>
      </c>
      <c r="AF23" s="738" t="s">
        <v>1155</v>
      </c>
    </row>
    <row r="24" spans="2:37" x14ac:dyDescent="0.25">
      <c r="B24" s="740">
        <v>1</v>
      </c>
      <c r="C24" s="739" t="s">
        <v>1142</v>
      </c>
      <c r="D24" s="743">
        <f>'O&amp;M'!I118</f>
        <v>0</v>
      </c>
      <c r="E24" s="743">
        <f>'O&amp;M'!J118</f>
        <v>0</v>
      </c>
      <c r="F24" s="743">
        <f>'O&amp;M'!K118</f>
        <v>0</v>
      </c>
      <c r="G24" s="743">
        <f>'O&amp;M'!L118+'PERS - O&amp;M'!D30</f>
        <v>2166038.6</v>
      </c>
      <c r="H24" s="743">
        <f>'O&amp;M'!M118+'PERS - O&amp;M'!E30</f>
        <v>2166038.6</v>
      </c>
      <c r="I24" s="743">
        <f>'O&amp;M'!N118+'PERS - O&amp;M'!F30</f>
        <v>2166038.6</v>
      </c>
      <c r="J24" s="743">
        <f>'O&amp;M'!O118+'PERS - O&amp;M'!G30</f>
        <v>2166038.6</v>
      </c>
      <c r="K24" s="743">
        <f>'O&amp;M'!P118+'PERS - O&amp;M'!H30</f>
        <v>2166038.6</v>
      </c>
      <c r="L24" s="743">
        <f>'O&amp;M'!Q118+'PERS - O&amp;M'!I30</f>
        <v>2166038.6</v>
      </c>
      <c r="M24" s="743">
        <f>'O&amp;M'!R118+'PERS - O&amp;M'!J30</f>
        <v>2166038.6</v>
      </c>
      <c r="N24" s="743">
        <f>'O&amp;M'!S118+'PERS - O&amp;M'!K30</f>
        <v>2166038.6</v>
      </c>
      <c r="O24" s="743">
        <f>'O&amp;M'!T118+'PERS - O&amp;M'!L30</f>
        <v>2166038.6</v>
      </c>
      <c r="P24" s="743">
        <f>'O&amp;M'!U118+'PERS - O&amp;M'!M30</f>
        <v>2166038.6</v>
      </c>
      <c r="R24" s="740">
        <v>1</v>
      </c>
      <c r="S24" s="739" t="s">
        <v>1142</v>
      </c>
      <c r="T24" s="743">
        <f>'O&amp;M'!AE118</f>
        <v>0</v>
      </c>
      <c r="U24" s="743">
        <f>'O&amp;M'!AF118</f>
        <v>0</v>
      </c>
      <c r="V24" s="743">
        <f>'O&amp;M'!AG118</f>
        <v>0</v>
      </c>
      <c r="W24" s="743">
        <f>'O&amp;M'!AH118+'PERS - O&amp;M'!Q30</f>
        <v>1828088.0742000001</v>
      </c>
      <c r="X24" s="743">
        <f>'O&amp;M'!AI118+'PERS - O&amp;M'!R30</f>
        <v>1865525.4742000003</v>
      </c>
      <c r="Y24" s="743">
        <f>'O&amp;M'!AJ118+'PERS - O&amp;M'!S30</f>
        <v>1865525.4742000003</v>
      </c>
      <c r="Z24" s="743">
        <f>'O&amp;M'!AK118+'PERS - O&amp;M'!T30</f>
        <v>1865525.4742000003</v>
      </c>
      <c r="AA24" s="743">
        <f>'O&amp;M'!AL118+'PERS - O&amp;M'!U30</f>
        <v>1865525.4742000003</v>
      </c>
      <c r="AB24" s="743">
        <f>'O&amp;M'!AM118+'PERS - O&amp;M'!V30</f>
        <v>1865525.4742000003</v>
      </c>
      <c r="AC24" s="743">
        <f>'O&amp;M'!AN118+'PERS - O&amp;M'!W30</f>
        <v>1865525.4742000003</v>
      </c>
      <c r="AD24" s="743">
        <f>'O&amp;M'!AO118+'PERS - O&amp;M'!X30</f>
        <v>1865525.4742000003</v>
      </c>
      <c r="AE24" s="743">
        <f>'O&amp;M'!AP118+'PERS - O&amp;M'!Y30</f>
        <v>1865525.4742000003</v>
      </c>
      <c r="AF24" s="743">
        <f>'O&amp;M'!AQ118+'PERS - O&amp;M'!Z30</f>
        <v>1865525.4742000003</v>
      </c>
    </row>
    <row r="25" spans="2:37" x14ac:dyDescent="0.25">
      <c r="B25" s="740">
        <v>2</v>
      </c>
      <c r="C25" s="739" t="s">
        <v>1173</v>
      </c>
      <c r="D25" s="743">
        <f>'O&amp;M'!I168</f>
        <v>0</v>
      </c>
      <c r="E25" s="743">
        <f>'O&amp;M'!J168</f>
        <v>0</v>
      </c>
      <c r="F25" s="743">
        <f>'O&amp;M'!K168</f>
        <v>0</v>
      </c>
      <c r="G25" s="743">
        <f>'O&amp;M'!L168+'PERS - O&amp;M'!D35</f>
        <v>44953</v>
      </c>
      <c r="H25" s="743">
        <f>'O&amp;M'!M168+'PERS - O&amp;M'!E35</f>
        <v>44953</v>
      </c>
      <c r="I25" s="743">
        <f>'O&amp;M'!N168+'PERS - O&amp;M'!F35</f>
        <v>44953</v>
      </c>
      <c r="J25" s="743">
        <f>'O&amp;M'!O168+'PERS - O&amp;M'!G35</f>
        <v>44953</v>
      </c>
      <c r="K25" s="743">
        <f>'O&amp;M'!P168+'PERS - O&amp;M'!H35</f>
        <v>44953</v>
      </c>
      <c r="L25" s="743">
        <f>'O&amp;M'!Q168+'PERS - O&amp;M'!I35</f>
        <v>44953</v>
      </c>
      <c r="M25" s="743">
        <f>'O&amp;M'!R168+'PERS - O&amp;M'!J35</f>
        <v>44953</v>
      </c>
      <c r="N25" s="743">
        <f>'O&amp;M'!S168+'PERS - O&amp;M'!K35</f>
        <v>44953</v>
      </c>
      <c r="O25" s="743">
        <f>'O&amp;M'!T168+'PERS - O&amp;M'!L35</f>
        <v>44953</v>
      </c>
      <c r="P25" s="743">
        <f>'O&amp;M'!U168+'PERS - O&amp;M'!M35</f>
        <v>44953</v>
      </c>
      <c r="R25" s="740">
        <v>2</v>
      </c>
      <c r="S25" s="739" t="s">
        <v>1173</v>
      </c>
      <c r="T25" s="743">
        <f>'O&amp;M'!AE168</f>
        <v>0</v>
      </c>
      <c r="U25" s="743">
        <f>'O&amp;M'!AF168</f>
        <v>0</v>
      </c>
      <c r="V25" s="743">
        <f>'O&amp;M'!AG168</f>
        <v>0</v>
      </c>
      <c r="W25" s="743">
        <f>'O&amp;M'!AH168+'PERS - O&amp;M'!Q35</f>
        <v>35898.390999999996</v>
      </c>
      <c r="X25" s="743">
        <f>'O&amp;M'!AI168+'PERS - O&amp;M'!R35</f>
        <v>35898.390999999996</v>
      </c>
      <c r="Y25" s="743">
        <f>'O&amp;M'!AJ168+'PERS - O&amp;M'!S35</f>
        <v>35898.390999999996</v>
      </c>
      <c r="Z25" s="743">
        <f>'O&amp;M'!AK168+'PERS - O&amp;M'!T35</f>
        <v>35898.390999999996</v>
      </c>
      <c r="AA25" s="743">
        <f>'O&amp;M'!AL168+'PERS - O&amp;M'!U35</f>
        <v>35898.390999999996</v>
      </c>
      <c r="AB25" s="743">
        <f>'O&amp;M'!AM168+'PERS - O&amp;M'!V35</f>
        <v>35898.390999999996</v>
      </c>
      <c r="AC25" s="743">
        <f>'O&amp;M'!AN168+'PERS - O&amp;M'!W35</f>
        <v>35898.390999999996</v>
      </c>
      <c r="AD25" s="743">
        <f>'O&amp;M'!AO168+'PERS - O&amp;M'!X35</f>
        <v>35898.390999999996</v>
      </c>
      <c r="AE25" s="743">
        <f>'O&amp;M'!AP168+'PERS - O&amp;M'!Y35</f>
        <v>35898.390999999996</v>
      </c>
      <c r="AF25" s="743">
        <f>'O&amp;M'!AQ168+'PERS - O&amp;M'!Z35</f>
        <v>35898.390999999996</v>
      </c>
    </row>
    <row r="26" spans="2:37" x14ac:dyDescent="0.25">
      <c r="B26" s="805">
        <v>3</v>
      </c>
      <c r="C26" s="806" t="s">
        <v>1189</v>
      </c>
      <c r="D26" s="774">
        <f>'O&amp;M'!I192</f>
        <v>0</v>
      </c>
      <c r="E26" s="774">
        <f>'O&amp;M'!J192</f>
        <v>0</v>
      </c>
      <c r="F26" s="774">
        <f>'O&amp;M'!K192</f>
        <v>0</v>
      </c>
      <c r="G26" s="774">
        <f>'O&amp;M'!L192</f>
        <v>0</v>
      </c>
      <c r="H26" s="774">
        <f>'O&amp;M'!M192</f>
        <v>0</v>
      </c>
      <c r="I26" s="774">
        <f>'O&amp;M'!N192</f>
        <v>0</v>
      </c>
      <c r="J26" s="774">
        <f>'O&amp;M'!O192</f>
        <v>0</v>
      </c>
      <c r="K26" s="774">
        <f>'O&amp;M'!P192</f>
        <v>70000</v>
      </c>
      <c r="L26" s="774">
        <f>'O&amp;M'!Q192</f>
        <v>0</v>
      </c>
      <c r="M26" s="774">
        <f>'O&amp;M'!R192</f>
        <v>0</v>
      </c>
      <c r="N26" s="774">
        <f>'O&amp;M'!S192</f>
        <v>0</v>
      </c>
      <c r="O26" s="774">
        <f>'O&amp;M'!T192</f>
        <v>0</v>
      </c>
      <c r="P26" s="774">
        <f>'O&amp;M'!U192</f>
        <v>300000</v>
      </c>
      <c r="R26" s="805">
        <v>3</v>
      </c>
      <c r="S26" s="806" t="s">
        <v>1189</v>
      </c>
      <c r="T26" s="774">
        <f>'O&amp;M'!AE192</f>
        <v>0</v>
      </c>
      <c r="U26" s="774">
        <f>'O&amp;M'!AF192</f>
        <v>0</v>
      </c>
      <c r="V26" s="774">
        <f>'O&amp;M'!AG192</f>
        <v>0</v>
      </c>
      <c r="W26" s="774">
        <f>'O&amp;M'!AH192</f>
        <v>0</v>
      </c>
      <c r="X26" s="774">
        <f>'O&amp;M'!AI192</f>
        <v>0</v>
      </c>
      <c r="Y26" s="774">
        <f>'O&amp;M'!AJ192</f>
        <v>0</v>
      </c>
      <c r="Z26" s="774">
        <f>'O&amp;M'!AK192</f>
        <v>0</v>
      </c>
      <c r="AA26" s="774">
        <f>'O&amp;M'!AL192</f>
        <v>59290</v>
      </c>
      <c r="AB26" s="774">
        <f>'O&amp;M'!AM192</f>
        <v>0</v>
      </c>
      <c r="AC26" s="774">
        <f>'O&amp;M'!AN192</f>
        <v>0</v>
      </c>
      <c r="AD26" s="774">
        <f>'O&amp;M'!AO192</f>
        <v>0</v>
      </c>
      <c r="AE26" s="774">
        <f>'O&amp;M'!AP192</f>
        <v>0</v>
      </c>
      <c r="AF26" s="774">
        <f>'O&amp;M'!AQ192</f>
        <v>254100</v>
      </c>
    </row>
    <row r="27" spans="2:37" x14ac:dyDescent="0.25">
      <c r="B27" s="1906" t="s">
        <v>1198</v>
      </c>
      <c r="C27" s="1907"/>
      <c r="D27" s="1907"/>
      <c r="E27" s="1907"/>
      <c r="F27" s="1908"/>
      <c r="G27" s="799">
        <f t="shared" ref="G27:P27" si="2">G24+G25+G26</f>
        <v>2210991.6</v>
      </c>
      <c r="H27" s="799">
        <f t="shared" si="2"/>
        <v>2210991.6</v>
      </c>
      <c r="I27" s="799">
        <f t="shared" si="2"/>
        <v>2210991.6</v>
      </c>
      <c r="J27" s="799">
        <f t="shared" si="2"/>
        <v>2210991.6</v>
      </c>
      <c r="K27" s="799">
        <f t="shared" si="2"/>
        <v>2280991.6</v>
      </c>
      <c r="L27" s="799">
        <f t="shared" si="2"/>
        <v>2210991.6</v>
      </c>
      <c r="M27" s="799">
        <f t="shared" si="2"/>
        <v>2210991.6</v>
      </c>
      <c r="N27" s="799">
        <f t="shared" si="2"/>
        <v>2210991.6</v>
      </c>
      <c r="O27" s="799">
        <f t="shared" si="2"/>
        <v>2210991.6</v>
      </c>
      <c r="P27" s="799">
        <f t="shared" si="2"/>
        <v>2510991.6</v>
      </c>
      <c r="R27" s="1906" t="s">
        <v>1198</v>
      </c>
      <c r="S27" s="1907"/>
      <c r="T27" s="1907"/>
      <c r="U27" s="1907"/>
      <c r="V27" s="1908"/>
      <c r="W27" s="799">
        <f t="shared" ref="W27:AF27" si="3">W24+W25+W26</f>
        <v>1863986.4652000002</v>
      </c>
      <c r="X27" s="799">
        <f t="shared" si="3"/>
        <v>1901423.8652000003</v>
      </c>
      <c r="Y27" s="799">
        <f t="shared" si="3"/>
        <v>1901423.8652000003</v>
      </c>
      <c r="Z27" s="799">
        <f t="shared" si="3"/>
        <v>1901423.8652000003</v>
      </c>
      <c r="AA27" s="799">
        <f t="shared" si="3"/>
        <v>1960713.8652000003</v>
      </c>
      <c r="AB27" s="799">
        <f t="shared" si="3"/>
        <v>1901423.8652000003</v>
      </c>
      <c r="AC27" s="799">
        <f t="shared" si="3"/>
        <v>1901423.8652000003</v>
      </c>
      <c r="AD27" s="799">
        <f t="shared" si="3"/>
        <v>1901423.8652000003</v>
      </c>
      <c r="AE27" s="799">
        <f t="shared" si="3"/>
        <v>1901423.8652000003</v>
      </c>
      <c r="AF27" s="799">
        <f t="shared" si="3"/>
        <v>2155523.8652000003</v>
      </c>
    </row>
  </sheetData>
  <mergeCells count="24">
    <mergeCell ref="R27:V27"/>
    <mergeCell ref="R19:AF19"/>
    <mergeCell ref="T9:AF9"/>
    <mergeCell ref="T11:V11"/>
    <mergeCell ref="R15:V15"/>
    <mergeCell ref="R7:AF7"/>
    <mergeCell ref="R21:R23"/>
    <mergeCell ref="S21:S23"/>
    <mergeCell ref="T21:AF21"/>
    <mergeCell ref="T23:V23"/>
    <mergeCell ref="R9:R11"/>
    <mergeCell ref="S9:S11"/>
    <mergeCell ref="B27:F27"/>
    <mergeCell ref="B19:P19"/>
    <mergeCell ref="D9:P9"/>
    <mergeCell ref="D11:F11"/>
    <mergeCell ref="B7:P7"/>
    <mergeCell ref="B9:B11"/>
    <mergeCell ref="C9:C11"/>
    <mergeCell ref="B15:F15"/>
    <mergeCell ref="B21:B23"/>
    <mergeCell ref="C21:C23"/>
    <mergeCell ref="D21:P21"/>
    <mergeCell ref="D23:F23"/>
  </mergeCells>
  <pageMargins left="0.7" right="0.7" top="0.75" bottom="0.75" header="0.3" footer="0.3"/>
  <pageSetup scale="37" orientation="portrait" horizontalDpi="4294967295" verticalDpi="4294967295" r:id="rId1"/>
  <colBreaks count="2" manualBreakCount="2">
    <brk id="17" max="1048575" man="1"/>
    <brk id="3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66CC"/>
  </sheetPr>
  <dimension ref="A1:BB49"/>
  <sheetViews>
    <sheetView view="pageBreakPreview" zoomScale="80" zoomScaleNormal="85" zoomScaleSheetLayoutView="80" workbookViewId="0">
      <selection activeCell="B46" sqref="B46"/>
    </sheetView>
  </sheetViews>
  <sheetFormatPr baseColWidth="10" defaultRowHeight="12.75" x14ac:dyDescent="0.2"/>
  <cols>
    <col min="1" max="1" width="11.42578125" style="52"/>
    <col min="2" max="2" width="31.7109375" style="150" customWidth="1"/>
    <col min="3" max="3" width="13" style="150" customWidth="1"/>
    <col min="4" max="24" width="2.28515625" style="150" customWidth="1"/>
    <col min="25" max="27" width="3" style="150" bestFit="1" customWidth="1"/>
    <col min="28" max="39" width="2.28515625" style="150" customWidth="1"/>
    <col min="40" max="40" width="3.85546875" style="150" customWidth="1"/>
    <col min="41" max="41" width="3.7109375" style="150" customWidth="1"/>
    <col min="42" max="42" width="5.28515625" style="150" bestFit="1" customWidth="1"/>
    <col min="43" max="43" width="4.7109375" style="150" customWidth="1"/>
    <col min="44" max="54" width="11.42578125" style="52"/>
    <col min="55" max="16384" width="11.42578125" style="150"/>
  </cols>
  <sheetData>
    <row r="1" spans="2:43" s="52" customFormat="1" x14ac:dyDescent="0.2"/>
    <row r="2" spans="2:43" s="52" customFormat="1" x14ac:dyDescent="0.2"/>
    <row r="3" spans="2:43" s="52" customFormat="1" x14ac:dyDescent="0.2"/>
    <row r="4" spans="2:43" s="52" customFormat="1" x14ac:dyDescent="0.2"/>
    <row r="5" spans="2:43" s="52" customFormat="1" x14ac:dyDescent="0.2"/>
    <row r="6" spans="2:43" s="52" customFormat="1" x14ac:dyDescent="0.2"/>
    <row r="7" spans="2:43" x14ac:dyDescent="0.2">
      <c r="B7" s="1527" t="s">
        <v>264</v>
      </c>
      <c r="C7" s="1528" t="s">
        <v>265</v>
      </c>
      <c r="D7" s="1532" t="s">
        <v>261</v>
      </c>
      <c r="E7" s="1532"/>
      <c r="F7" s="1532"/>
      <c r="G7" s="1532"/>
      <c r="H7" s="1532"/>
      <c r="I7" s="1532"/>
      <c r="J7" s="1532"/>
      <c r="K7" s="1532"/>
      <c r="L7" s="1532"/>
      <c r="M7" s="1532"/>
      <c r="N7" s="1532"/>
      <c r="O7" s="1532"/>
      <c r="P7" s="1532"/>
      <c r="Q7" s="1532"/>
      <c r="R7" s="1532"/>
      <c r="S7" s="1532"/>
      <c r="T7" s="1532"/>
      <c r="U7" s="1532"/>
      <c r="V7" s="1532"/>
      <c r="W7" s="1532"/>
      <c r="X7" s="1532"/>
      <c r="Y7" s="1532"/>
      <c r="Z7" s="1532"/>
      <c r="AA7" s="1532"/>
      <c r="AB7" s="1532"/>
      <c r="AC7" s="1532"/>
      <c r="AD7" s="1532"/>
      <c r="AE7" s="1532"/>
      <c r="AF7" s="1532"/>
      <c r="AG7" s="1532"/>
      <c r="AH7" s="1532"/>
      <c r="AI7" s="1532"/>
      <c r="AJ7" s="1532"/>
      <c r="AK7" s="1532"/>
      <c r="AL7" s="1532"/>
      <c r="AM7" s="1532"/>
      <c r="AN7" s="1532" t="s">
        <v>263</v>
      </c>
      <c r="AO7" s="1532"/>
      <c r="AP7" s="1532"/>
      <c r="AQ7" s="1532"/>
    </row>
    <row r="8" spans="2:43" x14ac:dyDescent="0.2">
      <c r="B8" s="1527"/>
      <c r="C8" s="1528"/>
      <c r="D8" s="1529" t="s">
        <v>267</v>
      </c>
      <c r="E8" s="1530"/>
      <c r="F8" s="1530"/>
      <c r="G8" s="1530"/>
      <c r="H8" s="1530"/>
      <c r="I8" s="1530"/>
      <c r="J8" s="1530"/>
      <c r="K8" s="1530"/>
      <c r="L8" s="1530"/>
      <c r="M8" s="1530"/>
      <c r="N8" s="1530"/>
      <c r="O8" s="1530"/>
      <c r="P8" s="1530"/>
      <c r="Q8" s="1530"/>
      <c r="R8" s="1530"/>
      <c r="S8" s="1530"/>
      <c r="T8" s="1530"/>
      <c r="U8" s="1530"/>
      <c r="V8" s="1530"/>
      <c r="W8" s="1530"/>
      <c r="X8" s="1530"/>
      <c r="Y8" s="1530"/>
      <c r="Z8" s="1530"/>
      <c r="AA8" s="1530"/>
      <c r="AB8" s="1530"/>
      <c r="AC8" s="1530"/>
      <c r="AD8" s="1530"/>
      <c r="AE8" s="1530"/>
      <c r="AF8" s="1530"/>
      <c r="AG8" s="1530"/>
      <c r="AH8" s="1530"/>
      <c r="AI8" s="1530"/>
      <c r="AJ8" s="1530"/>
      <c r="AK8" s="1530"/>
      <c r="AL8" s="1530"/>
      <c r="AM8" s="1530"/>
      <c r="AN8" s="1533" t="s">
        <v>174</v>
      </c>
      <c r="AO8" s="1533" t="s">
        <v>175</v>
      </c>
      <c r="AP8" s="1533" t="s">
        <v>262</v>
      </c>
      <c r="AQ8" s="1533" t="s">
        <v>183</v>
      </c>
    </row>
    <row r="9" spans="2:43" x14ac:dyDescent="0.2">
      <c r="B9" s="1527"/>
      <c r="C9" s="1528"/>
      <c r="D9" s="1534">
        <v>1</v>
      </c>
      <c r="E9" s="1534"/>
      <c r="F9" s="1534"/>
      <c r="G9" s="1534"/>
      <c r="H9" s="1534"/>
      <c r="I9" s="1534"/>
      <c r="J9" s="1534"/>
      <c r="K9" s="1534"/>
      <c r="L9" s="1534"/>
      <c r="M9" s="1534"/>
      <c r="N9" s="1534"/>
      <c r="O9" s="1534"/>
      <c r="P9" s="1534">
        <v>2</v>
      </c>
      <c r="Q9" s="1534"/>
      <c r="R9" s="1534"/>
      <c r="S9" s="1534"/>
      <c r="T9" s="1534"/>
      <c r="U9" s="1534"/>
      <c r="V9" s="1534"/>
      <c r="W9" s="1534"/>
      <c r="X9" s="1534"/>
      <c r="Y9" s="1534"/>
      <c r="Z9" s="1534"/>
      <c r="AA9" s="1534"/>
      <c r="AB9" s="1534">
        <v>3</v>
      </c>
      <c r="AC9" s="1534"/>
      <c r="AD9" s="1534"/>
      <c r="AE9" s="1534"/>
      <c r="AF9" s="1534"/>
      <c r="AG9" s="1534"/>
      <c r="AH9" s="1534"/>
      <c r="AI9" s="1534"/>
      <c r="AJ9" s="1534"/>
      <c r="AK9" s="1534"/>
      <c r="AL9" s="1534"/>
      <c r="AM9" s="1534"/>
      <c r="AN9" s="1533"/>
      <c r="AO9" s="1533"/>
      <c r="AP9" s="1533"/>
      <c r="AQ9" s="1533"/>
    </row>
    <row r="10" spans="2:43" x14ac:dyDescent="0.2">
      <c r="B10" s="1527"/>
      <c r="C10" s="1528"/>
      <c r="D10" s="194">
        <v>1</v>
      </c>
      <c r="E10" s="194">
        <v>2</v>
      </c>
      <c r="F10" s="194">
        <v>3</v>
      </c>
      <c r="G10" s="194">
        <v>4</v>
      </c>
      <c r="H10" s="194">
        <v>5</v>
      </c>
      <c r="I10" s="194">
        <v>6</v>
      </c>
      <c r="J10" s="194">
        <v>7</v>
      </c>
      <c r="K10" s="194">
        <v>8</v>
      </c>
      <c r="L10" s="194">
        <v>9</v>
      </c>
      <c r="M10" s="194">
        <v>10</v>
      </c>
      <c r="N10" s="194">
        <v>11</v>
      </c>
      <c r="O10" s="194">
        <v>12</v>
      </c>
      <c r="P10" s="194">
        <v>1</v>
      </c>
      <c r="Q10" s="194">
        <v>2</v>
      </c>
      <c r="R10" s="194">
        <v>3</v>
      </c>
      <c r="S10" s="194">
        <v>4</v>
      </c>
      <c r="T10" s="194">
        <v>5</v>
      </c>
      <c r="U10" s="194">
        <v>6</v>
      </c>
      <c r="V10" s="194">
        <v>7</v>
      </c>
      <c r="W10" s="194">
        <v>8</v>
      </c>
      <c r="X10" s="194">
        <v>9</v>
      </c>
      <c r="Y10" s="194">
        <v>10</v>
      </c>
      <c r="Z10" s="194">
        <v>11</v>
      </c>
      <c r="AA10" s="194">
        <v>12</v>
      </c>
      <c r="AB10" s="194">
        <v>1</v>
      </c>
      <c r="AC10" s="194">
        <v>2</v>
      </c>
      <c r="AD10" s="194">
        <v>3</v>
      </c>
      <c r="AE10" s="194">
        <v>4</v>
      </c>
      <c r="AF10" s="194">
        <v>5</v>
      </c>
      <c r="AG10" s="194">
        <v>6</v>
      </c>
      <c r="AH10" s="194">
        <v>7</v>
      </c>
      <c r="AI10" s="194">
        <v>8</v>
      </c>
      <c r="AJ10" s="194">
        <v>9</v>
      </c>
      <c r="AK10" s="194">
        <v>10</v>
      </c>
      <c r="AL10" s="194">
        <v>11</v>
      </c>
      <c r="AM10" s="194">
        <v>12</v>
      </c>
      <c r="AN10" s="1533"/>
      <c r="AO10" s="1533"/>
      <c r="AP10" s="1533"/>
      <c r="AQ10" s="1533"/>
    </row>
    <row r="11" spans="2:43" ht="25.5" customHeight="1" x14ac:dyDescent="0.2">
      <c r="B11" s="350" t="s">
        <v>574</v>
      </c>
      <c r="C11" s="1528"/>
      <c r="D11" s="63"/>
      <c r="E11" s="63"/>
      <c r="F11" s="63"/>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531" t="s">
        <v>266</v>
      </c>
      <c r="AO11" s="1531"/>
      <c r="AP11" s="1531"/>
      <c r="AQ11" s="1531"/>
    </row>
    <row r="12" spans="2:43" ht="25.5" customHeight="1" x14ac:dyDescent="0.2">
      <c r="B12" s="350" t="s">
        <v>575</v>
      </c>
      <c r="C12" s="1528"/>
      <c r="D12" s="63"/>
      <c r="E12" s="63"/>
      <c r="F12" s="63"/>
      <c r="G12" s="196"/>
      <c r="H12" s="196"/>
      <c r="I12" s="196"/>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531"/>
      <c r="AO12" s="1531"/>
      <c r="AP12" s="1531"/>
      <c r="AQ12" s="1531"/>
    </row>
    <row r="13" spans="2:43" ht="25.5" customHeight="1" x14ac:dyDescent="0.2">
      <c r="B13" s="350" t="s">
        <v>576</v>
      </c>
      <c r="C13" s="1528"/>
      <c r="D13" s="63"/>
      <c r="E13" s="63"/>
      <c r="F13" s="63"/>
      <c r="G13" s="196"/>
      <c r="H13" s="195"/>
      <c r="I13" s="195"/>
      <c r="J13" s="195"/>
      <c r="K13" s="195"/>
      <c r="L13" s="195"/>
      <c r="M13" s="195"/>
      <c r="N13" s="195"/>
      <c r="O13" s="195"/>
      <c r="P13" s="55"/>
      <c r="Q13" s="195"/>
      <c r="R13" s="195"/>
      <c r="S13" s="195"/>
      <c r="T13" s="55"/>
      <c r="U13" s="55"/>
      <c r="V13" s="55"/>
      <c r="W13" s="195"/>
      <c r="X13" s="195"/>
      <c r="Y13" s="195"/>
      <c r="Z13" s="195"/>
      <c r="AA13" s="55"/>
      <c r="AB13" s="55"/>
      <c r="AC13" s="195"/>
      <c r="AD13" s="195"/>
      <c r="AE13" s="195"/>
      <c r="AF13" s="195"/>
      <c r="AG13" s="195"/>
      <c r="AH13" s="55"/>
      <c r="AI13" s="195"/>
      <c r="AJ13" s="195"/>
      <c r="AK13" s="195"/>
      <c r="AL13" s="55"/>
      <c r="AM13" s="55"/>
      <c r="AN13" s="1531"/>
      <c r="AO13" s="1531"/>
      <c r="AP13" s="1531"/>
      <c r="AQ13" s="1531"/>
    </row>
    <row r="14" spans="2:43" ht="25.5" customHeight="1" x14ac:dyDescent="0.2">
      <c r="B14" s="350" t="s">
        <v>577</v>
      </c>
      <c r="C14" s="1528"/>
      <c r="D14" s="63"/>
      <c r="E14" s="63"/>
      <c r="F14" s="63"/>
      <c r="G14" s="63"/>
      <c r="H14" s="63"/>
      <c r="I14" s="63"/>
      <c r="J14" s="55"/>
      <c r="K14" s="55"/>
      <c r="L14" s="55"/>
      <c r="M14" s="55"/>
      <c r="N14" s="195"/>
      <c r="O14" s="195"/>
      <c r="P14" s="195"/>
      <c r="Q14" s="195"/>
      <c r="R14" s="195"/>
      <c r="S14" s="195"/>
      <c r="T14" s="195"/>
      <c r="U14" s="195"/>
      <c r="V14" s="195"/>
      <c r="W14" s="195"/>
      <c r="X14" s="195"/>
      <c r="Y14" s="195"/>
      <c r="Z14" s="195"/>
      <c r="AA14" s="195"/>
      <c r="AB14" s="55"/>
      <c r="AC14" s="55"/>
      <c r="AD14" s="55"/>
      <c r="AE14" s="55"/>
      <c r="AF14" s="55"/>
      <c r="AG14" s="55"/>
      <c r="AH14" s="55"/>
      <c r="AI14" s="55"/>
      <c r="AJ14" s="55"/>
      <c r="AK14" s="55"/>
      <c r="AL14" s="55"/>
      <c r="AM14" s="55"/>
      <c r="AN14" s="1531"/>
      <c r="AO14" s="1531"/>
      <c r="AP14" s="1531"/>
      <c r="AQ14" s="1531"/>
    </row>
    <row r="15" spans="2:43" ht="25.5" customHeight="1" x14ac:dyDescent="0.2">
      <c r="B15" s="350" t="s">
        <v>578</v>
      </c>
      <c r="C15" s="1528"/>
      <c r="D15" s="63"/>
      <c r="E15" s="63"/>
      <c r="F15" s="63"/>
      <c r="G15" s="55"/>
      <c r="H15" s="55"/>
      <c r="I15" s="5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55"/>
      <c r="AN15" s="1531"/>
      <c r="AO15" s="1531"/>
      <c r="AP15" s="1531"/>
      <c r="AQ15" s="1531"/>
    </row>
    <row r="16" spans="2:43" ht="25.5" customHeight="1" x14ac:dyDescent="0.2">
      <c r="B16" s="350" t="s">
        <v>579</v>
      </c>
      <c r="C16" s="1528"/>
      <c r="D16" s="63"/>
      <c r="E16" s="63"/>
      <c r="F16" s="63"/>
      <c r="G16" s="63"/>
      <c r="H16" s="63"/>
      <c r="I16" s="195"/>
      <c r="J16" s="195"/>
      <c r="K16" s="55"/>
      <c r="L16" s="55"/>
      <c r="M16" s="195"/>
      <c r="N16" s="55"/>
      <c r="O16" s="195"/>
      <c r="P16" s="195"/>
      <c r="Q16" s="55"/>
      <c r="R16" s="55"/>
      <c r="S16" s="195"/>
      <c r="T16" s="55"/>
      <c r="U16" s="195"/>
      <c r="V16" s="195"/>
      <c r="W16" s="55"/>
      <c r="X16" s="55"/>
      <c r="Y16" s="195"/>
      <c r="Z16" s="55"/>
      <c r="AA16" s="195"/>
      <c r="AB16" s="195"/>
      <c r="AC16" s="55"/>
      <c r="AD16" s="55"/>
      <c r="AE16" s="195"/>
      <c r="AF16" s="55"/>
      <c r="AG16" s="55"/>
      <c r="AH16" s="55"/>
      <c r="AI16" s="55"/>
      <c r="AJ16" s="55"/>
      <c r="AK16" s="195"/>
      <c r="AL16" s="55"/>
      <c r="AM16" s="55"/>
      <c r="AN16" s="1531"/>
      <c r="AO16" s="1531"/>
      <c r="AP16" s="1531"/>
      <c r="AQ16" s="1531"/>
    </row>
    <row r="17" s="52" customFormat="1" x14ac:dyDescent="0.2"/>
    <row r="18" s="52" customFormat="1" x14ac:dyDescent="0.2"/>
    <row r="19" s="52" customFormat="1" x14ac:dyDescent="0.2"/>
    <row r="20" s="52" customFormat="1" x14ac:dyDescent="0.2"/>
    <row r="21" s="52" customFormat="1" x14ac:dyDescent="0.2"/>
    <row r="22" s="52" customFormat="1" x14ac:dyDescent="0.2"/>
    <row r="23" s="52" customFormat="1" x14ac:dyDescent="0.2"/>
    <row r="24" s="52" customFormat="1" x14ac:dyDescent="0.2"/>
    <row r="25" s="52" customFormat="1" x14ac:dyDescent="0.2"/>
    <row r="26" s="52" customFormat="1" x14ac:dyDescent="0.2"/>
    <row r="27" s="52" customFormat="1" x14ac:dyDescent="0.2"/>
    <row r="28" s="52" customFormat="1" x14ac:dyDescent="0.2"/>
    <row r="29" s="52" customFormat="1" x14ac:dyDescent="0.2"/>
    <row r="30" s="52" customFormat="1" x14ac:dyDescent="0.2"/>
    <row r="31" s="52" customFormat="1" x14ac:dyDescent="0.2"/>
    <row r="32" s="52" customFormat="1" x14ac:dyDescent="0.2"/>
    <row r="33" s="52" customFormat="1" x14ac:dyDescent="0.2"/>
    <row r="34" s="52" customFormat="1" x14ac:dyDescent="0.2"/>
    <row r="35" s="52" customFormat="1" x14ac:dyDescent="0.2"/>
    <row r="36" s="52" customFormat="1" x14ac:dyDescent="0.2"/>
    <row r="37" s="52" customFormat="1" x14ac:dyDescent="0.2"/>
    <row r="38" s="52" customFormat="1" x14ac:dyDescent="0.2"/>
    <row r="39" s="52" customFormat="1" x14ac:dyDescent="0.2"/>
    <row r="40" s="52" customFormat="1" x14ac:dyDescent="0.2"/>
    <row r="41" s="52" customFormat="1" x14ac:dyDescent="0.2"/>
    <row r="42" s="52" customFormat="1" x14ac:dyDescent="0.2"/>
    <row r="43" s="52" customFormat="1" x14ac:dyDescent="0.2"/>
    <row r="44" s="52" customFormat="1" x14ac:dyDescent="0.2"/>
    <row r="45" s="52" customFormat="1" x14ac:dyDescent="0.2"/>
    <row r="46" s="52" customFormat="1" x14ac:dyDescent="0.2"/>
    <row r="47" s="52" customFormat="1" x14ac:dyDescent="0.2"/>
    <row r="48" s="52" customFormat="1" x14ac:dyDescent="0.2"/>
    <row r="49" s="52" customFormat="1" x14ac:dyDescent="0.2"/>
  </sheetData>
  <mergeCells count="13">
    <mergeCell ref="B7:B10"/>
    <mergeCell ref="C7:C16"/>
    <mergeCell ref="D8:AM8"/>
    <mergeCell ref="AN11:AQ16"/>
    <mergeCell ref="D7:AM7"/>
    <mergeCell ref="AN8:AN10"/>
    <mergeCell ref="AO8:AO10"/>
    <mergeCell ref="AP8:AP10"/>
    <mergeCell ref="AQ8:AQ10"/>
    <mergeCell ref="AN7:AQ7"/>
    <mergeCell ref="D9:O9"/>
    <mergeCell ref="P9:AA9"/>
    <mergeCell ref="AB9:AM9"/>
  </mergeCells>
  <pageMargins left="0.7" right="0.7" top="0.75" bottom="0.75" header="0.3" footer="0.3"/>
  <pageSetup paperSize="9" scale="83"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6" tint="-0.249977111117893"/>
  </sheetPr>
  <dimension ref="B3:Z22"/>
  <sheetViews>
    <sheetView view="pageBreakPreview" zoomScale="80" zoomScaleNormal="100" zoomScaleSheetLayoutView="80" workbookViewId="0">
      <selection activeCell="D14" sqref="D14"/>
    </sheetView>
  </sheetViews>
  <sheetFormatPr baseColWidth="10" defaultRowHeight="12.75" x14ac:dyDescent="0.2"/>
  <cols>
    <col min="1" max="1" width="11.42578125" style="222"/>
    <col min="2" max="2" width="23.7109375" style="809" customWidth="1"/>
    <col min="3" max="3" width="17" style="809" bestFit="1" customWidth="1"/>
    <col min="4" max="5" width="11.5703125" style="809" bestFit="1" customWidth="1"/>
    <col min="6" max="13" width="12.42578125" style="809" bestFit="1" customWidth="1"/>
    <col min="14" max="14" width="11.42578125" style="222"/>
    <col min="15" max="15" width="25" style="222" customWidth="1"/>
    <col min="16" max="16384" width="11.42578125" style="222"/>
  </cols>
  <sheetData>
    <row r="3" spans="2:26" x14ac:dyDescent="0.2">
      <c r="B3" s="839" t="s">
        <v>1219</v>
      </c>
    </row>
    <row r="5" spans="2:26" ht="33.75" customHeight="1" x14ac:dyDescent="0.25">
      <c r="B5" s="1909" t="s">
        <v>1220</v>
      </c>
      <c r="C5" s="1909"/>
      <c r="D5" s="1909"/>
      <c r="E5" s="1909"/>
      <c r="F5" s="1909"/>
      <c r="G5" s="1909"/>
      <c r="H5" s="1909"/>
      <c r="I5" s="1909"/>
      <c r="J5" s="1909"/>
      <c r="K5" s="1909"/>
      <c r="L5" s="1909"/>
      <c r="M5" s="1909"/>
      <c r="N5" s="807"/>
      <c r="O5" s="1880" t="s">
        <v>1228</v>
      </c>
      <c r="P5" s="1880"/>
      <c r="Q5" s="1880"/>
      <c r="R5" s="1880"/>
      <c r="S5" s="1880"/>
      <c r="T5" s="1880"/>
      <c r="U5" s="1880"/>
      <c r="V5" s="1880"/>
      <c r="W5" s="1880"/>
      <c r="X5" s="1880"/>
      <c r="Y5" s="1880"/>
      <c r="Z5" s="1880"/>
    </row>
    <row r="6" spans="2:26" s="264" customFormat="1" ht="17.25" customHeight="1" x14ac:dyDescent="0.35">
      <c r="B6" s="810"/>
      <c r="C6" s="810"/>
      <c r="D6" s="810"/>
      <c r="E6" s="810"/>
      <c r="F6" s="810"/>
      <c r="G6" s="810"/>
      <c r="H6" s="810"/>
      <c r="I6" s="810"/>
      <c r="J6" s="810"/>
      <c r="K6" s="810"/>
      <c r="L6" s="810"/>
      <c r="M6" s="810"/>
      <c r="N6" s="811"/>
      <c r="O6" s="809"/>
      <c r="P6" s="809"/>
      <c r="Q6" s="809"/>
      <c r="R6" s="809"/>
      <c r="S6" s="809"/>
      <c r="T6" s="809"/>
      <c r="U6" s="809"/>
      <c r="V6" s="809"/>
      <c r="W6" s="809"/>
      <c r="X6" s="809"/>
      <c r="Y6" s="809"/>
      <c r="Z6" s="809"/>
    </row>
    <row r="7" spans="2:26" s="264" customFormat="1" ht="17.25" customHeight="1" x14ac:dyDescent="0.35">
      <c r="B7" s="810"/>
      <c r="C7" s="810"/>
      <c r="D7" s="810"/>
      <c r="E7" s="810"/>
      <c r="F7" s="810"/>
      <c r="G7" s="810"/>
      <c r="H7" s="810"/>
      <c r="I7" s="810"/>
      <c r="J7" s="810"/>
      <c r="K7" s="810"/>
      <c r="L7" s="810"/>
      <c r="M7" s="810"/>
      <c r="N7" s="811"/>
      <c r="O7" s="809"/>
      <c r="P7" s="809"/>
      <c r="Q7" s="809"/>
      <c r="R7" s="809"/>
      <c r="S7" s="809"/>
      <c r="T7" s="809"/>
      <c r="U7" s="809"/>
      <c r="V7" s="809"/>
      <c r="W7" s="809"/>
      <c r="X7" s="809"/>
      <c r="Y7" s="809"/>
      <c r="Z7" s="809"/>
    </row>
    <row r="8" spans="2:26" x14ac:dyDescent="0.25">
      <c r="B8" s="812" t="s">
        <v>1221</v>
      </c>
      <c r="C8" s="813">
        <v>0</v>
      </c>
      <c r="D8" s="813">
        <v>1</v>
      </c>
      <c r="E8" s="813">
        <v>2</v>
      </c>
      <c r="F8" s="813">
        <v>3</v>
      </c>
      <c r="G8" s="813">
        <v>4</v>
      </c>
      <c r="H8" s="813">
        <v>5</v>
      </c>
      <c r="I8" s="813">
        <v>6</v>
      </c>
      <c r="J8" s="813">
        <v>7</v>
      </c>
      <c r="K8" s="813">
        <v>8</v>
      </c>
      <c r="L8" s="813">
        <v>9</v>
      </c>
      <c r="M8" s="813">
        <v>10</v>
      </c>
      <c r="O8" s="812" t="s">
        <v>1221</v>
      </c>
      <c r="P8" s="813">
        <v>0</v>
      </c>
      <c r="Q8" s="813">
        <v>1</v>
      </c>
      <c r="R8" s="813">
        <v>2</v>
      </c>
      <c r="S8" s="813">
        <v>3</v>
      </c>
      <c r="T8" s="813">
        <v>4</v>
      </c>
      <c r="U8" s="813">
        <v>5</v>
      </c>
      <c r="V8" s="813">
        <v>6</v>
      </c>
      <c r="W8" s="813">
        <v>7</v>
      </c>
      <c r="X8" s="813">
        <v>8</v>
      </c>
      <c r="Y8" s="813">
        <v>9</v>
      </c>
      <c r="Z8" s="813">
        <v>10</v>
      </c>
    </row>
    <row r="9" spans="2:26" x14ac:dyDescent="0.25">
      <c r="B9" s="814" t="s">
        <v>1222</v>
      </c>
      <c r="C9" s="815">
        <f t="shared" ref="C9:M9" si="0">SUM(C10:C12)</f>
        <v>0</v>
      </c>
      <c r="D9" s="815">
        <f t="shared" si="0"/>
        <v>64750</v>
      </c>
      <c r="E9" s="815">
        <f t="shared" si="0"/>
        <v>64750</v>
      </c>
      <c r="F9" s="815">
        <f t="shared" si="0"/>
        <v>64750</v>
      </c>
      <c r="G9" s="815">
        <f t="shared" si="0"/>
        <v>64750</v>
      </c>
      <c r="H9" s="815">
        <f t="shared" si="0"/>
        <v>64750</v>
      </c>
      <c r="I9" s="815">
        <f t="shared" si="0"/>
        <v>64750</v>
      </c>
      <c r="J9" s="815">
        <f t="shared" si="0"/>
        <v>64750</v>
      </c>
      <c r="K9" s="815">
        <f t="shared" si="0"/>
        <v>64750</v>
      </c>
      <c r="L9" s="815">
        <f t="shared" si="0"/>
        <v>64750</v>
      </c>
      <c r="M9" s="815">
        <f t="shared" si="0"/>
        <v>64750</v>
      </c>
      <c r="O9" s="814" t="s">
        <v>1222</v>
      </c>
      <c r="P9" s="815">
        <f t="shared" ref="P9:Z9" si="1">SUM(P10:P12)</f>
        <v>0</v>
      </c>
      <c r="Q9" s="815">
        <f t="shared" si="1"/>
        <v>58857.61</v>
      </c>
      <c r="R9" s="815">
        <f t="shared" si="1"/>
        <v>58857.61</v>
      </c>
      <c r="S9" s="815">
        <f t="shared" si="1"/>
        <v>58857.61</v>
      </c>
      <c r="T9" s="815">
        <f t="shared" si="1"/>
        <v>58857.61</v>
      </c>
      <c r="U9" s="815">
        <f t="shared" si="1"/>
        <v>58857.61</v>
      </c>
      <c r="V9" s="815">
        <f t="shared" si="1"/>
        <v>58857.61</v>
      </c>
      <c r="W9" s="815">
        <f t="shared" si="1"/>
        <v>58857.61</v>
      </c>
      <c r="X9" s="815">
        <f t="shared" si="1"/>
        <v>58857.61</v>
      </c>
      <c r="Y9" s="815">
        <f t="shared" si="1"/>
        <v>58857.61</v>
      </c>
      <c r="Z9" s="815">
        <f t="shared" si="1"/>
        <v>58857.61</v>
      </c>
    </row>
    <row r="10" spans="2:26" x14ac:dyDescent="0.25">
      <c r="B10" s="816" t="s">
        <v>1223</v>
      </c>
      <c r="C10" s="817"/>
      <c r="D10" s="817">
        <f>'RES. O&amp;M'!G12</f>
        <v>64200</v>
      </c>
      <c r="E10" s="817">
        <f>'RES. O&amp;M'!H12</f>
        <v>64200</v>
      </c>
      <c r="F10" s="817">
        <f>'RES. O&amp;M'!I12</f>
        <v>64200</v>
      </c>
      <c r="G10" s="817">
        <f>'RES. O&amp;M'!J12</f>
        <v>64200</v>
      </c>
      <c r="H10" s="817">
        <f>'RES. O&amp;M'!K12</f>
        <v>64200</v>
      </c>
      <c r="I10" s="817">
        <f>'RES. O&amp;M'!L12</f>
        <v>64200</v>
      </c>
      <c r="J10" s="817">
        <f>'RES. O&amp;M'!M12</f>
        <v>64200</v>
      </c>
      <c r="K10" s="817">
        <f>'RES. O&amp;M'!N12</f>
        <v>64200</v>
      </c>
      <c r="L10" s="817">
        <f>'RES. O&amp;M'!O12</f>
        <v>64200</v>
      </c>
      <c r="M10" s="817">
        <f>'RES. O&amp;M'!P12</f>
        <v>64200</v>
      </c>
      <c r="O10" s="816" t="s">
        <v>1223</v>
      </c>
      <c r="P10" s="817"/>
      <c r="Q10" s="817">
        <f>'RES. O&amp;M'!W12</f>
        <v>58391.76</v>
      </c>
      <c r="R10" s="817">
        <f>'RES. O&amp;M'!X12</f>
        <v>58391.76</v>
      </c>
      <c r="S10" s="817">
        <f>'RES. O&amp;M'!Y12</f>
        <v>58391.76</v>
      </c>
      <c r="T10" s="817">
        <f>'RES. O&amp;M'!Z12</f>
        <v>58391.76</v>
      </c>
      <c r="U10" s="817">
        <f>'RES. O&amp;M'!AA12</f>
        <v>58391.76</v>
      </c>
      <c r="V10" s="817">
        <f>'RES. O&amp;M'!AB12</f>
        <v>58391.76</v>
      </c>
      <c r="W10" s="817">
        <f>'RES. O&amp;M'!AC12</f>
        <v>58391.76</v>
      </c>
      <c r="X10" s="817">
        <f>'RES. O&amp;M'!AD12</f>
        <v>58391.76</v>
      </c>
      <c r="Y10" s="817">
        <f>'RES. O&amp;M'!AE12</f>
        <v>58391.76</v>
      </c>
      <c r="Z10" s="817">
        <f>'RES. O&amp;M'!AF12</f>
        <v>58391.76</v>
      </c>
    </row>
    <row r="11" spans="2:26" x14ac:dyDescent="0.25">
      <c r="B11" s="816" t="s">
        <v>1224</v>
      </c>
      <c r="C11" s="817"/>
      <c r="D11" s="817">
        <f>'RES. O&amp;M'!G13</f>
        <v>550</v>
      </c>
      <c r="E11" s="817">
        <f>'RES. O&amp;M'!H13</f>
        <v>550</v>
      </c>
      <c r="F11" s="817">
        <f>'RES. O&amp;M'!I13</f>
        <v>550</v>
      </c>
      <c r="G11" s="817">
        <f>'RES. O&amp;M'!J13</f>
        <v>550</v>
      </c>
      <c r="H11" s="817">
        <f>'RES. O&amp;M'!K13</f>
        <v>550</v>
      </c>
      <c r="I11" s="817">
        <f>'RES. O&amp;M'!L13</f>
        <v>550</v>
      </c>
      <c r="J11" s="817">
        <f>'RES. O&amp;M'!M13</f>
        <v>550</v>
      </c>
      <c r="K11" s="817">
        <f>'RES. O&amp;M'!N13</f>
        <v>550</v>
      </c>
      <c r="L11" s="817">
        <f>'RES. O&amp;M'!O13</f>
        <v>550</v>
      </c>
      <c r="M11" s="817">
        <f>'RES. O&amp;M'!P13</f>
        <v>550</v>
      </c>
      <c r="O11" s="816" t="s">
        <v>1224</v>
      </c>
      <c r="P11" s="817"/>
      <c r="Q11" s="817">
        <f>'RES. O&amp;M'!W13</f>
        <v>465.85</v>
      </c>
      <c r="R11" s="817">
        <f>'RES. O&amp;M'!X13</f>
        <v>465.85</v>
      </c>
      <c r="S11" s="817">
        <f>'RES. O&amp;M'!Y13</f>
        <v>465.85</v>
      </c>
      <c r="T11" s="817">
        <f>'RES. O&amp;M'!Z13</f>
        <v>465.85</v>
      </c>
      <c r="U11" s="817">
        <f>'RES. O&amp;M'!AA13</f>
        <v>465.85</v>
      </c>
      <c r="V11" s="817">
        <f>'RES. O&amp;M'!AB13</f>
        <v>465.85</v>
      </c>
      <c r="W11" s="817">
        <f>'RES. O&amp;M'!AC13</f>
        <v>465.85</v>
      </c>
      <c r="X11" s="817">
        <f>'RES. O&amp;M'!AD13</f>
        <v>465.85</v>
      </c>
      <c r="Y11" s="817">
        <f>'RES. O&amp;M'!AE13</f>
        <v>465.85</v>
      </c>
      <c r="Z11" s="817">
        <f>'RES. O&amp;M'!AF13</f>
        <v>465.85</v>
      </c>
    </row>
    <row r="12" spans="2:26" x14ac:dyDescent="0.25">
      <c r="B12" s="816" t="s">
        <v>1225</v>
      </c>
      <c r="C12" s="817"/>
      <c r="D12" s="817">
        <f>'RES. O&amp;M'!G14</f>
        <v>0</v>
      </c>
      <c r="E12" s="817">
        <f>'RES. O&amp;M'!H14</f>
        <v>0</v>
      </c>
      <c r="F12" s="817">
        <f>'RES. O&amp;M'!I14</f>
        <v>0</v>
      </c>
      <c r="G12" s="817">
        <f>'RES. O&amp;M'!J14</f>
        <v>0</v>
      </c>
      <c r="H12" s="817">
        <f>'RES. O&amp;M'!K14</f>
        <v>0</v>
      </c>
      <c r="I12" s="817">
        <f>'RES. O&amp;M'!L14</f>
        <v>0</v>
      </c>
      <c r="J12" s="817">
        <f>'RES. O&amp;M'!M14</f>
        <v>0</v>
      </c>
      <c r="K12" s="817">
        <f>'RES. O&amp;M'!N14</f>
        <v>0</v>
      </c>
      <c r="L12" s="817">
        <f>'RES. O&amp;M'!O14</f>
        <v>0</v>
      </c>
      <c r="M12" s="817">
        <f>'RES. O&amp;M'!P14</f>
        <v>0</v>
      </c>
      <c r="O12" s="816" t="s">
        <v>1225</v>
      </c>
      <c r="P12" s="817"/>
      <c r="Q12" s="817">
        <f>'RES. O&amp;M'!W14</f>
        <v>0</v>
      </c>
      <c r="R12" s="817">
        <f>'RES. O&amp;M'!X14</f>
        <v>0</v>
      </c>
      <c r="S12" s="817">
        <f>'RES. O&amp;M'!Y14</f>
        <v>0</v>
      </c>
      <c r="T12" s="817">
        <f>'RES. O&amp;M'!Z14</f>
        <v>0</v>
      </c>
      <c r="U12" s="817">
        <f>'RES. O&amp;M'!AA14</f>
        <v>0</v>
      </c>
      <c r="V12" s="817">
        <f>'RES. O&amp;M'!AB14</f>
        <v>0</v>
      </c>
      <c r="W12" s="817">
        <f>'RES. O&amp;M'!AC14</f>
        <v>0</v>
      </c>
      <c r="X12" s="817">
        <f>'RES. O&amp;M'!AD14</f>
        <v>0</v>
      </c>
      <c r="Y12" s="817">
        <f>'RES. O&amp;M'!AE14</f>
        <v>0</v>
      </c>
      <c r="Z12" s="817">
        <f>'RES. O&amp;M'!AF14</f>
        <v>0</v>
      </c>
    </row>
    <row r="13" spans="2:26" x14ac:dyDescent="0.25">
      <c r="B13" s="814" t="s">
        <v>1226</v>
      </c>
      <c r="C13" s="815">
        <f>'RES COST'!F58</f>
        <v>11042405.056644956</v>
      </c>
      <c r="D13" s="815">
        <f t="shared" ref="D13:M13" si="2">SUM(D14:D16)</f>
        <v>2210991.6</v>
      </c>
      <c r="E13" s="815">
        <f t="shared" si="2"/>
        <v>2210991.6</v>
      </c>
      <c r="F13" s="815">
        <f t="shared" si="2"/>
        <v>2210991.6</v>
      </c>
      <c r="G13" s="815">
        <f t="shared" si="2"/>
        <v>2210991.6</v>
      </c>
      <c r="H13" s="815">
        <f t="shared" si="2"/>
        <v>2280991.6</v>
      </c>
      <c r="I13" s="815">
        <f t="shared" si="2"/>
        <v>2210991.6</v>
      </c>
      <c r="J13" s="815">
        <f t="shared" si="2"/>
        <v>2210991.6</v>
      </c>
      <c r="K13" s="815">
        <f t="shared" si="2"/>
        <v>2210991.6</v>
      </c>
      <c r="L13" s="815">
        <f t="shared" si="2"/>
        <v>2210991.6</v>
      </c>
      <c r="M13" s="815">
        <f t="shared" si="2"/>
        <v>2510991.6</v>
      </c>
      <c r="O13" s="814" t="s">
        <v>1226</v>
      </c>
      <c r="P13" s="815">
        <f>'RES COST'!N23</f>
        <v>8583729.1419027727</v>
      </c>
      <c r="Q13" s="815">
        <f t="shared" ref="Q13:Z13" si="3">SUM(Q14:Q16)</f>
        <v>1863986.4652000002</v>
      </c>
      <c r="R13" s="815">
        <f t="shared" si="3"/>
        <v>1901423.8652000003</v>
      </c>
      <c r="S13" s="815">
        <f t="shared" si="3"/>
        <v>1901423.8652000003</v>
      </c>
      <c r="T13" s="815">
        <f t="shared" si="3"/>
        <v>1901423.8652000003</v>
      </c>
      <c r="U13" s="815">
        <f t="shared" si="3"/>
        <v>1960713.8652000003</v>
      </c>
      <c r="V13" s="815">
        <f t="shared" si="3"/>
        <v>1901423.8652000003</v>
      </c>
      <c r="W13" s="815">
        <f t="shared" si="3"/>
        <v>1901423.8652000003</v>
      </c>
      <c r="X13" s="815">
        <f t="shared" si="3"/>
        <v>1901423.8652000003</v>
      </c>
      <c r="Y13" s="815">
        <f t="shared" si="3"/>
        <v>1901423.8652000003</v>
      </c>
      <c r="Z13" s="815">
        <f t="shared" si="3"/>
        <v>2155523.8652000003</v>
      </c>
    </row>
    <row r="14" spans="2:26" x14ac:dyDescent="0.25">
      <c r="B14" s="816" t="s">
        <v>1223</v>
      </c>
      <c r="C14" s="817"/>
      <c r="D14" s="817">
        <f>'RES. O&amp;M'!G24</f>
        <v>2166038.6</v>
      </c>
      <c r="E14" s="817">
        <f>'RES. O&amp;M'!H24</f>
        <v>2166038.6</v>
      </c>
      <c r="F14" s="817">
        <f>'RES. O&amp;M'!I24</f>
        <v>2166038.6</v>
      </c>
      <c r="G14" s="817">
        <f>'RES. O&amp;M'!J24</f>
        <v>2166038.6</v>
      </c>
      <c r="H14" s="817">
        <f>'RES. O&amp;M'!K24</f>
        <v>2166038.6</v>
      </c>
      <c r="I14" s="817">
        <f>'RES. O&amp;M'!L24</f>
        <v>2166038.6</v>
      </c>
      <c r="J14" s="817">
        <f>'RES. O&amp;M'!M24</f>
        <v>2166038.6</v>
      </c>
      <c r="K14" s="817">
        <f>'RES. O&amp;M'!N24</f>
        <v>2166038.6</v>
      </c>
      <c r="L14" s="817">
        <f>'RES. O&amp;M'!O24</f>
        <v>2166038.6</v>
      </c>
      <c r="M14" s="817">
        <f>'RES. O&amp;M'!P24</f>
        <v>2166038.6</v>
      </c>
      <c r="O14" s="816" t="s">
        <v>1223</v>
      </c>
      <c r="P14" s="817"/>
      <c r="Q14" s="817">
        <f>'RES. O&amp;M'!W24</f>
        <v>1828088.0742000001</v>
      </c>
      <c r="R14" s="817">
        <f>'RES. O&amp;M'!X24</f>
        <v>1865525.4742000003</v>
      </c>
      <c r="S14" s="817">
        <f>'RES. O&amp;M'!Y24</f>
        <v>1865525.4742000003</v>
      </c>
      <c r="T14" s="817">
        <f>'RES. O&amp;M'!Z24</f>
        <v>1865525.4742000003</v>
      </c>
      <c r="U14" s="817">
        <f>'RES. O&amp;M'!AA24</f>
        <v>1865525.4742000003</v>
      </c>
      <c r="V14" s="817">
        <f>'RES. O&amp;M'!AB24</f>
        <v>1865525.4742000003</v>
      </c>
      <c r="W14" s="817">
        <f>'RES. O&amp;M'!AC24</f>
        <v>1865525.4742000003</v>
      </c>
      <c r="X14" s="817">
        <f>'RES. O&amp;M'!AD24</f>
        <v>1865525.4742000003</v>
      </c>
      <c r="Y14" s="817">
        <f>'RES. O&amp;M'!AE24</f>
        <v>1865525.4742000003</v>
      </c>
      <c r="Z14" s="817">
        <f>'RES. O&amp;M'!AF24</f>
        <v>1865525.4742000003</v>
      </c>
    </row>
    <row r="15" spans="2:26" x14ac:dyDescent="0.25">
      <c r="B15" s="816" t="s">
        <v>1224</v>
      </c>
      <c r="C15" s="817"/>
      <c r="D15" s="817">
        <f>'RES. O&amp;M'!G25</f>
        <v>44953</v>
      </c>
      <c r="E15" s="817">
        <f>'RES. O&amp;M'!H25</f>
        <v>44953</v>
      </c>
      <c r="F15" s="817">
        <f>'RES. O&amp;M'!I25</f>
        <v>44953</v>
      </c>
      <c r="G15" s="817">
        <f>'RES. O&amp;M'!J25</f>
        <v>44953</v>
      </c>
      <c r="H15" s="817">
        <f>'RES. O&amp;M'!K25</f>
        <v>44953</v>
      </c>
      <c r="I15" s="817">
        <f>'RES. O&amp;M'!L25</f>
        <v>44953</v>
      </c>
      <c r="J15" s="817">
        <f>'RES. O&amp;M'!M25</f>
        <v>44953</v>
      </c>
      <c r="K15" s="817">
        <f>'RES. O&amp;M'!N25</f>
        <v>44953</v>
      </c>
      <c r="L15" s="817">
        <f>'RES. O&amp;M'!O25</f>
        <v>44953</v>
      </c>
      <c r="M15" s="817">
        <f>'RES. O&amp;M'!P25</f>
        <v>44953</v>
      </c>
      <c r="O15" s="816" t="s">
        <v>1224</v>
      </c>
      <c r="P15" s="817"/>
      <c r="Q15" s="817">
        <f>'RES. O&amp;M'!W25</f>
        <v>35898.390999999996</v>
      </c>
      <c r="R15" s="817">
        <f>'RES. O&amp;M'!X25</f>
        <v>35898.390999999996</v>
      </c>
      <c r="S15" s="817">
        <f>'RES. O&amp;M'!Y25</f>
        <v>35898.390999999996</v>
      </c>
      <c r="T15" s="817">
        <f>'RES. O&amp;M'!Z25</f>
        <v>35898.390999999996</v>
      </c>
      <c r="U15" s="817">
        <f>'RES. O&amp;M'!AA25</f>
        <v>35898.390999999996</v>
      </c>
      <c r="V15" s="817">
        <f>'RES. O&amp;M'!AB25</f>
        <v>35898.390999999996</v>
      </c>
      <c r="W15" s="817">
        <f>'RES. O&amp;M'!AC25</f>
        <v>35898.390999999996</v>
      </c>
      <c r="X15" s="817">
        <f>'RES. O&amp;M'!AD25</f>
        <v>35898.390999999996</v>
      </c>
      <c r="Y15" s="817">
        <f>'RES. O&amp;M'!AE25</f>
        <v>35898.390999999996</v>
      </c>
      <c r="Z15" s="817">
        <f>'RES. O&amp;M'!AF25</f>
        <v>35898.390999999996</v>
      </c>
    </row>
    <row r="16" spans="2:26" x14ac:dyDescent="0.25">
      <c r="B16" s="816" t="s">
        <v>1225</v>
      </c>
      <c r="C16" s="817"/>
      <c r="D16" s="817">
        <f>'RES. O&amp;M'!G26</f>
        <v>0</v>
      </c>
      <c r="E16" s="817">
        <f>'RES. O&amp;M'!H26</f>
        <v>0</v>
      </c>
      <c r="F16" s="817">
        <f>'RES. O&amp;M'!I26</f>
        <v>0</v>
      </c>
      <c r="G16" s="817">
        <f>'RES. O&amp;M'!J26</f>
        <v>0</v>
      </c>
      <c r="H16" s="817">
        <f>'RES. O&amp;M'!K26</f>
        <v>70000</v>
      </c>
      <c r="I16" s="817">
        <f>'RES. O&amp;M'!L26</f>
        <v>0</v>
      </c>
      <c r="J16" s="817">
        <f>'RES. O&amp;M'!M26</f>
        <v>0</v>
      </c>
      <c r="K16" s="817">
        <f>'RES. O&amp;M'!N26</f>
        <v>0</v>
      </c>
      <c r="L16" s="817">
        <f>'RES. O&amp;M'!O26</f>
        <v>0</v>
      </c>
      <c r="M16" s="817">
        <f>'RES. O&amp;M'!P26</f>
        <v>300000</v>
      </c>
      <c r="O16" s="816" t="s">
        <v>1225</v>
      </c>
      <c r="P16" s="817"/>
      <c r="Q16" s="817">
        <f>'RES. O&amp;M'!W26</f>
        <v>0</v>
      </c>
      <c r="R16" s="817">
        <f>'RES. O&amp;M'!X26</f>
        <v>0</v>
      </c>
      <c r="S16" s="817">
        <f>'RES. O&amp;M'!Y26</f>
        <v>0</v>
      </c>
      <c r="T16" s="817">
        <f>'RES. O&amp;M'!Z26</f>
        <v>0</v>
      </c>
      <c r="U16" s="817">
        <f>'RES. O&amp;M'!AA26</f>
        <v>59290</v>
      </c>
      <c r="V16" s="817">
        <f>'RES. O&amp;M'!AB26</f>
        <v>0</v>
      </c>
      <c r="W16" s="817">
        <f>'RES. O&amp;M'!AC26</f>
        <v>0</v>
      </c>
      <c r="X16" s="817">
        <f>'RES. O&amp;M'!AD26</f>
        <v>0</v>
      </c>
      <c r="Y16" s="817">
        <f>'RES. O&amp;M'!AE26</f>
        <v>0</v>
      </c>
      <c r="Z16" s="817">
        <f>'RES. O&amp;M'!AF26</f>
        <v>254100</v>
      </c>
    </row>
    <row r="17" spans="2:26" x14ac:dyDescent="0.25">
      <c r="B17" s="868" t="s">
        <v>1227</v>
      </c>
      <c r="C17" s="869">
        <f t="shared" ref="C17" si="4">+C13-C9</f>
        <v>11042405.056644956</v>
      </c>
      <c r="D17" s="869">
        <f>+D13-D9</f>
        <v>2146241.6</v>
      </c>
      <c r="E17" s="869">
        <f t="shared" ref="E17:M17" si="5">+E13-E9</f>
        <v>2146241.6</v>
      </c>
      <c r="F17" s="869">
        <f t="shared" si="5"/>
        <v>2146241.6</v>
      </c>
      <c r="G17" s="869">
        <f t="shared" si="5"/>
        <v>2146241.6</v>
      </c>
      <c r="H17" s="869">
        <f t="shared" si="5"/>
        <v>2216241.6</v>
      </c>
      <c r="I17" s="869">
        <f t="shared" si="5"/>
        <v>2146241.6</v>
      </c>
      <c r="J17" s="869">
        <f t="shared" si="5"/>
        <v>2146241.6</v>
      </c>
      <c r="K17" s="869">
        <f t="shared" si="5"/>
        <v>2146241.6</v>
      </c>
      <c r="L17" s="869">
        <f t="shared" si="5"/>
        <v>2146241.6</v>
      </c>
      <c r="M17" s="869">
        <f t="shared" si="5"/>
        <v>2446241.6</v>
      </c>
      <c r="O17" s="818" t="s">
        <v>1227</v>
      </c>
      <c r="P17" s="819">
        <f>+P13-P9</f>
        <v>8583729.1419027727</v>
      </c>
      <c r="Q17" s="819">
        <f>+Q13-Q9</f>
        <v>1805128.8552000001</v>
      </c>
      <c r="R17" s="819">
        <f t="shared" ref="R17:Z17" si="6">+R13-R9</f>
        <v>1842566.2552000002</v>
      </c>
      <c r="S17" s="819">
        <f t="shared" si="6"/>
        <v>1842566.2552000002</v>
      </c>
      <c r="T17" s="819">
        <f t="shared" si="6"/>
        <v>1842566.2552000002</v>
      </c>
      <c r="U17" s="819">
        <f t="shared" si="6"/>
        <v>1901856.2552000002</v>
      </c>
      <c r="V17" s="819">
        <f t="shared" si="6"/>
        <v>1842566.2552000002</v>
      </c>
      <c r="W17" s="819">
        <f t="shared" si="6"/>
        <v>1842566.2552000002</v>
      </c>
      <c r="X17" s="819">
        <f t="shared" si="6"/>
        <v>1842566.2552000002</v>
      </c>
      <c r="Y17" s="819">
        <f t="shared" si="6"/>
        <v>1842566.2552000002</v>
      </c>
      <c r="Z17" s="819">
        <f t="shared" si="6"/>
        <v>2096666.2552000002</v>
      </c>
    </row>
    <row r="20" spans="2:26" ht="16.5" customHeight="1" x14ac:dyDescent="0.2">
      <c r="N20" s="807"/>
      <c r="O20" s="222" t="s">
        <v>1885</v>
      </c>
      <c r="P20" s="807"/>
      <c r="Q20" s="251">
        <f>Q14-Q10</f>
        <v>1769696.3142000001</v>
      </c>
      <c r="R20" s="251">
        <f t="shared" ref="R20:Z20" si="7">R14-R10</f>
        <v>1807133.7142000003</v>
      </c>
      <c r="S20" s="251">
        <f t="shared" si="7"/>
        <v>1807133.7142000003</v>
      </c>
      <c r="T20" s="251">
        <f t="shared" si="7"/>
        <v>1807133.7142000003</v>
      </c>
      <c r="U20" s="251">
        <f t="shared" si="7"/>
        <v>1807133.7142000003</v>
      </c>
      <c r="V20" s="251">
        <f t="shared" si="7"/>
        <v>1807133.7142000003</v>
      </c>
      <c r="W20" s="251">
        <f t="shared" si="7"/>
        <v>1807133.7142000003</v>
      </c>
      <c r="X20" s="251">
        <f t="shared" si="7"/>
        <v>1807133.7142000003</v>
      </c>
      <c r="Y20" s="251">
        <f t="shared" si="7"/>
        <v>1807133.7142000003</v>
      </c>
      <c r="Z20" s="251">
        <f t="shared" si="7"/>
        <v>1807133.7142000003</v>
      </c>
    </row>
    <row r="21" spans="2:26" ht="13.5" thickBot="1" x14ac:dyDescent="0.25">
      <c r="O21" s="1467" t="s">
        <v>1884</v>
      </c>
      <c r="P21" s="1467"/>
      <c r="Q21" s="1468">
        <f>(Q15+Q16)-(Q11+Q12)</f>
        <v>35432.540999999997</v>
      </c>
      <c r="R21" s="1468">
        <f t="shared" ref="R21:Y21" si="8">(R15+R16)-(R11+R12)</f>
        <v>35432.540999999997</v>
      </c>
      <c r="S21" s="1468">
        <f t="shared" si="8"/>
        <v>35432.540999999997</v>
      </c>
      <c r="T21" s="1468">
        <f t="shared" si="8"/>
        <v>35432.540999999997</v>
      </c>
      <c r="U21" s="1468">
        <f t="shared" si="8"/>
        <v>94722.540999999997</v>
      </c>
      <c r="V21" s="1468">
        <f t="shared" si="8"/>
        <v>35432.540999999997</v>
      </c>
      <c r="W21" s="1468">
        <f t="shared" si="8"/>
        <v>35432.540999999997</v>
      </c>
      <c r="X21" s="1468">
        <f t="shared" si="8"/>
        <v>35432.540999999997</v>
      </c>
      <c r="Y21" s="1468">
        <f t="shared" si="8"/>
        <v>35432.540999999997</v>
      </c>
      <c r="Z21" s="1468">
        <f>(Z15+Z16)-(Z11+Z12)</f>
        <v>289532.54100000003</v>
      </c>
    </row>
    <row r="22" spans="2:26" ht="13.5" thickTop="1" x14ac:dyDescent="0.2">
      <c r="O22" s="204" t="s">
        <v>44</v>
      </c>
      <c r="Q22" s="1469">
        <f>SUM(Q20:Q21)</f>
        <v>1805128.8552000001</v>
      </c>
      <c r="R22" s="1469">
        <f t="shared" ref="R22:Z22" si="9">SUM(R20:R21)</f>
        <v>1842566.2552000002</v>
      </c>
      <c r="S22" s="1469">
        <f t="shared" si="9"/>
        <v>1842566.2552000002</v>
      </c>
      <c r="T22" s="1469">
        <f t="shared" si="9"/>
        <v>1842566.2552000002</v>
      </c>
      <c r="U22" s="1469">
        <f t="shared" si="9"/>
        <v>1901856.2552000002</v>
      </c>
      <c r="V22" s="1469">
        <f t="shared" si="9"/>
        <v>1842566.2552000002</v>
      </c>
      <c r="W22" s="1469">
        <f t="shared" si="9"/>
        <v>1842566.2552000002</v>
      </c>
      <c r="X22" s="1469">
        <f t="shared" si="9"/>
        <v>1842566.2552000002</v>
      </c>
      <c r="Y22" s="1469">
        <f t="shared" si="9"/>
        <v>1842566.2552000002</v>
      </c>
      <c r="Z22" s="1469">
        <f t="shared" si="9"/>
        <v>2096666.2552000002</v>
      </c>
    </row>
  </sheetData>
  <mergeCells count="2">
    <mergeCell ref="B5:M5"/>
    <mergeCell ref="O5:Z5"/>
  </mergeCells>
  <pageMargins left="0.7" right="0.7" top="0.75" bottom="0.75" header="0.3" footer="0.3"/>
  <pageSetup scale="55"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6" tint="-0.249977111117893"/>
  </sheetPr>
  <dimension ref="B4:R106"/>
  <sheetViews>
    <sheetView view="pageBreakPreview" topLeftCell="A70" zoomScale="80" zoomScaleNormal="100" zoomScaleSheetLayoutView="80" workbookViewId="0">
      <selection activeCell="M100" sqref="M100"/>
    </sheetView>
  </sheetViews>
  <sheetFormatPr baseColWidth="10" defaultRowHeight="12.75" x14ac:dyDescent="0.2"/>
  <cols>
    <col min="1" max="2" width="11.42578125" style="52"/>
    <col min="3" max="3" width="25.28515625" style="52" customWidth="1"/>
    <col min="4" max="7" width="11.42578125" style="52"/>
    <col min="8" max="8" width="12" style="52" bestFit="1" customWidth="1"/>
    <col min="9" max="12" width="11.42578125" style="52"/>
    <col min="13" max="13" width="12" style="52" bestFit="1" customWidth="1"/>
    <col min="14" max="14" width="12.28515625" style="52" customWidth="1"/>
    <col min="15" max="15" width="11.5703125" style="52" customWidth="1"/>
    <col min="16" max="16384" width="11.42578125" style="52"/>
  </cols>
  <sheetData>
    <row r="4" spans="2:13" x14ac:dyDescent="0.2">
      <c r="B4" s="837" t="s">
        <v>1229</v>
      </c>
      <c r="C4" s="837"/>
    </row>
    <row r="8" spans="2:13" x14ac:dyDescent="0.2">
      <c r="B8" s="222"/>
      <c r="D8" s="205" t="s">
        <v>1084</v>
      </c>
    </row>
    <row r="9" spans="2:13" x14ac:dyDescent="0.2">
      <c r="B9" s="222"/>
      <c r="D9" s="205" t="s">
        <v>1085</v>
      </c>
      <c r="E9" s="205"/>
      <c r="F9" s="205"/>
      <c r="G9" s="205"/>
    </row>
    <row r="10" spans="2:13" x14ac:dyDescent="0.2">
      <c r="B10" s="222"/>
    </row>
    <row r="11" spans="2:13" x14ac:dyDescent="0.2">
      <c r="B11" s="222"/>
    </row>
    <row r="12" spans="2:13" x14ac:dyDescent="0.2">
      <c r="B12" s="222"/>
      <c r="C12" s="1884" t="s">
        <v>1086</v>
      </c>
      <c r="D12" s="1886"/>
      <c r="E12" s="1886"/>
      <c r="F12" s="1886"/>
      <c r="G12" s="1886"/>
      <c r="H12" s="1886"/>
      <c r="K12" s="823"/>
      <c r="L12" s="823"/>
      <c r="M12" s="823"/>
    </row>
    <row r="13" spans="2:13" ht="25.5" x14ac:dyDescent="0.2">
      <c r="B13" s="222"/>
      <c r="C13" s="1885"/>
      <c r="D13" s="703" t="s">
        <v>1087</v>
      </c>
      <c r="E13" s="704" t="s">
        <v>1088</v>
      </c>
      <c r="F13" s="704" t="s">
        <v>1089</v>
      </c>
      <c r="G13" s="704" t="s">
        <v>1090</v>
      </c>
      <c r="H13" s="705"/>
      <c r="K13" s="704" t="s">
        <v>1231</v>
      </c>
      <c r="L13" s="704" t="s">
        <v>1232</v>
      </c>
      <c r="M13" s="704" t="s">
        <v>1233</v>
      </c>
    </row>
    <row r="14" spans="2:13" x14ac:dyDescent="0.2">
      <c r="B14" s="222"/>
      <c r="C14" s="706" t="s">
        <v>1091</v>
      </c>
      <c r="D14" s="707"/>
      <c r="E14" s="707"/>
      <c r="F14" s="707"/>
      <c r="G14" s="707"/>
      <c r="H14" s="707"/>
    </row>
    <row r="15" spans="2:13" x14ac:dyDescent="0.2">
      <c r="B15" s="222"/>
      <c r="C15" s="708" t="s">
        <v>1092</v>
      </c>
      <c r="D15" s="707"/>
      <c r="E15" s="707"/>
      <c r="F15" s="707"/>
      <c r="G15" s="709"/>
      <c r="H15" s="732">
        <f>SUM(G16:G25)</f>
        <v>935203.6</v>
      </c>
      <c r="L15" s="824"/>
      <c r="M15" s="732">
        <f>SUM(L16:L25)</f>
        <v>792117.44920000003</v>
      </c>
    </row>
    <row r="16" spans="2:13" x14ac:dyDescent="0.2">
      <c r="B16" s="222"/>
      <c r="C16" s="711" t="s">
        <v>1161</v>
      </c>
      <c r="D16" s="710" t="s">
        <v>1093</v>
      </c>
      <c r="E16" s="730">
        <v>500</v>
      </c>
      <c r="F16" s="712">
        <v>100</v>
      </c>
      <c r="G16" s="713">
        <f>F16*E16</f>
        <v>50000</v>
      </c>
      <c r="H16" s="730"/>
      <c r="K16" s="820">
        <v>0.84699999999999998</v>
      </c>
      <c r="L16" s="825">
        <f t="shared" ref="L16:L25" si="0">G16*K16</f>
        <v>42350</v>
      </c>
    </row>
    <row r="17" spans="2:13" x14ac:dyDescent="0.2">
      <c r="B17" s="222"/>
      <c r="C17" s="711" t="s">
        <v>1162</v>
      </c>
      <c r="D17" s="710" t="s">
        <v>1093</v>
      </c>
      <c r="E17" s="133">
        <v>700000</v>
      </c>
      <c r="F17" s="712">
        <v>0.8</v>
      </c>
      <c r="G17" s="713">
        <f t="shared" ref="G17:G25" si="1">F17*E17</f>
        <v>560000</v>
      </c>
      <c r="H17" s="730"/>
      <c r="K17" s="820">
        <v>0.84699999999999998</v>
      </c>
      <c r="L17" s="825">
        <f t="shared" si="0"/>
        <v>474320</v>
      </c>
    </row>
    <row r="18" spans="2:13" x14ac:dyDescent="0.2">
      <c r="B18" s="222"/>
      <c r="C18" s="711" t="s">
        <v>1163</v>
      </c>
      <c r="D18" s="710" t="s">
        <v>1093</v>
      </c>
      <c r="E18" s="133">
        <v>21900</v>
      </c>
      <c r="F18" s="712">
        <v>2</v>
      </c>
      <c r="G18" s="713">
        <f t="shared" si="1"/>
        <v>43800</v>
      </c>
      <c r="H18" s="730"/>
      <c r="K18" s="820">
        <v>0.84699999999999998</v>
      </c>
      <c r="L18" s="825">
        <f t="shared" si="0"/>
        <v>37098.6</v>
      </c>
    </row>
    <row r="19" spans="2:13" x14ac:dyDescent="0.2">
      <c r="B19" s="222"/>
      <c r="C19" s="711" t="s">
        <v>1164</v>
      </c>
      <c r="D19" s="710" t="s">
        <v>1093</v>
      </c>
      <c r="E19" s="133">
        <v>109000</v>
      </c>
      <c r="F19" s="712">
        <v>1.5</v>
      </c>
      <c r="G19" s="713">
        <f t="shared" si="1"/>
        <v>163500</v>
      </c>
      <c r="H19" s="730"/>
      <c r="K19" s="820">
        <v>0.84699999999999998</v>
      </c>
      <c r="L19" s="825">
        <f t="shared" si="0"/>
        <v>138484.5</v>
      </c>
    </row>
    <row r="20" spans="2:13" x14ac:dyDescent="0.2">
      <c r="B20" s="222"/>
      <c r="C20" s="711" t="s">
        <v>1165</v>
      </c>
      <c r="D20" s="710" t="s">
        <v>1093</v>
      </c>
      <c r="E20" s="133">
        <v>43800</v>
      </c>
      <c r="F20" s="712">
        <v>0.7</v>
      </c>
      <c r="G20" s="713">
        <f t="shared" si="1"/>
        <v>30659.999999999996</v>
      </c>
      <c r="H20" s="730"/>
      <c r="K20" s="820">
        <v>0.84699999999999998</v>
      </c>
      <c r="L20" s="825">
        <f t="shared" si="0"/>
        <v>25969.019999999997</v>
      </c>
    </row>
    <row r="21" spans="2:13" x14ac:dyDescent="0.2">
      <c r="B21" s="222"/>
      <c r="C21" s="711" t="s">
        <v>1166</v>
      </c>
      <c r="D21" s="710" t="s">
        <v>1093</v>
      </c>
      <c r="E21" s="133">
        <v>8760</v>
      </c>
      <c r="F21" s="712">
        <v>1.5</v>
      </c>
      <c r="G21" s="713">
        <f t="shared" si="1"/>
        <v>13140</v>
      </c>
      <c r="H21" s="730"/>
      <c r="K21" s="820">
        <v>0.84699999999999998</v>
      </c>
      <c r="L21" s="825">
        <f t="shared" si="0"/>
        <v>11129.58</v>
      </c>
    </row>
    <row r="22" spans="2:13" x14ac:dyDescent="0.2">
      <c r="B22" s="222"/>
      <c r="C22" s="711" t="s">
        <v>1167</v>
      </c>
      <c r="D22" s="710" t="s">
        <v>1093</v>
      </c>
      <c r="E22" s="133">
        <v>438</v>
      </c>
      <c r="F22" s="712">
        <v>3.2</v>
      </c>
      <c r="G22" s="713">
        <f t="shared" si="1"/>
        <v>1401.6000000000001</v>
      </c>
      <c r="H22" s="730"/>
      <c r="K22" s="820">
        <v>0.84699999999999998</v>
      </c>
      <c r="L22" s="825">
        <f t="shared" si="0"/>
        <v>1187.1552000000001</v>
      </c>
    </row>
    <row r="23" spans="2:13" x14ac:dyDescent="0.2">
      <c r="B23" s="222"/>
      <c r="C23" s="711" t="s">
        <v>1168</v>
      </c>
      <c r="D23" s="710" t="s">
        <v>1093</v>
      </c>
      <c r="E23" s="133">
        <v>43800</v>
      </c>
      <c r="F23" s="712">
        <v>0.9</v>
      </c>
      <c r="G23" s="713">
        <f t="shared" si="1"/>
        <v>39420</v>
      </c>
      <c r="H23" s="133"/>
      <c r="K23" s="820">
        <v>0.84699999999999998</v>
      </c>
      <c r="L23" s="825">
        <f t="shared" si="0"/>
        <v>33388.74</v>
      </c>
    </row>
    <row r="24" spans="2:13" x14ac:dyDescent="0.2">
      <c r="B24" s="222"/>
      <c r="C24" s="711" t="s">
        <v>1169</v>
      </c>
      <c r="D24" s="710" t="s">
        <v>1093</v>
      </c>
      <c r="E24" s="133">
        <v>1750</v>
      </c>
      <c r="F24" s="712">
        <v>3</v>
      </c>
      <c r="G24" s="713">
        <f t="shared" si="1"/>
        <v>5250</v>
      </c>
      <c r="H24" s="133"/>
      <c r="K24" s="820">
        <v>0.84699999999999998</v>
      </c>
      <c r="L24" s="825">
        <f t="shared" si="0"/>
        <v>4446.75</v>
      </c>
    </row>
    <row r="25" spans="2:13" x14ac:dyDescent="0.2">
      <c r="B25" s="222"/>
      <c r="C25" s="711" t="s">
        <v>1170</v>
      </c>
      <c r="D25" s="710" t="s">
        <v>1093</v>
      </c>
      <c r="E25" s="133">
        <v>3504</v>
      </c>
      <c r="F25" s="712">
        <v>8</v>
      </c>
      <c r="G25" s="713">
        <f t="shared" si="1"/>
        <v>28032</v>
      </c>
      <c r="H25" s="133"/>
      <c r="K25" s="820">
        <v>0.84699999999999998</v>
      </c>
      <c r="L25" s="825">
        <f t="shared" si="0"/>
        <v>23743.103999999999</v>
      </c>
    </row>
    <row r="26" spans="2:13" x14ac:dyDescent="0.2">
      <c r="B26" s="222"/>
      <c r="C26" s="708" t="s">
        <v>1094</v>
      </c>
      <c r="D26" s="707"/>
      <c r="E26" s="732"/>
      <c r="F26" s="714"/>
      <c r="G26" s="715"/>
      <c r="H26" s="732">
        <f>SUM(G27:G33)</f>
        <v>457140</v>
      </c>
      <c r="K26" s="820"/>
      <c r="L26" s="825"/>
      <c r="M26" s="732">
        <f>SUM(L27:L33)</f>
        <v>380528.58</v>
      </c>
    </row>
    <row r="27" spans="2:13" x14ac:dyDescent="0.2">
      <c r="B27" s="222"/>
      <c r="C27" s="716" t="s">
        <v>1095</v>
      </c>
      <c r="D27" s="710" t="s">
        <v>667</v>
      </c>
      <c r="E27" s="133">
        <v>43800</v>
      </c>
      <c r="F27" s="712">
        <v>0.3</v>
      </c>
      <c r="G27" s="713">
        <f t="shared" ref="G27:G33" si="2">F27*E27</f>
        <v>13140</v>
      </c>
      <c r="H27" s="730"/>
      <c r="K27" s="820">
        <v>0.84699999999999998</v>
      </c>
      <c r="L27" s="825">
        <f t="shared" ref="L27:L33" si="3">G27*K27</f>
        <v>11129.58</v>
      </c>
    </row>
    <row r="28" spans="2:13" x14ac:dyDescent="0.2">
      <c r="B28" s="222"/>
      <c r="C28" s="716" t="s">
        <v>1096</v>
      </c>
      <c r="D28" s="710" t="s">
        <v>1097</v>
      </c>
      <c r="E28" s="730">
        <v>6250</v>
      </c>
      <c r="F28" s="712">
        <v>3.5</v>
      </c>
      <c r="G28" s="713">
        <f t="shared" si="2"/>
        <v>21875</v>
      </c>
      <c r="H28" s="730"/>
      <c r="K28" s="820">
        <v>0.84699999999999998</v>
      </c>
      <c r="L28" s="825">
        <f t="shared" si="3"/>
        <v>18528.125</v>
      </c>
    </row>
    <row r="29" spans="2:13" x14ac:dyDescent="0.2">
      <c r="B29" s="222"/>
      <c r="C29" s="716" t="s">
        <v>1098</v>
      </c>
      <c r="D29" s="710" t="s">
        <v>1099</v>
      </c>
      <c r="E29" s="730">
        <v>55750</v>
      </c>
      <c r="F29" s="712">
        <v>3.5</v>
      </c>
      <c r="G29" s="713">
        <f t="shared" si="2"/>
        <v>195125</v>
      </c>
      <c r="H29" s="730"/>
      <c r="K29" s="820">
        <v>0.84699999999999998</v>
      </c>
      <c r="L29" s="825">
        <f t="shared" si="3"/>
        <v>165270.875</v>
      </c>
    </row>
    <row r="30" spans="2:13" x14ac:dyDescent="0.2">
      <c r="B30" s="222"/>
      <c r="C30" s="716" t="s">
        <v>1100</v>
      </c>
      <c r="D30" s="710" t="s">
        <v>1101</v>
      </c>
      <c r="E30" s="710">
        <v>39</v>
      </c>
      <c r="F30" s="712">
        <v>3000</v>
      </c>
      <c r="G30" s="713">
        <f t="shared" si="2"/>
        <v>117000</v>
      </c>
      <c r="H30" s="730"/>
      <c r="K30" s="821">
        <v>0.79</v>
      </c>
      <c r="L30" s="825">
        <f t="shared" si="3"/>
        <v>92430</v>
      </c>
    </row>
    <row r="31" spans="2:13" x14ac:dyDescent="0.2">
      <c r="B31" s="222"/>
      <c r="C31" s="716" t="s">
        <v>1102</v>
      </c>
      <c r="D31" s="710" t="s">
        <v>1103</v>
      </c>
      <c r="E31" s="710">
        <v>1</v>
      </c>
      <c r="F31" s="712">
        <v>40000</v>
      </c>
      <c r="G31" s="713">
        <f t="shared" si="2"/>
        <v>40000</v>
      </c>
      <c r="H31" s="730"/>
      <c r="K31" s="820">
        <v>0.84699999999999998</v>
      </c>
      <c r="L31" s="825">
        <f t="shared" si="3"/>
        <v>33880</v>
      </c>
    </row>
    <row r="32" spans="2:13" x14ac:dyDescent="0.2">
      <c r="B32" s="222"/>
      <c r="C32" s="711" t="s">
        <v>1104</v>
      </c>
      <c r="D32" s="710" t="s">
        <v>1103</v>
      </c>
      <c r="E32" s="710">
        <v>1</v>
      </c>
      <c r="F32" s="712">
        <v>20000</v>
      </c>
      <c r="G32" s="713">
        <f t="shared" si="2"/>
        <v>20000</v>
      </c>
      <c r="H32" s="730"/>
      <c r="K32" s="820">
        <v>0.84699999999999998</v>
      </c>
      <c r="L32" s="825">
        <f t="shared" si="3"/>
        <v>16940</v>
      </c>
    </row>
    <row r="33" spans="2:18" x14ac:dyDescent="0.2">
      <c r="B33" s="222"/>
      <c r="C33" s="711" t="s">
        <v>1105</v>
      </c>
      <c r="D33" s="710" t="s">
        <v>1103</v>
      </c>
      <c r="E33" s="710">
        <v>1</v>
      </c>
      <c r="F33" s="712">
        <v>50000</v>
      </c>
      <c r="G33" s="717">
        <f t="shared" si="2"/>
        <v>50000</v>
      </c>
      <c r="H33" s="733"/>
      <c r="K33" s="820">
        <v>0.84699999999999998</v>
      </c>
      <c r="L33" s="825">
        <f t="shared" si="3"/>
        <v>42350</v>
      </c>
    </row>
    <row r="34" spans="2:18" x14ac:dyDescent="0.2">
      <c r="B34" s="222"/>
      <c r="C34" s="719" t="s">
        <v>1106</v>
      </c>
      <c r="D34" s="720"/>
      <c r="E34" s="720"/>
      <c r="F34" s="720"/>
      <c r="G34" s="832"/>
      <c r="H34" s="721">
        <f>SUM(H15+H26)</f>
        <v>1392343.6</v>
      </c>
      <c r="K34" s="823"/>
      <c r="L34" s="822"/>
      <c r="M34" s="826">
        <f>SUM(M15+M26)</f>
        <v>1172646.0292</v>
      </c>
      <c r="P34" s="205"/>
      <c r="Q34" s="205"/>
      <c r="R34" s="205"/>
    </row>
    <row r="35" spans="2:18" x14ac:dyDescent="0.2">
      <c r="B35" s="222"/>
    </row>
    <row r="36" spans="2:18" x14ac:dyDescent="0.2">
      <c r="B36" s="222"/>
    </row>
    <row r="37" spans="2:18" x14ac:dyDescent="0.2">
      <c r="B37" s="222"/>
      <c r="C37" s="52" t="s">
        <v>733</v>
      </c>
    </row>
    <row r="38" spans="2:18" x14ac:dyDescent="0.2">
      <c r="B38" s="222"/>
      <c r="D38" s="52" t="s">
        <v>1107</v>
      </c>
    </row>
    <row r="39" spans="2:18" ht="13.5" thickBot="1" x14ac:dyDescent="0.25">
      <c r="B39" s="222"/>
    </row>
    <row r="40" spans="2:18" ht="13.5" thickBot="1" x14ac:dyDescent="0.25">
      <c r="B40" s="222"/>
      <c r="E40" s="697" t="s">
        <v>1108</v>
      </c>
      <c r="F40" s="698"/>
      <c r="G40" s="833"/>
      <c r="H40" s="699">
        <f>H34/40000</f>
        <v>34.808590000000002</v>
      </c>
      <c r="J40" s="697" t="s">
        <v>1108</v>
      </c>
      <c r="K40" s="698"/>
      <c r="L40" s="833"/>
      <c r="M40" s="699">
        <f>M34/40000</f>
        <v>29.31615073</v>
      </c>
    </row>
    <row r="41" spans="2:18" x14ac:dyDescent="0.2">
      <c r="B41" s="222"/>
      <c r="G41" s="700"/>
    </row>
    <row r="42" spans="2:18" x14ac:dyDescent="0.2">
      <c r="B42" s="222"/>
      <c r="G42" s="700"/>
    </row>
    <row r="43" spans="2:18" x14ac:dyDescent="0.2">
      <c r="B43" s="222"/>
      <c r="G43" s="700"/>
    </row>
    <row r="44" spans="2:18" x14ac:dyDescent="0.2">
      <c r="B44" s="222"/>
      <c r="G44" s="700"/>
    </row>
    <row r="45" spans="2:18" x14ac:dyDescent="0.2">
      <c r="B45" s="222"/>
      <c r="G45" s="700"/>
    </row>
    <row r="46" spans="2:18" x14ac:dyDescent="0.2">
      <c r="H46" s="97"/>
    </row>
    <row r="47" spans="2:18" x14ac:dyDescent="0.2">
      <c r="B47" s="205"/>
      <c r="H47" s="97"/>
    </row>
    <row r="48" spans="2:18" x14ac:dyDescent="0.2">
      <c r="B48" s="205"/>
      <c r="H48" s="97"/>
    </row>
    <row r="49" spans="2:8" x14ac:dyDescent="0.2">
      <c r="B49" s="205"/>
      <c r="H49" s="97"/>
    </row>
    <row r="50" spans="2:8" x14ac:dyDescent="0.2">
      <c r="B50" s="205"/>
      <c r="H50" s="97"/>
    </row>
    <row r="51" spans="2:8" x14ac:dyDescent="0.2">
      <c r="B51" s="205" t="s">
        <v>1127</v>
      </c>
    </row>
    <row r="52" spans="2:8" ht="25.5" x14ac:dyDescent="0.2">
      <c r="B52" s="734" t="s">
        <v>398</v>
      </c>
      <c r="C52" s="734" t="s">
        <v>1128</v>
      </c>
      <c r="D52" s="734" t="s">
        <v>1087</v>
      </c>
      <c r="E52" s="734" t="s">
        <v>1088</v>
      </c>
      <c r="F52" s="734" t="s">
        <v>1129</v>
      </c>
      <c r="G52" s="734" t="s">
        <v>1130</v>
      </c>
    </row>
    <row r="53" spans="2:8" ht="38.25" x14ac:dyDescent="0.2">
      <c r="B53" s="696">
        <v>1</v>
      </c>
      <c r="C53" s="735" t="s">
        <v>1131</v>
      </c>
      <c r="D53" s="736" t="s">
        <v>1132</v>
      </c>
      <c r="E53" s="736">
        <v>13</v>
      </c>
      <c r="F53" s="737">
        <v>3000</v>
      </c>
      <c r="G53" s="737">
        <f>F53*E53</f>
        <v>39000</v>
      </c>
    </row>
    <row r="54" spans="2:8" ht="38.25" x14ac:dyDescent="0.2">
      <c r="B54" s="696">
        <v>2</v>
      </c>
      <c r="C54" s="735" t="s">
        <v>1133</v>
      </c>
      <c r="D54" s="736" t="s">
        <v>1132</v>
      </c>
      <c r="E54" s="736">
        <v>13</v>
      </c>
      <c r="F54" s="737">
        <v>2500</v>
      </c>
      <c r="G54" s="737">
        <f t="shared" ref="G54:G60" si="4">F54*E54</f>
        <v>32500</v>
      </c>
    </row>
    <row r="55" spans="2:8" ht="25.5" x14ac:dyDescent="0.2">
      <c r="B55" s="696">
        <v>3</v>
      </c>
      <c r="C55" s="735" t="s">
        <v>1134</v>
      </c>
      <c r="D55" s="736" t="s">
        <v>1132</v>
      </c>
      <c r="E55" s="736">
        <v>13</v>
      </c>
      <c r="F55" s="737">
        <v>1200</v>
      </c>
      <c r="G55" s="737">
        <f t="shared" si="4"/>
        <v>15600</v>
      </c>
    </row>
    <row r="56" spans="2:8" ht="38.25" x14ac:dyDescent="0.2">
      <c r="B56" s="696">
        <v>4</v>
      </c>
      <c r="C56" s="735" t="s">
        <v>1135</v>
      </c>
      <c r="D56" s="736" t="s">
        <v>1132</v>
      </c>
      <c r="E56" s="736">
        <v>13</v>
      </c>
      <c r="F56" s="737">
        <v>3000</v>
      </c>
      <c r="G56" s="737">
        <f t="shared" si="4"/>
        <v>39000</v>
      </c>
    </row>
    <row r="57" spans="2:8" ht="38.25" x14ac:dyDescent="0.2">
      <c r="B57" s="696">
        <v>5</v>
      </c>
      <c r="C57" s="735" t="s">
        <v>1136</v>
      </c>
      <c r="D57" s="736" t="s">
        <v>1132</v>
      </c>
      <c r="E57" s="736">
        <v>26</v>
      </c>
      <c r="F57" s="737">
        <v>2000</v>
      </c>
      <c r="G57" s="737">
        <f>F57*E57</f>
        <v>52000</v>
      </c>
    </row>
    <row r="58" spans="2:8" x14ac:dyDescent="0.2">
      <c r="B58" s="696">
        <v>6</v>
      </c>
      <c r="C58" s="735" t="s">
        <v>1137</v>
      </c>
      <c r="D58" s="736" t="s">
        <v>1132</v>
      </c>
      <c r="E58" s="736">
        <v>13</v>
      </c>
      <c r="F58" s="737">
        <v>2000</v>
      </c>
      <c r="G58" s="737">
        <f t="shared" si="4"/>
        <v>26000</v>
      </c>
    </row>
    <row r="59" spans="2:8" x14ac:dyDescent="0.2">
      <c r="B59" s="696">
        <v>7</v>
      </c>
      <c r="C59" s="735" t="s">
        <v>1138</v>
      </c>
      <c r="D59" s="736" t="s">
        <v>1132</v>
      </c>
      <c r="E59" s="736">
        <v>13</v>
      </c>
      <c r="F59" s="737">
        <v>2500</v>
      </c>
      <c r="G59" s="737">
        <f t="shared" si="4"/>
        <v>32500</v>
      </c>
    </row>
    <row r="60" spans="2:8" x14ac:dyDescent="0.2">
      <c r="B60" s="696">
        <v>8</v>
      </c>
      <c r="C60" s="735" t="s">
        <v>1139</v>
      </c>
      <c r="D60" s="736" t="s">
        <v>1132</v>
      </c>
      <c r="E60" s="736">
        <v>12</v>
      </c>
      <c r="F60" s="737">
        <v>1200</v>
      </c>
      <c r="G60" s="737">
        <f t="shared" si="4"/>
        <v>14400</v>
      </c>
    </row>
    <row r="61" spans="2:8" x14ac:dyDescent="0.2">
      <c r="B61" s="1896" t="s">
        <v>1140</v>
      </c>
      <c r="C61" s="1896"/>
      <c r="D61" s="1896"/>
      <c r="E61" s="1896"/>
      <c r="F61" s="1896"/>
      <c r="G61" s="679">
        <f>SUM(G53:G60)</f>
        <v>251000</v>
      </c>
    </row>
    <row r="62" spans="2:8" x14ac:dyDescent="0.2">
      <c r="B62" s="222"/>
    </row>
    <row r="63" spans="2:8" x14ac:dyDescent="0.2">
      <c r="B63" s="222"/>
    </row>
    <row r="64" spans="2:8" x14ac:dyDescent="0.2">
      <c r="B64" s="222"/>
    </row>
    <row r="65" spans="2:13" x14ac:dyDescent="0.2">
      <c r="B65" s="222"/>
    </row>
    <row r="66" spans="2:13" x14ac:dyDescent="0.2">
      <c r="B66" s="222"/>
    </row>
    <row r="67" spans="2:13" x14ac:dyDescent="0.2">
      <c r="B67" s="222"/>
    </row>
    <row r="68" spans="2:13" x14ac:dyDescent="0.2">
      <c r="B68" s="222"/>
    </row>
    <row r="69" spans="2:13" x14ac:dyDescent="0.2">
      <c r="B69" s="222"/>
    </row>
    <row r="70" spans="2:13" x14ac:dyDescent="0.2">
      <c r="B70" s="222"/>
    </row>
    <row r="71" spans="2:13" x14ac:dyDescent="0.2">
      <c r="B71" s="222"/>
    </row>
    <row r="72" spans="2:13" x14ac:dyDescent="0.2">
      <c r="B72" s="222"/>
      <c r="D72" s="729" t="s">
        <v>1109</v>
      </c>
      <c r="E72" s="97"/>
      <c r="F72" s="97"/>
      <c r="G72" s="701"/>
    </row>
    <row r="73" spans="2:13" x14ac:dyDescent="0.2">
      <c r="B73" s="222"/>
      <c r="G73" s="700"/>
    </row>
    <row r="74" spans="2:13" x14ac:dyDescent="0.2">
      <c r="B74" s="222"/>
      <c r="D74" s="52" t="s">
        <v>1110</v>
      </c>
    </row>
    <row r="75" spans="2:13" x14ac:dyDescent="0.2">
      <c r="B75" s="222"/>
    </row>
    <row r="76" spans="2:13" x14ac:dyDescent="0.2">
      <c r="B76" s="222"/>
    </row>
    <row r="77" spans="2:13" x14ac:dyDescent="0.2">
      <c r="B77" s="222"/>
      <c r="C77" s="1884" t="s">
        <v>1086</v>
      </c>
      <c r="D77" s="1886"/>
      <c r="E77" s="1886"/>
      <c r="F77" s="1886"/>
      <c r="G77" s="1886"/>
      <c r="H77" s="1886"/>
      <c r="K77" s="823"/>
      <c r="L77" s="823"/>
      <c r="M77" s="823"/>
    </row>
    <row r="78" spans="2:13" ht="25.5" x14ac:dyDescent="0.2">
      <c r="C78" s="1885"/>
      <c r="D78" s="703" t="s">
        <v>1087</v>
      </c>
      <c r="E78" s="704" t="s">
        <v>1088</v>
      </c>
      <c r="F78" s="704" t="s">
        <v>1089</v>
      </c>
      <c r="G78" s="704" t="s">
        <v>1090</v>
      </c>
      <c r="H78" s="728"/>
      <c r="K78" s="704" t="s">
        <v>1231</v>
      </c>
      <c r="L78" s="704" t="s">
        <v>1232</v>
      </c>
      <c r="M78" s="704" t="s">
        <v>1233</v>
      </c>
    </row>
    <row r="79" spans="2:13" x14ac:dyDescent="0.2">
      <c r="C79" s="722" t="s">
        <v>1091</v>
      </c>
      <c r="D79" s="707"/>
      <c r="E79" s="707"/>
      <c r="F79" s="707"/>
      <c r="G79" s="707"/>
      <c r="H79" s="707"/>
    </row>
    <row r="80" spans="2:13" x14ac:dyDescent="0.2">
      <c r="C80" s="723" t="s">
        <v>1092</v>
      </c>
      <c r="D80" s="710"/>
      <c r="E80" s="710"/>
      <c r="F80" s="710"/>
      <c r="G80" s="827"/>
      <c r="H80" s="730">
        <f>SUM(G81:G83)</f>
        <v>231400</v>
      </c>
      <c r="L80" s="824"/>
      <c r="M80" s="730">
        <f>SUM(L81:L83)</f>
        <v>170456</v>
      </c>
    </row>
    <row r="81" spans="3:13" x14ac:dyDescent="0.2">
      <c r="C81" s="723" t="s">
        <v>1157</v>
      </c>
      <c r="D81" s="710" t="s">
        <v>1093</v>
      </c>
      <c r="E81" s="730">
        <v>40000</v>
      </c>
      <c r="F81" s="731">
        <v>0</v>
      </c>
      <c r="G81" s="828">
        <f>F81*E81</f>
        <v>0</v>
      </c>
      <c r="H81" s="730"/>
      <c r="K81" s="820">
        <v>0.84699999999999998</v>
      </c>
      <c r="L81" s="830">
        <f t="shared" ref="L81:L92" si="5">G81*K81</f>
        <v>0</v>
      </c>
      <c r="M81" s="730"/>
    </row>
    <row r="82" spans="3:13" x14ac:dyDescent="0.2">
      <c r="C82" s="723" t="s">
        <v>1158</v>
      </c>
      <c r="D82" s="710" t="s">
        <v>1103</v>
      </c>
      <c r="E82" s="730">
        <v>52</v>
      </c>
      <c r="F82" s="730">
        <v>3200</v>
      </c>
      <c r="G82" s="828">
        <f t="shared" ref="G82:G97" si="6">F82*E82</f>
        <v>166400</v>
      </c>
      <c r="H82" s="730"/>
      <c r="K82" s="821">
        <v>0.79</v>
      </c>
      <c r="L82" s="830">
        <f t="shared" si="5"/>
        <v>131456</v>
      </c>
      <c r="M82" s="730"/>
    </row>
    <row r="83" spans="3:13" x14ac:dyDescent="0.2">
      <c r="C83" s="723" t="s">
        <v>1212</v>
      </c>
      <c r="D83" s="710" t="s">
        <v>1103</v>
      </c>
      <c r="E83" s="730">
        <v>26</v>
      </c>
      <c r="F83" s="730">
        <v>2500</v>
      </c>
      <c r="G83" s="828">
        <f t="shared" si="6"/>
        <v>65000</v>
      </c>
      <c r="H83" s="730"/>
      <c r="K83" s="821">
        <v>0.6</v>
      </c>
      <c r="L83" s="830">
        <f t="shared" si="5"/>
        <v>39000</v>
      </c>
      <c r="M83" s="730"/>
    </row>
    <row r="84" spans="3:13" x14ac:dyDescent="0.2">
      <c r="C84" s="723" t="s">
        <v>1094</v>
      </c>
      <c r="D84" s="710"/>
      <c r="E84" s="730"/>
      <c r="F84" s="730"/>
      <c r="G84" s="828"/>
      <c r="H84" s="730">
        <f>SUM(G85:G92)</f>
        <v>357575</v>
      </c>
      <c r="L84" s="830">
        <f t="shared" si="5"/>
        <v>0</v>
      </c>
      <c r="M84" s="730">
        <f>SUM(L85:L92)</f>
        <v>302866.02500000002</v>
      </c>
    </row>
    <row r="85" spans="3:13" x14ac:dyDescent="0.2">
      <c r="C85" s="723" t="s">
        <v>1111</v>
      </c>
      <c r="D85" s="710" t="s">
        <v>1112</v>
      </c>
      <c r="E85" s="730">
        <v>10</v>
      </c>
      <c r="F85" s="730">
        <v>1000</v>
      </c>
      <c r="G85" s="828">
        <f t="shared" si="6"/>
        <v>10000</v>
      </c>
      <c r="H85" s="730"/>
      <c r="K85" s="820">
        <v>0.84699999999999998</v>
      </c>
      <c r="L85" s="830">
        <f t="shared" si="5"/>
        <v>8470</v>
      </c>
      <c r="M85" s="730"/>
    </row>
    <row r="86" spans="3:13" x14ac:dyDescent="0.2">
      <c r="C86" s="723" t="s">
        <v>1113</v>
      </c>
      <c r="D86" s="710" t="s">
        <v>1114</v>
      </c>
      <c r="E86" s="730">
        <v>100</v>
      </c>
      <c r="F86" s="730">
        <v>10</v>
      </c>
      <c r="G86" s="828">
        <f t="shared" si="6"/>
        <v>1000</v>
      </c>
      <c r="H86" s="730"/>
      <c r="K86" s="820">
        <v>0.84699999999999998</v>
      </c>
      <c r="L86" s="830">
        <f t="shared" si="5"/>
        <v>847</v>
      </c>
      <c r="M86" s="730"/>
    </row>
    <row r="87" spans="3:13" x14ac:dyDescent="0.2">
      <c r="C87" s="723" t="s">
        <v>1115</v>
      </c>
      <c r="D87" s="710" t="s">
        <v>1112</v>
      </c>
      <c r="E87" s="730">
        <v>1</v>
      </c>
      <c r="F87" s="730">
        <v>2500</v>
      </c>
      <c r="G87" s="828">
        <f t="shared" si="6"/>
        <v>2500</v>
      </c>
      <c r="H87" s="730"/>
      <c r="K87" s="820">
        <v>0.84699999999999998</v>
      </c>
      <c r="L87" s="830">
        <f t="shared" si="5"/>
        <v>2117.5</v>
      </c>
      <c r="M87" s="730"/>
    </row>
    <row r="88" spans="3:13" x14ac:dyDescent="0.2">
      <c r="C88" s="723" t="s">
        <v>1116</v>
      </c>
      <c r="D88" s="710" t="s">
        <v>1099</v>
      </c>
      <c r="E88" s="730">
        <v>75850</v>
      </c>
      <c r="F88" s="730">
        <v>3.5</v>
      </c>
      <c r="G88" s="828">
        <f t="shared" si="6"/>
        <v>265475</v>
      </c>
      <c r="H88" s="730"/>
      <c r="K88" s="820">
        <v>0.84699999999999998</v>
      </c>
      <c r="L88" s="830">
        <f t="shared" si="5"/>
        <v>224857.32499999998</v>
      </c>
      <c r="M88" s="730"/>
    </row>
    <row r="89" spans="3:13" x14ac:dyDescent="0.2">
      <c r="C89" s="723" t="s">
        <v>1117</v>
      </c>
      <c r="D89" s="710" t="s">
        <v>667</v>
      </c>
      <c r="E89" s="730">
        <v>1200</v>
      </c>
      <c r="F89" s="730">
        <v>0.5</v>
      </c>
      <c r="G89" s="828">
        <f t="shared" si="6"/>
        <v>600</v>
      </c>
      <c r="H89" s="730"/>
      <c r="K89" s="820">
        <v>0.84699999999999998</v>
      </c>
      <c r="L89" s="830">
        <f t="shared" si="5"/>
        <v>508.2</v>
      </c>
      <c r="M89" s="730"/>
    </row>
    <row r="90" spans="3:13" x14ac:dyDescent="0.2">
      <c r="C90" s="723" t="s">
        <v>1118</v>
      </c>
      <c r="D90" s="710" t="s">
        <v>1103</v>
      </c>
      <c r="E90" s="730">
        <v>1</v>
      </c>
      <c r="F90" s="730">
        <v>40000</v>
      </c>
      <c r="G90" s="828">
        <f t="shared" si="6"/>
        <v>40000</v>
      </c>
      <c r="H90" s="730"/>
      <c r="K90" s="820">
        <v>0.84699999999999998</v>
      </c>
      <c r="L90" s="830">
        <f t="shared" si="5"/>
        <v>33880</v>
      </c>
      <c r="M90" s="730"/>
    </row>
    <row r="91" spans="3:13" x14ac:dyDescent="0.2">
      <c r="C91" s="723" t="s">
        <v>1119</v>
      </c>
      <c r="D91" s="710" t="s">
        <v>1103</v>
      </c>
      <c r="E91" s="730">
        <v>1</v>
      </c>
      <c r="F91" s="730">
        <v>18000</v>
      </c>
      <c r="G91" s="828">
        <f t="shared" si="6"/>
        <v>18000</v>
      </c>
      <c r="H91" s="730"/>
      <c r="K91" s="820">
        <v>0.84699999999999998</v>
      </c>
      <c r="L91" s="830">
        <f t="shared" si="5"/>
        <v>15246</v>
      </c>
      <c r="M91" s="730"/>
    </row>
    <row r="92" spans="3:13" x14ac:dyDescent="0.2">
      <c r="C92" s="723" t="s">
        <v>1120</v>
      </c>
      <c r="D92" s="710" t="s">
        <v>1103</v>
      </c>
      <c r="E92" s="730">
        <v>1</v>
      </c>
      <c r="F92" s="730">
        <v>20000</v>
      </c>
      <c r="G92" s="828">
        <f t="shared" si="6"/>
        <v>20000</v>
      </c>
      <c r="H92" s="730"/>
      <c r="K92" s="820">
        <v>0.84699999999999998</v>
      </c>
      <c r="L92" s="830">
        <f t="shared" si="5"/>
        <v>16940</v>
      </c>
      <c r="M92" s="730"/>
    </row>
    <row r="93" spans="3:13" x14ac:dyDescent="0.2">
      <c r="C93" s="724" t="s">
        <v>1121</v>
      </c>
      <c r="D93" s="707"/>
      <c r="E93" s="732"/>
      <c r="F93" s="732"/>
      <c r="G93" s="828"/>
      <c r="H93" s="732"/>
      <c r="K93" s="820"/>
      <c r="L93" s="830"/>
      <c r="M93" s="732"/>
    </row>
    <row r="94" spans="3:13" x14ac:dyDescent="0.2">
      <c r="C94" s="723" t="s">
        <v>1122</v>
      </c>
      <c r="D94" s="723"/>
      <c r="E94" s="730"/>
      <c r="F94" s="730"/>
      <c r="G94" s="828"/>
      <c r="H94" s="730">
        <f>SUM(G95:G97)</f>
        <v>44200</v>
      </c>
      <c r="K94" s="820"/>
      <c r="L94" s="830">
        <f>G94*K94</f>
        <v>0</v>
      </c>
      <c r="M94" s="730">
        <f>SUM(L95:L97)</f>
        <v>37437.4</v>
      </c>
    </row>
    <row r="95" spans="3:13" x14ac:dyDescent="0.2">
      <c r="C95" s="723" t="s">
        <v>1123</v>
      </c>
      <c r="D95" s="710" t="s">
        <v>1103</v>
      </c>
      <c r="E95" s="730">
        <v>4</v>
      </c>
      <c r="F95" s="730">
        <v>5000</v>
      </c>
      <c r="G95" s="828">
        <f t="shared" si="6"/>
        <v>20000</v>
      </c>
      <c r="H95" s="730"/>
      <c r="K95" s="820">
        <v>0.84699999999999998</v>
      </c>
      <c r="L95" s="830">
        <f>G95*K95</f>
        <v>16940</v>
      </c>
    </row>
    <row r="96" spans="3:13" x14ac:dyDescent="0.2">
      <c r="C96" s="725" t="s">
        <v>1159</v>
      </c>
      <c r="D96" s="710" t="s">
        <v>1103</v>
      </c>
      <c r="E96" s="730">
        <v>24</v>
      </c>
      <c r="F96" s="730">
        <v>800</v>
      </c>
      <c r="G96" s="828">
        <f t="shared" si="6"/>
        <v>19200</v>
      </c>
      <c r="H96" s="730"/>
      <c r="K96" s="820">
        <v>0.84699999999999998</v>
      </c>
      <c r="L96" s="830">
        <f>G96*K96</f>
        <v>16262.4</v>
      </c>
    </row>
    <row r="97" spans="3:13" x14ac:dyDescent="0.2">
      <c r="C97" s="723" t="s">
        <v>1160</v>
      </c>
      <c r="D97" s="710" t="s">
        <v>1103</v>
      </c>
      <c r="E97" s="730">
        <v>1</v>
      </c>
      <c r="F97" s="730">
        <v>5000</v>
      </c>
      <c r="G97" s="828">
        <f t="shared" si="6"/>
        <v>5000</v>
      </c>
      <c r="H97" s="730"/>
      <c r="K97" s="820">
        <v>0.84699999999999998</v>
      </c>
      <c r="L97" s="830">
        <f>G97*K97</f>
        <v>4235</v>
      </c>
    </row>
    <row r="98" spans="3:13" x14ac:dyDescent="0.2">
      <c r="C98" s="722" t="s">
        <v>1124</v>
      </c>
      <c r="D98" s="707"/>
      <c r="E98" s="732"/>
      <c r="F98" s="732"/>
      <c r="G98" s="828"/>
      <c r="H98" s="730">
        <f>SUM(H99)</f>
        <v>0</v>
      </c>
      <c r="K98" s="820"/>
      <c r="L98" s="830"/>
    </row>
    <row r="99" spans="3:13" x14ac:dyDescent="0.2">
      <c r="C99" s="726" t="s">
        <v>1125</v>
      </c>
      <c r="D99" s="710"/>
      <c r="E99" s="730"/>
      <c r="F99" s="730"/>
      <c r="G99" s="829"/>
      <c r="H99" s="733"/>
      <c r="K99" s="820">
        <v>0.84699999999999998</v>
      </c>
      <c r="L99" s="831">
        <f>G99*K99</f>
        <v>0</v>
      </c>
    </row>
    <row r="100" spans="3:13" x14ac:dyDescent="0.2">
      <c r="C100" s="705" t="s">
        <v>1106</v>
      </c>
      <c r="D100" s="705"/>
      <c r="E100" s="705"/>
      <c r="F100" s="705"/>
      <c r="G100" s="719"/>
      <c r="H100" s="721">
        <f>H80+H84+H94+H98</f>
        <v>633175</v>
      </c>
      <c r="K100" s="823"/>
      <c r="L100" s="822"/>
      <c r="M100" s="826">
        <f>M80+M84+M94+M98</f>
        <v>510759.42500000005</v>
      </c>
    </row>
    <row r="102" spans="3:13" x14ac:dyDescent="0.2">
      <c r="D102" s="52" t="s">
        <v>1230</v>
      </c>
    </row>
    <row r="105" spans="3:13" ht="13.5" thickBot="1" x14ac:dyDescent="0.25">
      <c r="D105" s="150"/>
      <c r="K105" s="835"/>
      <c r="L105" s="89"/>
      <c r="M105" s="836"/>
    </row>
    <row r="106" spans="3:13" ht="13.5" thickBot="1" x14ac:dyDescent="0.25">
      <c r="E106" s="834" t="s">
        <v>1278</v>
      </c>
      <c r="F106" s="698"/>
      <c r="G106" s="833"/>
      <c r="H106" s="702">
        <f>H100/10000</f>
        <v>63.317500000000003</v>
      </c>
      <c r="J106" s="834" t="s">
        <v>1234</v>
      </c>
      <c r="K106" s="698"/>
      <c r="L106" s="833"/>
      <c r="M106" s="702">
        <f>M100/10000</f>
        <v>51.075942500000004</v>
      </c>
    </row>
  </sheetData>
  <mergeCells count="5">
    <mergeCell ref="C12:C13"/>
    <mergeCell ref="D12:H12"/>
    <mergeCell ref="C77:C78"/>
    <mergeCell ref="D77:H77"/>
    <mergeCell ref="B61:F61"/>
  </mergeCells>
  <pageMargins left="0.7" right="0.7" top="0.75" bottom="0.75" header="0.3" footer="0.3"/>
  <pageSetup scale="40" orientation="portrait" horizontalDpi="4294967295" verticalDpi="4294967295" r:id="rId1"/>
  <rowBreaks count="1" manualBreakCount="1">
    <brk id="76" min="1" max="12"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6" tint="-0.249977111117893"/>
  </sheetPr>
  <dimension ref="B3:Z105"/>
  <sheetViews>
    <sheetView view="pageBreakPreview" topLeftCell="A61" zoomScale="80" zoomScaleNormal="100" zoomScaleSheetLayoutView="80" workbookViewId="0">
      <selection activeCell="D94" sqref="D94"/>
    </sheetView>
  </sheetViews>
  <sheetFormatPr baseColWidth="10" defaultRowHeight="12.75" x14ac:dyDescent="0.25"/>
  <cols>
    <col min="1" max="2" width="11.42578125" style="222"/>
    <col min="3" max="3" width="61.28515625" style="222" customWidth="1"/>
    <col min="4" max="4" width="15.5703125" style="222" customWidth="1"/>
    <col min="5" max="5" width="20" style="222" customWidth="1"/>
    <col min="6" max="6" width="17.42578125" style="222" customWidth="1"/>
    <col min="7" max="15" width="11.42578125" style="222"/>
    <col min="16" max="16" width="62.140625" style="222" customWidth="1"/>
    <col min="17" max="17" width="11.42578125" style="222" customWidth="1"/>
    <col min="18" max="16384" width="11.42578125" style="222"/>
  </cols>
  <sheetData>
    <row r="3" spans="2:25" ht="48" customHeight="1" x14ac:dyDescent="0.25">
      <c r="B3" s="1937" t="s">
        <v>1246</v>
      </c>
      <c r="C3" s="1937"/>
      <c r="D3" s="1937"/>
      <c r="E3" s="1937"/>
      <c r="F3" s="1937"/>
      <c r="G3" s="1937"/>
      <c r="H3" s="1937"/>
      <c r="I3" s="1937"/>
      <c r="J3" s="1937"/>
      <c r="K3" s="1937"/>
      <c r="L3" s="1937"/>
      <c r="M3" s="1937"/>
      <c r="N3" s="1941" t="s">
        <v>1302</v>
      </c>
      <c r="O3" s="1941"/>
      <c r="P3" s="1941"/>
      <c r="Q3" s="1941"/>
      <c r="R3" s="1941"/>
      <c r="S3" s="1941"/>
      <c r="T3" s="1941"/>
      <c r="U3" s="1941"/>
      <c r="V3" s="1941"/>
      <c r="W3" s="1941"/>
      <c r="X3" s="1941"/>
      <c r="Y3" s="1941"/>
    </row>
    <row r="6" spans="2:25" x14ac:dyDescent="0.25">
      <c r="C6" s="222" t="s">
        <v>1249</v>
      </c>
      <c r="E6" s="251">
        <v>40000</v>
      </c>
      <c r="F6" s="222" t="s">
        <v>1247</v>
      </c>
    </row>
    <row r="8" spans="2:25" ht="26.25" customHeight="1" x14ac:dyDescent="0.25">
      <c r="C8" s="1593" t="s">
        <v>1248</v>
      </c>
      <c r="D8" s="1593"/>
      <c r="E8" s="1593"/>
      <c r="F8" s="1593"/>
      <c r="G8" s="1593"/>
      <c r="H8" s="1593"/>
      <c r="I8" s="1593"/>
    </row>
    <row r="10" spans="2:25" x14ac:dyDescent="0.25">
      <c r="C10" s="222" t="s">
        <v>1250</v>
      </c>
      <c r="E10" s="251">
        <v>10000</v>
      </c>
      <c r="F10" s="222" t="s">
        <v>1247</v>
      </c>
    </row>
    <row r="12" spans="2:25" ht="34.5" customHeight="1" x14ac:dyDescent="0.25">
      <c r="B12" s="1938" t="s">
        <v>1282</v>
      </c>
      <c r="C12" s="1938"/>
      <c r="D12" s="1938"/>
      <c r="E12" s="1938"/>
      <c r="F12" s="1938"/>
      <c r="G12" s="1938"/>
      <c r="H12" s="1938"/>
      <c r="I12" s="1938"/>
      <c r="J12" s="1938"/>
      <c r="K12" s="1938"/>
      <c r="L12" s="1938"/>
      <c r="M12" s="1938"/>
    </row>
    <row r="13" spans="2:25" x14ac:dyDescent="0.25">
      <c r="C13" s="236"/>
      <c r="D13" s="236"/>
      <c r="E13" s="236"/>
      <c r="F13" s="236"/>
      <c r="G13" s="236"/>
    </row>
    <row r="14" spans="2:25" x14ac:dyDescent="0.25">
      <c r="C14" s="222" t="s">
        <v>1274</v>
      </c>
    </row>
    <row r="16" spans="2:25" x14ac:dyDescent="0.25">
      <c r="C16" s="222" t="s">
        <v>1251</v>
      </c>
    </row>
    <row r="17" spans="2:26" x14ac:dyDescent="0.25">
      <c r="C17" s="695" t="s">
        <v>1252</v>
      </c>
      <c r="D17" s="695" t="s">
        <v>1253</v>
      </c>
      <c r="E17" s="695" t="s">
        <v>1254</v>
      </c>
      <c r="F17" s="695" t="s">
        <v>1255</v>
      </c>
    </row>
    <row r="18" spans="2:26" x14ac:dyDescent="0.25">
      <c r="C18" s="695" t="s">
        <v>1256</v>
      </c>
      <c r="D18" s="695">
        <v>407</v>
      </c>
      <c r="E18" s="695">
        <v>445</v>
      </c>
      <c r="F18" s="695">
        <v>491</v>
      </c>
    </row>
    <row r="19" spans="2:26" x14ac:dyDescent="0.25">
      <c r="C19" s="695" t="s">
        <v>1257</v>
      </c>
      <c r="D19" s="695" t="s">
        <v>1258</v>
      </c>
      <c r="E19" s="695" t="s">
        <v>1259</v>
      </c>
      <c r="F19" s="695" t="s">
        <v>1260</v>
      </c>
    </row>
    <row r="20" spans="2:26" ht="38.25" x14ac:dyDescent="0.25">
      <c r="C20" s="695" t="s">
        <v>1261</v>
      </c>
      <c r="D20" s="695" t="s">
        <v>1262</v>
      </c>
      <c r="E20" s="695" t="s">
        <v>1263</v>
      </c>
      <c r="F20" s="695" t="s">
        <v>1264</v>
      </c>
    </row>
    <row r="21" spans="2:26" ht="25.5" x14ac:dyDescent="0.25">
      <c r="C21" s="695" t="s">
        <v>1265</v>
      </c>
      <c r="D21" s="695" t="s">
        <v>1266</v>
      </c>
      <c r="E21" s="695" t="s">
        <v>1267</v>
      </c>
      <c r="F21" s="695" t="s">
        <v>1268</v>
      </c>
    </row>
    <row r="22" spans="2:26" x14ac:dyDescent="0.25">
      <c r="C22" s="695" t="s">
        <v>1269</v>
      </c>
      <c r="D22" s="695" t="s">
        <v>1270</v>
      </c>
      <c r="E22" s="695" t="s">
        <v>1271</v>
      </c>
      <c r="F22" s="695" t="s">
        <v>1272</v>
      </c>
    </row>
    <row r="23" spans="2:26" ht="162" customHeight="1" x14ac:dyDescent="0.25">
      <c r="C23" s="695" t="s">
        <v>1273</v>
      </c>
      <c r="D23" s="256"/>
      <c r="E23" s="256"/>
      <c r="F23" s="256"/>
    </row>
    <row r="24" spans="2:26" x14ac:dyDescent="0.25">
      <c r="C24" s="222" t="s">
        <v>1275</v>
      </c>
    </row>
    <row r="26" spans="2:26" ht="22.5" customHeight="1" x14ac:dyDescent="0.25">
      <c r="C26" s="222" t="s">
        <v>1276</v>
      </c>
      <c r="E26" s="841">
        <v>450</v>
      </c>
    </row>
    <row r="28" spans="2:26" x14ac:dyDescent="0.25">
      <c r="C28" s="222" t="s">
        <v>1277</v>
      </c>
      <c r="E28" s="841">
        <v>531</v>
      </c>
    </row>
    <row r="32" spans="2:26" ht="35.25" customHeight="1" x14ac:dyDescent="0.25">
      <c r="B32" s="1933" t="s">
        <v>1279</v>
      </c>
      <c r="C32" s="1933"/>
      <c r="D32" s="1933"/>
      <c r="E32" s="1933"/>
      <c r="F32" s="1933"/>
      <c r="G32" s="1933"/>
      <c r="H32" s="1933"/>
      <c r="I32" s="1933"/>
      <c r="J32" s="1933"/>
      <c r="K32" s="1933"/>
      <c r="L32" s="1933"/>
      <c r="M32" s="1933"/>
      <c r="O32" s="1912" t="s">
        <v>1279</v>
      </c>
      <c r="P32" s="1912"/>
      <c r="Q32" s="1912"/>
      <c r="R32" s="1912"/>
      <c r="S32" s="1912"/>
      <c r="T32" s="1912"/>
      <c r="U32" s="1912"/>
      <c r="V32" s="1912"/>
      <c r="W32" s="1912"/>
      <c r="X32" s="1912"/>
      <c r="Y32" s="1912"/>
      <c r="Z32" s="1912"/>
    </row>
    <row r="33" spans="2:26" x14ac:dyDescent="0.25">
      <c r="O33" s="261"/>
      <c r="P33" s="261"/>
      <c r="Q33" s="261"/>
      <c r="R33" s="261"/>
      <c r="S33" s="261"/>
      <c r="T33" s="261"/>
      <c r="U33" s="261"/>
      <c r="V33" s="261"/>
      <c r="W33" s="261"/>
      <c r="X33" s="261"/>
      <c r="Y33" s="261"/>
      <c r="Z33" s="261"/>
    </row>
    <row r="34" spans="2:26" x14ac:dyDescent="0.25">
      <c r="O34" s="261"/>
      <c r="P34" s="261"/>
      <c r="Q34" s="261"/>
      <c r="R34" s="261"/>
      <c r="S34" s="261"/>
      <c r="T34" s="261"/>
      <c r="U34" s="261"/>
      <c r="V34" s="261"/>
      <c r="W34" s="261"/>
      <c r="X34" s="261"/>
      <c r="Y34" s="261"/>
      <c r="Z34" s="261"/>
    </row>
    <row r="35" spans="2:26" x14ac:dyDescent="0.25">
      <c r="C35" s="222" t="str">
        <f>'C. PRODUC.'!E106</f>
        <v>COSTO UNITARIO KILOGRAMO =</v>
      </c>
      <c r="D35" s="842">
        <f>'C. PRODUC.'!H106</f>
        <v>63.317500000000003</v>
      </c>
      <c r="E35" s="222" t="s">
        <v>1281</v>
      </c>
      <c r="O35" s="261"/>
      <c r="P35" s="532" t="str">
        <f>C35</f>
        <v>COSTO UNITARIO KILOGRAMO =</v>
      </c>
      <c r="Q35" s="851">
        <f>'C. PRODUC.'!M106</f>
        <v>51.075942500000004</v>
      </c>
      <c r="R35" s="532" t="s">
        <v>1281</v>
      </c>
      <c r="S35" s="261"/>
      <c r="T35" s="261"/>
      <c r="U35" s="261"/>
      <c r="V35" s="261"/>
      <c r="W35" s="261"/>
      <c r="X35" s="261"/>
      <c r="Y35" s="261"/>
      <c r="Z35" s="261"/>
    </row>
    <row r="36" spans="2:26" x14ac:dyDescent="0.25">
      <c r="O36" s="261"/>
      <c r="P36" s="532"/>
      <c r="Q36" s="532"/>
      <c r="R36" s="532"/>
      <c r="S36" s="261"/>
      <c r="T36" s="261"/>
      <c r="U36" s="261"/>
      <c r="V36" s="261"/>
      <c r="W36" s="261"/>
      <c r="X36" s="261"/>
      <c r="Y36" s="261"/>
      <c r="Z36" s="261"/>
    </row>
    <row r="37" spans="2:26" x14ac:dyDescent="0.25">
      <c r="C37" s="222" t="s">
        <v>1280</v>
      </c>
      <c r="D37" s="844">
        <v>230</v>
      </c>
      <c r="E37" s="222" t="s">
        <v>1281</v>
      </c>
      <c r="O37" s="261"/>
      <c r="P37" s="532" t="s">
        <v>1280</v>
      </c>
      <c r="Q37" s="844">
        <f>D37</f>
        <v>230</v>
      </c>
      <c r="R37" s="532" t="s">
        <v>1281</v>
      </c>
      <c r="S37" s="261"/>
      <c r="T37" s="261"/>
      <c r="U37" s="261"/>
      <c r="V37" s="261"/>
      <c r="W37" s="261"/>
      <c r="X37" s="261"/>
      <c r="Y37" s="261"/>
      <c r="Z37" s="261"/>
    </row>
    <row r="38" spans="2:26" x14ac:dyDescent="0.25">
      <c r="O38" s="261"/>
      <c r="P38" s="261"/>
      <c r="Q38" s="261"/>
      <c r="R38" s="261"/>
      <c r="S38" s="261"/>
      <c r="T38" s="261"/>
      <c r="U38" s="261"/>
      <c r="V38" s="261"/>
      <c r="W38" s="261"/>
      <c r="X38" s="261"/>
      <c r="Y38" s="261"/>
      <c r="Z38" s="261"/>
    </row>
    <row r="39" spans="2:26" x14ac:dyDescent="0.25">
      <c r="O39" s="261"/>
      <c r="P39" s="261"/>
      <c r="Q39" s="261"/>
      <c r="R39" s="261"/>
      <c r="S39" s="261"/>
      <c r="T39" s="261"/>
      <c r="U39" s="261"/>
      <c r="V39" s="261"/>
      <c r="W39" s="261"/>
      <c r="X39" s="261"/>
      <c r="Y39" s="261"/>
      <c r="Z39" s="261"/>
    </row>
    <row r="40" spans="2:26" x14ac:dyDescent="0.25">
      <c r="O40" s="261"/>
      <c r="P40" s="261"/>
      <c r="Q40" s="261"/>
      <c r="R40" s="261"/>
      <c r="S40" s="261"/>
      <c r="T40" s="261"/>
      <c r="U40" s="261"/>
      <c r="V40" s="261"/>
      <c r="W40" s="261"/>
      <c r="X40" s="261"/>
      <c r="Y40" s="261"/>
      <c r="Z40" s="261"/>
    </row>
    <row r="41" spans="2:26" ht="35.25" customHeight="1" x14ac:dyDescent="0.25">
      <c r="B41" s="1939" t="s">
        <v>1283</v>
      </c>
      <c r="C41" s="1939"/>
      <c r="D41" s="1939"/>
      <c r="E41" s="1939"/>
      <c r="F41" s="1939"/>
      <c r="G41" s="1939"/>
      <c r="H41" s="1939"/>
      <c r="I41" s="1939"/>
      <c r="J41" s="1939"/>
      <c r="K41" s="1939"/>
      <c r="L41" s="1939"/>
      <c r="M41" s="1939"/>
      <c r="O41" s="1913" t="s">
        <v>1283</v>
      </c>
      <c r="P41" s="1913"/>
      <c r="Q41" s="1913"/>
      <c r="R41" s="1913"/>
      <c r="S41" s="1913"/>
      <c r="T41" s="1913"/>
      <c r="U41" s="1913"/>
      <c r="V41" s="1913"/>
      <c r="W41" s="1913"/>
      <c r="X41" s="1913"/>
      <c r="Y41" s="1913"/>
      <c r="Z41" s="1913"/>
    </row>
    <row r="42" spans="2:26" ht="13.5" customHeight="1" x14ac:dyDescent="0.25">
      <c r="C42" s="843"/>
      <c r="D42" s="843"/>
      <c r="E42" s="843"/>
      <c r="F42" s="843"/>
      <c r="G42" s="843"/>
      <c r="O42" s="532"/>
      <c r="P42" s="852"/>
      <c r="Q42" s="852"/>
      <c r="R42" s="852"/>
      <c r="S42" s="852"/>
      <c r="T42" s="852"/>
      <c r="U42" s="532"/>
      <c r="V42" s="532"/>
      <c r="W42" s="532"/>
      <c r="X42" s="532"/>
      <c r="Y42" s="532"/>
      <c r="Z42" s="532"/>
    </row>
    <row r="43" spans="2:26" ht="13.5" customHeight="1" x14ac:dyDescent="0.25">
      <c r="C43" s="843"/>
      <c r="D43" s="843"/>
      <c r="E43" s="843"/>
      <c r="F43" s="843"/>
      <c r="G43" s="843"/>
      <c r="O43" s="532"/>
      <c r="P43" s="852"/>
      <c r="Q43" s="852"/>
      <c r="R43" s="852"/>
      <c r="S43" s="852"/>
      <c r="T43" s="852"/>
      <c r="U43" s="532"/>
      <c r="V43" s="532"/>
      <c r="W43" s="532"/>
      <c r="X43" s="532"/>
      <c r="Y43" s="532"/>
      <c r="Z43" s="532"/>
    </row>
    <row r="44" spans="2:26" ht="13.5" customHeight="1" x14ac:dyDescent="0.25">
      <c r="C44" s="843"/>
      <c r="D44" s="843"/>
      <c r="E44" s="843"/>
      <c r="F44" s="843"/>
      <c r="G44" s="843"/>
      <c r="O44" s="532"/>
      <c r="P44" s="852"/>
      <c r="Q44" s="852"/>
      <c r="R44" s="852"/>
      <c r="S44" s="852"/>
      <c r="T44" s="852"/>
      <c r="U44" s="532"/>
      <c r="V44" s="532"/>
      <c r="W44" s="532"/>
      <c r="X44" s="532"/>
      <c r="Y44" s="532"/>
      <c r="Z44" s="532"/>
    </row>
    <row r="45" spans="2:26" x14ac:dyDescent="0.25">
      <c r="C45" s="222" t="s">
        <v>1284</v>
      </c>
      <c r="D45" s="840">
        <v>500</v>
      </c>
      <c r="O45" s="532"/>
      <c r="P45" s="532" t="s">
        <v>1284</v>
      </c>
      <c r="Q45" s="603">
        <v>500</v>
      </c>
      <c r="R45" s="532"/>
      <c r="S45" s="532"/>
      <c r="T45" s="532"/>
      <c r="U45" s="532"/>
      <c r="V45" s="532"/>
      <c r="W45" s="532"/>
      <c r="X45" s="532"/>
      <c r="Y45" s="532"/>
      <c r="Z45" s="532"/>
    </row>
    <row r="46" spans="2:26" x14ac:dyDescent="0.25">
      <c r="O46" s="532"/>
      <c r="P46" s="532"/>
      <c r="Q46" s="532"/>
      <c r="R46" s="532"/>
      <c r="S46" s="532"/>
      <c r="T46" s="532"/>
      <c r="U46" s="532"/>
      <c r="V46" s="532"/>
      <c r="W46" s="532"/>
      <c r="X46" s="532"/>
      <c r="Y46" s="532"/>
      <c r="Z46" s="532"/>
    </row>
    <row r="47" spans="2:26" x14ac:dyDescent="0.25">
      <c r="C47" s="222" t="s">
        <v>1280</v>
      </c>
      <c r="D47" s="844">
        <v>60</v>
      </c>
      <c r="E47" s="222" t="s">
        <v>1281</v>
      </c>
      <c r="O47" s="532"/>
      <c r="P47" s="532" t="s">
        <v>1280</v>
      </c>
      <c r="Q47" s="844">
        <f>D47</f>
        <v>60</v>
      </c>
      <c r="R47" s="532" t="s">
        <v>1281</v>
      </c>
      <c r="S47" s="532"/>
      <c r="T47" s="532"/>
      <c r="U47" s="532"/>
      <c r="V47" s="532"/>
      <c r="W47" s="532"/>
      <c r="X47" s="532"/>
      <c r="Y47" s="532"/>
      <c r="Z47" s="532"/>
    </row>
    <row r="48" spans="2:26" x14ac:dyDescent="0.25">
      <c r="O48" s="261"/>
      <c r="P48" s="261"/>
      <c r="Q48" s="261"/>
      <c r="R48" s="261"/>
      <c r="S48" s="261"/>
      <c r="T48" s="261"/>
      <c r="U48" s="261"/>
      <c r="V48" s="261"/>
      <c r="W48" s="261"/>
      <c r="X48" s="261"/>
      <c r="Y48" s="261"/>
      <c r="Z48" s="261"/>
    </row>
    <row r="49" spans="2:26" x14ac:dyDescent="0.25">
      <c r="O49" s="261"/>
      <c r="P49" s="261"/>
      <c r="Q49" s="261"/>
      <c r="R49" s="261"/>
      <c r="S49" s="261"/>
      <c r="T49" s="261"/>
      <c r="U49" s="261"/>
      <c r="V49" s="261"/>
      <c r="W49" s="261"/>
      <c r="X49" s="261"/>
      <c r="Y49" s="261"/>
      <c r="Z49" s="261"/>
    </row>
    <row r="50" spans="2:26" ht="27.75" customHeight="1" x14ac:dyDescent="0.25">
      <c r="B50" s="1933" t="s">
        <v>1295</v>
      </c>
      <c r="C50" s="1933"/>
      <c r="D50" s="1933"/>
      <c r="E50" s="1933"/>
      <c r="F50" s="1933"/>
      <c r="G50" s="1933"/>
      <c r="H50" s="1933"/>
      <c r="I50" s="1933"/>
      <c r="J50" s="1933"/>
      <c r="K50" s="1933"/>
      <c r="L50" s="1933"/>
      <c r="M50" s="1933"/>
      <c r="O50" s="1914" t="s">
        <v>1295</v>
      </c>
      <c r="P50" s="1914"/>
      <c r="Q50" s="1914"/>
      <c r="R50" s="1914"/>
      <c r="S50" s="1914"/>
      <c r="T50" s="1914"/>
      <c r="U50" s="1914"/>
      <c r="V50" s="1914"/>
      <c r="W50" s="1914"/>
      <c r="X50" s="1914"/>
      <c r="Y50" s="1914"/>
      <c r="Z50" s="1914"/>
    </row>
    <row r="51" spans="2:26" x14ac:dyDescent="0.25">
      <c r="O51" s="532"/>
      <c r="P51" s="532"/>
      <c r="Q51" s="532"/>
      <c r="R51" s="532"/>
      <c r="S51" s="532"/>
      <c r="T51" s="532"/>
      <c r="U51" s="532"/>
      <c r="V51" s="532"/>
      <c r="W51" s="532"/>
      <c r="X51" s="532"/>
      <c r="Y51" s="532"/>
      <c r="Z51" s="532"/>
    </row>
    <row r="52" spans="2:26" ht="18" x14ac:dyDescent="0.25">
      <c r="C52" s="222" t="s">
        <v>1332</v>
      </c>
      <c r="D52" s="850">
        <v>50</v>
      </c>
      <c r="E52" s="222" t="s">
        <v>1281</v>
      </c>
      <c r="O52" s="532"/>
      <c r="P52" s="222" t="s">
        <v>1332</v>
      </c>
      <c r="Q52" s="850">
        <f>D52</f>
        <v>50</v>
      </c>
      <c r="R52" s="532" t="s">
        <v>1281</v>
      </c>
      <c r="S52" s="532"/>
      <c r="T52" s="532"/>
      <c r="U52" s="532"/>
      <c r="V52" s="532"/>
      <c r="W52" s="532"/>
      <c r="X52" s="532"/>
      <c r="Y52" s="532"/>
      <c r="Z52" s="532"/>
    </row>
    <row r="53" spans="2:26" x14ac:dyDescent="0.25">
      <c r="O53" s="532"/>
      <c r="P53" s="532"/>
      <c r="Q53" s="532"/>
      <c r="R53" s="532"/>
      <c r="S53" s="532"/>
      <c r="T53" s="532"/>
      <c r="U53" s="532"/>
      <c r="V53" s="532"/>
      <c r="W53" s="532"/>
      <c r="X53" s="532"/>
      <c r="Y53" s="532"/>
      <c r="Z53" s="532"/>
    </row>
    <row r="54" spans="2:26" x14ac:dyDescent="0.25">
      <c r="C54" s="846" t="s">
        <v>649</v>
      </c>
      <c r="D54" s="846" t="s">
        <v>1146</v>
      </c>
      <c r="E54" s="846" t="s">
        <v>1147</v>
      </c>
      <c r="F54" s="846" t="s">
        <v>1148</v>
      </c>
      <c r="G54" s="846" t="s">
        <v>1149</v>
      </c>
      <c r="H54" s="846" t="s">
        <v>1150</v>
      </c>
      <c r="I54" s="846" t="s">
        <v>1151</v>
      </c>
      <c r="J54" s="846" t="s">
        <v>1152</v>
      </c>
      <c r="K54" s="846" t="s">
        <v>1153</v>
      </c>
      <c r="L54" s="846" t="s">
        <v>1154</v>
      </c>
      <c r="M54" s="846" t="s">
        <v>1155</v>
      </c>
      <c r="O54" s="532"/>
      <c r="P54" s="853" t="s">
        <v>649</v>
      </c>
      <c r="Q54" s="853" t="s">
        <v>1146</v>
      </c>
      <c r="R54" s="853" t="s">
        <v>1147</v>
      </c>
      <c r="S54" s="853" t="s">
        <v>1148</v>
      </c>
      <c r="T54" s="853" t="s">
        <v>1149</v>
      </c>
      <c r="U54" s="853" t="s">
        <v>1150</v>
      </c>
      <c r="V54" s="853" t="s">
        <v>1151</v>
      </c>
      <c r="W54" s="853" t="s">
        <v>1152</v>
      </c>
      <c r="X54" s="853" t="s">
        <v>1153</v>
      </c>
      <c r="Y54" s="853" t="s">
        <v>1154</v>
      </c>
      <c r="Z54" s="853" t="s">
        <v>1155</v>
      </c>
    </row>
    <row r="55" spans="2:26" x14ac:dyDescent="0.25">
      <c r="C55" s="256" t="s">
        <v>1296</v>
      </c>
      <c r="D55" s="257">
        <f>'DEM EFEC'!J103</f>
        <v>1541.1397968194719</v>
      </c>
      <c r="E55" s="257">
        <f>'DEM EFEC'!K103</f>
        <v>1541.7369998142146</v>
      </c>
      <c r="F55" s="257">
        <f>'DEM EFEC'!L103</f>
        <v>1542.3344342295054</v>
      </c>
      <c r="G55" s="257">
        <f>'DEM EFEC'!M103</f>
        <v>1542.9321001550218</v>
      </c>
      <c r="H55" s="257">
        <f>'DEM EFEC'!N103</f>
        <v>1543.5299976804758</v>
      </c>
      <c r="I55" s="257">
        <f>'DEM EFEC'!O103</f>
        <v>1544.1281268956134</v>
      </c>
      <c r="J55" s="257">
        <f>'DEM EFEC'!P103</f>
        <v>1544.726487890217</v>
      </c>
      <c r="K55" s="257">
        <f>'DEM EFEC'!Q103</f>
        <v>1545.3250807541026</v>
      </c>
      <c r="L55" s="257">
        <f>'DEM EFEC'!R103</f>
        <v>1545.9239055771211</v>
      </c>
      <c r="M55" s="257">
        <f>'DEM EFEC'!S103</f>
        <v>1546.5229624491581</v>
      </c>
      <c r="O55" s="532"/>
      <c r="P55" s="421" t="s">
        <v>1296</v>
      </c>
      <c r="Q55" s="854">
        <f>'DEM EFEC'!W103</f>
        <v>1548.9215122264309</v>
      </c>
      <c r="R55" s="854">
        <f>'DEM EFEC'!X103</f>
        <v>15462.243623892022</v>
      </c>
      <c r="S55" s="854">
        <f>'DEM EFEC'!Y103</f>
        <v>0</v>
      </c>
      <c r="T55" s="854">
        <f>'DEM EFEC'!Z103</f>
        <v>970.1050096521717</v>
      </c>
      <c r="U55" s="854">
        <f>'DEM EFEC'!AA103</f>
        <v>0</v>
      </c>
      <c r="V55" s="854">
        <f>'DEM EFEC'!AB103</f>
        <v>0</v>
      </c>
      <c r="W55" s="854">
        <f>'DEM EFEC'!AC103</f>
        <v>0</v>
      </c>
      <c r="X55" s="854">
        <f>'DEM EFEC'!AD103</f>
        <v>0</v>
      </c>
      <c r="Y55" s="854">
        <f>'DEM EFEC'!AE103</f>
        <v>0</v>
      </c>
      <c r="Z55" s="854">
        <f>'DEM EFEC'!AF103</f>
        <v>0</v>
      </c>
    </row>
    <row r="56" spans="2:26" x14ac:dyDescent="0.25">
      <c r="O56" s="532"/>
      <c r="P56" s="532"/>
      <c r="Q56" s="532"/>
      <c r="R56" s="532"/>
      <c r="S56" s="532"/>
      <c r="T56" s="532"/>
      <c r="U56" s="532"/>
      <c r="V56" s="532"/>
      <c r="W56" s="532"/>
      <c r="X56" s="532"/>
      <c r="Y56" s="532"/>
      <c r="Z56" s="532"/>
    </row>
    <row r="57" spans="2:26" x14ac:dyDescent="0.25">
      <c r="O57" s="261"/>
      <c r="P57" s="261"/>
      <c r="Q57" s="261"/>
      <c r="R57" s="261"/>
      <c r="S57" s="261"/>
      <c r="T57" s="261"/>
      <c r="U57" s="261"/>
      <c r="V57" s="261"/>
      <c r="W57" s="261"/>
      <c r="X57" s="261"/>
      <c r="Y57" s="261"/>
      <c r="Z57" s="261"/>
    </row>
    <row r="58" spans="2:26" ht="36" customHeight="1" x14ac:dyDescent="0.25">
      <c r="B58" s="1940" t="s">
        <v>1336</v>
      </c>
      <c r="C58" s="1940"/>
      <c r="D58" s="1940"/>
      <c r="E58" s="1940"/>
      <c r="F58" s="1940"/>
      <c r="G58" s="1940"/>
      <c r="H58" s="1940"/>
      <c r="I58" s="1940"/>
      <c r="J58" s="1940"/>
      <c r="K58" s="1940"/>
      <c r="L58" s="1940"/>
      <c r="M58" s="1940"/>
      <c r="O58" s="1932" t="s">
        <v>1333</v>
      </c>
      <c r="P58" s="1932"/>
      <c r="Q58" s="1932"/>
      <c r="R58" s="1932"/>
      <c r="S58" s="1932"/>
      <c r="T58" s="1932"/>
      <c r="U58" s="1932"/>
      <c r="V58" s="1932"/>
      <c r="W58" s="1932"/>
      <c r="X58" s="1932"/>
      <c r="Y58" s="1932"/>
      <c r="Z58" s="1932"/>
    </row>
    <row r="60" spans="2:26" x14ac:dyDescent="0.25">
      <c r="C60" s="222" t="s">
        <v>1334</v>
      </c>
      <c r="E60" s="850">
        <v>60</v>
      </c>
      <c r="F60" s="222" t="s">
        <v>1281</v>
      </c>
      <c r="G60" s="222" t="s">
        <v>1335</v>
      </c>
      <c r="P60" s="222" t="s">
        <v>1334</v>
      </c>
      <c r="S60" s="850">
        <f>E60</f>
        <v>60</v>
      </c>
      <c r="T60" s="222" t="s">
        <v>1281</v>
      </c>
      <c r="U60" s="222" t="s">
        <v>1335</v>
      </c>
    </row>
    <row r="62" spans="2:26" x14ac:dyDescent="0.25">
      <c r="C62" s="846" t="s">
        <v>649</v>
      </c>
      <c r="D62" s="846" t="s">
        <v>1146</v>
      </c>
      <c r="E62" s="846" t="s">
        <v>1147</v>
      </c>
      <c r="F62" s="846" t="s">
        <v>1148</v>
      </c>
      <c r="G62" s="846" t="s">
        <v>1149</v>
      </c>
      <c r="H62" s="846" t="s">
        <v>1150</v>
      </c>
      <c r="I62" s="846" t="s">
        <v>1151</v>
      </c>
      <c r="J62" s="846" t="s">
        <v>1152</v>
      </c>
      <c r="K62" s="846" t="s">
        <v>1153</v>
      </c>
      <c r="L62" s="846" t="s">
        <v>1154</v>
      </c>
      <c r="M62" s="846" t="s">
        <v>1155</v>
      </c>
      <c r="P62" s="846" t="s">
        <v>649</v>
      </c>
      <c r="Q62" s="846" t="s">
        <v>1146</v>
      </c>
      <c r="R62" s="846" t="s">
        <v>1147</v>
      </c>
      <c r="S62" s="846" t="s">
        <v>1148</v>
      </c>
      <c r="T62" s="846" t="s">
        <v>1149</v>
      </c>
      <c r="U62" s="846" t="s">
        <v>1150</v>
      </c>
      <c r="V62" s="846" t="s">
        <v>1151</v>
      </c>
      <c r="W62" s="846" t="s">
        <v>1152</v>
      </c>
      <c r="X62" s="846" t="s">
        <v>1153</v>
      </c>
      <c r="Y62" s="846" t="s">
        <v>1154</v>
      </c>
      <c r="Z62" s="846" t="s">
        <v>1155</v>
      </c>
    </row>
    <row r="63" spans="2:26" ht="25.5" x14ac:dyDescent="0.25">
      <c r="C63" s="867" t="s">
        <v>1334</v>
      </c>
      <c r="D63" s="257">
        <f>'DEM - DESN'!I111</f>
        <v>1243.1500190792374</v>
      </c>
      <c r="E63" s="257">
        <f>'DEM - DESN'!J111</f>
        <v>1260.6994459591069</v>
      </c>
      <c r="F63" s="257">
        <f>'DEM - DESN'!K111</f>
        <v>1278.4966163768318</v>
      </c>
      <c r="G63" s="257">
        <f>'DEM - DESN'!L111</f>
        <v>1296.545027703635</v>
      </c>
      <c r="H63" s="257">
        <f>'DEM - DESN'!M111</f>
        <v>1314.8482266827864</v>
      </c>
      <c r="I63" s="257">
        <f>'DEM - DESN'!N111</f>
        <v>1333.4098101265822</v>
      </c>
      <c r="J63" s="257">
        <f>'DEM - DESN'!O111</f>
        <v>1352.2334256231643</v>
      </c>
      <c r="K63" s="257">
        <f>'DEM - DESN'!P111</f>
        <v>1371.3227722533211</v>
      </c>
      <c r="L63" s="257">
        <f>'DEM - DESN'!Q111</f>
        <v>1390.681601317398</v>
      </c>
      <c r="M63" s="257">
        <f>'DEM - DESN'!R111</f>
        <v>1410.3137170724829</v>
      </c>
      <c r="P63" s="867" t="s">
        <v>1334</v>
      </c>
      <c r="Q63" s="257">
        <f>D63</f>
        <v>1243.1500190792374</v>
      </c>
      <c r="R63" s="257">
        <f t="shared" ref="R63:Z63" si="0">E63</f>
        <v>1260.6994459591069</v>
      </c>
      <c r="S63" s="257">
        <f t="shared" si="0"/>
        <v>1278.4966163768318</v>
      </c>
      <c r="T63" s="257">
        <f t="shared" si="0"/>
        <v>1296.545027703635</v>
      </c>
      <c r="U63" s="257">
        <f t="shared" si="0"/>
        <v>1314.8482266827864</v>
      </c>
      <c r="V63" s="257">
        <f t="shared" si="0"/>
        <v>1333.4098101265822</v>
      </c>
      <c r="W63" s="257">
        <f t="shared" si="0"/>
        <v>1352.2334256231643</v>
      </c>
      <c r="X63" s="257">
        <f t="shared" si="0"/>
        <v>1371.3227722533211</v>
      </c>
      <c r="Y63" s="257">
        <f t="shared" si="0"/>
        <v>1390.681601317398</v>
      </c>
      <c r="Z63" s="257">
        <f t="shared" si="0"/>
        <v>1410.3137170724829</v>
      </c>
    </row>
    <row r="64" spans="2:26" x14ac:dyDescent="0.25">
      <c r="O64" s="261"/>
      <c r="P64" s="261"/>
      <c r="Q64" s="261"/>
      <c r="R64" s="261"/>
      <c r="S64" s="261"/>
      <c r="T64" s="261"/>
      <c r="U64" s="261"/>
      <c r="V64" s="261"/>
      <c r="W64" s="261"/>
      <c r="X64" s="261"/>
      <c r="Y64" s="261"/>
      <c r="Z64" s="261"/>
    </row>
    <row r="65" spans="2:26" x14ac:dyDescent="0.25">
      <c r="O65" s="261"/>
      <c r="P65" s="261"/>
      <c r="Q65" s="261"/>
      <c r="R65" s="261"/>
      <c r="S65" s="261"/>
      <c r="T65" s="261"/>
      <c r="U65" s="261"/>
      <c r="V65" s="261"/>
      <c r="W65" s="261"/>
      <c r="X65" s="261"/>
      <c r="Y65" s="261"/>
      <c r="Z65" s="261"/>
    </row>
    <row r="66" spans="2:26" ht="27.75" customHeight="1" x14ac:dyDescent="0.25">
      <c r="B66" s="1942" t="s">
        <v>1294</v>
      </c>
      <c r="C66" s="1942"/>
      <c r="D66" s="1942"/>
      <c r="E66" s="1942"/>
      <c r="F66" s="1942"/>
      <c r="G66" s="1942"/>
      <c r="H66" s="1942"/>
      <c r="I66" s="1942"/>
      <c r="J66" s="1942"/>
      <c r="K66" s="1942"/>
      <c r="L66" s="1942"/>
      <c r="M66" s="1942"/>
      <c r="O66" s="1915" t="s">
        <v>1304</v>
      </c>
      <c r="P66" s="1915"/>
      <c r="Q66" s="1915"/>
      <c r="R66" s="1915"/>
      <c r="S66" s="1915"/>
      <c r="T66" s="1915"/>
      <c r="U66" s="1915"/>
      <c r="V66" s="1915"/>
      <c r="W66" s="1915"/>
      <c r="X66" s="1915"/>
      <c r="Y66" s="1915"/>
      <c r="Z66" s="1915"/>
    </row>
    <row r="67" spans="2:26" x14ac:dyDescent="0.25">
      <c r="O67" s="261"/>
      <c r="P67" s="261"/>
      <c r="Q67" s="261"/>
      <c r="R67" s="261"/>
      <c r="S67" s="261"/>
      <c r="T67" s="261"/>
      <c r="U67" s="261"/>
      <c r="V67" s="261"/>
      <c r="W67" s="261"/>
      <c r="X67" s="261"/>
      <c r="Y67" s="261"/>
      <c r="Z67" s="261"/>
    </row>
    <row r="68" spans="2:26" x14ac:dyDescent="0.25">
      <c r="O68" s="261"/>
      <c r="P68" s="261"/>
      <c r="Q68" s="261"/>
      <c r="R68" s="261"/>
      <c r="S68" s="261"/>
      <c r="T68" s="261"/>
      <c r="U68" s="261"/>
      <c r="V68" s="261"/>
      <c r="W68" s="261"/>
      <c r="X68" s="261"/>
      <c r="Y68" s="261"/>
      <c r="Z68" s="261"/>
    </row>
    <row r="69" spans="2:26" x14ac:dyDescent="0.25">
      <c r="O69" s="261"/>
      <c r="P69" s="261"/>
      <c r="Q69" s="261"/>
      <c r="R69" s="261"/>
      <c r="S69" s="261"/>
      <c r="T69" s="261"/>
      <c r="U69" s="261"/>
      <c r="V69" s="261"/>
      <c r="W69" s="261"/>
      <c r="X69" s="261"/>
      <c r="Y69" s="261"/>
      <c r="Z69" s="261"/>
    </row>
    <row r="70" spans="2:26" x14ac:dyDescent="0.25">
      <c r="B70" s="1898" t="s">
        <v>398</v>
      </c>
      <c r="C70" s="1944" t="s">
        <v>1141</v>
      </c>
      <c r="D70" s="1890" t="s">
        <v>1156</v>
      </c>
      <c r="E70" s="1891"/>
      <c r="F70" s="1891"/>
      <c r="G70" s="1891"/>
      <c r="H70" s="1891"/>
      <c r="I70" s="1891"/>
      <c r="J70" s="1891"/>
      <c r="K70" s="1891"/>
      <c r="L70" s="1891"/>
      <c r="M70" s="1892"/>
      <c r="O70" s="1924" t="s">
        <v>398</v>
      </c>
      <c r="P70" s="1916" t="s">
        <v>1141</v>
      </c>
      <c r="Q70" s="1919" t="s">
        <v>1156</v>
      </c>
      <c r="R70" s="1920"/>
      <c r="S70" s="1920"/>
      <c r="T70" s="1920"/>
      <c r="U70" s="1920"/>
      <c r="V70" s="1920"/>
      <c r="W70" s="1920"/>
      <c r="X70" s="1920"/>
      <c r="Y70" s="1920"/>
      <c r="Z70" s="1921"/>
    </row>
    <row r="71" spans="2:26" x14ac:dyDescent="0.25">
      <c r="B71" s="1899"/>
      <c r="C71" s="1902"/>
      <c r="D71" s="748">
        <v>2024</v>
      </c>
      <c r="E71" s="748">
        <v>2025</v>
      </c>
      <c r="F71" s="748">
        <v>2026</v>
      </c>
      <c r="G71" s="748">
        <v>2027</v>
      </c>
      <c r="H71" s="748">
        <v>2028</v>
      </c>
      <c r="I71" s="748">
        <v>2029</v>
      </c>
      <c r="J71" s="748">
        <v>2030</v>
      </c>
      <c r="K71" s="748">
        <v>2031</v>
      </c>
      <c r="L71" s="748">
        <v>2032</v>
      </c>
      <c r="M71" s="748">
        <v>2033</v>
      </c>
      <c r="O71" s="1925"/>
      <c r="P71" s="1917"/>
      <c r="Q71" s="855">
        <v>2024</v>
      </c>
      <c r="R71" s="855">
        <v>2025</v>
      </c>
      <c r="S71" s="855">
        <v>2026</v>
      </c>
      <c r="T71" s="855">
        <v>2027</v>
      </c>
      <c r="U71" s="855">
        <v>2028</v>
      </c>
      <c r="V71" s="855">
        <v>2029</v>
      </c>
      <c r="W71" s="855">
        <v>2030</v>
      </c>
      <c r="X71" s="855">
        <v>2031</v>
      </c>
      <c r="Y71" s="855">
        <v>2032</v>
      </c>
      <c r="Z71" s="855">
        <v>2033</v>
      </c>
    </row>
    <row r="72" spans="2:26" x14ac:dyDescent="0.25">
      <c r="B72" s="1900"/>
      <c r="C72" s="1903"/>
      <c r="D72" s="747" t="s">
        <v>1146</v>
      </c>
      <c r="E72" s="747" t="s">
        <v>1147</v>
      </c>
      <c r="F72" s="747" t="s">
        <v>1148</v>
      </c>
      <c r="G72" s="747" t="s">
        <v>1149</v>
      </c>
      <c r="H72" s="747" t="s">
        <v>1150</v>
      </c>
      <c r="I72" s="747" t="s">
        <v>1151</v>
      </c>
      <c r="J72" s="747" t="s">
        <v>1152</v>
      </c>
      <c r="K72" s="747" t="s">
        <v>1153</v>
      </c>
      <c r="L72" s="747" t="s">
        <v>1154</v>
      </c>
      <c r="M72" s="747" t="s">
        <v>1155</v>
      </c>
      <c r="O72" s="1926"/>
      <c r="P72" s="1918"/>
      <c r="Q72" s="856" t="s">
        <v>1146</v>
      </c>
      <c r="R72" s="856" t="s">
        <v>1147</v>
      </c>
      <c r="S72" s="856" t="s">
        <v>1148</v>
      </c>
      <c r="T72" s="856" t="s">
        <v>1149</v>
      </c>
      <c r="U72" s="856" t="s">
        <v>1150</v>
      </c>
      <c r="V72" s="856" t="s">
        <v>1151</v>
      </c>
      <c r="W72" s="856" t="s">
        <v>1152</v>
      </c>
      <c r="X72" s="856" t="s">
        <v>1153</v>
      </c>
      <c r="Y72" s="856" t="s">
        <v>1154</v>
      </c>
      <c r="Z72" s="856" t="s">
        <v>1155</v>
      </c>
    </row>
    <row r="73" spans="2:26" x14ac:dyDescent="0.25">
      <c r="B73" s="740">
        <v>1</v>
      </c>
      <c r="C73" s="739" t="s">
        <v>1293</v>
      </c>
      <c r="D73" s="743">
        <v>0</v>
      </c>
      <c r="E73" s="743">
        <v>0</v>
      </c>
      <c r="F73" s="743">
        <v>0</v>
      </c>
      <c r="G73" s="743">
        <v>0</v>
      </c>
      <c r="H73" s="743">
        <v>0</v>
      </c>
      <c r="I73" s="743">
        <v>0</v>
      </c>
      <c r="J73" s="743">
        <v>0</v>
      </c>
      <c r="K73" s="743">
        <v>0</v>
      </c>
      <c r="L73" s="743">
        <v>0</v>
      </c>
      <c r="M73" s="743">
        <v>0</v>
      </c>
      <c r="O73" s="857">
        <v>1</v>
      </c>
      <c r="P73" s="858" t="s">
        <v>1293</v>
      </c>
      <c r="Q73" s="859">
        <v>0</v>
      </c>
      <c r="R73" s="859">
        <v>0</v>
      </c>
      <c r="S73" s="859">
        <v>0</v>
      </c>
      <c r="T73" s="859">
        <v>0</v>
      </c>
      <c r="U73" s="859">
        <v>0</v>
      </c>
      <c r="V73" s="859">
        <v>0</v>
      </c>
      <c r="W73" s="859">
        <v>0</v>
      </c>
      <c r="X73" s="859">
        <v>0</v>
      </c>
      <c r="Y73" s="859">
        <v>0</v>
      </c>
      <c r="Z73" s="859">
        <v>0</v>
      </c>
    </row>
    <row r="74" spans="2:26" x14ac:dyDescent="0.25">
      <c r="B74" s="740">
        <v>2</v>
      </c>
      <c r="C74" s="739" t="s">
        <v>1291</v>
      </c>
      <c r="D74" s="743">
        <v>0</v>
      </c>
      <c r="E74" s="743">
        <v>0</v>
      </c>
      <c r="F74" s="743">
        <v>0</v>
      </c>
      <c r="G74" s="743">
        <v>0</v>
      </c>
      <c r="H74" s="743">
        <v>0</v>
      </c>
      <c r="I74" s="743">
        <v>0</v>
      </c>
      <c r="J74" s="743">
        <v>0</v>
      </c>
      <c r="K74" s="743">
        <v>0</v>
      </c>
      <c r="L74" s="743">
        <v>0</v>
      </c>
      <c r="M74" s="743">
        <v>0</v>
      </c>
      <c r="O74" s="857">
        <v>2</v>
      </c>
      <c r="P74" s="858" t="s">
        <v>1291</v>
      </c>
      <c r="Q74" s="859">
        <v>0</v>
      </c>
      <c r="R74" s="859">
        <v>0</v>
      </c>
      <c r="S74" s="859">
        <v>0</v>
      </c>
      <c r="T74" s="859">
        <v>0</v>
      </c>
      <c r="U74" s="859">
        <v>0</v>
      </c>
      <c r="V74" s="859">
        <v>0</v>
      </c>
      <c r="W74" s="859">
        <v>0</v>
      </c>
      <c r="X74" s="859">
        <v>0</v>
      </c>
      <c r="Y74" s="859">
        <v>0</v>
      </c>
      <c r="Z74" s="859">
        <v>0</v>
      </c>
    </row>
    <row r="75" spans="2:26" x14ac:dyDescent="0.25">
      <c r="B75" s="740">
        <v>3</v>
      </c>
      <c r="C75" s="739" t="s">
        <v>1297</v>
      </c>
      <c r="D75" s="743">
        <v>0</v>
      </c>
      <c r="E75" s="743">
        <v>0</v>
      </c>
      <c r="F75" s="743">
        <v>0</v>
      </c>
      <c r="G75" s="743">
        <v>0</v>
      </c>
      <c r="H75" s="743">
        <v>0</v>
      </c>
      <c r="I75" s="743">
        <v>0</v>
      </c>
      <c r="J75" s="743">
        <v>0</v>
      </c>
      <c r="K75" s="743">
        <v>0</v>
      </c>
      <c r="L75" s="743">
        <v>0</v>
      </c>
      <c r="M75" s="743">
        <v>0</v>
      </c>
      <c r="O75" s="857">
        <v>3</v>
      </c>
      <c r="P75" s="860" t="s">
        <v>1297</v>
      </c>
      <c r="Q75" s="859">
        <v>0</v>
      </c>
      <c r="R75" s="859">
        <v>0</v>
      </c>
      <c r="S75" s="859">
        <v>0</v>
      </c>
      <c r="T75" s="859">
        <v>0</v>
      </c>
      <c r="U75" s="859">
        <v>0</v>
      </c>
      <c r="V75" s="859">
        <v>0</v>
      </c>
      <c r="W75" s="859">
        <v>0</v>
      </c>
      <c r="X75" s="859">
        <v>0</v>
      </c>
      <c r="Y75" s="859">
        <v>0</v>
      </c>
      <c r="Z75" s="859">
        <v>0</v>
      </c>
    </row>
    <row r="76" spans="2:26" x14ac:dyDescent="0.25">
      <c r="B76" s="740">
        <v>4</v>
      </c>
      <c r="C76" s="739" t="s">
        <v>1337</v>
      </c>
      <c r="D76" s="743">
        <v>0</v>
      </c>
      <c r="E76" s="743">
        <v>0</v>
      </c>
      <c r="F76" s="743">
        <v>0</v>
      </c>
      <c r="G76" s="743">
        <v>0</v>
      </c>
      <c r="H76" s="743">
        <v>0</v>
      </c>
      <c r="I76" s="743">
        <v>0</v>
      </c>
      <c r="J76" s="743">
        <v>0</v>
      </c>
      <c r="K76" s="743">
        <v>0</v>
      </c>
      <c r="L76" s="743">
        <v>0</v>
      </c>
      <c r="M76" s="743">
        <v>0</v>
      </c>
      <c r="O76" s="740">
        <v>4</v>
      </c>
      <c r="P76" s="739" t="s">
        <v>1337</v>
      </c>
      <c r="Q76" s="859">
        <v>0</v>
      </c>
      <c r="R76" s="859">
        <v>0</v>
      </c>
      <c r="S76" s="859">
        <v>0</v>
      </c>
      <c r="T76" s="859">
        <v>0</v>
      </c>
      <c r="U76" s="859">
        <v>0</v>
      </c>
      <c r="V76" s="859">
        <v>0</v>
      </c>
      <c r="W76" s="859">
        <v>0</v>
      </c>
      <c r="X76" s="859">
        <v>0</v>
      </c>
      <c r="Y76" s="859">
        <v>0</v>
      </c>
      <c r="Z76" s="859">
        <v>0</v>
      </c>
    </row>
    <row r="77" spans="2:26" ht="12.75" customHeight="1" x14ac:dyDescent="0.25">
      <c r="B77" s="759" t="s">
        <v>1285</v>
      </c>
      <c r="C77" s="739"/>
      <c r="D77" s="799">
        <f>SUM(D73:D74)</f>
        <v>0</v>
      </c>
      <c r="E77" s="799">
        <f t="shared" ref="E77:M77" si="1">SUM(E73:E74)</f>
        <v>0</v>
      </c>
      <c r="F77" s="799">
        <f t="shared" si="1"/>
        <v>0</v>
      </c>
      <c r="G77" s="799">
        <f t="shared" si="1"/>
        <v>0</v>
      </c>
      <c r="H77" s="799">
        <f t="shared" si="1"/>
        <v>0</v>
      </c>
      <c r="I77" s="799">
        <f t="shared" si="1"/>
        <v>0</v>
      </c>
      <c r="J77" s="799">
        <f t="shared" si="1"/>
        <v>0</v>
      </c>
      <c r="K77" s="799">
        <f t="shared" si="1"/>
        <v>0</v>
      </c>
      <c r="L77" s="799">
        <f t="shared" si="1"/>
        <v>0</v>
      </c>
      <c r="M77" s="799">
        <f t="shared" si="1"/>
        <v>0</v>
      </c>
      <c r="O77" s="1910" t="s">
        <v>1285</v>
      </c>
      <c r="P77" s="1911"/>
      <c r="Q77" s="861">
        <f t="shared" ref="Q77:Z77" si="2">SUM(Q73:Q74)</f>
        <v>0</v>
      </c>
      <c r="R77" s="861">
        <f t="shared" si="2"/>
        <v>0</v>
      </c>
      <c r="S77" s="861">
        <f t="shared" si="2"/>
        <v>0</v>
      </c>
      <c r="T77" s="861">
        <f t="shared" si="2"/>
        <v>0</v>
      </c>
      <c r="U77" s="861">
        <f t="shared" si="2"/>
        <v>0</v>
      </c>
      <c r="V77" s="861">
        <f t="shared" si="2"/>
        <v>0</v>
      </c>
      <c r="W77" s="861">
        <f t="shared" si="2"/>
        <v>0</v>
      </c>
      <c r="X77" s="861">
        <f t="shared" si="2"/>
        <v>0</v>
      </c>
      <c r="Y77" s="861">
        <f t="shared" si="2"/>
        <v>0</v>
      </c>
      <c r="Z77" s="861">
        <f t="shared" si="2"/>
        <v>0</v>
      </c>
    </row>
    <row r="78" spans="2:26" x14ac:dyDescent="0.25">
      <c r="O78" s="261"/>
      <c r="P78" s="261"/>
      <c r="Q78" s="261"/>
      <c r="R78" s="261"/>
      <c r="S78" s="261"/>
      <c r="T78" s="261"/>
      <c r="U78" s="261"/>
      <c r="V78" s="261"/>
      <c r="W78" s="261"/>
      <c r="X78" s="261"/>
      <c r="Y78" s="261"/>
      <c r="Z78" s="261"/>
    </row>
    <row r="79" spans="2:26" x14ac:dyDescent="0.25">
      <c r="O79" s="261"/>
      <c r="P79" s="261"/>
      <c r="Q79" s="261"/>
      <c r="R79" s="261"/>
      <c r="S79" s="261"/>
      <c r="T79" s="261"/>
      <c r="U79" s="261"/>
      <c r="V79" s="261"/>
      <c r="W79" s="261"/>
      <c r="X79" s="261"/>
      <c r="Y79" s="261"/>
      <c r="Z79" s="261"/>
    </row>
    <row r="80" spans="2:26" ht="27.75" customHeight="1" x14ac:dyDescent="0.25">
      <c r="B80" s="1943" t="s">
        <v>1287</v>
      </c>
      <c r="C80" s="1943"/>
      <c r="D80" s="1943"/>
      <c r="E80" s="1943"/>
      <c r="F80" s="1943"/>
      <c r="G80" s="1943"/>
      <c r="H80" s="1943"/>
      <c r="I80" s="1943"/>
      <c r="J80" s="1943"/>
      <c r="K80" s="1943"/>
      <c r="L80" s="1943"/>
      <c r="M80" s="1943"/>
      <c r="O80" s="1922" t="s">
        <v>1303</v>
      </c>
      <c r="P80" s="1922"/>
      <c r="Q80" s="1922"/>
      <c r="R80" s="1922"/>
      <c r="S80" s="1922"/>
      <c r="T80" s="1922"/>
      <c r="U80" s="1922"/>
      <c r="V80" s="1922"/>
      <c r="W80" s="1922"/>
      <c r="X80" s="1922"/>
      <c r="Y80" s="1922"/>
      <c r="Z80" s="1922"/>
    </row>
    <row r="81" spans="2:26" x14ac:dyDescent="0.25">
      <c r="O81" s="532"/>
      <c r="P81" s="532"/>
      <c r="Q81" s="532"/>
      <c r="R81" s="532"/>
      <c r="S81" s="532"/>
      <c r="T81" s="532"/>
      <c r="U81" s="532"/>
      <c r="V81" s="532"/>
      <c r="W81" s="532"/>
      <c r="X81" s="532"/>
      <c r="Y81" s="532"/>
      <c r="Z81" s="532"/>
    </row>
    <row r="82" spans="2:26" x14ac:dyDescent="0.25">
      <c r="O82" s="532"/>
      <c r="P82" s="532"/>
      <c r="Q82" s="532"/>
      <c r="R82" s="532"/>
      <c r="S82" s="532"/>
      <c r="T82" s="532"/>
      <c r="U82" s="532"/>
      <c r="V82" s="532"/>
      <c r="W82" s="532"/>
      <c r="X82" s="532"/>
      <c r="Y82" s="532"/>
      <c r="Z82" s="532"/>
    </row>
    <row r="83" spans="2:26" x14ac:dyDescent="0.25">
      <c r="O83" s="532"/>
      <c r="P83" s="532"/>
      <c r="Q83" s="532"/>
      <c r="R83" s="532"/>
      <c r="S83" s="532"/>
      <c r="T83" s="532"/>
      <c r="U83" s="532"/>
      <c r="V83" s="532"/>
      <c r="W83" s="532"/>
      <c r="X83" s="532"/>
      <c r="Y83" s="532"/>
      <c r="Z83" s="532"/>
    </row>
    <row r="84" spans="2:26" x14ac:dyDescent="0.25">
      <c r="O84" s="532"/>
      <c r="P84" s="532"/>
      <c r="Q84" s="532"/>
      <c r="R84" s="532"/>
      <c r="S84" s="532"/>
      <c r="T84" s="532"/>
      <c r="U84" s="532"/>
      <c r="V84" s="532"/>
      <c r="W84" s="532"/>
      <c r="X84" s="532"/>
      <c r="Y84" s="532"/>
      <c r="Z84" s="532"/>
    </row>
    <row r="85" spans="2:26" x14ac:dyDescent="0.25">
      <c r="B85" s="1898" t="s">
        <v>398</v>
      </c>
      <c r="C85" s="1901" t="s">
        <v>1141</v>
      </c>
      <c r="D85" s="1890" t="s">
        <v>1156</v>
      </c>
      <c r="E85" s="1891"/>
      <c r="F85" s="1891"/>
      <c r="G85" s="1891"/>
      <c r="H85" s="1891"/>
      <c r="I85" s="1891"/>
      <c r="J85" s="1891"/>
      <c r="K85" s="1891"/>
      <c r="L85" s="1891"/>
      <c r="M85" s="1892"/>
      <c r="O85" s="1924" t="s">
        <v>398</v>
      </c>
      <c r="P85" s="1923" t="s">
        <v>1141</v>
      </c>
      <c r="Q85" s="1919" t="s">
        <v>1156</v>
      </c>
      <c r="R85" s="1920"/>
      <c r="S85" s="1920"/>
      <c r="T85" s="1920"/>
      <c r="U85" s="1920"/>
      <c r="V85" s="1920"/>
      <c r="W85" s="1920"/>
      <c r="X85" s="1920"/>
      <c r="Y85" s="1920"/>
      <c r="Z85" s="1921"/>
    </row>
    <row r="86" spans="2:26" x14ac:dyDescent="0.25">
      <c r="B86" s="1899"/>
      <c r="C86" s="1902"/>
      <c r="D86" s="747">
        <v>2024</v>
      </c>
      <c r="E86" s="747">
        <v>2025</v>
      </c>
      <c r="F86" s="747">
        <v>2026</v>
      </c>
      <c r="G86" s="747">
        <v>2027</v>
      </c>
      <c r="H86" s="747">
        <v>2028</v>
      </c>
      <c r="I86" s="747">
        <v>2029</v>
      </c>
      <c r="J86" s="747">
        <v>2030</v>
      </c>
      <c r="K86" s="747">
        <v>2031</v>
      </c>
      <c r="L86" s="747">
        <v>2032</v>
      </c>
      <c r="M86" s="747">
        <v>2033</v>
      </c>
      <c r="O86" s="1925"/>
      <c r="P86" s="1917"/>
      <c r="Q86" s="856">
        <v>2024</v>
      </c>
      <c r="R86" s="856">
        <v>2025</v>
      </c>
      <c r="S86" s="856">
        <v>2026</v>
      </c>
      <c r="T86" s="856">
        <v>2027</v>
      </c>
      <c r="U86" s="856">
        <v>2028</v>
      </c>
      <c r="V86" s="856">
        <v>2029</v>
      </c>
      <c r="W86" s="856">
        <v>2030</v>
      </c>
      <c r="X86" s="856">
        <v>2031</v>
      </c>
      <c r="Y86" s="856">
        <v>2032</v>
      </c>
      <c r="Z86" s="856">
        <v>2033</v>
      </c>
    </row>
    <row r="87" spans="2:26" x14ac:dyDescent="0.25">
      <c r="B87" s="1900"/>
      <c r="C87" s="1903"/>
      <c r="D87" s="747" t="s">
        <v>1146</v>
      </c>
      <c r="E87" s="747" t="s">
        <v>1147</v>
      </c>
      <c r="F87" s="747" t="s">
        <v>1148</v>
      </c>
      <c r="G87" s="747" t="s">
        <v>1149</v>
      </c>
      <c r="H87" s="747" t="s">
        <v>1150</v>
      </c>
      <c r="I87" s="747" t="s">
        <v>1151</v>
      </c>
      <c r="J87" s="747" t="s">
        <v>1152</v>
      </c>
      <c r="K87" s="747" t="s">
        <v>1153</v>
      </c>
      <c r="L87" s="747" t="s">
        <v>1154</v>
      </c>
      <c r="M87" s="747" t="s">
        <v>1155</v>
      </c>
      <c r="O87" s="1926"/>
      <c r="P87" s="1918"/>
      <c r="Q87" s="856" t="s">
        <v>1146</v>
      </c>
      <c r="R87" s="856" t="s">
        <v>1147</v>
      </c>
      <c r="S87" s="856" t="s">
        <v>1148</v>
      </c>
      <c r="T87" s="856" t="s">
        <v>1149</v>
      </c>
      <c r="U87" s="856" t="s">
        <v>1150</v>
      </c>
      <c r="V87" s="856" t="s">
        <v>1151</v>
      </c>
      <c r="W87" s="856" t="s">
        <v>1152</v>
      </c>
      <c r="X87" s="856" t="s">
        <v>1153</v>
      </c>
      <c r="Y87" s="856" t="s">
        <v>1154</v>
      </c>
      <c r="Z87" s="856" t="s">
        <v>1155</v>
      </c>
    </row>
    <row r="88" spans="2:26" x14ac:dyDescent="0.25">
      <c r="B88" s="847">
        <v>1</v>
      </c>
      <c r="C88" s="756" t="s">
        <v>1288</v>
      </c>
      <c r="D88" s="799">
        <f>D89*D90</f>
        <v>1150000</v>
      </c>
      <c r="E88" s="799">
        <f t="shared" ref="E88:M88" si="3">E89*E90</f>
        <v>1380000</v>
      </c>
      <c r="F88" s="799">
        <f t="shared" si="3"/>
        <v>1610000</v>
      </c>
      <c r="G88" s="799">
        <f t="shared" si="3"/>
        <v>1840000</v>
      </c>
      <c r="H88" s="799">
        <f t="shared" si="3"/>
        <v>2070000</v>
      </c>
      <c r="I88" s="799">
        <f t="shared" si="3"/>
        <v>2300000</v>
      </c>
      <c r="J88" s="799">
        <f t="shared" si="3"/>
        <v>2300000</v>
      </c>
      <c r="K88" s="799">
        <f t="shared" si="3"/>
        <v>2300000</v>
      </c>
      <c r="L88" s="799">
        <f t="shared" si="3"/>
        <v>2300000</v>
      </c>
      <c r="M88" s="799">
        <f t="shared" si="3"/>
        <v>2300000</v>
      </c>
      <c r="O88" s="862">
        <v>1</v>
      </c>
      <c r="P88" s="863" t="s">
        <v>1288</v>
      </c>
      <c r="Q88" s="861">
        <f t="shared" ref="Q88:Z88" si="4">Q89*Q90</f>
        <v>1150000</v>
      </c>
      <c r="R88" s="861">
        <f t="shared" si="4"/>
        <v>1380000</v>
      </c>
      <c r="S88" s="861">
        <f t="shared" si="4"/>
        <v>1610000</v>
      </c>
      <c r="T88" s="861">
        <f t="shared" si="4"/>
        <v>1840000</v>
      </c>
      <c r="U88" s="861">
        <f t="shared" si="4"/>
        <v>2070000</v>
      </c>
      <c r="V88" s="861">
        <f t="shared" si="4"/>
        <v>2300000</v>
      </c>
      <c r="W88" s="861">
        <f t="shared" si="4"/>
        <v>2300000</v>
      </c>
      <c r="X88" s="861">
        <f t="shared" si="4"/>
        <v>2300000</v>
      </c>
      <c r="Y88" s="861">
        <f t="shared" si="4"/>
        <v>2300000</v>
      </c>
      <c r="Z88" s="861">
        <f t="shared" si="4"/>
        <v>2300000</v>
      </c>
    </row>
    <row r="89" spans="2:26" x14ac:dyDescent="0.25">
      <c r="B89" s="1881"/>
      <c r="C89" s="739" t="s">
        <v>1289</v>
      </c>
      <c r="D89" s="1051">
        <f>E10*0.5</f>
        <v>5000</v>
      </c>
      <c r="E89" s="1051">
        <f>E10*0.6</f>
        <v>6000</v>
      </c>
      <c r="F89" s="1051">
        <f>E10*0.7</f>
        <v>7000</v>
      </c>
      <c r="G89" s="1051">
        <f>E10*0.8</f>
        <v>8000</v>
      </c>
      <c r="H89" s="1051">
        <f>E10*0.9</f>
        <v>9000</v>
      </c>
      <c r="I89" s="743">
        <f>E10</f>
        <v>10000</v>
      </c>
      <c r="J89" s="743">
        <f>I89</f>
        <v>10000</v>
      </c>
      <c r="K89" s="743">
        <f>J89</f>
        <v>10000</v>
      </c>
      <c r="L89" s="743">
        <f>K89</f>
        <v>10000</v>
      </c>
      <c r="M89" s="743">
        <f>L89</f>
        <v>10000</v>
      </c>
      <c r="O89" s="1927"/>
      <c r="P89" s="858" t="s">
        <v>1289</v>
      </c>
      <c r="Q89" s="1051">
        <f>E10*0.5</f>
        <v>5000</v>
      </c>
      <c r="R89" s="1051">
        <f>E10*0.6</f>
        <v>6000</v>
      </c>
      <c r="S89" s="1051">
        <f>E10*0.7</f>
        <v>7000</v>
      </c>
      <c r="T89" s="1051">
        <f>E10*0.8</f>
        <v>8000</v>
      </c>
      <c r="U89" s="1051">
        <f>E10*0.9</f>
        <v>9000</v>
      </c>
      <c r="V89" s="859">
        <f>E10</f>
        <v>10000</v>
      </c>
      <c r="W89" s="859">
        <f>V89</f>
        <v>10000</v>
      </c>
      <c r="X89" s="859">
        <f>W89</f>
        <v>10000</v>
      </c>
      <c r="Y89" s="859">
        <f>X89</f>
        <v>10000</v>
      </c>
      <c r="Z89" s="859">
        <f>Y89</f>
        <v>10000</v>
      </c>
    </row>
    <row r="90" spans="2:26" x14ac:dyDescent="0.25">
      <c r="B90" s="1883"/>
      <c r="C90" s="739" t="s">
        <v>1290</v>
      </c>
      <c r="D90" s="743">
        <f>D37</f>
        <v>230</v>
      </c>
      <c r="E90" s="743">
        <f>D90</f>
        <v>230</v>
      </c>
      <c r="F90" s="743">
        <f t="shared" ref="F90:M90" si="5">E90</f>
        <v>230</v>
      </c>
      <c r="G90" s="743">
        <f t="shared" si="5"/>
        <v>230</v>
      </c>
      <c r="H90" s="743">
        <f t="shared" si="5"/>
        <v>230</v>
      </c>
      <c r="I90" s="743">
        <f t="shared" si="5"/>
        <v>230</v>
      </c>
      <c r="J90" s="743">
        <f t="shared" si="5"/>
        <v>230</v>
      </c>
      <c r="K90" s="743">
        <f t="shared" si="5"/>
        <v>230</v>
      </c>
      <c r="L90" s="743">
        <f t="shared" si="5"/>
        <v>230</v>
      </c>
      <c r="M90" s="743">
        <f t="shared" si="5"/>
        <v>230</v>
      </c>
      <c r="O90" s="1928"/>
      <c r="P90" s="858" t="s">
        <v>1290</v>
      </c>
      <c r="Q90" s="859">
        <f>Q37</f>
        <v>230</v>
      </c>
      <c r="R90" s="859">
        <f>Q90</f>
        <v>230</v>
      </c>
      <c r="S90" s="859">
        <f t="shared" ref="S90:Z90" si="6">R90</f>
        <v>230</v>
      </c>
      <c r="T90" s="859">
        <f t="shared" si="6"/>
        <v>230</v>
      </c>
      <c r="U90" s="859">
        <f t="shared" si="6"/>
        <v>230</v>
      </c>
      <c r="V90" s="859">
        <f t="shared" si="6"/>
        <v>230</v>
      </c>
      <c r="W90" s="859">
        <f t="shared" si="6"/>
        <v>230</v>
      </c>
      <c r="X90" s="859">
        <f t="shared" si="6"/>
        <v>230</v>
      </c>
      <c r="Y90" s="859">
        <f t="shared" si="6"/>
        <v>230</v>
      </c>
      <c r="Z90" s="859">
        <f t="shared" si="6"/>
        <v>230</v>
      </c>
    </row>
    <row r="91" spans="2:26" x14ac:dyDescent="0.25">
      <c r="B91" s="847">
        <v>2</v>
      </c>
      <c r="C91" s="756" t="s">
        <v>1291</v>
      </c>
      <c r="D91" s="799">
        <f>D92*D93</f>
        <v>30000</v>
      </c>
      <c r="E91" s="799">
        <f t="shared" ref="E91:M91" si="7">E92*E93</f>
        <v>30000</v>
      </c>
      <c r="F91" s="799">
        <f t="shared" si="7"/>
        <v>30000</v>
      </c>
      <c r="G91" s="799">
        <f t="shared" si="7"/>
        <v>30000</v>
      </c>
      <c r="H91" s="799">
        <f t="shared" si="7"/>
        <v>30000</v>
      </c>
      <c r="I91" s="799">
        <f t="shared" si="7"/>
        <v>30000</v>
      </c>
      <c r="J91" s="799">
        <f t="shared" si="7"/>
        <v>30000</v>
      </c>
      <c r="K91" s="799">
        <f t="shared" si="7"/>
        <v>30000</v>
      </c>
      <c r="L91" s="799">
        <f t="shared" si="7"/>
        <v>30000</v>
      </c>
      <c r="M91" s="799">
        <f t="shared" si="7"/>
        <v>30000</v>
      </c>
      <c r="O91" s="862">
        <v>2</v>
      </c>
      <c r="P91" s="863" t="s">
        <v>1291</v>
      </c>
      <c r="Q91" s="861">
        <f t="shared" ref="Q91:Z91" si="8">Q92*Q93</f>
        <v>30000</v>
      </c>
      <c r="R91" s="861">
        <f t="shared" si="8"/>
        <v>30000</v>
      </c>
      <c r="S91" s="861">
        <f t="shared" si="8"/>
        <v>30000</v>
      </c>
      <c r="T91" s="861">
        <f t="shared" si="8"/>
        <v>30000</v>
      </c>
      <c r="U91" s="861">
        <f t="shared" si="8"/>
        <v>30000</v>
      </c>
      <c r="V91" s="861">
        <f t="shared" si="8"/>
        <v>30000</v>
      </c>
      <c r="W91" s="861">
        <f t="shared" si="8"/>
        <v>30000</v>
      </c>
      <c r="X91" s="861">
        <f t="shared" si="8"/>
        <v>30000</v>
      </c>
      <c r="Y91" s="861">
        <f t="shared" si="8"/>
        <v>30000</v>
      </c>
      <c r="Z91" s="861">
        <f t="shared" si="8"/>
        <v>30000</v>
      </c>
    </row>
    <row r="92" spans="2:26" ht="15" customHeight="1" x14ac:dyDescent="0.25">
      <c r="B92" s="1881"/>
      <c r="C92" s="739" t="s">
        <v>1292</v>
      </c>
      <c r="D92" s="743">
        <f>D45</f>
        <v>500</v>
      </c>
      <c r="E92" s="743">
        <f>D92</f>
        <v>500</v>
      </c>
      <c r="F92" s="743">
        <f t="shared" ref="F92:M92" si="9">E92</f>
        <v>500</v>
      </c>
      <c r="G92" s="743">
        <f t="shared" si="9"/>
        <v>500</v>
      </c>
      <c r="H92" s="743">
        <f t="shared" si="9"/>
        <v>500</v>
      </c>
      <c r="I92" s="743">
        <f t="shared" si="9"/>
        <v>500</v>
      </c>
      <c r="J92" s="743">
        <f t="shared" si="9"/>
        <v>500</v>
      </c>
      <c r="K92" s="743">
        <f t="shared" si="9"/>
        <v>500</v>
      </c>
      <c r="L92" s="743">
        <f t="shared" si="9"/>
        <v>500</v>
      </c>
      <c r="M92" s="743">
        <f t="shared" si="9"/>
        <v>500</v>
      </c>
      <c r="O92" s="1927"/>
      <c r="P92" s="858" t="s">
        <v>1292</v>
      </c>
      <c r="Q92" s="859">
        <f>Q45</f>
        <v>500</v>
      </c>
      <c r="R92" s="859">
        <f>Q92</f>
        <v>500</v>
      </c>
      <c r="S92" s="859">
        <f t="shared" ref="S92:Z92" si="10">R92</f>
        <v>500</v>
      </c>
      <c r="T92" s="859">
        <f t="shared" si="10"/>
        <v>500</v>
      </c>
      <c r="U92" s="859">
        <f t="shared" si="10"/>
        <v>500</v>
      </c>
      <c r="V92" s="859">
        <f t="shared" si="10"/>
        <v>500</v>
      </c>
      <c r="W92" s="859">
        <f t="shared" si="10"/>
        <v>500</v>
      </c>
      <c r="X92" s="859">
        <f t="shared" si="10"/>
        <v>500</v>
      </c>
      <c r="Y92" s="859">
        <f t="shared" si="10"/>
        <v>500</v>
      </c>
      <c r="Z92" s="859">
        <f t="shared" si="10"/>
        <v>500</v>
      </c>
    </row>
    <row r="93" spans="2:26" x14ac:dyDescent="0.25">
      <c r="B93" s="1883"/>
      <c r="C93" s="739" t="s">
        <v>1286</v>
      </c>
      <c r="D93" s="743">
        <f>D47</f>
        <v>60</v>
      </c>
      <c r="E93" s="743">
        <f>D93</f>
        <v>60</v>
      </c>
      <c r="F93" s="743">
        <f t="shared" ref="F93:M93" si="11">E93</f>
        <v>60</v>
      </c>
      <c r="G93" s="743">
        <f t="shared" si="11"/>
        <v>60</v>
      </c>
      <c r="H93" s="743">
        <f t="shared" si="11"/>
        <v>60</v>
      </c>
      <c r="I93" s="743">
        <f t="shared" si="11"/>
        <v>60</v>
      </c>
      <c r="J93" s="743">
        <f t="shared" si="11"/>
        <v>60</v>
      </c>
      <c r="K93" s="743">
        <f t="shared" si="11"/>
        <v>60</v>
      </c>
      <c r="L93" s="743">
        <f t="shared" si="11"/>
        <v>60</v>
      </c>
      <c r="M93" s="743">
        <f t="shared" si="11"/>
        <v>60</v>
      </c>
      <c r="O93" s="1928"/>
      <c r="P93" s="858" t="s">
        <v>1286</v>
      </c>
      <c r="Q93" s="859">
        <f>Q47</f>
        <v>60</v>
      </c>
      <c r="R93" s="859">
        <f>Q93</f>
        <v>60</v>
      </c>
      <c r="S93" s="859">
        <f t="shared" ref="S93:Z93" si="12">R93</f>
        <v>60</v>
      </c>
      <c r="T93" s="859">
        <f t="shared" si="12"/>
        <v>60</v>
      </c>
      <c r="U93" s="859">
        <f t="shared" si="12"/>
        <v>60</v>
      </c>
      <c r="V93" s="859">
        <f t="shared" si="12"/>
        <v>60</v>
      </c>
      <c r="W93" s="859">
        <f t="shared" si="12"/>
        <v>60</v>
      </c>
      <c r="X93" s="859">
        <f t="shared" si="12"/>
        <v>60</v>
      </c>
      <c r="Y93" s="859">
        <f t="shared" si="12"/>
        <v>60</v>
      </c>
      <c r="Z93" s="859">
        <f t="shared" si="12"/>
        <v>60</v>
      </c>
    </row>
    <row r="94" spans="2:26" x14ac:dyDescent="0.25">
      <c r="B94" s="847">
        <v>3</v>
      </c>
      <c r="C94" s="845" t="s">
        <v>1298</v>
      </c>
      <c r="D94" s="799">
        <f>D95*D96*D97</f>
        <v>924683.87809168315</v>
      </c>
      <c r="E94" s="799">
        <f t="shared" ref="E94:M94" si="13">E95*E96*E97</f>
        <v>925042.19988852879</v>
      </c>
      <c r="F94" s="799">
        <f t="shared" si="13"/>
        <v>925400.6605377032</v>
      </c>
      <c r="G94" s="799">
        <f t="shared" si="13"/>
        <v>925759.26009301306</v>
      </c>
      <c r="H94" s="799">
        <f t="shared" si="13"/>
        <v>926117.99860828556</v>
      </c>
      <c r="I94" s="799">
        <f t="shared" si="13"/>
        <v>926476.87613736803</v>
      </c>
      <c r="J94" s="799">
        <f t="shared" si="13"/>
        <v>926835.89273413026</v>
      </c>
      <c r="K94" s="799">
        <f t="shared" si="13"/>
        <v>927195.0484524616</v>
      </c>
      <c r="L94" s="799">
        <f t="shared" si="13"/>
        <v>927554.34334627271</v>
      </c>
      <c r="M94" s="799">
        <f t="shared" si="13"/>
        <v>927913.77746949485</v>
      </c>
      <c r="O94" s="862">
        <v>3</v>
      </c>
      <c r="P94" s="864" t="s">
        <v>1298</v>
      </c>
      <c r="Q94" s="861">
        <f t="shared" ref="Q94:Z94" si="14">Q95*Q96*Q97</f>
        <v>924683.87809168315</v>
      </c>
      <c r="R94" s="861">
        <f t="shared" si="14"/>
        <v>925042.19988852879</v>
      </c>
      <c r="S94" s="861">
        <f t="shared" si="14"/>
        <v>925400.6605377032</v>
      </c>
      <c r="T94" s="861">
        <f t="shared" si="14"/>
        <v>925759.26009301306</v>
      </c>
      <c r="U94" s="861">
        <f t="shared" si="14"/>
        <v>926117.99860828556</v>
      </c>
      <c r="V94" s="861">
        <f t="shared" si="14"/>
        <v>926476.87613736803</v>
      </c>
      <c r="W94" s="861">
        <f t="shared" si="14"/>
        <v>926835.89273413026</v>
      </c>
      <c r="X94" s="861">
        <f t="shared" si="14"/>
        <v>927195.0484524616</v>
      </c>
      <c r="Y94" s="861">
        <f t="shared" si="14"/>
        <v>927554.34334627271</v>
      </c>
      <c r="Z94" s="861">
        <f t="shared" si="14"/>
        <v>927913.77746949485</v>
      </c>
    </row>
    <row r="95" spans="2:26" x14ac:dyDescent="0.25">
      <c r="B95" s="1934"/>
      <c r="C95" s="848" t="s">
        <v>1299</v>
      </c>
      <c r="D95" s="849">
        <f t="shared" ref="D95:M95" si="15">D55</f>
        <v>1541.1397968194719</v>
      </c>
      <c r="E95" s="849">
        <f t="shared" si="15"/>
        <v>1541.7369998142146</v>
      </c>
      <c r="F95" s="849">
        <f t="shared" si="15"/>
        <v>1542.3344342295054</v>
      </c>
      <c r="G95" s="849">
        <f t="shared" si="15"/>
        <v>1542.9321001550218</v>
      </c>
      <c r="H95" s="849">
        <f t="shared" si="15"/>
        <v>1543.5299976804758</v>
      </c>
      <c r="I95" s="849">
        <f t="shared" si="15"/>
        <v>1544.1281268956134</v>
      </c>
      <c r="J95" s="849">
        <f t="shared" si="15"/>
        <v>1544.726487890217</v>
      </c>
      <c r="K95" s="849">
        <f t="shared" si="15"/>
        <v>1545.3250807541026</v>
      </c>
      <c r="L95" s="849">
        <f t="shared" si="15"/>
        <v>1545.9239055771211</v>
      </c>
      <c r="M95" s="849">
        <f t="shared" si="15"/>
        <v>1546.5229624491581</v>
      </c>
      <c r="O95" s="1929"/>
      <c r="P95" s="860" t="s">
        <v>1299</v>
      </c>
      <c r="Q95" s="865">
        <f t="shared" ref="Q95:Z95" si="16">D55</f>
        <v>1541.1397968194719</v>
      </c>
      <c r="R95" s="865">
        <f t="shared" si="16"/>
        <v>1541.7369998142146</v>
      </c>
      <c r="S95" s="865">
        <f t="shared" si="16"/>
        <v>1542.3344342295054</v>
      </c>
      <c r="T95" s="865">
        <f t="shared" si="16"/>
        <v>1542.9321001550218</v>
      </c>
      <c r="U95" s="865">
        <f t="shared" si="16"/>
        <v>1543.5299976804758</v>
      </c>
      <c r="V95" s="865">
        <f t="shared" si="16"/>
        <v>1544.1281268956134</v>
      </c>
      <c r="W95" s="865">
        <f t="shared" si="16"/>
        <v>1544.726487890217</v>
      </c>
      <c r="X95" s="865">
        <f t="shared" si="16"/>
        <v>1545.3250807541026</v>
      </c>
      <c r="Y95" s="865">
        <f t="shared" si="16"/>
        <v>1545.9239055771211</v>
      </c>
      <c r="Z95" s="865">
        <f t="shared" si="16"/>
        <v>1546.5229624491581</v>
      </c>
    </row>
    <row r="96" spans="2:26" x14ac:dyDescent="0.25">
      <c r="B96" s="1935"/>
      <c r="C96" s="848" t="s">
        <v>1300</v>
      </c>
      <c r="D96" s="743">
        <f>D52</f>
        <v>50</v>
      </c>
      <c r="E96" s="743">
        <f>D96</f>
        <v>50</v>
      </c>
      <c r="F96" s="743">
        <f t="shared" ref="F96:M96" si="17">E96</f>
        <v>50</v>
      </c>
      <c r="G96" s="743">
        <f t="shared" si="17"/>
        <v>50</v>
      </c>
      <c r="H96" s="743">
        <f t="shared" si="17"/>
        <v>50</v>
      </c>
      <c r="I96" s="743">
        <f t="shared" si="17"/>
        <v>50</v>
      </c>
      <c r="J96" s="743">
        <f t="shared" si="17"/>
        <v>50</v>
      </c>
      <c r="K96" s="743">
        <f t="shared" si="17"/>
        <v>50</v>
      </c>
      <c r="L96" s="743">
        <f t="shared" si="17"/>
        <v>50</v>
      </c>
      <c r="M96" s="743">
        <f t="shared" si="17"/>
        <v>50</v>
      </c>
      <c r="O96" s="1930"/>
      <c r="P96" s="860" t="s">
        <v>1300</v>
      </c>
      <c r="Q96" s="859">
        <f>Q52</f>
        <v>50</v>
      </c>
      <c r="R96" s="859">
        <f>Q96</f>
        <v>50</v>
      </c>
      <c r="S96" s="859">
        <f t="shared" ref="S96:Z96" si="18">R96</f>
        <v>50</v>
      </c>
      <c r="T96" s="859">
        <f t="shared" si="18"/>
        <v>50</v>
      </c>
      <c r="U96" s="859">
        <f t="shared" si="18"/>
        <v>50</v>
      </c>
      <c r="V96" s="859">
        <f t="shared" si="18"/>
        <v>50</v>
      </c>
      <c r="W96" s="859">
        <f t="shared" si="18"/>
        <v>50</v>
      </c>
      <c r="X96" s="859">
        <f t="shared" si="18"/>
        <v>50</v>
      </c>
      <c r="Y96" s="859">
        <f t="shared" si="18"/>
        <v>50</v>
      </c>
      <c r="Z96" s="859">
        <f t="shared" si="18"/>
        <v>50</v>
      </c>
    </row>
    <row r="97" spans="2:26" x14ac:dyDescent="0.25">
      <c r="B97" s="1936"/>
      <c r="C97" s="848" t="s">
        <v>1301</v>
      </c>
      <c r="D97" s="743">
        <v>12</v>
      </c>
      <c r="E97" s="743">
        <v>12</v>
      </c>
      <c r="F97" s="743">
        <v>12</v>
      </c>
      <c r="G97" s="743">
        <v>12</v>
      </c>
      <c r="H97" s="743">
        <v>12</v>
      </c>
      <c r="I97" s="743">
        <v>12</v>
      </c>
      <c r="J97" s="743">
        <v>12</v>
      </c>
      <c r="K97" s="743">
        <v>12</v>
      </c>
      <c r="L97" s="743">
        <v>12</v>
      </c>
      <c r="M97" s="743">
        <v>12</v>
      </c>
      <c r="O97" s="1931"/>
      <c r="P97" s="860" t="s">
        <v>1301</v>
      </c>
      <c r="Q97" s="859">
        <v>12</v>
      </c>
      <c r="R97" s="859">
        <v>12</v>
      </c>
      <c r="S97" s="859">
        <v>12</v>
      </c>
      <c r="T97" s="859">
        <v>12</v>
      </c>
      <c r="U97" s="859">
        <v>12</v>
      </c>
      <c r="V97" s="859">
        <v>12</v>
      </c>
      <c r="W97" s="859">
        <v>12</v>
      </c>
      <c r="X97" s="859">
        <v>12</v>
      </c>
      <c r="Y97" s="859">
        <v>12</v>
      </c>
      <c r="Z97" s="859">
        <v>12</v>
      </c>
    </row>
    <row r="98" spans="2:26" x14ac:dyDescent="0.25">
      <c r="B98" s="847">
        <v>4</v>
      </c>
      <c r="C98" s="845" t="s">
        <v>1337</v>
      </c>
      <c r="D98" s="799">
        <f>D99*D100*D101</f>
        <v>895068.01373705105</v>
      </c>
      <c r="E98" s="799">
        <f t="shared" ref="E98:M98" si="19">E99*E100*E101</f>
        <v>907703.60109055694</v>
      </c>
      <c r="F98" s="799">
        <f t="shared" si="19"/>
        <v>920517.5637913188</v>
      </c>
      <c r="G98" s="799">
        <f t="shared" si="19"/>
        <v>933512.41994661721</v>
      </c>
      <c r="H98" s="799">
        <f t="shared" si="19"/>
        <v>946690.72321160627</v>
      </c>
      <c r="I98" s="799">
        <f t="shared" si="19"/>
        <v>960055.0632911392</v>
      </c>
      <c r="J98" s="799">
        <f t="shared" si="19"/>
        <v>973608.06644867838</v>
      </c>
      <c r="K98" s="799">
        <f t="shared" si="19"/>
        <v>987352.39602239127</v>
      </c>
      <c r="L98" s="799">
        <f t="shared" si="19"/>
        <v>1001290.7529485265</v>
      </c>
      <c r="M98" s="799">
        <f t="shared" si="19"/>
        <v>1015425.8762921876</v>
      </c>
      <c r="O98" s="906">
        <v>4</v>
      </c>
      <c r="P98" s="845" t="s">
        <v>1337</v>
      </c>
      <c r="Q98" s="799">
        <f>Q99*Q100*Q101</f>
        <v>895068.01373705105</v>
      </c>
      <c r="R98" s="799">
        <f t="shared" ref="R98:Z98" si="20">R99*R100*R101</f>
        <v>907703.60109055694</v>
      </c>
      <c r="S98" s="799">
        <f t="shared" si="20"/>
        <v>920517.5637913188</v>
      </c>
      <c r="T98" s="799">
        <f t="shared" si="20"/>
        <v>933512.41994661721</v>
      </c>
      <c r="U98" s="799">
        <f t="shared" si="20"/>
        <v>946690.72321160627</v>
      </c>
      <c r="V98" s="799">
        <f t="shared" si="20"/>
        <v>960055.0632911392</v>
      </c>
      <c r="W98" s="799">
        <f t="shared" si="20"/>
        <v>973608.06644867838</v>
      </c>
      <c r="X98" s="799">
        <f t="shared" si="20"/>
        <v>987352.39602239127</v>
      </c>
      <c r="Y98" s="799">
        <f t="shared" si="20"/>
        <v>1001290.7529485265</v>
      </c>
      <c r="Z98" s="799">
        <f t="shared" si="20"/>
        <v>1015425.8762921876</v>
      </c>
    </row>
    <row r="99" spans="2:26" x14ac:dyDescent="0.25">
      <c r="B99" s="1934"/>
      <c r="C99" s="848" t="s">
        <v>1338</v>
      </c>
      <c r="D99" s="743">
        <f>D63</f>
        <v>1243.1500190792374</v>
      </c>
      <c r="E99" s="743">
        <f t="shared" ref="E99:M99" si="21">E63</f>
        <v>1260.6994459591069</v>
      </c>
      <c r="F99" s="743">
        <f t="shared" si="21"/>
        <v>1278.4966163768318</v>
      </c>
      <c r="G99" s="743">
        <f t="shared" si="21"/>
        <v>1296.545027703635</v>
      </c>
      <c r="H99" s="743">
        <f t="shared" si="21"/>
        <v>1314.8482266827864</v>
      </c>
      <c r="I99" s="743">
        <f t="shared" si="21"/>
        <v>1333.4098101265822</v>
      </c>
      <c r="J99" s="743">
        <f t="shared" si="21"/>
        <v>1352.2334256231643</v>
      </c>
      <c r="K99" s="743">
        <f t="shared" si="21"/>
        <v>1371.3227722533211</v>
      </c>
      <c r="L99" s="743">
        <f t="shared" si="21"/>
        <v>1390.681601317398</v>
      </c>
      <c r="M99" s="743">
        <f t="shared" si="21"/>
        <v>1410.3137170724829</v>
      </c>
      <c r="O99" s="1934"/>
      <c r="P99" s="848" t="s">
        <v>1338</v>
      </c>
      <c r="Q99" s="859">
        <f>Q63</f>
        <v>1243.1500190792374</v>
      </c>
      <c r="R99" s="859">
        <f t="shared" ref="R99:Z99" si="22">R63</f>
        <v>1260.6994459591069</v>
      </c>
      <c r="S99" s="859">
        <f t="shared" si="22"/>
        <v>1278.4966163768318</v>
      </c>
      <c r="T99" s="859">
        <f t="shared" si="22"/>
        <v>1296.545027703635</v>
      </c>
      <c r="U99" s="859">
        <f t="shared" si="22"/>
        <v>1314.8482266827864</v>
      </c>
      <c r="V99" s="859">
        <f t="shared" si="22"/>
        <v>1333.4098101265822</v>
      </c>
      <c r="W99" s="859">
        <f t="shared" si="22"/>
        <v>1352.2334256231643</v>
      </c>
      <c r="X99" s="859">
        <f t="shared" si="22"/>
        <v>1371.3227722533211</v>
      </c>
      <c r="Y99" s="859">
        <f t="shared" si="22"/>
        <v>1390.681601317398</v>
      </c>
      <c r="Z99" s="859">
        <f t="shared" si="22"/>
        <v>1410.3137170724829</v>
      </c>
    </row>
    <row r="100" spans="2:26" x14ac:dyDescent="0.25">
      <c r="B100" s="1935"/>
      <c r="C100" s="848" t="s">
        <v>1339</v>
      </c>
      <c r="D100" s="743">
        <f>E60</f>
        <v>60</v>
      </c>
      <c r="E100" s="743">
        <f>D100</f>
        <v>60</v>
      </c>
      <c r="F100" s="743">
        <f t="shared" ref="F100:M100" si="23">E100</f>
        <v>60</v>
      </c>
      <c r="G100" s="743">
        <f t="shared" si="23"/>
        <v>60</v>
      </c>
      <c r="H100" s="743">
        <f t="shared" si="23"/>
        <v>60</v>
      </c>
      <c r="I100" s="743">
        <f t="shared" si="23"/>
        <v>60</v>
      </c>
      <c r="J100" s="743">
        <f t="shared" si="23"/>
        <v>60</v>
      </c>
      <c r="K100" s="743">
        <f t="shared" si="23"/>
        <v>60</v>
      </c>
      <c r="L100" s="743">
        <f t="shared" si="23"/>
        <v>60</v>
      </c>
      <c r="M100" s="743">
        <f t="shared" si="23"/>
        <v>60</v>
      </c>
      <c r="O100" s="1935"/>
      <c r="P100" s="848" t="s">
        <v>1339</v>
      </c>
      <c r="Q100" s="859">
        <f>S60</f>
        <v>60</v>
      </c>
      <c r="R100" s="859">
        <f>Q100</f>
        <v>60</v>
      </c>
      <c r="S100" s="859">
        <f t="shared" ref="S100:Z100" si="24">R100</f>
        <v>60</v>
      </c>
      <c r="T100" s="859">
        <f t="shared" si="24"/>
        <v>60</v>
      </c>
      <c r="U100" s="859">
        <f t="shared" si="24"/>
        <v>60</v>
      </c>
      <c r="V100" s="859">
        <f t="shared" si="24"/>
        <v>60</v>
      </c>
      <c r="W100" s="859">
        <f t="shared" si="24"/>
        <v>60</v>
      </c>
      <c r="X100" s="859">
        <f t="shared" si="24"/>
        <v>60</v>
      </c>
      <c r="Y100" s="859">
        <f t="shared" si="24"/>
        <v>60</v>
      </c>
      <c r="Z100" s="859">
        <f t="shared" si="24"/>
        <v>60</v>
      </c>
    </row>
    <row r="101" spans="2:26" x14ac:dyDescent="0.25">
      <c r="B101" s="1936"/>
      <c r="C101" s="848" t="s">
        <v>1301</v>
      </c>
      <c r="D101" s="743">
        <v>12</v>
      </c>
      <c r="E101" s="743">
        <v>12</v>
      </c>
      <c r="F101" s="743">
        <v>12</v>
      </c>
      <c r="G101" s="743">
        <v>12</v>
      </c>
      <c r="H101" s="743">
        <v>12</v>
      </c>
      <c r="I101" s="743">
        <v>12</v>
      </c>
      <c r="J101" s="743">
        <v>12</v>
      </c>
      <c r="K101" s="743">
        <v>12</v>
      </c>
      <c r="L101" s="743">
        <v>12</v>
      </c>
      <c r="M101" s="743">
        <v>12</v>
      </c>
      <c r="O101" s="1936"/>
      <c r="P101" s="848" t="s">
        <v>1301</v>
      </c>
      <c r="Q101" s="859">
        <v>12</v>
      </c>
      <c r="R101" s="859">
        <v>12</v>
      </c>
      <c r="S101" s="859">
        <v>12</v>
      </c>
      <c r="T101" s="859">
        <v>12</v>
      </c>
      <c r="U101" s="859">
        <v>12</v>
      </c>
      <c r="V101" s="859">
        <v>12</v>
      </c>
      <c r="W101" s="859">
        <v>12</v>
      </c>
      <c r="X101" s="859">
        <v>12</v>
      </c>
      <c r="Y101" s="859">
        <v>12</v>
      </c>
      <c r="Z101" s="859">
        <v>12</v>
      </c>
    </row>
    <row r="102" spans="2:26" ht="12.75" customHeight="1" x14ac:dyDescent="0.25">
      <c r="B102" s="1906" t="s">
        <v>1305</v>
      </c>
      <c r="C102" s="1908"/>
      <c r="D102" s="799">
        <f>D88+D91+D94+D98</f>
        <v>2999751.8918287344</v>
      </c>
      <c r="E102" s="799">
        <f t="shared" ref="E102:M102" si="25">E88+E91+E94+E98</f>
        <v>3242745.8009790857</v>
      </c>
      <c r="F102" s="799">
        <f t="shared" si="25"/>
        <v>3485918.2243290218</v>
      </c>
      <c r="G102" s="799">
        <f t="shared" si="25"/>
        <v>3729271.6800396303</v>
      </c>
      <c r="H102" s="799">
        <f t="shared" si="25"/>
        <v>3972808.7218198916</v>
      </c>
      <c r="I102" s="799">
        <f t="shared" si="25"/>
        <v>4216531.9394285074</v>
      </c>
      <c r="J102" s="799">
        <f t="shared" si="25"/>
        <v>4230443.9591828091</v>
      </c>
      <c r="K102" s="799">
        <f t="shared" si="25"/>
        <v>4244547.4444748526</v>
      </c>
      <c r="L102" s="799">
        <f t="shared" si="25"/>
        <v>4258845.0962947989</v>
      </c>
      <c r="M102" s="799">
        <f t="shared" si="25"/>
        <v>4273339.6537616821</v>
      </c>
      <c r="O102" s="1910" t="s">
        <v>1305</v>
      </c>
      <c r="P102" s="1911"/>
      <c r="Q102" s="861">
        <f>Q88+Q91+Q94+Q98</f>
        <v>2999751.8918287344</v>
      </c>
      <c r="R102" s="861">
        <f t="shared" ref="R102:Z102" si="26">R88+R91+R94+R98</f>
        <v>3242745.8009790857</v>
      </c>
      <c r="S102" s="861">
        <f t="shared" si="26"/>
        <v>3485918.2243290218</v>
      </c>
      <c r="T102" s="861">
        <f t="shared" si="26"/>
        <v>3729271.6800396303</v>
      </c>
      <c r="U102" s="861">
        <f t="shared" si="26"/>
        <v>3972808.7218198916</v>
      </c>
      <c r="V102" s="861">
        <f t="shared" si="26"/>
        <v>4216531.9394285074</v>
      </c>
      <c r="W102" s="861">
        <f t="shared" si="26"/>
        <v>4230443.9591828091</v>
      </c>
      <c r="X102" s="861">
        <f t="shared" si="26"/>
        <v>4244547.4444748526</v>
      </c>
      <c r="Y102" s="861">
        <f t="shared" si="26"/>
        <v>4258845.0962947989</v>
      </c>
      <c r="Z102" s="861">
        <f t="shared" si="26"/>
        <v>4273339.6537616821</v>
      </c>
    </row>
    <row r="105" spans="2:26" x14ac:dyDescent="0.25">
      <c r="D105" s="251"/>
      <c r="E105" s="251"/>
      <c r="F105" s="251"/>
      <c r="G105" s="251"/>
      <c r="H105" s="251"/>
      <c r="I105" s="251"/>
      <c r="J105" s="251"/>
      <c r="K105" s="251"/>
      <c r="L105" s="251"/>
      <c r="M105" s="251"/>
    </row>
  </sheetData>
  <mergeCells count="39">
    <mergeCell ref="N3:Y3"/>
    <mergeCell ref="O70:O72"/>
    <mergeCell ref="B89:B90"/>
    <mergeCell ref="B99:B101"/>
    <mergeCell ref="O99:O101"/>
    <mergeCell ref="B66:M66"/>
    <mergeCell ref="B80:M80"/>
    <mergeCell ref="C70:C72"/>
    <mergeCell ref="B70:B72"/>
    <mergeCell ref="B92:B93"/>
    <mergeCell ref="B102:C102"/>
    <mergeCell ref="B50:M50"/>
    <mergeCell ref="B95:B97"/>
    <mergeCell ref="B3:M3"/>
    <mergeCell ref="B85:B87"/>
    <mergeCell ref="C85:C87"/>
    <mergeCell ref="D70:M70"/>
    <mergeCell ref="D85:M85"/>
    <mergeCell ref="B12:M12"/>
    <mergeCell ref="B32:M32"/>
    <mergeCell ref="B41:M41"/>
    <mergeCell ref="C8:I8"/>
    <mergeCell ref="B58:M58"/>
    <mergeCell ref="O102:P102"/>
    <mergeCell ref="O32:Z32"/>
    <mergeCell ref="O41:Z41"/>
    <mergeCell ref="O50:Z50"/>
    <mergeCell ref="O66:Z66"/>
    <mergeCell ref="P70:P72"/>
    <mergeCell ref="Q70:Z70"/>
    <mergeCell ref="O77:P77"/>
    <mergeCell ref="O80:Z80"/>
    <mergeCell ref="P85:P87"/>
    <mergeCell ref="O85:O87"/>
    <mergeCell ref="Q85:Z85"/>
    <mergeCell ref="O89:O90"/>
    <mergeCell ref="O92:O93"/>
    <mergeCell ref="O95:O97"/>
    <mergeCell ref="O58:Z58"/>
  </mergeCells>
  <pageMargins left="0.7" right="0.7" top="0.75" bottom="0.75" header="0.3" footer="0.3"/>
  <pageSetup scale="40" orientation="portrait" horizontalDpi="4294967295" verticalDpi="4294967295" r:id="rId1"/>
  <colBreaks count="1" manualBreakCount="1">
    <brk id="13" min="2" max="108" man="1"/>
  </colBreaks>
  <ignoredErrors>
    <ignoredError sqref="E91:M91" formula="1"/>
    <ignoredError sqref="D77:M77 Q77:Z77" formulaRange="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336600"/>
  </sheetPr>
  <dimension ref="B5:Z18"/>
  <sheetViews>
    <sheetView view="pageBreakPreview" zoomScale="80" zoomScaleNormal="100" zoomScaleSheetLayoutView="80" workbookViewId="0">
      <selection activeCell="Q16" sqref="Q16"/>
    </sheetView>
  </sheetViews>
  <sheetFormatPr baseColWidth="10" defaultRowHeight="12.75" x14ac:dyDescent="0.2"/>
  <cols>
    <col min="1" max="2" width="11.42578125" style="52"/>
    <col min="3" max="3" width="38" style="52" customWidth="1"/>
    <col min="4" max="15" width="11.42578125" style="52"/>
    <col min="16" max="16" width="38.140625" style="52" customWidth="1"/>
    <col min="17" max="16384" width="11.42578125" style="52"/>
  </cols>
  <sheetData>
    <row r="5" spans="2:26" x14ac:dyDescent="0.2">
      <c r="B5" s="837" t="s">
        <v>1306</v>
      </c>
    </row>
    <row r="10" spans="2:26" ht="42" customHeight="1" x14ac:dyDescent="0.2">
      <c r="B10" s="1943" t="s">
        <v>1311</v>
      </c>
      <c r="C10" s="1943"/>
      <c r="D10" s="1943"/>
      <c r="E10" s="1943"/>
      <c r="F10" s="1943"/>
      <c r="G10" s="1943"/>
      <c r="H10" s="1943"/>
      <c r="I10" s="1943"/>
      <c r="J10" s="1943"/>
      <c r="K10" s="1943"/>
      <c r="L10" s="1943"/>
      <c r="M10" s="1943"/>
      <c r="O10" s="1922" t="s">
        <v>1312</v>
      </c>
      <c r="P10" s="1922"/>
      <c r="Q10" s="1922"/>
      <c r="R10" s="1922"/>
      <c r="S10" s="1922"/>
      <c r="T10" s="1922"/>
      <c r="U10" s="1922"/>
      <c r="V10" s="1922"/>
      <c r="W10" s="1922"/>
      <c r="X10" s="1922"/>
      <c r="Y10" s="1922"/>
      <c r="Z10" s="1922"/>
    </row>
    <row r="13" spans="2:26" x14ac:dyDescent="0.2">
      <c r="B13" s="1898" t="s">
        <v>398</v>
      </c>
      <c r="C13" s="1901" t="s">
        <v>1141</v>
      </c>
      <c r="D13" s="1890" t="s">
        <v>1156</v>
      </c>
      <c r="E13" s="1891"/>
      <c r="F13" s="1891"/>
      <c r="G13" s="1891"/>
      <c r="H13" s="1891"/>
      <c r="I13" s="1891"/>
      <c r="J13" s="1891"/>
      <c r="K13" s="1891"/>
      <c r="L13" s="1891"/>
      <c r="M13" s="1892"/>
      <c r="O13" s="1898" t="s">
        <v>398</v>
      </c>
      <c r="P13" s="1901" t="s">
        <v>1141</v>
      </c>
      <c r="Q13" s="1890" t="s">
        <v>1156</v>
      </c>
      <c r="R13" s="1891"/>
      <c r="S13" s="1891"/>
      <c r="T13" s="1891"/>
      <c r="U13" s="1891"/>
      <c r="V13" s="1891"/>
      <c r="W13" s="1891"/>
      <c r="X13" s="1891"/>
      <c r="Y13" s="1891"/>
      <c r="Z13" s="1892"/>
    </row>
    <row r="14" spans="2:26" x14ac:dyDescent="0.2">
      <c r="B14" s="1899"/>
      <c r="C14" s="1902"/>
      <c r="D14" s="866">
        <v>2024</v>
      </c>
      <c r="E14" s="866">
        <v>2025</v>
      </c>
      <c r="F14" s="866">
        <v>2026</v>
      </c>
      <c r="G14" s="866">
        <v>2027</v>
      </c>
      <c r="H14" s="866">
        <v>2028</v>
      </c>
      <c r="I14" s="866">
        <v>2029</v>
      </c>
      <c r="J14" s="866">
        <v>2030</v>
      </c>
      <c r="K14" s="866">
        <v>2031</v>
      </c>
      <c r="L14" s="866">
        <v>2032</v>
      </c>
      <c r="M14" s="866">
        <v>2033</v>
      </c>
      <c r="O14" s="1899"/>
      <c r="P14" s="1902"/>
      <c r="Q14" s="866">
        <v>2024</v>
      </c>
      <c r="R14" s="866">
        <v>2025</v>
      </c>
      <c r="S14" s="866">
        <v>2026</v>
      </c>
      <c r="T14" s="866">
        <v>2027</v>
      </c>
      <c r="U14" s="866">
        <v>2028</v>
      </c>
      <c r="V14" s="866">
        <v>2029</v>
      </c>
      <c r="W14" s="866">
        <v>2030</v>
      </c>
      <c r="X14" s="866">
        <v>2031</v>
      </c>
      <c r="Y14" s="866">
        <v>2032</v>
      </c>
      <c r="Z14" s="866">
        <v>2033</v>
      </c>
    </row>
    <row r="15" spans="2:26" x14ac:dyDescent="0.2">
      <c r="B15" s="1900"/>
      <c r="C15" s="1903"/>
      <c r="D15" s="866" t="s">
        <v>1146</v>
      </c>
      <c r="E15" s="866" t="s">
        <v>1147</v>
      </c>
      <c r="F15" s="866" t="s">
        <v>1148</v>
      </c>
      <c r="G15" s="866" t="s">
        <v>1149</v>
      </c>
      <c r="H15" s="866" t="s">
        <v>1150</v>
      </c>
      <c r="I15" s="866" t="s">
        <v>1151</v>
      </c>
      <c r="J15" s="866" t="s">
        <v>1152</v>
      </c>
      <c r="K15" s="866" t="s">
        <v>1153</v>
      </c>
      <c r="L15" s="866" t="s">
        <v>1154</v>
      </c>
      <c r="M15" s="866" t="s">
        <v>1155</v>
      </c>
      <c r="O15" s="1900"/>
      <c r="P15" s="1903"/>
      <c r="Q15" s="866" t="s">
        <v>1146</v>
      </c>
      <c r="R15" s="866" t="s">
        <v>1147</v>
      </c>
      <c r="S15" s="866" t="s">
        <v>1148</v>
      </c>
      <c r="T15" s="866" t="s">
        <v>1149</v>
      </c>
      <c r="U15" s="866" t="s">
        <v>1150</v>
      </c>
      <c r="V15" s="866" t="s">
        <v>1151</v>
      </c>
      <c r="W15" s="866" t="s">
        <v>1152</v>
      </c>
      <c r="X15" s="866" t="s">
        <v>1153</v>
      </c>
      <c r="Y15" s="866" t="s">
        <v>1154</v>
      </c>
      <c r="Z15" s="866" t="s">
        <v>1155</v>
      </c>
    </row>
    <row r="16" spans="2:26" x14ac:dyDescent="0.2">
      <c r="B16" s="847">
        <v>1</v>
      </c>
      <c r="C16" s="741" t="s">
        <v>1307</v>
      </c>
      <c r="D16" s="743">
        <f>BENEFICIOS!D102</f>
        <v>2999751.8918287344</v>
      </c>
      <c r="E16" s="743">
        <f>BENEFICIOS!E102</f>
        <v>3242745.8009790857</v>
      </c>
      <c r="F16" s="743">
        <f>BENEFICIOS!F102</f>
        <v>3485918.2243290218</v>
      </c>
      <c r="G16" s="743">
        <f>BENEFICIOS!G102</f>
        <v>3729271.6800396303</v>
      </c>
      <c r="H16" s="743">
        <f>BENEFICIOS!H102</f>
        <v>3972808.7218198916</v>
      </c>
      <c r="I16" s="743">
        <f>BENEFICIOS!I102</f>
        <v>4216531.9394285074</v>
      </c>
      <c r="J16" s="743">
        <f>BENEFICIOS!J102</f>
        <v>4230443.9591828091</v>
      </c>
      <c r="K16" s="743">
        <f>BENEFICIOS!K102</f>
        <v>4244547.4444748526</v>
      </c>
      <c r="L16" s="743">
        <f>BENEFICIOS!L102</f>
        <v>4258845.0962947989</v>
      </c>
      <c r="M16" s="743">
        <f>BENEFICIOS!M102</f>
        <v>4273339.6537616821</v>
      </c>
      <c r="O16" s="847">
        <v>1</v>
      </c>
      <c r="P16" s="741" t="s">
        <v>1307</v>
      </c>
      <c r="Q16" s="743">
        <f>BENEFICIOS!Q102</f>
        <v>2999751.8918287344</v>
      </c>
      <c r="R16" s="743">
        <f>BENEFICIOS!R102</f>
        <v>3242745.8009790857</v>
      </c>
      <c r="S16" s="743">
        <f>BENEFICIOS!S102</f>
        <v>3485918.2243290218</v>
      </c>
      <c r="T16" s="743">
        <f>BENEFICIOS!T102</f>
        <v>3729271.6800396303</v>
      </c>
      <c r="U16" s="743">
        <f>BENEFICIOS!U102</f>
        <v>3972808.7218198916</v>
      </c>
      <c r="V16" s="743">
        <f>BENEFICIOS!V102</f>
        <v>4216531.9394285074</v>
      </c>
      <c r="W16" s="743">
        <f>BENEFICIOS!W102</f>
        <v>4230443.9591828091</v>
      </c>
      <c r="X16" s="743">
        <f>BENEFICIOS!X102</f>
        <v>4244547.4444748526</v>
      </c>
      <c r="Y16" s="743">
        <f>BENEFICIOS!Y102</f>
        <v>4258845.0962947989</v>
      </c>
      <c r="Z16" s="743">
        <f>BENEFICIOS!Z102</f>
        <v>4273339.6537616821</v>
      </c>
    </row>
    <row r="17" spans="2:26" x14ac:dyDescent="0.2">
      <c r="B17" s="847">
        <v>3</v>
      </c>
      <c r="C17" s="848" t="s">
        <v>1308</v>
      </c>
      <c r="D17" s="743">
        <f>BENEFICIOS!D77</f>
        <v>0</v>
      </c>
      <c r="E17" s="743">
        <f>BENEFICIOS!E77</f>
        <v>0</v>
      </c>
      <c r="F17" s="743">
        <f>BENEFICIOS!F77</f>
        <v>0</v>
      </c>
      <c r="G17" s="743">
        <f>BENEFICIOS!G77</f>
        <v>0</v>
      </c>
      <c r="H17" s="743">
        <f>BENEFICIOS!H77</f>
        <v>0</v>
      </c>
      <c r="I17" s="743">
        <f>BENEFICIOS!I77</f>
        <v>0</v>
      </c>
      <c r="J17" s="743">
        <f>BENEFICIOS!J77</f>
        <v>0</v>
      </c>
      <c r="K17" s="743">
        <f>BENEFICIOS!K77</f>
        <v>0</v>
      </c>
      <c r="L17" s="743">
        <f>BENEFICIOS!L77</f>
        <v>0</v>
      </c>
      <c r="M17" s="743">
        <f>BENEFICIOS!M77</f>
        <v>0</v>
      </c>
      <c r="O17" s="847">
        <v>3</v>
      </c>
      <c r="P17" s="848" t="s">
        <v>1308</v>
      </c>
      <c r="Q17" s="743">
        <f>BENEFICIOS!Q77</f>
        <v>0</v>
      </c>
      <c r="R17" s="743">
        <f>BENEFICIOS!R77</f>
        <v>0</v>
      </c>
      <c r="S17" s="743">
        <f>BENEFICIOS!S77</f>
        <v>0</v>
      </c>
      <c r="T17" s="743">
        <f>BENEFICIOS!T77</f>
        <v>0</v>
      </c>
      <c r="U17" s="743">
        <f>BENEFICIOS!U77</f>
        <v>0</v>
      </c>
      <c r="V17" s="743">
        <f>BENEFICIOS!V77</f>
        <v>0</v>
      </c>
      <c r="W17" s="743">
        <f>BENEFICIOS!W77</f>
        <v>0</v>
      </c>
      <c r="X17" s="743">
        <f>BENEFICIOS!X77</f>
        <v>0</v>
      </c>
      <c r="Y17" s="743">
        <f>BENEFICIOS!Y77</f>
        <v>0</v>
      </c>
      <c r="Z17" s="743">
        <f>BENEFICIOS!Z77</f>
        <v>0</v>
      </c>
    </row>
    <row r="18" spans="2:26" x14ac:dyDescent="0.2">
      <c r="B18" s="1906" t="s">
        <v>1309</v>
      </c>
      <c r="C18" s="1908"/>
      <c r="D18" s="799">
        <f>D16-D17</f>
        <v>2999751.8918287344</v>
      </c>
      <c r="E18" s="799">
        <f t="shared" ref="E18:M18" si="0">E16-E17</f>
        <v>3242745.8009790857</v>
      </c>
      <c r="F18" s="799">
        <f t="shared" si="0"/>
        <v>3485918.2243290218</v>
      </c>
      <c r="G18" s="799">
        <f t="shared" si="0"/>
        <v>3729271.6800396303</v>
      </c>
      <c r="H18" s="799">
        <f t="shared" si="0"/>
        <v>3972808.7218198916</v>
      </c>
      <c r="I18" s="799">
        <f t="shared" si="0"/>
        <v>4216531.9394285074</v>
      </c>
      <c r="J18" s="799">
        <f t="shared" si="0"/>
        <v>4230443.9591828091</v>
      </c>
      <c r="K18" s="799">
        <f t="shared" si="0"/>
        <v>4244547.4444748526</v>
      </c>
      <c r="L18" s="799">
        <f t="shared" si="0"/>
        <v>4258845.0962947989</v>
      </c>
      <c r="M18" s="799">
        <f t="shared" si="0"/>
        <v>4273339.6537616821</v>
      </c>
      <c r="O18" s="1906" t="s">
        <v>1310</v>
      </c>
      <c r="P18" s="1908"/>
      <c r="Q18" s="799">
        <f>Q16-Q17</f>
        <v>2999751.8918287344</v>
      </c>
      <c r="R18" s="799">
        <f t="shared" ref="R18:Z18" si="1">R16-R17</f>
        <v>3242745.8009790857</v>
      </c>
      <c r="S18" s="799">
        <f t="shared" si="1"/>
        <v>3485918.2243290218</v>
      </c>
      <c r="T18" s="799">
        <f t="shared" si="1"/>
        <v>3729271.6800396303</v>
      </c>
      <c r="U18" s="799">
        <f t="shared" si="1"/>
        <v>3972808.7218198916</v>
      </c>
      <c r="V18" s="799">
        <f t="shared" si="1"/>
        <v>4216531.9394285074</v>
      </c>
      <c r="W18" s="799">
        <f t="shared" si="1"/>
        <v>4230443.9591828091</v>
      </c>
      <c r="X18" s="799">
        <f t="shared" si="1"/>
        <v>4244547.4444748526</v>
      </c>
      <c r="Y18" s="799">
        <f t="shared" si="1"/>
        <v>4258845.0962947989</v>
      </c>
      <c r="Z18" s="799">
        <f t="shared" si="1"/>
        <v>4273339.6537616821</v>
      </c>
    </row>
  </sheetData>
  <mergeCells count="10">
    <mergeCell ref="B18:C18"/>
    <mergeCell ref="O10:Z10"/>
    <mergeCell ref="O13:O15"/>
    <mergeCell ref="P13:P15"/>
    <mergeCell ref="Q13:Z13"/>
    <mergeCell ref="O18:P18"/>
    <mergeCell ref="B10:M10"/>
    <mergeCell ref="B13:B15"/>
    <mergeCell ref="C13:C15"/>
    <mergeCell ref="D13:M13"/>
  </mergeCells>
  <pageMargins left="0.7" right="0.7" top="0.75" bottom="0.75" header="0.3" footer="0.3"/>
  <pageSetup paperSize="9" scale="49" orientation="portrait" r:id="rId1"/>
  <colBreaks count="1" manualBreakCount="1">
    <brk id="13" min="2" max="32"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sheetPr>
  <dimension ref="A4:AJ238"/>
  <sheetViews>
    <sheetView tabSelected="1" view="pageBreakPreview" zoomScale="80" zoomScaleNormal="100" zoomScaleSheetLayoutView="80" workbookViewId="0">
      <selection activeCell="F71" sqref="F71"/>
    </sheetView>
  </sheetViews>
  <sheetFormatPr baseColWidth="10" defaultRowHeight="12.75" x14ac:dyDescent="0.25"/>
  <cols>
    <col min="1" max="2" width="11.42578125" style="222"/>
    <col min="3" max="3" width="36.85546875" style="222" customWidth="1"/>
    <col min="4" max="4" width="18.140625" style="222" customWidth="1"/>
    <col min="5" max="5" width="12.28515625" style="222" customWidth="1"/>
    <col min="6" max="6" width="13.140625" style="222" customWidth="1"/>
    <col min="7" max="7" width="12.85546875" style="222" customWidth="1"/>
    <col min="8" max="8" width="14.28515625" style="222" customWidth="1"/>
    <col min="9" max="10" width="14.7109375" style="222" customWidth="1"/>
    <col min="11" max="11" width="14" style="222" customWidth="1"/>
    <col min="12" max="12" width="13.42578125" style="222" customWidth="1"/>
    <col min="13" max="14" width="11.42578125" style="222"/>
    <col min="15" max="15" width="12.42578125" style="222" customWidth="1"/>
    <col min="16" max="20" width="11.42578125" style="222"/>
    <col min="21" max="21" width="37.28515625" style="222" customWidth="1"/>
    <col min="22" max="16384" width="11.42578125" style="222"/>
  </cols>
  <sheetData>
    <row r="4" spans="1:33" ht="32.25" customHeight="1" x14ac:dyDescent="0.25">
      <c r="C4" s="1963" t="s">
        <v>1324</v>
      </c>
      <c r="D4" s="1963"/>
      <c r="E4" s="1963"/>
      <c r="F4" s="1963"/>
      <c r="G4" s="1963"/>
      <c r="H4" s="1963"/>
      <c r="I4" s="1963"/>
      <c r="J4" s="1963"/>
      <c r="K4" s="1963"/>
      <c r="L4" s="1963"/>
      <c r="M4" s="1963"/>
      <c r="N4" s="1963"/>
      <c r="O4" s="1963"/>
      <c r="P4" s="1963"/>
      <c r="Q4" s="1963"/>
      <c r="R4" s="1963"/>
      <c r="S4" s="901"/>
      <c r="U4" s="1950" t="s">
        <v>1325</v>
      </c>
      <c r="V4" s="1950"/>
      <c r="W4" s="1950"/>
      <c r="X4" s="1950"/>
      <c r="Y4" s="1950"/>
      <c r="Z4" s="1950"/>
      <c r="AA4" s="1950"/>
      <c r="AB4" s="1950"/>
      <c r="AC4" s="1950"/>
      <c r="AD4" s="1950"/>
      <c r="AE4" s="1950"/>
      <c r="AF4" s="1950"/>
      <c r="AG4" s="1950"/>
    </row>
    <row r="6" spans="1:33" x14ac:dyDescent="0.25">
      <c r="D6" s="936"/>
      <c r="E6" s="977">
        <v>2101880.2918287343</v>
      </c>
    </row>
    <row r="7" spans="1:33" ht="15" customHeight="1" x14ac:dyDescent="0.2">
      <c r="C7" s="1989" t="s">
        <v>1313</v>
      </c>
      <c r="D7" s="1976" t="s">
        <v>1314</v>
      </c>
      <c r="E7" s="1976"/>
      <c r="F7" s="1976"/>
      <c r="G7" s="1976"/>
      <c r="H7" s="1976"/>
      <c r="I7" s="1976"/>
      <c r="J7" s="1976"/>
      <c r="K7" s="1976"/>
      <c r="L7" s="1976"/>
      <c r="M7" s="1976"/>
      <c r="N7" s="1976"/>
      <c r="O7" s="941"/>
      <c r="P7" s="941"/>
      <c r="Q7" s="941"/>
      <c r="R7" s="941"/>
      <c r="U7" s="1956" t="s">
        <v>1313</v>
      </c>
      <c r="V7" s="1953" t="s">
        <v>1314</v>
      </c>
      <c r="W7" s="1954"/>
      <c r="X7" s="1954"/>
      <c r="Y7" s="1954"/>
      <c r="Z7" s="1954"/>
      <c r="AA7" s="1954"/>
      <c r="AB7" s="1954"/>
      <c r="AC7" s="1954"/>
      <c r="AD7" s="1954"/>
      <c r="AE7" s="1954"/>
      <c r="AF7" s="1955"/>
    </row>
    <row r="8" spans="1:33" ht="37.5" customHeight="1" x14ac:dyDescent="0.25">
      <c r="C8" s="1991"/>
      <c r="D8" s="1977" t="s">
        <v>1352</v>
      </c>
      <c r="E8" s="1960" t="s">
        <v>1146</v>
      </c>
      <c r="F8" s="1960" t="s">
        <v>1147</v>
      </c>
      <c r="G8" s="1960" t="s">
        <v>1148</v>
      </c>
      <c r="H8" s="1960" t="s">
        <v>1149</v>
      </c>
      <c r="I8" s="1960" t="s">
        <v>1150</v>
      </c>
      <c r="J8" s="1960" t="s">
        <v>1151</v>
      </c>
      <c r="K8" s="1960" t="s">
        <v>1152</v>
      </c>
      <c r="L8" s="1960" t="s">
        <v>1153</v>
      </c>
      <c r="M8" s="1960" t="s">
        <v>1154</v>
      </c>
      <c r="N8" s="1960" t="s">
        <v>1155</v>
      </c>
      <c r="O8" s="942"/>
      <c r="P8" s="942"/>
      <c r="Q8" s="942"/>
      <c r="R8" s="942"/>
      <c r="U8" s="1957"/>
      <c r="V8" s="1979" t="s">
        <v>1352</v>
      </c>
      <c r="W8" s="1951" t="s">
        <v>1146</v>
      </c>
      <c r="X8" s="1951" t="s">
        <v>1147</v>
      </c>
      <c r="Y8" s="1951" t="s">
        <v>1148</v>
      </c>
      <c r="Z8" s="1951" t="s">
        <v>1149</v>
      </c>
      <c r="AA8" s="1951" t="s">
        <v>1150</v>
      </c>
      <c r="AB8" s="1951" t="s">
        <v>1151</v>
      </c>
      <c r="AC8" s="1951" t="s">
        <v>1152</v>
      </c>
      <c r="AD8" s="1951" t="s">
        <v>1153</v>
      </c>
      <c r="AE8" s="1951" t="s">
        <v>1154</v>
      </c>
      <c r="AF8" s="1951" t="s">
        <v>1155</v>
      </c>
    </row>
    <row r="9" spans="1:33" x14ac:dyDescent="0.25">
      <c r="C9" s="1990"/>
      <c r="D9" s="1978"/>
      <c r="E9" s="1961"/>
      <c r="F9" s="1961"/>
      <c r="G9" s="1961"/>
      <c r="H9" s="1961"/>
      <c r="I9" s="1961"/>
      <c r="J9" s="1961"/>
      <c r="K9" s="1961"/>
      <c r="L9" s="1961"/>
      <c r="M9" s="1961"/>
      <c r="N9" s="1961"/>
      <c r="O9" s="942"/>
      <c r="P9" s="942"/>
      <c r="Q9" s="942"/>
      <c r="R9" s="942"/>
      <c r="U9" s="1958"/>
      <c r="V9" s="1980"/>
      <c r="W9" s="1952"/>
      <c r="X9" s="1952"/>
      <c r="Y9" s="1952"/>
      <c r="Z9" s="1952"/>
      <c r="AA9" s="1952"/>
      <c r="AB9" s="1952"/>
      <c r="AC9" s="1952"/>
      <c r="AD9" s="1952"/>
      <c r="AE9" s="1952"/>
      <c r="AF9" s="1952"/>
    </row>
    <row r="10" spans="1:33" x14ac:dyDescent="0.2">
      <c r="C10" s="874" t="s">
        <v>1321</v>
      </c>
      <c r="D10" s="879"/>
      <c r="E10" s="880">
        <f>SUM(E11:E12)</f>
        <v>2999751.8918287344</v>
      </c>
      <c r="F10" s="880">
        <f t="shared" ref="F10:N10" si="0">SUM(F11:F12)</f>
        <v>3242745.8009790857</v>
      </c>
      <c r="G10" s="880">
        <f t="shared" si="0"/>
        <v>3485918.2243290218</v>
      </c>
      <c r="H10" s="880">
        <f t="shared" si="0"/>
        <v>3729271.6800396303</v>
      </c>
      <c r="I10" s="880">
        <f t="shared" si="0"/>
        <v>3972808.7218198916</v>
      </c>
      <c r="J10" s="880">
        <f t="shared" si="0"/>
        <v>4216531.9394285074</v>
      </c>
      <c r="K10" s="880">
        <f t="shared" si="0"/>
        <v>4230443.9591828091</v>
      </c>
      <c r="L10" s="880">
        <f t="shared" si="0"/>
        <v>4244547.4444748526</v>
      </c>
      <c r="M10" s="880">
        <f t="shared" si="0"/>
        <v>4258845.0962947989</v>
      </c>
      <c r="N10" s="880">
        <f t="shared" si="0"/>
        <v>4273339.6537616821</v>
      </c>
      <c r="O10" s="943">
        <f>SUM(E10:N10)</f>
        <v>38654204.412139021</v>
      </c>
      <c r="P10" s="943"/>
      <c r="Q10" s="943"/>
      <c r="R10" s="943"/>
      <c r="U10" s="894" t="s">
        <v>1321</v>
      </c>
      <c r="V10" s="879"/>
      <c r="W10" s="880">
        <f>SUM(W11:W12)</f>
        <v>2999751.8918287344</v>
      </c>
      <c r="X10" s="880">
        <f t="shared" ref="X10:AF10" si="1">SUM(X11:X12)</f>
        <v>3242745.8009790857</v>
      </c>
      <c r="Y10" s="880">
        <f t="shared" si="1"/>
        <v>3485918.2243290218</v>
      </c>
      <c r="Z10" s="880">
        <f t="shared" si="1"/>
        <v>3729271.6800396303</v>
      </c>
      <c r="AA10" s="880">
        <f t="shared" si="1"/>
        <v>3972808.7218198916</v>
      </c>
      <c r="AB10" s="880">
        <f t="shared" si="1"/>
        <v>4216531.9394285074</v>
      </c>
      <c r="AC10" s="880">
        <f t="shared" si="1"/>
        <v>4230443.9591828091</v>
      </c>
      <c r="AD10" s="880">
        <f t="shared" si="1"/>
        <v>4244547.4444748526</v>
      </c>
      <c r="AE10" s="880">
        <f t="shared" si="1"/>
        <v>4258845.0962947989</v>
      </c>
      <c r="AF10" s="880">
        <f t="shared" si="1"/>
        <v>4273339.6537616821</v>
      </c>
    </row>
    <row r="11" spans="1:33" x14ac:dyDescent="0.2">
      <c r="B11" s="251">
        <f>'RES COST'!L23</f>
        <v>11042405.056644956</v>
      </c>
      <c r="C11" s="870" t="str">
        <f>'B.I.'!C16</f>
        <v>BENEFICIOS CON PROYECTO</v>
      </c>
      <c r="D11" s="871"/>
      <c r="E11" s="872">
        <f>'B.I.'!D16</f>
        <v>2999751.8918287344</v>
      </c>
      <c r="F11" s="872">
        <f>'B.I.'!E16</f>
        <v>3242745.8009790857</v>
      </c>
      <c r="G11" s="872">
        <f>'B.I.'!F16</f>
        <v>3485918.2243290218</v>
      </c>
      <c r="H11" s="872">
        <f>'B.I.'!G16</f>
        <v>3729271.6800396303</v>
      </c>
      <c r="I11" s="872">
        <f>'B.I.'!H16</f>
        <v>3972808.7218198916</v>
      </c>
      <c r="J11" s="872">
        <f>'B.I.'!I16</f>
        <v>4216531.9394285074</v>
      </c>
      <c r="K11" s="872">
        <f>'B.I.'!J16</f>
        <v>4230443.9591828091</v>
      </c>
      <c r="L11" s="872">
        <f>'B.I.'!K16</f>
        <v>4244547.4444748526</v>
      </c>
      <c r="M11" s="872">
        <f>'B.I.'!L16</f>
        <v>4258845.0962947989</v>
      </c>
      <c r="N11" s="872">
        <f>'B.I.'!M16</f>
        <v>4273339.6537616821</v>
      </c>
      <c r="O11" s="944"/>
      <c r="P11" s="944"/>
      <c r="Q11" s="944"/>
      <c r="R11" s="944"/>
      <c r="U11" s="895" t="str">
        <f t="shared" ref="U11:U30" si="2">C11</f>
        <v>BENEFICIOS CON PROYECTO</v>
      </c>
      <c r="V11" s="871"/>
      <c r="W11" s="872">
        <f>'B.I.'!Q16</f>
        <v>2999751.8918287344</v>
      </c>
      <c r="X11" s="872">
        <f>'B.I.'!R16</f>
        <v>3242745.8009790857</v>
      </c>
      <c r="Y11" s="872">
        <f>'B.I.'!S16</f>
        <v>3485918.2243290218</v>
      </c>
      <c r="Z11" s="872">
        <f>'B.I.'!T16</f>
        <v>3729271.6800396303</v>
      </c>
      <c r="AA11" s="872">
        <f>'B.I.'!U16</f>
        <v>3972808.7218198916</v>
      </c>
      <c r="AB11" s="872">
        <f>'B.I.'!V16</f>
        <v>4216531.9394285074</v>
      </c>
      <c r="AC11" s="872">
        <f>'B.I.'!W16</f>
        <v>4230443.9591828091</v>
      </c>
      <c r="AD11" s="872">
        <f>'B.I.'!X16</f>
        <v>4244547.4444748526</v>
      </c>
      <c r="AE11" s="872">
        <f>'B.I.'!Y16</f>
        <v>4258845.0962947989</v>
      </c>
      <c r="AF11" s="872">
        <f>'B.I.'!Z16</f>
        <v>4273339.6537616821</v>
      </c>
    </row>
    <row r="12" spans="1:33" x14ac:dyDescent="0.2">
      <c r="C12" s="870" t="str">
        <f>'B.I.'!C17</f>
        <v>BENEFICIOS SIN PROYECTO</v>
      </c>
      <c r="D12" s="873"/>
      <c r="E12" s="872">
        <f>'B.I.'!D17</f>
        <v>0</v>
      </c>
      <c r="F12" s="872">
        <f>'B.I.'!E17</f>
        <v>0</v>
      </c>
      <c r="G12" s="872">
        <f>'B.I.'!F17</f>
        <v>0</v>
      </c>
      <c r="H12" s="872">
        <f>'B.I.'!G17</f>
        <v>0</v>
      </c>
      <c r="I12" s="872">
        <f>'B.I.'!H17</f>
        <v>0</v>
      </c>
      <c r="J12" s="872">
        <f>'B.I.'!I17</f>
        <v>0</v>
      </c>
      <c r="K12" s="872">
        <f>'B.I.'!J17</f>
        <v>0</v>
      </c>
      <c r="L12" s="872">
        <f>'B.I.'!K17</f>
        <v>0</v>
      </c>
      <c r="M12" s="872">
        <f>'B.I.'!L17</f>
        <v>0</v>
      </c>
      <c r="N12" s="872">
        <f>'B.I.'!M17</f>
        <v>0</v>
      </c>
      <c r="O12" s="944">
        <f>SUM(E10:G10)</f>
        <v>9728415.9171368405</v>
      </c>
      <c r="P12" s="944"/>
      <c r="Q12" s="944"/>
      <c r="R12" s="944"/>
      <c r="U12" s="895" t="str">
        <f t="shared" si="2"/>
        <v>BENEFICIOS SIN PROYECTO</v>
      </c>
      <c r="V12" s="873"/>
      <c r="W12" s="872">
        <f>'B.I.'!Q17</f>
        <v>0</v>
      </c>
      <c r="X12" s="872">
        <f>'B.I.'!R17</f>
        <v>0</v>
      </c>
      <c r="Y12" s="872">
        <f>'B.I.'!S17</f>
        <v>0</v>
      </c>
      <c r="Z12" s="872">
        <f>'B.I.'!T17</f>
        <v>0</v>
      </c>
      <c r="AA12" s="872">
        <f>'B.I.'!U17</f>
        <v>0</v>
      </c>
      <c r="AB12" s="872">
        <f>'B.I.'!V17</f>
        <v>0</v>
      </c>
      <c r="AC12" s="872">
        <f>'B.I.'!W17</f>
        <v>0</v>
      </c>
      <c r="AD12" s="872">
        <f>'B.I.'!X17</f>
        <v>0</v>
      </c>
      <c r="AE12" s="872">
        <f>'B.I.'!Y17</f>
        <v>0</v>
      </c>
      <c r="AF12" s="872">
        <f>'B.I.'!Z17</f>
        <v>0</v>
      </c>
    </row>
    <row r="13" spans="1:33" x14ac:dyDescent="0.2">
      <c r="B13" s="251">
        <f t="shared" ref="B13:B22" si="3">SUM(D13:D13)</f>
        <v>11042405.056644956</v>
      </c>
      <c r="C13" s="874" t="s">
        <v>1315</v>
      </c>
      <c r="D13" s="875">
        <f>SUM(D14:D22)</f>
        <v>11042405.056644956</v>
      </c>
      <c r="E13" s="871"/>
      <c r="F13" s="871"/>
      <c r="G13" s="871"/>
      <c r="H13" s="871"/>
      <c r="I13" s="871"/>
      <c r="J13" s="871"/>
      <c r="K13" s="871"/>
      <c r="L13" s="871"/>
      <c r="M13" s="876"/>
      <c r="N13" s="876"/>
      <c r="O13" s="945"/>
      <c r="P13" s="945"/>
      <c r="Q13" s="945"/>
      <c r="R13" s="945"/>
      <c r="S13" s="251">
        <f>'RES COST'!N23</f>
        <v>8583729.1419027727</v>
      </c>
      <c r="T13" s="251">
        <f t="shared" ref="T13:T22" si="4">SUM(V13:V13)</f>
        <v>8583729.1419027727</v>
      </c>
      <c r="U13" s="896" t="str">
        <f t="shared" si="2"/>
        <v>INVERSION</v>
      </c>
      <c r="V13" s="875">
        <f>SUM(V14:V22)</f>
        <v>8583729.1419027727</v>
      </c>
      <c r="W13" s="871"/>
      <c r="X13" s="871"/>
      <c r="Y13" s="871"/>
      <c r="Z13" s="871"/>
      <c r="AA13" s="871"/>
      <c r="AB13" s="871"/>
      <c r="AC13" s="871"/>
      <c r="AD13" s="871"/>
      <c r="AE13" s="876"/>
      <c r="AF13" s="876"/>
    </row>
    <row r="14" spans="1:33" x14ac:dyDescent="0.2">
      <c r="A14" s="251">
        <f>'RES COST'!F49</f>
        <v>5656894.0213923007</v>
      </c>
      <c r="B14" s="251">
        <f t="shared" si="3"/>
        <v>5656894.0213923007</v>
      </c>
      <c r="C14" s="871" t="s">
        <v>1322</v>
      </c>
      <c r="D14" s="872">
        <f>'RES COST'!F49</f>
        <v>5656894.0213923007</v>
      </c>
      <c r="E14" s="871"/>
      <c r="F14" s="871"/>
      <c r="G14" s="871"/>
      <c r="H14" s="871"/>
      <c r="I14" s="871"/>
      <c r="J14" s="871"/>
      <c r="K14" s="871"/>
      <c r="L14" s="871"/>
      <c r="M14" s="876"/>
      <c r="N14" s="876"/>
      <c r="O14" s="945"/>
      <c r="P14" s="945"/>
      <c r="Q14" s="945"/>
      <c r="R14" s="945"/>
      <c r="T14" s="251">
        <f t="shared" si="4"/>
        <v>4329175.4240531754</v>
      </c>
      <c r="U14" s="895" t="str">
        <f t="shared" si="2"/>
        <v>PRESUPUESTO DE OBRA - COSTO DIRECTO</v>
      </c>
      <c r="V14" s="872">
        <f>'RES COST'!N14</f>
        <v>4329175.4240531754</v>
      </c>
      <c r="W14" s="871"/>
      <c r="X14" s="871"/>
      <c r="Y14" s="871"/>
      <c r="Z14" s="871"/>
      <c r="AA14" s="871"/>
      <c r="AB14" s="871"/>
      <c r="AC14" s="871"/>
      <c r="AD14" s="871"/>
      <c r="AE14" s="876"/>
      <c r="AF14" s="876"/>
    </row>
    <row r="15" spans="1:33" x14ac:dyDescent="0.2">
      <c r="A15" s="251">
        <f>'RES COST'!F50</f>
        <v>1051956.0125</v>
      </c>
      <c r="B15" s="251">
        <f t="shared" si="3"/>
        <v>1051956.0125</v>
      </c>
      <c r="C15" s="877" t="str">
        <f>'RES COST'!C50</f>
        <v>GASTOS GENERALES</v>
      </c>
      <c r="D15" s="878">
        <f>'RES COST'!F50</f>
        <v>1051956.0125</v>
      </c>
      <c r="E15" s="871"/>
      <c r="F15" s="871"/>
      <c r="G15" s="871"/>
      <c r="H15" s="871"/>
      <c r="I15" s="871"/>
      <c r="J15" s="871"/>
      <c r="K15" s="871"/>
      <c r="L15" s="871"/>
      <c r="M15" s="876"/>
      <c r="N15" s="876"/>
      <c r="O15" s="945"/>
      <c r="P15" s="945"/>
      <c r="Q15" s="945"/>
      <c r="R15" s="945"/>
      <c r="T15" s="251">
        <f t="shared" si="4"/>
        <v>831045.24987499998</v>
      </c>
      <c r="U15" s="895" t="str">
        <f t="shared" si="2"/>
        <v>GASTOS GENERALES</v>
      </c>
      <c r="V15" s="878">
        <f>'RES COST'!N15</f>
        <v>831045.24987499998</v>
      </c>
      <c r="W15" s="871"/>
      <c r="X15" s="871"/>
      <c r="Y15" s="871"/>
      <c r="Z15" s="871"/>
      <c r="AA15" s="871"/>
      <c r="AB15" s="871"/>
      <c r="AC15" s="871"/>
      <c r="AD15" s="871"/>
      <c r="AE15" s="876"/>
      <c r="AF15" s="876"/>
    </row>
    <row r="16" spans="1:33" x14ac:dyDescent="0.2">
      <c r="A16" s="251">
        <f>'RES COST'!F51</f>
        <v>171554.96875</v>
      </c>
      <c r="B16" s="251">
        <f t="shared" si="3"/>
        <v>171554.96875</v>
      </c>
      <c r="C16" s="877" t="str">
        <f>'RES COST'!C51</f>
        <v xml:space="preserve">COSTO DEL EXPEDIENTE TÉCNICO </v>
      </c>
      <c r="D16" s="878">
        <f>'RES COST'!F51</f>
        <v>171554.96875</v>
      </c>
      <c r="E16" s="871"/>
      <c r="F16" s="871"/>
      <c r="G16" s="871"/>
      <c r="H16" s="871"/>
      <c r="I16" s="871"/>
      <c r="J16" s="871"/>
      <c r="K16" s="871"/>
      <c r="L16" s="871"/>
      <c r="M16" s="876"/>
      <c r="N16" s="876"/>
      <c r="O16" s="945"/>
      <c r="P16" s="945"/>
      <c r="Q16" s="945"/>
      <c r="R16" s="945"/>
      <c r="T16" s="251">
        <f t="shared" si="4"/>
        <v>135528.42531250001</v>
      </c>
      <c r="U16" s="895" t="str">
        <f t="shared" si="2"/>
        <v xml:space="preserve">COSTO DEL EXPEDIENTE TÉCNICO </v>
      </c>
      <c r="V16" s="878">
        <f>'RES COST'!N16</f>
        <v>135528.42531250001</v>
      </c>
      <c r="W16" s="871"/>
      <c r="X16" s="871"/>
      <c r="Y16" s="871"/>
      <c r="Z16" s="871"/>
      <c r="AA16" s="871"/>
      <c r="AB16" s="871"/>
      <c r="AC16" s="871"/>
      <c r="AD16" s="871"/>
      <c r="AE16" s="876"/>
      <c r="AF16" s="876"/>
    </row>
    <row r="17" spans="1:32" x14ac:dyDescent="0.2">
      <c r="A17" s="251">
        <f>'RES COST'!F52</f>
        <v>33800.53</v>
      </c>
      <c r="B17" s="251">
        <f t="shared" si="3"/>
        <v>33800.53</v>
      </c>
      <c r="C17" s="877" t="str">
        <f>'RES COST'!C52</f>
        <v xml:space="preserve">COSTO DE LIQUIDACIÓN </v>
      </c>
      <c r="D17" s="251">
        <f>'RES COST'!F52</f>
        <v>33800.53</v>
      </c>
      <c r="E17" s="871"/>
      <c r="F17" s="871"/>
      <c r="G17" s="871"/>
      <c r="H17" s="871"/>
      <c r="I17" s="871"/>
      <c r="J17" s="871"/>
      <c r="K17" s="871"/>
      <c r="L17" s="871"/>
      <c r="M17" s="876"/>
      <c r="N17" s="876"/>
      <c r="O17" s="945"/>
      <c r="P17" s="945"/>
      <c r="Q17" s="945"/>
      <c r="R17" s="945"/>
      <c r="T17" s="251">
        <f t="shared" si="4"/>
        <v>26702.418700000002</v>
      </c>
      <c r="U17" s="895" t="str">
        <f t="shared" si="2"/>
        <v xml:space="preserve">COSTO DE LIQUIDACIÓN </v>
      </c>
      <c r="V17" s="251">
        <f>'RES COST'!N17</f>
        <v>26702.418700000002</v>
      </c>
      <c r="W17" s="871"/>
      <c r="X17" s="871"/>
      <c r="Y17" s="871"/>
      <c r="Z17" s="871"/>
      <c r="AA17" s="871"/>
      <c r="AB17" s="871"/>
      <c r="AC17" s="871"/>
      <c r="AD17" s="871"/>
      <c r="AE17" s="876"/>
      <c r="AF17" s="876"/>
    </row>
    <row r="18" spans="1:32" x14ac:dyDescent="0.2">
      <c r="A18" s="251">
        <f>'RES COST'!F53</f>
        <v>440713.80452359997</v>
      </c>
      <c r="B18" s="251">
        <f t="shared" si="3"/>
        <v>440713.80452359997</v>
      </c>
      <c r="C18" s="877" t="str">
        <f>'RES COST'!C53</f>
        <v>MITIGACIÓN AMBIENTAL (A TODO COSTO)</v>
      </c>
      <c r="D18" s="878">
        <f>'RES COST'!F53</f>
        <v>440713.80452359997</v>
      </c>
      <c r="E18" s="871"/>
      <c r="F18" s="871"/>
      <c r="G18" s="871"/>
      <c r="H18" s="871"/>
      <c r="I18" s="871"/>
      <c r="J18" s="871"/>
      <c r="K18" s="871"/>
      <c r="L18" s="871"/>
      <c r="M18" s="876"/>
      <c r="N18" s="876"/>
      <c r="O18" s="945"/>
      <c r="P18" s="945"/>
      <c r="Q18" s="945"/>
      <c r="R18" s="945"/>
      <c r="T18" s="251">
        <f t="shared" si="4"/>
        <v>348163.90557364398</v>
      </c>
      <c r="U18" s="895" t="str">
        <f t="shared" si="2"/>
        <v>MITIGACIÓN AMBIENTAL (A TODO COSTO)</v>
      </c>
      <c r="V18" s="878">
        <f>'RES COST'!N18</f>
        <v>348163.90557364398</v>
      </c>
      <c r="W18" s="871"/>
      <c r="X18" s="871"/>
      <c r="Y18" s="871"/>
      <c r="Z18" s="871"/>
      <c r="AA18" s="871"/>
      <c r="AB18" s="871"/>
      <c r="AC18" s="871"/>
      <c r="AD18" s="871"/>
      <c r="AE18" s="876"/>
      <c r="AF18" s="876"/>
    </row>
    <row r="19" spans="1:32" x14ac:dyDescent="0.2">
      <c r="A19" s="251">
        <f>'RES COST'!F54</f>
        <v>1995453.1903350002</v>
      </c>
      <c r="B19" s="251">
        <f t="shared" si="3"/>
        <v>1995453.1903350002</v>
      </c>
      <c r="C19" s="877" t="str">
        <f>'RES COST'!C54</f>
        <v>EQUIPAMIENTO (A TODO COSTO)</v>
      </c>
      <c r="D19" s="404">
        <f>'RES COST'!F54</f>
        <v>1995453.1903350002</v>
      </c>
      <c r="E19" s="871"/>
      <c r="F19" s="871"/>
      <c r="G19" s="871"/>
      <c r="H19" s="871"/>
      <c r="I19" s="871"/>
      <c r="J19" s="871"/>
      <c r="K19" s="871"/>
      <c r="L19" s="871"/>
      <c r="M19" s="876"/>
      <c r="N19" s="876"/>
      <c r="O19" s="945"/>
      <c r="P19" s="945"/>
      <c r="Q19" s="945"/>
      <c r="R19" s="945"/>
      <c r="T19" s="251">
        <f t="shared" si="4"/>
        <v>1576408.0203646503</v>
      </c>
      <c r="U19" s="895" t="str">
        <f t="shared" si="2"/>
        <v>EQUIPAMIENTO (A TODO COSTO)</v>
      </c>
      <c r="V19" s="404">
        <f>'RES COST'!N19</f>
        <v>1576408.0203646503</v>
      </c>
      <c r="W19" s="871"/>
      <c r="X19" s="871"/>
      <c r="Y19" s="871"/>
      <c r="Z19" s="871"/>
      <c r="AA19" s="871"/>
      <c r="AB19" s="871"/>
      <c r="AC19" s="871"/>
      <c r="AD19" s="871"/>
      <c r="AE19" s="876"/>
      <c r="AF19" s="876"/>
    </row>
    <row r="20" spans="1:32" x14ac:dyDescent="0.2">
      <c r="A20" s="251">
        <f>'RES COST'!F55</f>
        <v>629756.81222542434</v>
      </c>
      <c r="B20" s="251">
        <f t="shared" si="3"/>
        <v>629756.81222542434</v>
      </c>
      <c r="C20" s="877" t="str">
        <f>'RES COST'!C55</f>
        <v>CAPACITACIÓN  (A TODO COSTO)</v>
      </c>
      <c r="D20" s="404">
        <f>'RES COST'!F55</f>
        <v>629756.81222542434</v>
      </c>
      <c r="E20" s="871"/>
      <c r="F20" s="871"/>
      <c r="G20" s="871"/>
      <c r="H20" s="871"/>
      <c r="I20" s="871"/>
      <c r="J20" s="871"/>
      <c r="K20" s="871"/>
      <c r="L20" s="871"/>
      <c r="M20" s="876"/>
      <c r="N20" s="876"/>
      <c r="O20" s="945"/>
      <c r="P20" s="945"/>
      <c r="Q20" s="945"/>
      <c r="R20" s="945"/>
      <c r="T20" s="251">
        <f t="shared" si="4"/>
        <v>497507.88165808527</v>
      </c>
      <c r="U20" s="895" t="str">
        <f t="shared" si="2"/>
        <v>CAPACITACIÓN  (A TODO COSTO)</v>
      </c>
      <c r="V20" s="404">
        <f>'RES COST'!N20</f>
        <v>497507.88165808527</v>
      </c>
      <c r="W20" s="871"/>
      <c r="X20" s="871"/>
      <c r="Y20" s="871"/>
      <c r="Z20" s="871"/>
      <c r="AA20" s="871"/>
      <c r="AB20" s="871"/>
      <c r="AC20" s="871"/>
      <c r="AD20" s="871"/>
      <c r="AE20" s="876"/>
      <c r="AF20" s="876"/>
    </row>
    <row r="21" spans="1:32" x14ac:dyDescent="0.2">
      <c r="A21" s="251">
        <f>'RES COST'!F56</f>
        <v>445741.45025196287</v>
      </c>
      <c r="B21" s="251">
        <f t="shared" si="3"/>
        <v>445741.45025196287</v>
      </c>
      <c r="C21" s="877" t="str">
        <f>'RES COST'!C56</f>
        <v>GESTIÓN DE PROYECTO</v>
      </c>
      <c r="D21" s="878">
        <f>'RES COST'!F56</f>
        <v>445741.45025196287</v>
      </c>
      <c r="E21" s="871"/>
      <c r="F21" s="871"/>
      <c r="G21" s="871"/>
      <c r="H21" s="871"/>
      <c r="I21" s="871"/>
      <c r="J21" s="871"/>
      <c r="K21" s="871"/>
      <c r="L21" s="871"/>
      <c r="M21" s="876"/>
      <c r="N21" s="876"/>
      <c r="O21" s="945"/>
      <c r="P21" s="945"/>
      <c r="Q21" s="945"/>
      <c r="R21" s="945"/>
      <c r="T21" s="251">
        <f t="shared" si="4"/>
        <v>352135.74569905066</v>
      </c>
      <c r="U21" s="895" t="str">
        <f t="shared" si="2"/>
        <v>GESTIÓN DE PROYECTO</v>
      </c>
      <c r="V21" s="878">
        <f>'RES COST'!N21</f>
        <v>352135.74569905066</v>
      </c>
      <c r="W21" s="871"/>
      <c r="X21" s="871"/>
      <c r="Y21" s="871"/>
      <c r="Z21" s="871"/>
      <c r="AA21" s="871"/>
      <c r="AB21" s="871"/>
      <c r="AC21" s="871"/>
      <c r="AD21" s="871"/>
      <c r="AE21" s="876"/>
      <c r="AF21" s="876"/>
    </row>
    <row r="22" spans="1:32" x14ac:dyDescent="0.2">
      <c r="A22" s="251">
        <f>'RES COST'!F57</f>
        <v>616534.26666666672</v>
      </c>
      <c r="B22" s="251">
        <f t="shared" si="3"/>
        <v>616534.26666666672</v>
      </c>
      <c r="C22" s="877" t="str">
        <f>'RES COST'!C57</f>
        <v>GASTOS DE SUPERVISIÓN</v>
      </c>
      <c r="D22" s="878">
        <f>'RES COST'!F57</f>
        <v>616534.26666666672</v>
      </c>
      <c r="E22" s="871"/>
      <c r="F22" s="871"/>
      <c r="G22" s="871"/>
      <c r="H22" s="871"/>
      <c r="I22" s="871"/>
      <c r="J22" s="871"/>
      <c r="K22" s="871"/>
      <c r="L22" s="871"/>
      <c r="M22" s="876"/>
      <c r="N22" s="876"/>
      <c r="O22" s="945"/>
      <c r="P22" s="945"/>
      <c r="Q22" s="945"/>
      <c r="R22" s="945"/>
      <c r="T22" s="251">
        <f t="shared" si="4"/>
        <v>487062.07066666672</v>
      </c>
      <c r="U22" s="895" t="str">
        <f t="shared" si="2"/>
        <v>GASTOS DE SUPERVISIÓN</v>
      </c>
      <c r="V22" s="878">
        <f>'RES COST'!N22</f>
        <v>487062.07066666672</v>
      </c>
      <c r="W22" s="871"/>
      <c r="X22" s="871"/>
      <c r="Y22" s="871"/>
      <c r="Z22" s="871"/>
      <c r="AA22" s="871"/>
      <c r="AB22" s="871"/>
      <c r="AC22" s="871"/>
      <c r="AD22" s="871"/>
      <c r="AE22" s="876"/>
      <c r="AF22" s="876"/>
    </row>
    <row r="23" spans="1:32" x14ac:dyDescent="0.2">
      <c r="B23" s="251"/>
      <c r="C23" s="874" t="s">
        <v>1316</v>
      </c>
      <c r="D23" s="875">
        <f>D13</f>
        <v>11042405.056644956</v>
      </c>
      <c r="E23" s="875">
        <f t="shared" ref="E23:N23" si="5">E24-E25</f>
        <v>2146241.6</v>
      </c>
      <c r="F23" s="875">
        <f t="shared" si="5"/>
        <v>2146241.6</v>
      </c>
      <c r="G23" s="875">
        <f t="shared" si="5"/>
        <v>2146241.6</v>
      </c>
      <c r="H23" s="875">
        <f t="shared" si="5"/>
        <v>2146241.6</v>
      </c>
      <c r="I23" s="875">
        <f t="shared" si="5"/>
        <v>2216241.6</v>
      </c>
      <c r="J23" s="875">
        <f t="shared" si="5"/>
        <v>2146241.6</v>
      </c>
      <c r="K23" s="875">
        <f t="shared" si="5"/>
        <v>2146241.6</v>
      </c>
      <c r="L23" s="875">
        <f t="shared" si="5"/>
        <v>2146241.6</v>
      </c>
      <c r="M23" s="875">
        <f t="shared" si="5"/>
        <v>2146241.6</v>
      </c>
      <c r="N23" s="875">
        <f t="shared" si="5"/>
        <v>2446241.6</v>
      </c>
      <c r="O23" s="884"/>
      <c r="P23" s="884"/>
      <c r="Q23" s="884"/>
      <c r="R23" s="884"/>
      <c r="T23" s="904">
        <f>SUM(T14:T22)</f>
        <v>8583729.1419027727</v>
      </c>
      <c r="U23" s="896" t="str">
        <f t="shared" si="2"/>
        <v>COSTOS INCREMENTALES</v>
      </c>
      <c r="V23" s="875">
        <f>V13</f>
        <v>8583729.1419027727</v>
      </c>
      <c r="W23" s="875">
        <f t="shared" ref="W23:AF23" si="6">W24-W25</f>
        <v>1805128.8552000001</v>
      </c>
      <c r="X23" s="875">
        <f t="shared" si="6"/>
        <v>1842566.2552000002</v>
      </c>
      <c r="Y23" s="875">
        <f t="shared" si="6"/>
        <v>1842566.2552000002</v>
      </c>
      <c r="Z23" s="875">
        <f t="shared" si="6"/>
        <v>1842566.2552000002</v>
      </c>
      <c r="AA23" s="875">
        <f t="shared" si="6"/>
        <v>1901856.2552000002</v>
      </c>
      <c r="AB23" s="875">
        <f t="shared" si="6"/>
        <v>1842566.2552000002</v>
      </c>
      <c r="AC23" s="875">
        <f t="shared" si="6"/>
        <v>1842566.2552000002</v>
      </c>
      <c r="AD23" s="875">
        <f t="shared" si="6"/>
        <v>1842566.2552000002</v>
      </c>
      <c r="AE23" s="875">
        <f t="shared" si="6"/>
        <v>1842566.2552000002</v>
      </c>
      <c r="AF23" s="875">
        <f t="shared" si="6"/>
        <v>2096666.2552000002</v>
      </c>
    </row>
    <row r="24" spans="1:32" x14ac:dyDescent="0.2">
      <c r="A24" s="881">
        <f>SUM(A14:A23)</f>
        <v>11042405.056644956</v>
      </c>
      <c r="B24" s="881">
        <f>SUM(B14:B23)</f>
        <v>11042405.056644956</v>
      </c>
      <c r="C24" s="871" t="s">
        <v>1880</v>
      </c>
      <c r="D24" s="871"/>
      <c r="E24" s="872">
        <f>'RES. O&amp;M'!G27</f>
        <v>2210991.6</v>
      </c>
      <c r="F24" s="872">
        <f>'RES. O&amp;M'!H27</f>
        <v>2210991.6</v>
      </c>
      <c r="G24" s="872">
        <f>'RES. O&amp;M'!I27</f>
        <v>2210991.6</v>
      </c>
      <c r="H24" s="872">
        <f>'RES. O&amp;M'!J27</f>
        <v>2210991.6</v>
      </c>
      <c r="I24" s="872">
        <f>'RES. O&amp;M'!K27</f>
        <v>2280991.6</v>
      </c>
      <c r="J24" s="872">
        <f>'RES. O&amp;M'!L27</f>
        <v>2210991.6</v>
      </c>
      <c r="K24" s="872">
        <f>'RES. O&amp;M'!M27</f>
        <v>2210991.6</v>
      </c>
      <c r="L24" s="872">
        <f>'RES. O&amp;M'!N27</f>
        <v>2210991.6</v>
      </c>
      <c r="M24" s="872">
        <f>'RES. O&amp;M'!O27</f>
        <v>2210991.6</v>
      </c>
      <c r="N24" s="872">
        <f>'RES. O&amp;M'!P27</f>
        <v>2510991.6</v>
      </c>
      <c r="O24" s="944"/>
      <c r="P24" s="944"/>
      <c r="Q24" s="944"/>
      <c r="R24" s="944"/>
      <c r="U24" s="895" t="str">
        <f t="shared" si="2"/>
        <v>COSTOS DE O&amp;M. CON PROYECTO</v>
      </c>
      <c r="V24" s="871"/>
      <c r="W24" s="872">
        <f>'RES. O&amp;M'!W27</f>
        <v>1863986.4652000002</v>
      </c>
      <c r="X24" s="872">
        <f>'RES. O&amp;M'!X27</f>
        <v>1901423.8652000003</v>
      </c>
      <c r="Y24" s="872">
        <f>'RES. O&amp;M'!Y27</f>
        <v>1901423.8652000003</v>
      </c>
      <c r="Z24" s="872">
        <f>'RES. O&amp;M'!Z27</f>
        <v>1901423.8652000003</v>
      </c>
      <c r="AA24" s="872">
        <f>'RES. O&amp;M'!AA27</f>
        <v>1960713.8652000003</v>
      </c>
      <c r="AB24" s="872">
        <f>'RES. O&amp;M'!AB27</f>
        <v>1901423.8652000003</v>
      </c>
      <c r="AC24" s="872">
        <f>'RES. O&amp;M'!AC27</f>
        <v>1901423.8652000003</v>
      </c>
      <c r="AD24" s="872">
        <f>'RES. O&amp;M'!AD27</f>
        <v>1901423.8652000003</v>
      </c>
      <c r="AE24" s="872">
        <f>'RES. O&amp;M'!AE27</f>
        <v>1901423.8652000003</v>
      </c>
      <c r="AF24" s="872">
        <f>'RES. O&amp;M'!AF27</f>
        <v>2155523.8652000003</v>
      </c>
    </row>
    <row r="25" spans="1:32" x14ac:dyDescent="0.2">
      <c r="C25" s="871" t="s">
        <v>1881</v>
      </c>
      <c r="D25" s="873"/>
      <c r="E25" s="1382">
        <f>'RES. O&amp;M'!G15</f>
        <v>64750</v>
      </c>
      <c r="F25" s="1382">
        <f>'RES. O&amp;M'!H15</f>
        <v>64750</v>
      </c>
      <c r="G25" s="1382">
        <f>'RES. O&amp;M'!I15</f>
        <v>64750</v>
      </c>
      <c r="H25" s="1382">
        <f>'RES. O&amp;M'!J15</f>
        <v>64750</v>
      </c>
      <c r="I25" s="1382">
        <f>'RES. O&amp;M'!K15</f>
        <v>64750</v>
      </c>
      <c r="J25" s="1382">
        <f>'RES. O&amp;M'!L15</f>
        <v>64750</v>
      </c>
      <c r="K25" s="1382">
        <f>'RES. O&amp;M'!M15</f>
        <v>64750</v>
      </c>
      <c r="L25" s="1382">
        <f>'RES. O&amp;M'!N15</f>
        <v>64750</v>
      </c>
      <c r="M25" s="1382">
        <f>'RES. O&amp;M'!O15</f>
        <v>64750</v>
      </c>
      <c r="N25" s="1382">
        <f>'RES. O&amp;M'!P15</f>
        <v>64750</v>
      </c>
      <c r="O25" s="946"/>
      <c r="P25" s="946"/>
      <c r="Q25" s="946"/>
      <c r="R25" s="946"/>
      <c r="U25" s="895" t="str">
        <f t="shared" si="2"/>
        <v>COSTOS DE O&amp;M. SIN PROYECTO</v>
      </c>
      <c r="V25" s="873"/>
      <c r="W25" s="872">
        <f>'RES. O&amp;M'!W15</f>
        <v>58857.61</v>
      </c>
      <c r="X25" s="872">
        <f>'RES. O&amp;M'!X15</f>
        <v>58857.61</v>
      </c>
      <c r="Y25" s="872">
        <f>'RES. O&amp;M'!Y15</f>
        <v>58857.61</v>
      </c>
      <c r="Z25" s="872">
        <f>'RES. O&amp;M'!Z15</f>
        <v>58857.61</v>
      </c>
      <c r="AA25" s="872">
        <f>'RES. O&amp;M'!AA15</f>
        <v>58857.61</v>
      </c>
      <c r="AB25" s="872">
        <f>'RES. O&amp;M'!AB15</f>
        <v>58857.61</v>
      </c>
      <c r="AC25" s="872">
        <f>'RES. O&amp;M'!AC15</f>
        <v>58857.61</v>
      </c>
      <c r="AD25" s="872">
        <f>'RES. O&amp;M'!AD15</f>
        <v>58857.61</v>
      </c>
      <c r="AE25" s="872">
        <f>'RES. O&amp;M'!AE15</f>
        <v>58857.61</v>
      </c>
      <c r="AF25" s="872">
        <f>'RES. O&amp;M'!AF15</f>
        <v>58857.61</v>
      </c>
    </row>
    <row r="26" spans="1:32" x14ac:dyDescent="0.2">
      <c r="B26" s="251">
        <f>SUM(D27:D27)</f>
        <v>-11042405.056644956</v>
      </c>
      <c r="C26" s="871" t="s">
        <v>1317</v>
      </c>
      <c r="D26" s="872"/>
      <c r="E26" s="872"/>
      <c r="F26" s="872"/>
      <c r="G26" s="872"/>
      <c r="H26" s="872"/>
      <c r="I26" s="872"/>
      <c r="J26" s="872"/>
      <c r="K26" s="872"/>
      <c r="L26" s="872"/>
      <c r="M26" s="872"/>
      <c r="N26" s="882">
        <f>-D13*0.1</f>
        <v>-1104240.5056644955</v>
      </c>
      <c r="O26" s="947"/>
      <c r="P26" s="947"/>
      <c r="Q26" s="947"/>
      <c r="R26" s="947"/>
      <c r="U26" s="895" t="str">
        <f t="shared" si="2"/>
        <v>VALOR RESIDUAL</v>
      </c>
      <c r="V26" s="872"/>
      <c r="W26" s="872"/>
      <c r="X26" s="872"/>
      <c r="Y26" s="872"/>
      <c r="Z26" s="872"/>
      <c r="AA26" s="872"/>
      <c r="AB26" s="872"/>
      <c r="AC26" s="872"/>
      <c r="AD26" s="872"/>
      <c r="AE26" s="872"/>
      <c r="AF26" s="882">
        <f>-V13*0.1</f>
        <v>-858372.91419027734</v>
      </c>
    </row>
    <row r="27" spans="1:32" x14ac:dyDescent="0.2">
      <c r="C27" s="888" t="s">
        <v>1318</v>
      </c>
      <c r="D27" s="889">
        <f>D10-D23</f>
        <v>-11042405.056644956</v>
      </c>
      <c r="E27" s="889">
        <f>E10-E23</f>
        <v>853510.29182873433</v>
      </c>
      <c r="F27" s="889">
        <f t="shared" ref="F27:M27" si="7">F10-F23</f>
        <v>1096504.2009790856</v>
      </c>
      <c r="G27" s="889">
        <f t="shared" si="7"/>
        <v>1339676.6243290217</v>
      </c>
      <c r="H27" s="889">
        <f t="shared" si="7"/>
        <v>1583030.0800396302</v>
      </c>
      <c r="I27" s="889">
        <f t="shared" si="7"/>
        <v>1756567.1218198915</v>
      </c>
      <c r="J27" s="889">
        <f t="shared" si="7"/>
        <v>2070290.3394285073</v>
      </c>
      <c r="K27" s="889">
        <f t="shared" si="7"/>
        <v>2084202.359182809</v>
      </c>
      <c r="L27" s="889">
        <f t="shared" si="7"/>
        <v>2098305.8444748526</v>
      </c>
      <c r="M27" s="889">
        <f t="shared" si="7"/>
        <v>2112603.4962947988</v>
      </c>
      <c r="N27" s="892">
        <f>N10-N23-N26</f>
        <v>2931338.5594261773</v>
      </c>
      <c r="O27" s="884">
        <f>SUM(E27:N27)</f>
        <v>17926028.917803504</v>
      </c>
      <c r="P27" s="884"/>
      <c r="Q27" s="884"/>
      <c r="R27" s="884"/>
      <c r="U27" s="905" t="str">
        <f t="shared" si="2"/>
        <v>FLUJO NETO</v>
      </c>
      <c r="V27" s="897">
        <f t="shared" ref="V27:AE27" si="8">V10-V23</f>
        <v>-8583729.1419027727</v>
      </c>
      <c r="W27" s="897">
        <f t="shared" si="8"/>
        <v>1194623.0366287343</v>
      </c>
      <c r="X27" s="897">
        <f t="shared" si="8"/>
        <v>1400179.5457790855</v>
      </c>
      <c r="Y27" s="897">
        <f t="shared" si="8"/>
        <v>1643351.9691290215</v>
      </c>
      <c r="Z27" s="897">
        <f t="shared" si="8"/>
        <v>1886705.42483963</v>
      </c>
      <c r="AA27" s="897">
        <f t="shared" si="8"/>
        <v>2070952.4666198913</v>
      </c>
      <c r="AB27" s="897">
        <f t="shared" si="8"/>
        <v>2373965.6842285069</v>
      </c>
      <c r="AC27" s="897">
        <f t="shared" si="8"/>
        <v>2387877.7039828086</v>
      </c>
      <c r="AD27" s="897">
        <f t="shared" si="8"/>
        <v>2401981.1892748522</v>
      </c>
      <c r="AE27" s="897">
        <f t="shared" si="8"/>
        <v>2416278.8410947984</v>
      </c>
      <c r="AF27" s="899">
        <f>AF10-AF23-AF26</f>
        <v>3035046.3127519591</v>
      </c>
    </row>
    <row r="28" spans="1:32" x14ac:dyDescent="0.2">
      <c r="C28" s="888" t="s">
        <v>1323</v>
      </c>
      <c r="D28" s="890">
        <v>0.08</v>
      </c>
      <c r="E28" s="883"/>
      <c r="F28" s="883"/>
      <c r="G28" s="883"/>
      <c r="H28" s="883"/>
      <c r="I28" s="883"/>
      <c r="J28" s="883"/>
      <c r="K28" s="883"/>
      <c r="L28" s="883"/>
      <c r="M28" s="883"/>
      <c r="N28" s="884"/>
      <c r="O28" s="884"/>
      <c r="P28" s="884"/>
      <c r="Q28" s="884"/>
      <c r="R28" s="884"/>
      <c r="U28" s="905" t="str">
        <f t="shared" si="2"/>
        <v>TSD</v>
      </c>
      <c r="V28" s="898">
        <v>0.08</v>
      </c>
      <c r="W28" s="883"/>
      <c r="X28" s="883"/>
      <c r="Y28" s="883"/>
      <c r="Z28" s="883"/>
      <c r="AA28" s="883"/>
      <c r="AB28" s="883"/>
      <c r="AC28" s="883"/>
      <c r="AD28" s="883"/>
      <c r="AE28" s="883"/>
      <c r="AF28" s="884"/>
    </row>
    <row r="29" spans="1:32" x14ac:dyDescent="0.2">
      <c r="C29" s="888" t="s">
        <v>1319</v>
      </c>
      <c r="D29" s="889">
        <f>NPV(D28,E27:N27)+D27</f>
        <v>179500.95605625957</v>
      </c>
      <c r="E29" s="987"/>
      <c r="F29" s="886"/>
      <c r="G29" s="886"/>
      <c r="H29" s="886"/>
      <c r="I29" s="886"/>
      <c r="J29" s="886"/>
      <c r="K29" s="886"/>
      <c r="L29" s="886"/>
      <c r="M29" s="886"/>
      <c r="N29" s="886"/>
      <c r="O29" s="986">
        <v>22121137.022466742</v>
      </c>
      <c r="P29" s="886"/>
      <c r="Q29" s="886"/>
      <c r="R29" s="886"/>
      <c r="U29" s="905" t="str">
        <f t="shared" si="2"/>
        <v>VAN</v>
      </c>
      <c r="V29" s="907">
        <f>NPV(V28,W27:AF27)+V27</f>
        <v>4625192.7723587025</v>
      </c>
      <c r="W29" s="885"/>
      <c r="X29" s="886"/>
      <c r="Y29" s="886"/>
      <c r="Z29" s="886"/>
      <c r="AA29" s="886"/>
      <c r="AB29" s="886"/>
      <c r="AC29" s="886"/>
      <c r="AD29" s="886"/>
      <c r="AE29" s="886"/>
      <c r="AF29" s="886"/>
    </row>
    <row r="30" spans="1:32" x14ac:dyDescent="0.2">
      <c r="C30" s="888" t="s">
        <v>1320</v>
      </c>
      <c r="D30" s="891">
        <f>IRR(D27:N27)</f>
        <v>8.3016788549242992E-2</v>
      </c>
      <c r="E30" s="887"/>
      <c r="F30" s="887"/>
      <c r="G30" s="887"/>
      <c r="H30" s="887"/>
      <c r="I30" s="887"/>
      <c r="J30" s="887"/>
      <c r="K30" s="887"/>
      <c r="L30" s="887"/>
      <c r="M30" s="887"/>
      <c r="N30" s="887"/>
      <c r="O30" s="887"/>
      <c r="P30" s="887"/>
      <c r="Q30" s="887"/>
      <c r="R30" s="887"/>
      <c r="U30" s="905" t="str">
        <f t="shared" si="2"/>
        <v>TIR</v>
      </c>
      <c r="V30" s="900">
        <f>IRR(V27:AF27)</f>
        <v>0.17170116409541514</v>
      </c>
      <c r="W30" s="887"/>
      <c r="X30" s="887"/>
      <c r="Y30" s="887"/>
      <c r="Z30" s="887"/>
      <c r="AA30" s="887"/>
      <c r="AB30" s="887"/>
      <c r="AC30" s="887"/>
      <c r="AD30" s="887"/>
      <c r="AE30" s="887"/>
      <c r="AF30" s="887"/>
    </row>
    <row r="31" spans="1:32" x14ac:dyDescent="0.2">
      <c r="C31" s="1332"/>
      <c r="D31" s="1333"/>
      <c r="E31" s="887"/>
      <c r="F31" s="887"/>
      <c r="G31" s="887"/>
      <c r="H31" s="887"/>
      <c r="I31" s="887"/>
      <c r="J31" s="887"/>
      <c r="K31" s="887"/>
      <c r="L31" s="887"/>
      <c r="M31" s="887"/>
      <c r="N31" s="887"/>
      <c r="O31" s="887"/>
      <c r="P31" s="887"/>
      <c r="Q31" s="887"/>
      <c r="R31" s="887"/>
      <c r="U31" s="1334"/>
      <c r="V31" s="1333"/>
      <c r="W31" s="887"/>
      <c r="X31" s="887"/>
      <c r="Y31" s="887"/>
      <c r="Z31" s="887"/>
      <c r="AA31" s="887"/>
      <c r="AB31" s="887"/>
      <c r="AC31" s="887"/>
      <c r="AD31" s="887"/>
      <c r="AE31" s="887"/>
      <c r="AF31" s="887"/>
    </row>
    <row r="32" spans="1:32" x14ac:dyDescent="0.2">
      <c r="C32" s="1332"/>
      <c r="D32" s="1333"/>
      <c r="E32" s="887"/>
      <c r="F32" s="887"/>
      <c r="G32" s="887"/>
      <c r="H32" s="887"/>
      <c r="I32" s="887"/>
      <c r="J32" s="887"/>
      <c r="K32" s="887"/>
      <c r="L32" s="887"/>
      <c r="M32" s="887"/>
      <c r="N32" s="887"/>
      <c r="O32" s="887"/>
      <c r="P32" s="887"/>
      <c r="Q32" s="887"/>
      <c r="R32" s="887"/>
      <c r="U32" s="1334"/>
      <c r="V32" s="1333"/>
      <c r="W32" s="887"/>
      <c r="X32" s="887"/>
      <c r="Y32" s="887"/>
      <c r="Z32" s="887"/>
      <c r="AA32" s="887"/>
      <c r="AB32" s="887"/>
      <c r="AC32" s="887"/>
      <c r="AD32" s="887"/>
      <c r="AE32" s="887"/>
      <c r="AF32" s="887"/>
    </row>
    <row r="33" spans="3:36" x14ac:dyDescent="0.2">
      <c r="C33" s="1332"/>
      <c r="D33" s="1333"/>
      <c r="E33" s="887"/>
      <c r="F33" s="887"/>
      <c r="G33" s="887"/>
      <c r="H33" s="887"/>
      <c r="I33" s="887"/>
      <c r="J33" s="887"/>
      <c r="K33" s="887"/>
      <c r="L33" s="887"/>
      <c r="M33" s="887"/>
      <c r="N33" s="887"/>
      <c r="O33" s="887"/>
      <c r="P33" s="887"/>
      <c r="Q33" s="887"/>
      <c r="R33" s="887"/>
      <c r="U33" s="1334"/>
      <c r="V33" s="1333"/>
      <c r="W33" s="887"/>
      <c r="X33" s="887"/>
      <c r="Y33" s="887"/>
      <c r="Z33" s="887"/>
      <c r="AA33" s="887"/>
      <c r="AB33" s="887"/>
      <c r="AC33" s="887"/>
      <c r="AD33" s="887"/>
      <c r="AE33" s="887"/>
      <c r="AF33" s="887"/>
    </row>
    <row r="34" spans="3:36" ht="23.25" x14ac:dyDescent="0.25">
      <c r="C34" s="1981" t="s">
        <v>1882</v>
      </c>
      <c r="D34" s="1981"/>
      <c r="E34" s="1981"/>
      <c r="F34" s="1981"/>
      <c r="G34" s="1981"/>
      <c r="H34" s="1981"/>
      <c r="I34" s="1981"/>
      <c r="J34" s="1981"/>
      <c r="K34" s="1981"/>
      <c r="L34" s="1981"/>
      <c r="M34" s="1981"/>
      <c r="N34" s="1981"/>
      <c r="O34" s="1981"/>
      <c r="P34" s="1981"/>
      <c r="Q34" s="1981"/>
      <c r="R34" s="1981"/>
      <c r="U34" s="1972" t="s">
        <v>1883</v>
      </c>
      <c r="V34" s="1972"/>
      <c r="W34" s="1972"/>
      <c r="X34" s="1972"/>
      <c r="Y34" s="1972"/>
      <c r="Z34" s="1972"/>
      <c r="AA34" s="1972"/>
      <c r="AB34" s="1972"/>
      <c r="AC34" s="1972"/>
      <c r="AD34" s="1972"/>
      <c r="AE34" s="1972"/>
      <c r="AF34" s="1972"/>
      <c r="AG34" s="1972"/>
      <c r="AH34" s="1972"/>
      <c r="AI34" s="1972"/>
      <c r="AJ34" s="1972"/>
    </row>
    <row r="35" spans="3:36" x14ac:dyDescent="0.2">
      <c r="C35" s="1332"/>
      <c r="D35" s="1333"/>
      <c r="E35" s="887"/>
      <c r="F35" s="887"/>
      <c r="G35" s="887"/>
      <c r="H35" s="887"/>
      <c r="I35" s="887"/>
      <c r="J35" s="887"/>
      <c r="K35" s="887"/>
      <c r="L35" s="887"/>
      <c r="M35" s="887"/>
      <c r="N35" s="887"/>
      <c r="O35" s="887"/>
      <c r="P35" s="887"/>
      <c r="Q35" s="887"/>
      <c r="R35" s="887"/>
      <c r="U35" s="1334"/>
      <c r="V35" s="1333"/>
      <c r="W35" s="887"/>
      <c r="X35" s="887"/>
      <c r="Y35" s="887"/>
      <c r="Z35" s="887"/>
      <c r="AA35" s="887"/>
      <c r="AB35" s="887"/>
      <c r="AC35" s="887"/>
      <c r="AD35" s="887"/>
      <c r="AE35" s="887"/>
      <c r="AF35" s="887"/>
    </row>
    <row r="36" spans="3:36" x14ac:dyDescent="0.2">
      <c r="C36" s="1982" t="s">
        <v>1313</v>
      </c>
      <c r="D36" s="1945" t="s">
        <v>1314</v>
      </c>
      <c r="E36" s="1945"/>
      <c r="F36" s="1945"/>
      <c r="G36" s="1945"/>
      <c r="H36" s="1945"/>
      <c r="I36" s="1945"/>
      <c r="J36" s="1945"/>
      <c r="K36" s="1945"/>
      <c r="L36" s="1945"/>
      <c r="M36" s="1945"/>
      <c r="N36" s="1945"/>
      <c r="O36" s="887"/>
      <c r="P36" s="887"/>
      <c r="Q36" s="887"/>
      <c r="R36" s="887"/>
      <c r="U36" s="1982" t="s">
        <v>1313</v>
      </c>
      <c r="V36" s="1945" t="s">
        <v>1314</v>
      </c>
      <c r="W36" s="1945"/>
      <c r="X36" s="1945"/>
      <c r="Y36" s="1945"/>
      <c r="Z36" s="1945"/>
      <c r="AA36" s="1945"/>
      <c r="AB36" s="1945"/>
      <c r="AC36" s="1945"/>
      <c r="AD36" s="1945"/>
      <c r="AE36" s="1945"/>
      <c r="AF36" s="1945"/>
    </row>
    <row r="37" spans="3:36" x14ac:dyDescent="0.2">
      <c r="C37" s="1983"/>
      <c r="D37" s="1946" t="s">
        <v>1352</v>
      </c>
      <c r="E37" s="1948" t="s">
        <v>1146</v>
      </c>
      <c r="F37" s="1948" t="s">
        <v>1147</v>
      </c>
      <c r="G37" s="1948" t="s">
        <v>1148</v>
      </c>
      <c r="H37" s="1948" t="s">
        <v>1149</v>
      </c>
      <c r="I37" s="1948" t="s">
        <v>1150</v>
      </c>
      <c r="J37" s="1948" t="s">
        <v>1151</v>
      </c>
      <c r="K37" s="1948" t="s">
        <v>1152</v>
      </c>
      <c r="L37" s="1948" t="s">
        <v>1153</v>
      </c>
      <c r="M37" s="1948" t="s">
        <v>1154</v>
      </c>
      <c r="N37" s="1948" t="s">
        <v>1155</v>
      </c>
      <c r="O37" s="887"/>
      <c r="P37" s="887"/>
      <c r="Q37" s="887"/>
      <c r="R37" s="887"/>
      <c r="U37" s="1983"/>
      <c r="V37" s="1946" t="s">
        <v>1352</v>
      </c>
      <c r="W37" s="1948" t="s">
        <v>1146</v>
      </c>
      <c r="X37" s="1948" t="s">
        <v>1147</v>
      </c>
      <c r="Y37" s="1948" t="s">
        <v>1148</v>
      </c>
      <c r="Z37" s="1948" t="s">
        <v>1149</v>
      </c>
      <c r="AA37" s="1948" t="s">
        <v>1150</v>
      </c>
      <c r="AB37" s="1948" t="s">
        <v>1151</v>
      </c>
      <c r="AC37" s="1948" t="s">
        <v>1152</v>
      </c>
      <c r="AD37" s="1948" t="s">
        <v>1153</v>
      </c>
      <c r="AE37" s="1948" t="s">
        <v>1154</v>
      </c>
      <c r="AF37" s="1948" t="s">
        <v>1155</v>
      </c>
    </row>
    <row r="38" spans="3:36" x14ac:dyDescent="0.2">
      <c r="C38" s="1984"/>
      <c r="D38" s="1947"/>
      <c r="E38" s="1949"/>
      <c r="F38" s="1949"/>
      <c r="G38" s="1949"/>
      <c r="H38" s="1949"/>
      <c r="I38" s="1949"/>
      <c r="J38" s="1949"/>
      <c r="K38" s="1949"/>
      <c r="L38" s="1949"/>
      <c r="M38" s="1949"/>
      <c r="N38" s="1949"/>
      <c r="O38" s="887"/>
      <c r="P38" s="887"/>
      <c r="Q38" s="887"/>
      <c r="R38" s="887"/>
      <c r="U38" s="1984"/>
      <c r="V38" s="1947"/>
      <c r="W38" s="1949"/>
      <c r="X38" s="1949"/>
      <c r="Y38" s="1949"/>
      <c r="Z38" s="1949"/>
      <c r="AA38" s="1949"/>
      <c r="AB38" s="1949"/>
      <c r="AC38" s="1949"/>
      <c r="AD38" s="1949"/>
      <c r="AE38" s="1949"/>
      <c r="AF38" s="1949"/>
    </row>
    <row r="39" spans="3:36" x14ac:dyDescent="0.2">
      <c r="C39" s="1328" t="s">
        <v>1767</v>
      </c>
      <c r="D39" s="1387">
        <f>D40</f>
        <v>11042405.056644956</v>
      </c>
      <c r="E39" s="1387">
        <f t="shared" ref="E39:N39" si="9">SUM(E40:E42)</f>
        <v>2210991.6</v>
      </c>
      <c r="F39" s="1387">
        <f t="shared" si="9"/>
        <v>2210991.6</v>
      </c>
      <c r="G39" s="1387">
        <f t="shared" si="9"/>
        <v>2210991.6</v>
      </c>
      <c r="H39" s="1387">
        <f t="shared" si="9"/>
        <v>2210991.6</v>
      </c>
      <c r="I39" s="1387">
        <f t="shared" si="9"/>
        <v>2280991.6</v>
      </c>
      <c r="J39" s="1387">
        <f t="shared" si="9"/>
        <v>2210991.6</v>
      </c>
      <c r="K39" s="1387">
        <f t="shared" si="9"/>
        <v>2210991.6</v>
      </c>
      <c r="L39" s="1387">
        <f t="shared" si="9"/>
        <v>2210991.6</v>
      </c>
      <c r="M39" s="1387">
        <f t="shared" si="9"/>
        <v>2210991.6</v>
      </c>
      <c r="N39" s="1387">
        <f t="shared" si="9"/>
        <v>1406751.0943355046</v>
      </c>
      <c r="O39" s="887"/>
      <c r="P39" s="887"/>
      <c r="Q39" s="887"/>
      <c r="R39" s="887"/>
      <c r="U39" s="1328" t="s">
        <v>1767</v>
      </c>
      <c r="V39" s="1387">
        <f>V40</f>
        <v>8583729.1419027727</v>
      </c>
      <c r="W39" s="1387">
        <f t="shared" ref="W39:AE39" si="10">SUM(W40:W42)</f>
        <v>1863986.4652000002</v>
      </c>
      <c r="X39" s="1387">
        <f t="shared" si="10"/>
        <v>1901423.8652000003</v>
      </c>
      <c r="Y39" s="1387">
        <f t="shared" si="10"/>
        <v>1901423.8652000003</v>
      </c>
      <c r="Z39" s="1387">
        <f t="shared" si="10"/>
        <v>1901423.8652000003</v>
      </c>
      <c r="AA39" s="1387">
        <f t="shared" si="10"/>
        <v>1960713.8652000003</v>
      </c>
      <c r="AB39" s="1387">
        <f t="shared" si="10"/>
        <v>1901423.8652000003</v>
      </c>
      <c r="AC39" s="1387">
        <f t="shared" si="10"/>
        <v>1901423.8652000003</v>
      </c>
      <c r="AD39" s="1387">
        <f t="shared" si="10"/>
        <v>1901423.8652000003</v>
      </c>
      <c r="AE39" s="1387">
        <f t="shared" si="10"/>
        <v>1901423.8652000003</v>
      </c>
      <c r="AF39" s="1387">
        <f>SUM(AF40:AF42)</f>
        <v>1297150.9510097229</v>
      </c>
    </row>
    <row r="40" spans="3:36" x14ac:dyDescent="0.2">
      <c r="C40" s="871" t="str">
        <f>C13</f>
        <v>INVERSION</v>
      </c>
      <c r="D40" s="872">
        <f>D13</f>
        <v>11042405.056644956</v>
      </c>
      <c r="E40" s="871"/>
      <c r="F40" s="871"/>
      <c r="G40" s="871"/>
      <c r="H40" s="871"/>
      <c r="I40" s="871"/>
      <c r="J40" s="871"/>
      <c r="K40" s="871"/>
      <c r="L40" s="871"/>
      <c r="M40" s="876"/>
      <c r="N40" s="876"/>
      <c r="O40" s="887"/>
      <c r="P40" s="887"/>
      <c r="Q40" s="887"/>
      <c r="R40" s="887"/>
      <c r="U40" s="871" t="str">
        <f>U13</f>
        <v>INVERSION</v>
      </c>
      <c r="V40" s="872">
        <f>V13</f>
        <v>8583729.1419027727</v>
      </c>
      <c r="W40" s="871"/>
      <c r="X40" s="871"/>
      <c r="Y40" s="871"/>
      <c r="Z40" s="871"/>
      <c r="AA40" s="871"/>
      <c r="AB40" s="871"/>
      <c r="AC40" s="871"/>
      <c r="AD40" s="871"/>
      <c r="AE40" s="876"/>
      <c r="AF40" s="876"/>
    </row>
    <row r="41" spans="3:36" x14ac:dyDescent="0.2">
      <c r="C41" s="871" t="str">
        <f>C24</f>
        <v>COSTOS DE O&amp;M. CON PROYECTO</v>
      </c>
      <c r="D41" s="871"/>
      <c r="E41" s="872">
        <f t="shared" ref="E41:N41" si="11">E24</f>
        <v>2210991.6</v>
      </c>
      <c r="F41" s="872">
        <f t="shared" si="11"/>
        <v>2210991.6</v>
      </c>
      <c r="G41" s="872">
        <f t="shared" si="11"/>
        <v>2210991.6</v>
      </c>
      <c r="H41" s="872">
        <f t="shared" si="11"/>
        <v>2210991.6</v>
      </c>
      <c r="I41" s="872">
        <f t="shared" si="11"/>
        <v>2280991.6</v>
      </c>
      <c r="J41" s="872">
        <f t="shared" si="11"/>
        <v>2210991.6</v>
      </c>
      <c r="K41" s="872">
        <f t="shared" si="11"/>
        <v>2210991.6</v>
      </c>
      <c r="L41" s="872">
        <f t="shared" si="11"/>
        <v>2210991.6</v>
      </c>
      <c r="M41" s="872">
        <f t="shared" si="11"/>
        <v>2210991.6</v>
      </c>
      <c r="N41" s="872">
        <f t="shared" si="11"/>
        <v>2510991.6</v>
      </c>
      <c r="O41" s="887"/>
      <c r="P41" s="887"/>
      <c r="Q41" s="887"/>
      <c r="R41" s="887"/>
      <c r="U41" s="871" t="str">
        <f>U24</f>
        <v>COSTOS DE O&amp;M. CON PROYECTO</v>
      </c>
      <c r="V41" s="871"/>
      <c r="W41" s="872">
        <f t="shared" ref="W41:AF41" si="12">W24</f>
        <v>1863986.4652000002</v>
      </c>
      <c r="X41" s="872">
        <f t="shared" si="12"/>
        <v>1901423.8652000003</v>
      </c>
      <c r="Y41" s="872">
        <f t="shared" si="12"/>
        <v>1901423.8652000003</v>
      </c>
      <c r="Z41" s="872">
        <f t="shared" si="12"/>
        <v>1901423.8652000003</v>
      </c>
      <c r="AA41" s="872">
        <f t="shared" si="12"/>
        <v>1960713.8652000003</v>
      </c>
      <c r="AB41" s="872">
        <f t="shared" si="12"/>
        <v>1901423.8652000003</v>
      </c>
      <c r="AC41" s="872">
        <f t="shared" si="12"/>
        <v>1901423.8652000003</v>
      </c>
      <c r="AD41" s="872">
        <f t="shared" si="12"/>
        <v>1901423.8652000003</v>
      </c>
      <c r="AE41" s="872">
        <f t="shared" si="12"/>
        <v>1901423.8652000003</v>
      </c>
      <c r="AF41" s="872">
        <f t="shared" si="12"/>
        <v>2155523.8652000003</v>
      </c>
    </row>
    <row r="42" spans="3:36" x14ac:dyDescent="0.2">
      <c r="C42" s="871" t="str">
        <f>C26</f>
        <v>VALOR RESIDUAL</v>
      </c>
      <c r="D42" s="872"/>
      <c r="E42" s="872"/>
      <c r="F42" s="872"/>
      <c r="G42" s="872"/>
      <c r="H42" s="872"/>
      <c r="I42" s="872"/>
      <c r="J42" s="872"/>
      <c r="K42" s="872"/>
      <c r="L42" s="872"/>
      <c r="M42" s="872"/>
      <c r="N42" s="882">
        <f>-D40*0.1</f>
        <v>-1104240.5056644955</v>
      </c>
      <c r="O42" s="887"/>
      <c r="P42" s="887"/>
      <c r="Q42" s="887"/>
      <c r="R42" s="887"/>
      <c r="U42" s="871" t="str">
        <f>U26</f>
        <v>VALOR RESIDUAL</v>
      </c>
      <c r="V42" s="872"/>
      <c r="W42" s="872"/>
      <c r="X42" s="872"/>
      <c r="Y42" s="872"/>
      <c r="Z42" s="872"/>
      <c r="AA42" s="872"/>
      <c r="AB42" s="872"/>
      <c r="AC42" s="872"/>
      <c r="AD42" s="872"/>
      <c r="AE42" s="872"/>
      <c r="AF42" s="882">
        <f>-V40*0.1</f>
        <v>-858372.91419027734</v>
      </c>
    </row>
    <row r="43" spans="3:36" x14ac:dyDescent="0.2">
      <c r="C43" s="1385" t="s">
        <v>1806</v>
      </c>
      <c r="D43" s="1386"/>
      <c r="E43" s="1336">
        <f>SUM(E44)</f>
        <v>64750</v>
      </c>
      <c r="F43" s="1336">
        <f t="shared" ref="F43:N43" si="13">SUM(F44)</f>
        <v>64750</v>
      </c>
      <c r="G43" s="1336">
        <f t="shared" si="13"/>
        <v>64750</v>
      </c>
      <c r="H43" s="1336">
        <f t="shared" si="13"/>
        <v>64750</v>
      </c>
      <c r="I43" s="1336">
        <f t="shared" si="13"/>
        <v>64750</v>
      </c>
      <c r="J43" s="1336">
        <f t="shared" si="13"/>
        <v>64750</v>
      </c>
      <c r="K43" s="1336">
        <f t="shared" si="13"/>
        <v>64750</v>
      </c>
      <c r="L43" s="1336">
        <f t="shared" si="13"/>
        <v>64750</v>
      </c>
      <c r="M43" s="1336">
        <f t="shared" si="13"/>
        <v>64750</v>
      </c>
      <c r="N43" s="1336">
        <f t="shared" si="13"/>
        <v>64750</v>
      </c>
      <c r="O43" s="887"/>
      <c r="P43" s="887"/>
      <c r="Q43" s="887"/>
      <c r="R43" s="887"/>
      <c r="U43" s="1385" t="s">
        <v>1806</v>
      </c>
      <c r="V43" s="1386"/>
      <c r="W43" s="1336">
        <f>SUM(W44)</f>
        <v>58857.61</v>
      </c>
      <c r="X43" s="1336">
        <f t="shared" ref="X43" si="14">SUM(X44)</f>
        <v>58857.61</v>
      </c>
      <c r="Y43" s="1336">
        <f t="shared" ref="Y43" si="15">SUM(Y44)</f>
        <v>58857.61</v>
      </c>
      <c r="Z43" s="1336">
        <f t="shared" ref="Z43" si="16">SUM(Z44)</f>
        <v>58857.61</v>
      </c>
      <c r="AA43" s="1336">
        <f t="shared" ref="AA43" si="17">SUM(AA44)</f>
        <v>58857.61</v>
      </c>
      <c r="AB43" s="1336">
        <f t="shared" ref="AB43" si="18">SUM(AB44)</f>
        <v>58857.61</v>
      </c>
      <c r="AC43" s="1336">
        <f t="shared" ref="AC43" si="19">SUM(AC44)</f>
        <v>58857.61</v>
      </c>
      <c r="AD43" s="1336">
        <f t="shared" ref="AD43" si="20">SUM(AD44)</f>
        <v>58857.61</v>
      </c>
      <c r="AE43" s="1336">
        <f t="shared" ref="AE43" si="21">SUM(AE44)</f>
        <v>58857.61</v>
      </c>
      <c r="AF43" s="1336">
        <f t="shared" ref="AF43" si="22">SUM(AF44)</f>
        <v>58857.61</v>
      </c>
    </row>
    <row r="44" spans="3:36" x14ac:dyDescent="0.2">
      <c r="C44" s="871" t="str">
        <f>C25</f>
        <v>COSTOS DE O&amp;M. SIN PROYECTO</v>
      </c>
      <c r="D44" s="873"/>
      <c r="E44" s="872">
        <f t="shared" ref="E44:N44" si="23">E25</f>
        <v>64750</v>
      </c>
      <c r="F44" s="872">
        <f t="shared" si="23"/>
        <v>64750</v>
      </c>
      <c r="G44" s="872">
        <f t="shared" si="23"/>
        <v>64750</v>
      </c>
      <c r="H44" s="872">
        <f t="shared" si="23"/>
        <v>64750</v>
      </c>
      <c r="I44" s="872">
        <f t="shared" si="23"/>
        <v>64750</v>
      </c>
      <c r="J44" s="872">
        <f t="shared" si="23"/>
        <v>64750</v>
      </c>
      <c r="K44" s="872">
        <f t="shared" si="23"/>
        <v>64750</v>
      </c>
      <c r="L44" s="872">
        <f t="shared" si="23"/>
        <v>64750</v>
      </c>
      <c r="M44" s="872">
        <f t="shared" si="23"/>
        <v>64750</v>
      </c>
      <c r="N44" s="872">
        <f t="shared" si="23"/>
        <v>64750</v>
      </c>
      <c r="O44" s="887"/>
      <c r="P44" s="887"/>
      <c r="Q44" s="887"/>
      <c r="R44" s="887"/>
      <c r="U44" s="871" t="str">
        <f>U25</f>
        <v>COSTOS DE O&amp;M. SIN PROYECTO</v>
      </c>
      <c r="V44" s="873"/>
      <c r="W44" s="872">
        <f>W25</f>
        <v>58857.61</v>
      </c>
      <c r="X44" s="872">
        <f t="shared" ref="X44:AF44" si="24">X25</f>
        <v>58857.61</v>
      </c>
      <c r="Y44" s="872">
        <f t="shared" si="24"/>
        <v>58857.61</v>
      </c>
      <c r="Z44" s="872">
        <f t="shared" si="24"/>
        <v>58857.61</v>
      </c>
      <c r="AA44" s="872">
        <f t="shared" si="24"/>
        <v>58857.61</v>
      </c>
      <c r="AB44" s="872">
        <f t="shared" si="24"/>
        <v>58857.61</v>
      </c>
      <c r="AC44" s="872">
        <f t="shared" si="24"/>
        <v>58857.61</v>
      </c>
      <c r="AD44" s="872">
        <f t="shared" si="24"/>
        <v>58857.61</v>
      </c>
      <c r="AE44" s="872">
        <f t="shared" si="24"/>
        <v>58857.61</v>
      </c>
      <c r="AF44" s="872">
        <f t="shared" si="24"/>
        <v>58857.61</v>
      </c>
    </row>
    <row r="45" spans="3:36" x14ac:dyDescent="0.2">
      <c r="C45" s="1383" t="str">
        <f>C23</f>
        <v>COSTOS INCREMENTALES</v>
      </c>
      <c r="D45" s="1384">
        <f>D39-D43</f>
        <v>11042405.056644956</v>
      </c>
      <c r="E45" s="1384">
        <f>E39-E43</f>
        <v>2146241.6</v>
      </c>
      <c r="F45" s="1384">
        <f t="shared" ref="F45:N45" si="25">F39-F43</f>
        <v>2146241.6</v>
      </c>
      <c r="G45" s="1384">
        <f t="shared" si="25"/>
        <v>2146241.6</v>
      </c>
      <c r="H45" s="1384">
        <f t="shared" si="25"/>
        <v>2146241.6</v>
      </c>
      <c r="I45" s="1384">
        <f t="shared" si="25"/>
        <v>2216241.6</v>
      </c>
      <c r="J45" s="1384">
        <f t="shared" si="25"/>
        <v>2146241.6</v>
      </c>
      <c r="K45" s="1384">
        <f t="shared" si="25"/>
        <v>2146241.6</v>
      </c>
      <c r="L45" s="1384">
        <f t="shared" si="25"/>
        <v>2146241.6</v>
      </c>
      <c r="M45" s="1384">
        <f t="shared" si="25"/>
        <v>2146241.6</v>
      </c>
      <c r="N45" s="1384">
        <f t="shared" si="25"/>
        <v>1342001.0943355046</v>
      </c>
      <c r="O45" s="887"/>
      <c r="P45" s="887"/>
      <c r="Q45" s="887"/>
      <c r="R45" s="887"/>
      <c r="U45" s="1398" t="str">
        <f>U23</f>
        <v>COSTOS INCREMENTALES</v>
      </c>
      <c r="V45" s="1399">
        <f t="shared" ref="V45:AF45" si="26">V39-V43</f>
        <v>8583729.1419027727</v>
      </c>
      <c r="W45" s="1399">
        <f t="shared" si="26"/>
        <v>1805128.8552000001</v>
      </c>
      <c r="X45" s="1399">
        <f t="shared" si="26"/>
        <v>1842566.2552000002</v>
      </c>
      <c r="Y45" s="1399">
        <f t="shared" si="26"/>
        <v>1842566.2552000002</v>
      </c>
      <c r="Z45" s="1399">
        <f t="shared" si="26"/>
        <v>1842566.2552000002</v>
      </c>
      <c r="AA45" s="1399">
        <f t="shared" si="26"/>
        <v>1901856.2552000002</v>
      </c>
      <c r="AB45" s="1399">
        <f t="shared" si="26"/>
        <v>1842566.2552000002</v>
      </c>
      <c r="AC45" s="1399">
        <f t="shared" si="26"/>
        <v>1842566.2552000002</v>
      </c>
      <c r="AD45" s="1399">
        <f t="shared" si="26"/>
        <v>1842566.2552000002</v>
      </c>
      <c r="AE45" s="1399">
        <f t="shared" si="26"/>
        <v>1842566.2552000002</v>
      </c>
      <c r="AF45" s="1399">
        <f t="shared" si="26"/>
        <v>1238293.3410097228</v>
      </c>
    </row>
    <row r="46" spans="3:36" x14ac:dyDescent="0.2">
      <c r="C46" s="1402" t="s">
        <v>1323</v>
      </c>
      <c r="D46" s="1388">
        <v>0.08</v>
      </c>
      <c r="E46" s="883"/>
      <c r="F46" s="883"/>
      <c r="G46" s="883"/>
      <c r="H46" s="883"/>
      <c r="I46" s="883"/>
      <c r="J46" s="883"/>
      <c r="K46" s="883"/>
      <c r="L46" s="883"/>
      <c r="M46" s="883"/>
      <c r="N46" s="884"/>
      <c r="O46" s="887"/>
      <c r="P46" s="887"/>
      <c r="Q46" s="887"/>
      <c r="R46" s="887"/>
      <c r="U46" s="1402" t="s">
        <v>1323</v>
      </c>
      <c r="V46" s="1388">
        <v>0.08</v>
      </c>
      <c r="W46" s="883"/>
      <c r="X46" s="883"/>
      <c r="Y46" s="883"/>
      <c r="Z46" s="883"/>
      <c r="AA46" s="883"/>
      <c r="AB46" s="883"/>
      <c r="AC46" s="883"/>
      <c r="AD46" s="883"/>
      <c r="AE46" s="883"/>
      <c r="AF46" s="884"/>
    </row>
    <row r="47" spans="3:36" x14ac:dyDescent="0.2">
      <c r="C47" s="1403" t="s">
        <v>1764</v>
      </c>
      <c r="D47" s="1390">
        <f>D45+NPV(D46,E45:N45)</f>
        <v>25118982.753153913</v>
      </c>
      <c r="E47" s="887"/>
      <c r="F47" s="887"/>
      <c r="G47" s="887"/>
      <c r="H47" s="887"/>
      <c r="I47" s="887"/>
      <c r="J47" s="887"/>
      <c r="K47" s="887"/>
      <c r="L47" s="887"/>
      <c r="M47" s="887"/>
      <c r="N47" s="887"/>
      <c r="O47" s="887"/>
      <c r="P47" s="887"/>
      <c r="Q47" s="887"/>
      <c r="R47" s="887"/>
      <c r="U47" s="1403" t="s">
        <v>1764</v>
      </c>
      <c r="V47" s="1390">
        <f>V45+NPV(V46,W45:AF45)</f>
        <v>20673290.936851464</v>
      </c>
      <c r="W47" s="887"/>
      <c r="X47" s="887"/>
      <c r="Y47" s="887"/>
      <c r="Z47" s="887"/>
      <c r="AA47" s="887"/>
      <c r="AB47" s="887"/>
      <c r="AC47" s="887"/>
      <c r="AD47" s="887"/>
      <c r="AE47" s="887"/>
      <c r="AF47" s="986">
        <f>AF45+AF42</f>
        <v>379920.42681944545</v>
      </c>
    </row>
    <row r="48" spans="3:36" x14ac:dyDescent="0.2">
      <c r="C48" s="1402" t="s">
        <v>1765</v>
      </c>
      <c r="D48" s="257">
        <f>'DEM - DESN'!U30</f>
        <v>23001.028749064084</v>
      </c>
      <c r="E48" s="887"/>
      <c r="F48" s="887"/>
      <c r="G48" s="887"/>
      <c r="H48" s="887"/>
      <c r="I48" s="887"/>
      <c r="J48" s="887"/>
      <c r="K48" s="887"/>
      <c r="L48" s="887"/>
      <c r="M48" s="887"/>
      <c r="N48" s="887"/>
      <c r="O48" s="887"/>
      <c r="P48" s="887"/>
      <c r="Q48" s="887"/>
      <c r="R48" s="887"/>
      <c r="U48" s="1402" t="s">
        <v>1765</v>
      </c>
      <c r="V48" s="257">
        <f>D48</f>
        <v>23001.028749064084</v>
      </c>
      <c r="X48" s="887"/>
      <c r="Y48" s="887"/>
      <c r="Z48" s="887"/>
      <c r="AA48" s="887"/>
      <c r="AB48" s="887"/>
      <c r="AC48" s="887"/>
      <c r="AD48" s="887"/>
      <c r="AE48" s="887"/>
      <c r="AF48" s="887"/>
    </row>
    <row r="49" spans="3:34" x14ac:dyDescent="0.2">
      <c r="C49" s="1383" t="s">
        <v>1766</v>
      </c>
      <c r="D49" s="1401">
        <f>D47/D48</f>
        <v>1092.0808380875576</v>
      </c>
      <c r="E49" s="1463">
        <f>'DEM - DESN'!T30</f>
        <v>3207.3590827937783</v>
      </c>
      <c r="F49" s="887"/>
      <c r="G49" s="887"/>
      <c r="H49" s="887"/>
      <c r="I49" s="887"/>
      <c r="J49" s="887"/>
      <c r="K49" s="887"/>
      <c r="L49" s="887"/>
      <c r="M49" s="887"/>
      <c r="N49" s="887"/>
      <c r="O49" s="887"/>
      <c r="P49" s="887"/>
      <c r="Q49" s="887"/>
      <c r="R49" s="887"/>
      <c r="U49" s="1398" t="s">
        <v>1766</v>
      </c>
      <c r="V49" s="1400">
        <f>V47/V48</f>
        <v>898.79853472608977</v>
      </c>
      <c r="W49" s="986">
        <f>V47/'DEM - DESN'!T30</f>
        <v>6445.5804302535225</v>
      </c>
      <c r="X49" s="887"/>
      <c r="Y49" s="887"/>
      <c r="Z49" s="887"/>
      <c r="AA49" s="887"/>
      <c r="AB49" s="887"/>
      <c r="AC49" s="887"/>
      <c r="AD49" s="887"/>
      <c r="AE49" s="887"/>
      <c r="AF49" s="887"/>
    </row>
    <row r="50" spans="3:34" x14ac:dyDescent="0.2">
      <c r="C50" s="1332"/>
      <c r="D50" s="1333"/>
      <c r="E50" s="986">
        <f>D47/E49</f>
        <v>7831.6715106541669</v>
      </c>
      <c r="F50" s="887"/>
      <c r="G50" s="887"/>
      <c r="H50" s="887"/>
      <c r="I50" s="887"/>
      <c r="J50" s="887"/>
      <c r="K50" s="887"/>
      <c r="L50" s="887"/>
      <c r="M50" s="887"/>
      <c r="N50" s="887"/>
      <c r="O50" s="887"/>
      <c r="P50" s="887"/>
      <c r="Q50" s="887"/>
      <c r="R50" s="887"/>
      <c r="U50" s="1332"/>
      <c r="V50" s="1333"/>
      <c r="W50" s="887"/>
      <c r="X50" s="887"/>
      <c r="Y50" s="887"/>
      <c r="Z50" s="887"/>
      <c r="AA50" s="887"/>
      <c r="AB50" s="887"/>
      <c r="AC50" s="887"/>
      <c r="AD50" s="887"/>
      <c r="AE50" s="887"/>
      <c r="AF50" s="887"/>
    </row>
    <row r="52" spans="3:34" ht="23.25" x14ac:dyDescent="0.25">
      <c r="C52" s="222" t="s">
        <v>1885</v>
      </c>
      <c r="D52" s="807"/>
      <c r="E52" s="251">
        <f>'C.I.'!D14-'C.I.'!D10</f>
        <v>2101838.6</v>
      </c>
      <c r="F52" s="251">
        <f>'C.I.'!E14-'C.I.'!E10</f>
        <v>2101838.6</v>
      </c>
      <c r="G52" s="251">
        <f>'C.I.'!F14-'C.I.'!F10</f>
        <v>2101838.6</v>
      </c>
      <c r="H52" s="251">
        <f>'C.I.'!G14-'C.I.'!G10</f>
        <v>2101838.6</v>
      </c>
      <c r="I52" s="251">
        <f>'C.I.'!H14-'C.I.'!H10</f>
        <v>2101838.6</v>
      </c>
      <c r="J52" s="251">
        <f>'C.I.'!I14-'C.I.'!I10</f>
        <v>2101838.6</v>
      </c>
      <c r="K52" s="251">
        <f>'C.I.'!J14-'C.I.'!J10</f>
        <v>2101838.6</v>
      </c>
      <c r="L52" s="251">
        <f>'C.I.'!K14-'C.I.'!K10</f>
        <v>2101838.6</v>
      </c>
      <c r="M52" s="251">
        <f>'C.I.'!L14-'C.I.'!L10</f>
        <v>2101838.6</v>
      </c>
      <c r="N52" s="251">
        <f>'C.I.'!M14-'C.I.'!M10</f>
        <v>2101838.6</v>
      </c>
      <c r="U52" s="222" t="s">
        <v>1885</v>
      </c>
      <c r="V52" s="807"/>
      <c r="W52" s="251">
        <f>'C.I.'!Q14-'C.I.'!Q10</f>
        <v>1769696.3142000001</v>
      </c>
      <c r="X52" s="251">
        <f>'C.I.'!R14-'C.I.'!R10</f>
        <v>1807133.7142000003</v>
      </c>
      <c r="Y52" s="251">
        <f>'C.I.'!S14-'C.I.'!S10</f>
        <v>1807133.7142000003</v>
      </c>
      <c r="Z52" s="251">
        <f>'C.I.'!T14-'C.I.'!T10</f>
        <v>1807133.7142000003</v>
      </c>
      <c r="AA52" s="251">
        <f>'C.I.'!U14-'C.I.'!U10</f>
        <v>1807133.7142000003</v>
      </c>
      <c r="AB52" s="251">
        <f>'C.I.'!V14-'C.I.'!V10</f>
        <v>1807133.7142000003</v>
      </c>
      <c r="AC52" s="251">
        <f>'C.I.'!W14-'C.I.'!W10</f>
        <v>1807133.7142000003</v>
      </c>
      <c r="AD52" s="251">
        <f>'C.I.'!X14-'C.I.'!X10</f>
        <v>1807133.7142000003</v>
      </c>
      <c r="AE52" s="251">
        <f>'C.I.'!Y14-'C.I.'!Y10</f>
        <v>1807133.7142000003</v>
      </c>
      <c r="AF52" s="251">
        <f>'C.I.'!Z14-'C.I.'!Z10</f>
        <v>1807133.7142000003</v>
      </c>
    </row>
    <row r="53" spans="3:34" x14ac:dyDescent="0.25">
      <c r="C53" s="264" t="s">
        <v>1884</v>
      </c>
      <c r="D53" s="264"/>
      <c r="E53" s="931">
        <f>'C.I.'!D15-'C.I.'!D11</f>
        <v>44403</v>
      </c>
      <c r="F53" s="931">
        <f>'C.I.'!E15-'C.I.'!E11</f>
        <v>44403</v>
      </c>
      <c r="G53" s="931">
        <f>'C.I.'!F15-'C.I.'!F11</f>
        <v>44403</v>
      </c>
      <c r="H53" s="931">
        <f>'C.I.'!G15-'C.I.'!G11</f>
        <v>44403</v>
      </c>
      <c r="I53" s="931">
        <f>'C.I.'!H15-'C.I.'!H11</f>
        <v>44403</v>
      </c>
      <c r="J53" s="931">
        <f>'C.I.'!I15-'C.I.'!I11</f>
        <v>44403</v>
      </c>
      <c r="K53" s="931">
        <f>'C.I.'!J15-'C.I.'!J11</f>
        <v>44403</v>
      </c>
      <c r="L53" s="931">
        <f>'C.I.'!K15-'C.I.'!K11</f>
        <v>44403</v>
      </c>
      <c r="M53" s="931">
        <f>'C.I.'!L15-'C.I.'!L11</f>
        <v>44403</v>
      </c>
      <c r="N53" s="931">
        <f>'C.I.'!M15-'C.I.'!M11</f>
        <v>44403</v>
      </c>
      <c r="U53" s="264" t="s">
        <v>1884</v>
      </c>
      <c r="V53" s="264"/>
      <c r="W53" s="931">
        <f>'C.I.'!Q15-'C.I.'!Q11</f>
        <v>35432.540999999997</v>
      </c>
      <c r="X53" s="931">
        <f>'C.I.'!R15-'C.I.'!R11</f>
        <v>35432.540999999997</v>
      </c>
      <c r="Y53" s="931">
        <f>'C.I.'!S15-'C.I.'!S11</f>
        <v>35432.540999999997</v>
      </c>
      <c r="Z53" s="931">
        <f>'C.I.'!T15-'C.I.'!T11</f>
        <v>35432.540999999997</v>
      </c>
      <c r="AA53" s="931">
        <f>'C.I.'!U15-'C.I.'!U11</f>
        <v>35432.540999999997</v>
      </c>
      <c r="AB53" s="931">
        <f>'C.I.'!V15-'C.I.'!V11</f>
        <v>35432.540999999997</v>
      </c>
      <c r="AC53" s="931">
        <f>'C.I.'!W15-'C.I.'!W11</f>
        <v>35432.540999999997</v>
      </c>
      <c r="AD53" s="931">
        <f>'C.I.'!X15-'C.I.'!X11</f>
        <v>35432.540999999997</v>
      </c>
      <c r="AE53" s="931">
        <f>'C.I.'!Y15-'C.I.'!Y11</f>
        <v>35432.540999999997</v>
      </c>
      <c r="AF53" s="931">
        <f>'C.I.'!Z15-'C.I.'!Z11</f>
        <v>35432.540999999997</v>
      </c>
    </row>
    <row r="54" spans="3:34" x14ac:dyDescent="0.25">
      <c r="C54" s="264" t="s">
        <v>1225</v>
      </c>
      <c r="D54" s="264"/>
      <c r="E54" s="931">
        <f>'C.I.'!D16-'C.I.'!D12</f>
        <v>0</v>
      </c>
      <c r="F54" s="931">
        <f>'C.I.'!E16-'C.I.'!E12</f>
        <v>0</v>
      </c>
      <c r="G54" s="931">
        <f>'C.I.'!F16-'C.I.'!F12</f>
        <v>0</v>
      </c>
      <c r="H54" s="931">
        <f>'C.I.'!G16-'C.I.'!G12</f>
        <v>0</v>
      </c>
      <c r="I54" s="931">
        <f>'C.I.'!H16-'C.I.'!H12</f>
        <v>70000</v>
      </c>
      <c r="J54" s="931">
        <f>'C.I.'!I16-'C.I.'!I12</f>
        <v>0</v>
      </c>
      <c r="K54" s="931">
        <f>'C.I.'!J16-'C.I.'!J12</f>
        <v>0</v>
      </c>
      <c r="L54" s="931">
        <f>'C.I.'!K16-'C.I.'!K12</f>
        <v>0</v>
      </c>
      <c r="M54" s="931">
        <f>'C.I.'!L16-'C.I.'!L12</f>
        <v>0</v>
      </c>
      <c r="N54" s="931">
        <f>'C.I.'!M16-'C.I.'!M12</f>
        <v>300000</v>
      </c>
      <c r="P54" s="931">
        <f>N55+N54</f>
        <v>-804240.50566449552</v>
      </c>
      <c r="U54" s="264" t="s">
        <v>1225</v>
      </c>
      <c r="V54" s="264"/>
      <c r="W54" s="931">
        <f>'C.I.'!Q16-'C.I.'!Q12</f>
        <v>0</v>
      </c>
      <c r="X54" s="931">
        <f>'C.I.'!R16-'C.I.'!R12</f>
        <v>0</v>
      </c>
      <c r="Y54" s="931">
        <f>'C.I.'!S16-'C.I.'!S12</f>
        <v>0</v>
      </c>
      <c r="Z54" s="931">
        <f>'C.I.'!T16-'C.I.'!T12</f>
        <v>0</v>
      </c>
      <c r="AA54" s="931">
        <f>'C.I.'!U16-'C.I.'!U12</f>
        <v>59290</v>
      </c>
      <c r="AB54" s="931">
        <f>'C.I.'!V16-'C.I.'!V12</f>
        <v>0</v>
      </c>
      <c r="AC54" s="931">
        <f>'C.I.'!W16-'C.I.'!W12</f>
        <v>0</v>
      </c>
      <c r="AD54" s="931">
        <f>'C.I.'!X16-'C.I.'!X12</f>
        <v>0</v>
      </c>
      <c r="AE54" s="931">
        <f>'C.I.'!Y16-'C.I.'!Y12</f>
        <v>0</v>
      </c>
      <c r="AF54" s="931">
        <f>'C.I.'!Z16-'C.I.'!Z12</f>
        <v>254100</v>
      </c>
      <c r="AH54" s="931">
        <f>AF55+AF54</f>
        <v>-604272.91419027734</v>
      </c>
    </row>
    <row r="55" spans="3:34" ht="13.5" thickBot="1" x14ac:dyDescent="0.3">
      <c r="C55" s="1467" t="s">
        <v>1886</v>
      </c>
      <c r="D55" s="1467"/>
      <c r="E55" s="1468">
        <f>E42</f>
        <v>0</v>
      </c>
      <c r="F55" s="1468">
        <f t="shared" ref="F55:N55" si="27">F42</f>
        <v>0</v>
      </c>
      <c r="G55" s="1468">
        <f t="shared" si="27"/>
        <v>0</v>
      </c>
      <c r="H55" s="1468">
        <f t="shared" si="27"/>
        <v>0</v>
      </c>
      <c r="I55" s="1468">
        <f t="shared" si="27"/>
        <v>0</v>
      </c>
      <c r="J55" s="1468">
        <f t="shared" si="27"/>
        <v>0</v>
      </c>
      <c r="K55" s="1468">
        <f t="shared" si="27"/>
        <v>0</v>
      </c>
      <c r="L55" s="1468">
        <f t="shared" si="27"/>
        <v>0</v>
      </c>
      <c r="M55" s="1468">
        <f t="shared" si="27"/>
        <v>0</v>
      </c>
      <c r="N55" s="1468">
        <f t="shared" si="27"/>
        <v>-1104240.5056644955</v>
      </c>
      <c r="U55" s="1467" t="s">
        <v>1886</v>
      </c>
      <c r="V55" s="1467"/>
      <c r="W55" s="1468">
        <f>W42</f>
        <v>0</v>
      </c>
      <c r="X55" s="1468">
        <f t="shared" ref="X55:AF55" si="28">X42</f>
        <v>0</v>
      </c>
      <c r="Y55" s="1468">
        <f t="shared" si="28"/>
        <v>0</v>
      </c>
      <c r="Z55" s="1468">
        <f t="shared" si="28"/>
        <v>0</v>
      </c>
      <c r="AA55" s="1468">
        <f t="shared" si="28"/>
        <v>0</v>
      </c>
      <c r="AB55" s="1468">
        <f t="shared" si="28"/>
        <v>0</v>
      </c>
      <c r="AC55" s="1468">
        <f t="shared" si="28"/>
        <v>0</v>
      </c>
      <c r="AD55" s="1468">
        <f t="shared" si="28"/>
        <v>0</v>
      </c>
      <c r="AE55" s="1468">
        <f t="shared" si="28"/>
        <v>0</v>
      </c>
      <c r="AF55" s="1468">
        <f t="shared" si="28"/>
        <v>-858372.91419027734</v>
      </c>
    </row>
    <row r="56" spans="3:34" ht="13.5" thickTop="1" x14ac:dyDescent="0.25">
      <c r="C56" s="204" t="s">
        <v>44</v>
      </c>
      <c r="E56" s="1469">
        <f>SUM(E52:E55)</f>
        <v>2146241.6</v>
      </c>
      <c r="F56" s="1469">
        <f t="shared" ref="F56:N56" si="29">SUM(F52:F55)</f>
        <v>2146241.6</v>
      </c>
      <c r="G56" s="1469">
        <f t="shared" si="29"/>
        <v>2146241.6</v>
      </c>
      <c r="H56" s="1469">
        <f t="shared" si="29"/>
        <v>2146241.6</v>
      </c>
      <c r="I56" s="1469">
        <f t="shared" si="29"/>
        <v>2216241.6</v>
      </c>
      <c r="J56" s="1469">
        <f t="shared" si="29"/>
        <v>2146241.6</v>
      </c>
      <c r="K56" s="1469">
        <f t="shared" si="29"/>
        <v>2146241.6</v>
      </c>
      <c r="L56" s="1469">
        <f t="shared" si="29"/>
        <v>2146241.6</v>
      </c>
      <c r="M56" s="1469">
        <f t="shared" si="29"/>
        <v>2146241.6</v>
      </c>
      <c r="N56" s="1469">
        <f t="shared" si="29"/>
        <v>1342001.0943355046</v>
      </c>
      <c r="U56" s="204" t="s">
        <v>44</v>
      </c>
      <c r="W56" s="1469">
        <f>SUM(W52:W55)</f>
        <v>1805128.8552000001</v>
      </c>
      <c r="X56" s="1469">
        <f t="shared" ref="X56" si="30">SUM(X52:X55)</f>
        <v>1842566.2552000002</v>
      </c>
      <c r="Y56" s="1469">
        <f t="shared" ref="Y56" si="31">SUM(Y52:Y55)</f>
        <v>1842566.2552000002</v>
      </c>
      <c r="Z56" s="1469">
        <f t="shared" ref="Z56" si="32">SUM(Z52:Z55)</f>
        <v>1842566.2552000002</v>
      </c>
      <c r="AA56" s="1469">
        <f t="shared" ref="AA56" si="33">SUM(AA52:AA55)</f>
        <v>1901856.2552000002</v>
      </c>
      <c r="AB56" s="1469">
        <f t="shared" ref="AB56" si="34">SUM(AB52:AB55)</f>
        <v>1842566.2552000002</v>
      </c>
      <c r="AC56" s="1469">
        <f t="shared" ref="AC56" si="35">SUM(AC52:AC55)</f>
        <v>1842566.2552000002</v>
      </c>
      <c r="AD56" s="1469">
        <f t="shared" ref="AD56" si="36">SUM(AD52:AD55)</f>
        <v>1842566.2552000002</v>
      </c>
      <c r="AE56" s="1469">
        <f t="shared" ref="AE56" si="37">SUM(AE52:AE55)</f>
        <v>1842566.2552000002</v>
      </c>
      <c r="AF56" s="1469">
        <f t="shared" ref="AF56" si="38">SUM(AF52:AF55)</f>
        <v>1238293.341009723</v>
      </c>
    </row>
    <row r="57" spans="3:34" x14ac:dyDescent="0.25">
      <c r="C57" s="222" t="s">
        <v>1764</v>
      </c>
      <c r="D57" s="251">
        <f>D45+NPV(D46,E56:N56)</f>
        <v>25118982.753153913</v>
      </c>
      <c r="U57" s="222" t="s">
        <v>1764</v>
      </c>
      <c r="V57" s="251">
        <f>V45+NPV(V46,W56:AF56)</f>
        <v>20673290.936851464</v>
      </c>
    </row>
    <row r="60" spans="3:34" x14ac:dyDescent="0.25">
      <c r="C60" s="204" t="s">
        <v>1331</v>
      </c>
      <c r="T60" s="264"/>
      <c r="U60" s="265"/>
      <c r="V60" s="264"/>
      <c r="W60" s="264"/>
      <c r="X60" s="264"/>
    </row>
    <row r="61" spans="3:34" x14ac:dyDescent="0.25">
      <c r="T61" s="264"/>
      <c r="U61" s="264"/>
      <c r="V61" s="264"/>
      <c r="W61" s="264"/>
      <c r="X61" s="264"/>
    </row>
    <row r="62" spans="3:34" ht="12.75" customHeight="1" x14ac:dyDescent="0.25">
      <c r="C62" s="1968" t="s">
        <v>649</v>
      </c>
      <c r="D62" s="1968" t="s">
        <v>1326</v>
      </c>
      <c r="E62" s="1970" t="s">
        <v>1327</v>
      </c>
      <c r="F62" s="1970"/>
      <c r="G62" s="1971"/>
      <c r="T62" s="264"/>
      <c r="U62" s="1395"/>
      <c r="V62" s="1395"/>
      <c r="W62" s="1395"/>
      <c r="X62" s="1395"/>
      <c r="Y62" s="1971"/>
    </row>
    <row r="63" spans="3:34" ht="27" customHeight="1" x14ac:dyDescent="0.25">
      <c r="C63" s="1969"/>
      <c r="D63" s="1969"/>
      <c r="E63" s="1404" t="s">
        <v>1328</v>
      </c>
      <c r="F63" s="1404" t="s">
        <v>1329</v>
      </c>
      <c r="G63" s="1971"/>
      <c r="I63" s="251"/>
      <c r="J63" s="251"/>
      <c r="K63" s="251"/>
      <c r="T63" s="264"/>
      <c r="U63" s="1395"/>
      <c r="V63" s="1395"/>
      <c r="W63" s="1330"/>
      <c r="X63" s="1330"/>
      <c r="Y63" s="1971"/>
      <c r="AA63" s="251"/>
      <c r="AB63" s="251"/>
      <c r="AC63" s="251"/>
    </row>
    <row r="64" spans="3:34" ht="13.5" customHeight="1" x14ac:dyDescent="0.25">
      <c r="C64" s="1975" t="s">
        <v>1330</v>
      </c>
      <c r="D64" s="1973" t="s">
        <v>1807</v>
      </c>
      <c r="E64" s="1973"/>
      <c r="F64" s="1973"/>
      <c r="G64" s="1330"/>
      <c r="I64" s="251"/>
      <c r="J64" s="251"/>
      <c r="K64" s="251"/>
      <c r="T64" s="264"/>
      <c r="U64" s="1394"/>
      <c r="V64" s="1395"/>
      <c r="W64" s="1395"/>
      <c r="X64" s="1395"/>
      <c r="Y64" s="1330"/>
      <c r="AA64" s="251"/>
      <c r="AB64" s="251"/>
      <c r="AC64" s="251"/>
    </row>
    <row r="65" spans="2:34" x14ac:dyDescent="0.25">
      <c r="B65" s="1389">
        <f>NPV(D28,E27:N27)+B26</f>
        <v>179500.95605625957</v>
      </c>
      <c r="C65" s="1975"/>
      <c r="D65" s="902" t="s">
        <v>1319</v>
      </c>
      <c r="E65" s="625">
        <f>D29</f>
        <v>179500.95605625957</v>
      </c>
      <c r="F65" s="625">
        <f>V29</f>
        <v>4625192.7723587025</v>
      </c>
      <c r="G65" s="1962"/>
      <c r="I65" s="977"/>
      <c r="T65" s="264"/>
      <c r="U65" s="1394"/>
      <c r="V65" s="591"/>
      <c r="W65" s="1397"/>
      <c r="X65" s="1397"/>
      <c r="Y65" s="1962"/>
      <c r="AA65" s="977"/>
    </row>
    <row r="66" spans="2:34" x14ac:dyDescent="0.25">
      <c r="B66" s="918" t="e">
        <f>IRR(#REF!)</f>
        <v>#REF!</v>
      </c>
      <c r="C66" s="1975"/>
      <c r="D66" s="902" t="s">
        <v>1320</v>
      </c>
      <c r="E66" s="903">
        <f>D30</f>
        <v>8.3016788549242992E-2</v>
      </c>
      <c r="F66" s="903">
        <f>V30</f>
        <v>0.17170116409541514</v>
      </c>
      <c r="G66" s="1962"/>
      <c r="T66" s="264"/>
      <c r="U66" s="1394"/>
      <c r="V66" s="591"/>
      <c r="W66" s="212"/>
      <c r="X66" s="212"/>
      <c r="Y66" s="1962"/>
    </row>
    <row r="67" spans="2:34" ht="15" customHeight="1" x14ac:dyDescent="0.25">
      <c r="B67" s="918"/>
      <c r="C67" s="1975"/>
      <c r="D67" s="1974" t="s">
        <v>1808</v>
      </c>
      <c r="E67" s="1974"/>
      <c r="F67" s="1974"/>
      <c r="G67" s="1329"/>
      <c r="T67" s="264"/>
      <c r="U67" s="1394"/>
      <c r="V67" s="1395"/>
      <c r="W67" s="1395"/>
      <c r="X67" s="1395"/>
      <c r="Y67" s="1329"/>
    </row>
    <row r="68" spans="2:34" x14ac:dyDescent="0.2">
      <c r="B68" s="918"/>
      <c r="C68" s="1975"/>
      <c r="D68" s="1335" t="s">
        <v>1764</v>
      </c>
      <c r="E68" s="1390">
        <f>D47</f>
        <v>25118982.753153913</v>
      </c>
      <c r="F68" s="1390">
        <f>V47</f>
        <v>20673290.936851464</v>
      </c>
      <c r="G68" s="1329"/>
      <c r="T68" s="264"/>
      <c r="U68" s="1394"/>
      <c r="V68" s="1332"/>
      <c r="W68" s="1392"/>
      <c r="X68" s="212"/>
      <c r="Y68" s="1329"/>
    </row>
    <row r="69" spans="2:34" x14ac:dyDescent="0.2">
      <c r="B69" s="918"/>
      <c r="C69" s="1975"/>
      <c r="D69" s="1335" t="s">
        <v>1765</v>
      </c>
      <c r="E69" s="1391">
        <f>D48</f>
        <v>23001.028749064084</v>
      </c>
      <c r="F69" s="1390">
        <f>V48</f>
        <v>23001.028749064084</v>
      </c>
      <c r="G69" s="1329"/>
      <c r="T69" s="264"/>
      <c r="U69" s="1394"/>
      <c r="V69" s="1332"/>
      <c r="W69" s="1396"/>
      <c r="X69" s="212"/>
      <c r="Y69" s="1329"/>
    </row>
    <row r="70" spans="2:34" x14ac:dyDescent="0.2">
      <c r="B70" s="918"/>
      <c r="C70" s="1975"/>
      <c r="D70" s="1335" t="s">
        <v>1766</v>
      </c>
      <c r="E70" s="1393">
        <f>E68/E69</f>
        <v>1092.0808380875576</v>
      </c>
      <c r="F70" s="1390">
        <f>F68/F69</f>
        <v>898.79853472608977</v>
      </c>
      <c r="G70" s="1329"/>
      <c r="T70" s="264"/>
      <c r="U70" s="1394"/>
      <c r="V70" s="1332"/>
      <c r="W70" s="1392"/>
      <c r="X70" s="212"/>
      <c r="Y70" s="1329"/>
    </row>
    <row r="71" spans="2:34" x14ac:dyDescent="0.2">
      <c r="B71" s="918"/>
      <c r="C71" s="969"/>
      <c r="D71" s="591"/>
      <c r="E71" s="1392"/>
      <c r="F71" s="212"/>
      <c r="G71" s="1329"/>
    </row>
    <row r="72" spans="2:34" x14ac:dyDescent="0.25">
      <c r="B72" s="918"/>
      <c r="C72" s="969"/>
      <c r="D72" s="591"/>
      <c r="E72" s="1405">
        <f>'DEM - DESN'!T30</f>
        <v>3207.3590827937783</v>
      </c>
      <c r="F72" s="1406">
        <f>E72</f>
        <v>3207.3590827937783</v>
      </c>
      <c r="G72" s="1329"/>
      <c r="H72" s="1515">
        <f>V45/F72</f>
        <v>2676.2607242672352</v>
      </c>
    </row>
    <row r="73" spans="2:34" x14ac:dyDescent="0.25">
      <c r="B73" s="918"/>
      <c r="C73" s="969"/>
      <c r="D73" s="591"/>
      <c r="E73" s="212"/>
      <c r="F73" s="212"/>
      <c r="G73" s="1329"/>
    </row>
    <row r="74" spans="2:34" x14ac:dyDescent="0.25">
      <c r="B74" s="918"/>
      <c r="C74" s="969"/>
      <c r="D74" s="591"/>
      <c r="E74" s="1405">
        <f>E68/E72</f>
        <v>7831.6715106541669</v>
      </c>
      <c r="F74" s="1405">
        <f>F68/F72</f>
        <v>6445.5804302535225</v>
      </c>
      <c r="G74" s="1329"/>
    </row>
    <row r="75" spans="2:34" x14ac:dyDescent="0.25">
      <c r="B75" s="918"/>
      <c r="C75" s="969"/>
      <c r="D75" s="591"/>
      <c r="E75" s="212"/>
      <c r="F75" s="212"/>
      <c r="G75" s="1329"/>
    </row>
    <row r="76" spans="2:34" x14ac:dyDescent="0.25">
      <c r="B76" s="918"/>
      <c r="C76" s="969"/>
      <c r="D76" s="591"/>
      <c r="E76" s="212"/>
      <c r="F76" s="212"/>
      <c r="G76" s="970"/>
    </row>
    <row r="77" spans="2:34" x14ac:dyDescent="0.25">
      <c r="B77" s="918"/>
      <c r="C77" s="969"/>
      <c r="D77" s="591"/>
      <c r="E77" s="212"/>
      <c r="F77" s="212"/>
      <c r="G77" s="970"/>
    </row>
    <row r="78" spans="2:34" ht="23.25" x14ac:dyDescent="0.25">
      <c r="B78" s="918"/>
      <c r="C78" s="1972" t="s">
        <v>1357</v>
      </c>
      <c r="D78" s="1972"/>
      <c r="E78" s="1972"/>
      <c r="F78" s="1972"/>
      <c r="G78" s="1972"/>
      <c r="H78" s="1972"/>
      <c r="I78" s="1972"/>
      <c r="J78" s="1972"/>
      <c r="K78" s="1972"/>
      <c r="L78" s="1972"/>
      <c r="M78" s="1972"/>
      <c r="N78" s="1972"/>
      <c r="O78" s="1972"/>
      <c r="P78" s="1972"/>
      <c r="Q78" s="1972"/>
      <c r="R78" s="1972"/>
      <c r="U78" s="1972" t="s">
        <v>1356</v>
      </c>
      <c r="V78" s="1972"/>
      <c r="W78" s="1972"/>
      <c r="X78" s="1972"/>
      <c r="Y78" s="1972"/>
      <c r="Z78" s="1972"/>
      <c r="AA78" s="1972"/>
      <c r="AB78" s="1972"/>
      <c r="AC78" s="1972"/>
      <c r="AD78" s="1972"/>
      <c r="AE78" s="1972"/>
      <c r="AF78" s="1972"/>
      <c r="AG78" s="1972"/>
      <c r="AH78" s="1972"/>
    </row>
    <row r="79" spans="2:34" x14ac:dyDescent="0.25">
      <c r="B79" s="918"/>
      <c r="C79" s="969"/>
      <c r="D79" s="591"/>
      <c r="E79" s="212"/>
      <c r="F79" s="212"/>
      <c r="G79" s="970"/>
    </row>
    <row r="80" spans="2:34" ht="15" customHeight="1" x14ac:dyDescent="0.25">
      <c r="B80" s="918"/>
      <c r="C80" s="1964" t="s">
        <v>1372</v>
      </c>
      <c r="D80" s="1964"/>
      <c r="E80" s="1964"/>
      <c r="F80" s="1965"/>
      <c r="G80" s="1966" t="s">
        <v>1373</v>
      </c>
      <c r="H80" s="1967"/>
      <c r="I80" s="1967"/>
      <c r="J80" s="1967"/>
    </row>
    <row r="81" spans="2:9" x14ac:dyDescent="0.25">
      <c r="F81" s="978"/>
      <c r="G81" s="264"/>
    </row>
    <row r="82" spans="2:9" x14ac:dyDescent="0.25">
      <c r="C82" s="976" t="s">
        <v>1359</v>
      </c>
      <c r="F82" s="978"/>
      <c r="G82" s="982"/>
      <c r="H82" s="204" t="s">
        <v>1374</v>
      </c>
    </row>
    <row r="83" spans="2:9" x14ac:dyDescent="0.25">
      <c r="F83" s="978"/>
      <c r="G83" s="264"/>
    </row>
    <row r="84" spans="2:9" x14ac:dyDescent="0.25">
      <c r="C84" s="222" t="s">
        <v>1360</v>
      </c>
      <c r="E84" s="980">
        <v>8656486.1032772902</v>
      </c>
      <c r="F84" s="978"/>
      <c r="G84" s="265" t="s">
        <v>1375</v>
      </c>
    </row>
    <row r="85" spans="2:9" x14ac:dyDescent="0.25">
      <c r="C85" s="222" t="s">
        <v>1361</v>
      </c>
      <c r="D85" s="981">
        <v>0.76</v>
      </c>
      <c r="E85" s="977">
        <f>E84*D85</f>
        <v>6578929.438490741</v>
      </c>
      <c r="F85" s="978"/>
    </row>
    <row r="86" spans="2:9" x14ac:dyDescent="0.25">
      <c r="C86" s="222" t="s">
        <v>1362</v>
      </c>
      <c r="D86" s="918">
        <v>0.24</v>
      </c>
      <c r="E86" s="977">
        <f>E84*D86</f>
        <v>2077556.6647865495</v>
      </c>
      <c r="F86" s="978"/>
      <c r="G86" s="264" t="s">
        <v>1376</v>
      </c>
    </row>
    <row r="87" spans="2:9" x14ac:dyDescent="0.25">
      <c r="F87" s="978"/>
      <c r="G87" s="264"/>
    </row>
    <row r="88" spans="2:9" x14ac:dyDescent="0.25">
      <c r="F88" s="978"/>
      <c r="G88" s="264"/>
      <c r="H88" s="983" t="s">
        <v>1377</v>
      </c>
      <c r="I88" s="984">
        <v>14959366.465061337</v>
      </c>
    </row>
    <row r="89" spans="2:9" x14ac:dyDescent="0.25">
      <c r="C89" s="261" t="s">
        <v>1363</v>
      </c>
      <c r="D89" s="990">
        <v>0.4</v>
      </c>
      <c r="E89" s="991">
        <v>0.4</v>
      </c>
      <c r="F89" s="978"/>
      <c r="G89" s="264"/>
    </row>
    <row r="90" spans="2:9" x14ac:dyDescent="0.25">
      <c r="B90" s="222" t="s">
        <v>1379</v>
      </c>
      <c r="C90" s="222" t="s">
        <v>1380</v>
      </c>
      <c r="D90" s="981">
        <v>0.08</v>
      </c>
      <c r="F90" s="978"/>
      <c r="G90" s="264" t="s">
        <v>1378</v>
      </c>
    </row>
    <row r="91" spans="2:9" x14ac:dyDescent="0.25">
      <c r="C91" s="261" t="s">
        <v>1364</v>
      </c>
      <c r="D91" s="988">
        <v>0.08</v>
      </c>
      <c r="F91" s="978"/>
      <c r="G91" s="264"/>
    </row>
    <row r="92" spans="2:9" x14ac:dyDescent="0.25">
      <c r="B92" s="222" t="s">
        <v>1381</v>
      </c>
      <c r="C92" s="261" t="s">
        <v>1365</v>
      </c>
      <c r="D92" s="981">
        <v>0.08</v>
      </c>
      <c r="F92" s="978"/>
      <c r="G92" s="264"/>
      <c r="H92" s="983" t="s">
        <v>1377</v>
      </c>
      <c r="I92" s="984">
        <v>8619681.4516332075</v>
      </c>
    </row>
    <row r="93" spans="2:9" x14ac:dyDescent="0.25">
      <c r="F93" s="978"/>
      <c r="G93" s="264"/>
    </row>
    <row r="94" spans="2:9" x14ac:dyDescent="0.25">
      <c r="C94" s="222" t="s">
        <v>1382</v>
      </c>
      <c r="F94" s="978"/>
      <c r="G94" s="264" t="s">
        <v>1383</v>
      </c>
    </row>
    <row r="95" spans="2:9" x14ac:dyDescent="0.25">
      <c r="C95" s="222" t="s">
        <v>1366</v>
      </c>
      <c r="D95" s="222">
        <v>13</v>
      </c>
      <c r="E95" s="222" t="s">
        <v>1371</v>
      </c>
      <c r="F95" s="978"/>
      <c r="G95" s="264"/>
    </row>
    <row r="96" spans="2:9" x14ac:dyDescent="0.25">
      <c r="C96" s="222" t="s">
        <v>1367</v>
      </c>
      <c r="E96" s="979">
        <v>500000</v>
      </c>
      <c r="F96" s="978"/>
      <c r="H96" s="983" t="s">
        <v>1377</v>
      </c>
      <c r="I96" s="989">
        <v>0.21</v>
      </c>
    </row>
    <row r="97" spans="3:9" x14ac:dyDescent="0.25">
      <c r="C97" s="222" t="s">
        <v>1368</v>
      </c>
      <c r="E97" s="980">
        <v>2101880.2918287301</v>
      </c>
      <c r="F97" s="985"/>
      <c r="G97" s="264"/>
    </row>
    <row r="98" spans="3:9" x14ac:dyDescent="0.25">
      <c r="E98" s="264"/>
      <c r="F98" s="978"/>
      <c r="G98" s="264"/>
    </row>
    <row r="99" spans="3:9" x14ac:dyDescent="0.25">
      <c r="E99" s="264"/>
      <c r="F99" s="978"/>
      <c r="G99" s="265" t="s">
        <v>1388</v>
      </c>
    </row>
    <row r="100" spans="3:9" x14ac:dyDescent="0.25">
      <c r="C100" s="222" t="s">
        <v>1369</v>
      </c>
      <c r="E100" s="264">
        <v>13</v>
      </c>
      <c r="F100" s="978"/>
    </row>
    <row r="101" spans="3:9" x14ac:dyDescent="0.25">
      <c r="C101" s="222" t="s">
        <v>1370</v>
      </c>
      <c r="E101" s="264">
        <v>10</v>
      </c>
      <c r="F101" s="978"/>
      <c r="G101" s="222" t="s">
        <v>1384</v>
      </c>
    </row>
    <row r="102" spans="3:9" x14ac:dyDescent="0.25">
      <c r="E102" s="264"/>
      <c r="F102" s="978"/>
    </row>
    <row r="103" spans="3:9" x14ac:dyDescent="0.25">
      <c r="E103" s="264"/>
      <c r="F103" s="978"/>
      <c r="I103" s="994" t="s">
        <v>1319</v>
      </c>
    </row>
    <row r="104" spans="3:9" x14ac:dyDescent="0.25">
      <c r="E104" s="264"/>
      <c r="F104" s="978"/>
      <c r="I104" s="995">
        <f>D29</f>
        <v>179500.95605625957</v>
      </c>
    </row>
    <row r="105" spans="3:9" x14ac:dyDescent="0.25">
      <c r="E105" s="264"/>
      <c r="F105" s="978"/>
      <c r="G105" s="1992" t="s">
        <v>1385</v>
      </c>
      <c r="H105" s="993">
        <v>1000</v>
      </c>
      <c r="I105" s="997">
        <f t="dataTable" ref="I105:I114" dt2D="0" dtr="0" r1="E97" ca="1"/>
        <v>179500.95605625957</v>
      </c>
    </row>
    <row r="106" spans="3:9" x14ac:dyDescent="0.25">
      <c r="E106" s="264"/>
      <c r="F106" s="978"/>
      <c r="G106" s="1992"/>
      <c r="H106" s="993">
        <f>H105+852000</f>
        <v>853000</v>
      </c>
      <c r="I106" s="997">
        <v>179500.95605625957</v>
      </c>
    </row>
    <row r="107" spans="3:9" x14ac:dyDescent="0.25">
      <c r="E107" s="264"/>
      <c r="F107" s="978"/>
      <c r="G107" s="1992"/>
      <c r="H107" s="993">
        <f>H106+852000</f>
        <v>1705000</v>
      </c>
      <c r="I107" s="997">
        <v>179500.95605625957</v>
      </c>
    </row>
    <row r="108" spans="3:9" x14ac:dyDescent="0.25">
      <c r="E108" s="264"/>
      <c r="F108" s="978"/>
      <c r="G108" s="1992"/>
      <c r="H108" s="993">
        <f>H107+852000</f>
        <v>2557000</v>
      </c>
      <c r="I108" s="997">
        <v>179500.95605625957</v>
      </c>
    </row>
    <row r="109" spans="3:9" x14ac:dyDescent="0.25">
      <c r="E109" s="264"/>
      <c r="F109" s="978"/>
      <c r="G109" s="1992"/>
      <c r="H109" s="996">
        <v>2101880.2918287343</v>
      </c>
      <c r="I109" s="1001">
        <v>179500.95605625957</v>
      </c>
    </row>
    <row r="110" spans="3:9" x14ac:dyDescent="0.25">
      <c r="E110" s="264"/>
      <c r="F110" s="978"/>
      <c r="G110" s="1992"/>
      <c r="H110" s="993">
        <f>H109+1230000</f>
        <v>3331880.2918287343</v>
      </c>
      <c r="I110" s="997">
        <v>179500.95605625957</v>
      </c>
    </row>
    <row r="111" spans="3:9" x14ac:dyDescent="0.25">
      <c r="E111" s="264"/>
      <c r="F111" s="978"/>
      <c r="G111" s="1992"/>
      <c r="H111" s="993">
        <f>H110+1230000</f>
        <v>4561880.2918287348</v>
      </c>
      <c r="I111" s="997">
        <v>179500.95605625957</v>
      </c>
    </row>
    <row r="112" spans="3:9" x14ac:dyDescent="0.25">
      <c r="E112" s="264"/>
      <c r="F112" s="978"/>
      <c r="G112" s="1992"/>
      <c r="H112" s="993">
        <f>H111+1230000</f>
        <v>5791880.2918287348</v>
      </c>
      <c r="I112" s="997">
        <v>179500.95605625957</v>
      </c>
    </row>
    <row r="113" spans="5:10" x14ac:dyDescent="0.25">
      <c r="E113" s="264"/>
      <c r="F113" s="978"/>
      <c r="G113" s="1992"/>
      <c r="H113" s="993">
        <f>H112+1230000</f>
        <v>7021880.2918287348</v>
      </c>
      <c r="I113" s="997">
        <v>179500.95605625957</v>
      </c>
    </row>
    <row r="114" spans="5:10" x14ac:dyDescent="0.25">
      <c r="E114" s="264"/>
      <c r="F114" s="978"/>
      <c r="G114" s="1992"/>
      <c r="H114" s="993">
        <f>H113+1230000</f>
        <v>8251880.2918287348</v>
      </c>
      <c r="I114" s="997">
        <v>179500.95605625957</v>
      </c>
    </row>
    <row r="115" spans="5:10" x14ac:dyDescent="0.25">
      <c r="E115" s="264"/>
      <c r="F115" s="978"/>
      <c r="H115" s="977"/>
    </row>
    <row r="116" spans="5:10" x14ac:dyDescent="0.25">
      <c r="E116" s="264"/>
      <c r="F116" s="978"/>
      <c r="H116" s="264"/>
    </row>
    <row r="117" spans="5:10" x14ac:dyDescent="0.25">
      <c r="E117" s="264"/>
      <c r="F117" s="978"/>
      <c r="G117" s="222" t="s">
        <v>1386</v>
      </c>
    </row>
    <row r="118" spans="5:10" x14ac:dyDescent="0.25">
      <c r="E118" s="264"/>
      <c r="F118" s="978"/>
    </row>
    <row r="119" spans="5:10" x14ac:dyDescent="0.25">
      <c r="E119" s="264"/>
      <c r="F119" s="978"/>
      <c r="I119" s="994" t="s">
        <v>1319</v>
      </c>
      <c r="J119" s="994" t="s">
        <v>1320</v>
      </c>
    </row>
    <row r="120" spans="5:10" x14ac:dyDescent="0.25">
      <c r="E120" s="264"/>
      <c r="F120" s="978"/>
      <c r="I120" s="995">
        <f>D29</f>
        <v>179500.95605625957</v>
      </c>
      <c r="J120" s="999">
        <f>D30</f>
        <v>8.3016788549242992E-2</v>
      </c>
    </row>
    <row r="121" spans="5:10" x14ac:dyDescent="0.25">
      <c r="E121" s="264"/>
      <c r="F121" s="978"/>
      <c r="G121" s="1993" t="s">
        <v>1387</v>
      </c>
      <c r="H121" s="998">
        <v>0.9</v>
      </c>
      <c r="I121" s="997">
        <f t="dataTable" ref="I121:J130" dt2D="0" dtr="0" r1="D89" ca="1"/>
        <v>179500.95605625957</v>
      </c>
      <c r="J121" s="1000">
        <v>8.3016788549242992E-2</v>
      </c>
    </row>
    <row r="122" spans="5:10" x14ac:dyDescent="0.25">
      <c r="E122" s="264"/>
      <c r="F122" s="978"/>
      <c r="G122" s="1993"/>
      <c r="H122" s="998">
        <v>0.8</v>
      </c>
      <c r="I122" s="997">
        <v>179500.95605625957</v>
      </c>
      <c r="J122" s="1000">
        <v>8.3016788549242992E-2</v>
      </c>
    </row>
    <row r="123" spans="5:10" x14ac:dyDescent="0.25">
      <c r="E123" s="264"/>
      <c r="F123" s="978"/>
      <c r="G123" s="1993"/>
      <c r="H123" s="998">
        <v>0.7</v>
      </c>
      <c r="I123" s="997">
        <v>179500.95605625957</v>
      </c>
      <c r="J123" s="1000">
        <v>8.3016788549242992E-2</v>
      </c>
    </row>
    <row r="124" spans="5:10" x14ac:dyDescent="0.25">
      <c r="E124" s="264"/>
      <c r="F124" s="978"/>
      <c r="G124" s="1993"/>
      <c r="H124" s="998">
        <v>0.6</v>
      </c>
      <c r="I124" s="997">
        <v>179500.95605625957</v>
      </c>
      <c r="J124" s="1000">
        <v>8.3016788549242992E-2</v>
      </c>
    </row>
    <row r="125" spans="5:10" x14ac:dyDescent="0.25">
      <c r="E125" s="264"/>
      <c r="F125" s="978"/>
      <c r="G125" s="1993"/>
      <c r="H125" s="998">
        <v>0.5</v>
      </c>
      <c r="I125" s="997">
        <v>179500.95605625957</v>
      </c>
      <c r="J125" s="1000">
        <v>8.3016788549242992E-2</v>
      </c>
    </row>
    <row r="126" spans="5:10" x14ac:dyDescent="0.25">
      <c r="E126" s="264"/>
      <c r="F126" s="978"/>
      <c r="G126" s="1993"/>
      <c r="H126" s="998">
        <v>0.4</v>
      </c>
      <c r="I126" s="997">
        <v>179500.95605625957</v>
      </c>
      <c r="J126" s="1000">
        <v>8.3016788549242992E-2</v>
      </c>
    </row>
    <row r="127" spans="5:10" x14ac:dyDescent="0.25">
      <c r="E127" s="264"/>
      <c r="F127" s="978"/>
      <c r="G127" s="1993"/>
      <c r="H127" s="998">
        <v>0.3</v>
      </c>
      <c r="I127" s="997">
        <v>179500.95605625957</v>
      </c>
      <c r="J127" s="1000">
        <v>8.3016788549242992E-2</v>
      </c>
    </row>
    <row r="128" spans="5:10" x14ac:dyDescent="0.25">
      <c r="E128" s="264"/>
      <c r="F128" s="978"/>
      <c r="G128" s="1993"/>
      <c r="H128" s="998">
        <v>0.2</v>
      </c>
      <c r="I128" s="997">
        <v>179500.95605625957</v>
      </c>
      <c r="J128" s="1000">
        <v>8.3016788549242992E-2</v>
      </c>
    </row>
    <row r="129" spans="5:18" x14ac:dyDescent="0.25">
      <c r="E129" s="264"/>
      <c r="F129" s="978"/>
      <c r="G129" s="1993"/>
      <c r="H129" s="998">
        <v>0.1</v>
      </c>
      <c r="I129" s="997">
        <v>179500.95605625957</v>
      </c>
      <c r="J129" s="1000">
        <v>8.3016788549242992E-2</v>
      </c>
    </row>
    <row r="130" spans="5:18" x14ac:dyDescent="0.25">
      <c r="E130" s="264"/>
      <c r="F130" s="978"/>
      <c r="G130" s="1993"/>
      <c r="H130" s="998">
        <v>0.05</v>
      </c>
      <c r="I130" s="997">
        <v>179500.95605625957</v>
      </c>
      <c r="J130" s="1000">
        <v>8.3016788549242992E-2</v>
      </c>
    </row>
    <row r="131" spans="5:18" x14ac:dyDescent="0.25">
      <c r="E131" s="264"/>
      <c r="F131" s="978"/>
      <c r="G131" s="1004"/>
      <c r="H131" s="1005"/>
      <c r="I131" s="1002"/>
      <c r="J131" s="1003"/>
    </row>
    <row r="132" spans="5:18" x14ac:dyDescent="0.25">
      <c r="E132" s="264"/>
      <c r="F132" s="978"/>
      <c r="G132" s="1004"/>
      <c r="H132" s="1005"/>
      <c r="I132" s="1002"/>
      <c r="J132" s="1003"/>
    </row>
    <row r="133" spans="5:18" x14ac:dyDescent="0.25">
      <c r="E133" s="264"/>
      <c r="F133" s="978"/>
      <c r="G133" s="265" t="s">
        <v>1391</v>
      </c>
      <c r="H133" s="1005"/>
      <c r="I133" s="1002"/>
      <c r="J133" s="1003"/>
    </row>
    <row r="134" spans="5:18" x14ac:dyDescent="0.25">
      <c r="E134" s="264"/>
      <c r="F134" s="978"/>
      <c r="G134" s="265"/>
      <c r="H134" s="1005"/>
      <c r="I134" s="1002"/>
      <c r="J134" s="1003"/>
    </row>
    <row r="135" spans="5:18" x14ac:dyDescent="0.25">
      <c r="E135" s="264"/>
      <c r="F135" s="978"/>
      <c r="G135" s="264" t="s">
        <v>1389</v>
      </c>
      <c r="H135" s="1005"/>
      <c r="I135" s="1002"/>
      <c r="J135" s="1003"/>
    </row>
    <row r="136" spans="5:18" x14ac:dyDescent="0.25">
      <c r="E136" s="264"/>
      <c r="F136" s="978"/>
      <c r="G136" s="1004"/>
      <c r="H136" s="1005"/>
      <c r="I136" s="1002"/>
      <c r="J136" s="1003"/>
    </row>
    <row r="137" spans="5:18" x14ac:dyDescent="0.25">
      <c r="E137" s="264"/>
      <c r="F137" s="978"/>
      <c r="G137" s="1004"/>
      <c r="H137" s="1005"/>
      <c r="I137" s="1959" t="s">
        <v>1390</v>
      </c>
      <c r="J137" s="1959"/>
      <c r="K137" s="1959"/>
      <c r="L137" s="1959"/>
      <c r="M137" s="1959"/>
      <c r="N137" s="1959"/>
      <c r="O137" s="1959"/>
      <c r="P137" s="1959"/>
      <c r="Q137" s="1959"/>
      <c r="R137" s="1959"/>
    </row>
    <row r="138" spans="5:18" x14ac:dyDescent="0.25">
      <c r="E138" s="264"/>
      <c r="F138" s="978"/>
      <c r="G138" s="1004"/>
      <c r="H138" s="1006">
        <f>D29</f>
        <v>179500.95605625957</v>
      </c>
      <c r="I138" s="998">
        <f>H121</f>
        <v>0.9</v>
      </c>
      <c r="J138" s="998">
        <f>H122</f>
        <v>0.8</v>
      </c>
      <c r="K138" s="998">
        <f>H123</f>
        <v>0.7</v>
      </c>
      <c r="L138" s="998">
        <f>H124</f>
        <v>0.6</v>
      </c>
      <c r="M138" s="998">
        <f>H125</f>
        <v>0.5</v>
      </c>
      <c r="N138" s="998">
        <f>H126</f>
        <v>0.4</v>
      </c>
      <c r="O138" s="998">
        <f>H127</f>
        <v>0.3</v>
      </c>
      <c r="P138" s="998">
        <f>H128</f>
        <v>0.2</v>
      </c>
      <c r="Q138" s="998">
        <f>H129</f>
        <v>0.1</v>
      </c>
      <c r="R138" s="998">
        <f>H130</f>
        <v>0.05</v>
      </c>
    </row>
    <row r="139" spans="5:18" x14ac:dyDescent="0.25">
      <c r="E139" s="264"/>
      <c r="F139" s="978"/>
      <c r="G139" s="1994" t="s">
        <v>1385</v>
      </c>
      <c r="H139" s="993">
        <f>H105</f>
        <v>1000</v>
      </c>
      <c r="I139" s="992">
        <f t="dataTable" ref="I139:R148" dt2D="1" dtr="1" r1="D89" r2="E97" ca="1"/>
        <v>179500.95605625957</v>
      </c>
      <c r="J139" s="1007">
        <v>179500.95605625957</v>
      </c>
      <c r="K139" s="1007">
        <v>179500.95605625957</v>
      </c>
      <c r="L139" s="1007">
        <v>179500.95605625957</v>
      </c>
      <c r="M139" s="1007">
        <v>179500.95605625957</v>
      </c>
      <c r="N139" s="1007">
        <v>179500.95605625957</v>
      </c>
      <c r="O139" s="1007">
        <v>179500.95605625957</v>
      </c>
      <c r="P139" s="1007">
        <v>179500.95605625957</v>
      </c>
      <c r="Q139" s="1007">
        <v>179500.95605625957</v>
      </c>
      <c r="R139" s="1007">
        <v>179500.95605625957</v>
      </c>
    </row>
    <row r="140" spans="5:18" x14ac:dyDescent="0.25">
      <c r="E140" s="264"/>
      <c r="F140" s="978"/>
      <c r="G140" s="1994"/>
      <c r="H140" s="993">
        <f t="shared" ref="H140:H148" si="39">H106</f>
        <v>853000</v>
      </c>
      <c r="I140" s="992">
        <v>179500.95605625957</v>
      </c>
      <c r="J140" s="1007">
        <v>179500.95605625957</v>
      </c>
      <c r="K140" s="1007">
        <v>179500.95605625957</v>
      </c>
      <c r="L140" s="1007">
        <v>179500.95605625957</v>
      </c>
      <c r="M140" s="1007">
        <v>179500.95605625957</v>
      </c>
      <c r="N140" s="1007">
        <v>179500.95605625957</v>
      </c>
      <c r="O140" s="1007">
        <v>179500.95605625957</v>
      </c>
      <c r="P140" s="1007">
        <v>179500.95605625957</v>
      </c>
      <c r="Q140" s="1007">
        <v>179500.95605625957</v>
      </c>
      <c r="R140" s="1007">
        <v>179500.95605625957</v>
      </c>
    </row>
    <row r="141" spans="5:18" x14ac:dyDescent="0.25">
      <c r="E141" s="264"/>
      <c r="F141" s="978"/>
      <c r="G141" s="1994"/>
      <c r="H141" s="993">
        <f t="shared" si="39"/>
        <v>1705000</v>
      </c>
      <c r="I141" s="992">
        <v>179500.95605625957</v>
      </c>
      <c r="J141" s="1007">
        <v>179500.95605625957</v>
      </c>
      <c r="K141" s="1007">
        <v>179500.95605625957</v>
      </c>
      <c r="L141" s="1007">
        <v>179500.95605625957</v>
      </c>
      <c r="M141" s="1007">
        <v>179500.95605625957</v>
      </c>
      <c r="N141" s="1007">
        <v>179500.95605625957</v>
      </c>
      <c r="O141" s="1007">
        <v>179500.95605625957</v>
      </c>
      <c r="P141" s="1007">
        <v>179500.95605625957</v>
      </c>
      <c r="Q141" s="1007">
        <v>179500.95605625957</v>
      </c>
      <c r="R141" s="1007">
        <v>179500.95605625957</v>
      </c>
    </row>
    <row r="142" spans="5:18" x14ac:dyDescent="0.25">
      <c r="E142" s="264"/>
      <c r="F142" s="978"/>
      <c r="G142" s="1994"/>
      <c r="H142" s="993">
        <f t="shared" si="39"/>
        <v>2557000</v>
      </c>
      <c r="I142" s="992">
        <v>179500.95605625957</v>
      </c>
      <c r="J142" s="1007">
        <v>179500.95605625957</v>
      </c>
      <c r="K142" s="1007">
        <v>179500.95605625957</v>
      </c>
      <c r="L142" s="1007">
        <v>179500.95605625957</v>
      </c>
      <c r="M142" s="1007">
        <v>179500.95605625957</v>
      </c>
      <c r="N142" s="1007">
        <v>179500.95605625957</v>
      </c>
      <c r="O142" s="1007">
        <v>179500.95605625957</v>
      </c>
      <c r="P142" s="1007">
        <v>179500.95605625957</v>
      </c>
      <c r="Q142" s="1007">
        <v>179500.95605625957</v>
      </c>
      <c r="R142" s="1007">
        <v>179500.95605625957</v>
      </c>
    </row>
    <row r="143" spans="5:18" x14ac:dyDescent="0.25">
      <c r="E143" s="264"/>
      <c r="F143" s="978"/>
      <c r="G143" s="1994"/>
      <c r="H143" s="996">
        <f t="shared" si="39"/>
        <v>2101880.2918287343</v>
      </c>
      <c r="I143" s="992">
        <v>179500.95605625957</v>
      </c>
      <c r="J143" s="1007">
        <v>179500.95605625957</v>
      </c>
      <c r="K143" s="1007">
        <v>179500.95605625957</v>
      </c>
      <c r="L143" s="1007">
        <v>179500.95605625957</v>
      </c>
      <c r="M143" s="1007">
        <v>179500.95605625957</v>
      </c>
      <c r="N143" s="1007">
        <v>179500.95605625957</v>
      </c>
      <c r="O143" s="1007">
        <v>179500.95605625957</v>
      </c>
      <c r="P143" s="1007">
        <v>179500.95605625957</v>
      </c>
      <c r="Q143" s="1007">
        <v>179500.95605625957</v>
      </c>
      <c r="R143" s="1007">
        <v>179500.95605625957</v>
      </c>
    </row>
    <row r="144" spans="5:18" x14ac:dyDescent="0.25">
      <c r="E144" s="264"/>
      <c r="F144" s="978"/>
      <c r="G144" s="1994"/>
      <c r="H144" s="993">
        <f t="shared" si="39"/>
        <v>3331880.2918287343</v>
      </c>
      <c r="I144" s="992">
        <v>179500.95605625957</v>
      </c>
      <c r="J144" s="1007">
        <v>179500.95605625957</v>
      </c>
      <c r="K144" s="1007">
        <v>179500.95605625957</v>
      </c>
      <c r="L144" s="1007">
        <v>179500.95605625957</v>
      </c>
      <c r="M144" s="1007">
        <v>179500.95605625957</v>
      </c>
      <c r="N144" s="1007">
        <v>179500.95605625957</v>
      </c>
      <c r="O144" s="1007">
        <v>179500.95605625957</v>
      </c>
      <c r="P144" s="1007">
        <v>179500.95605625957</v>
      </c>
      <c r="Q144" s="1007">
        <v>179500.95605625957</v>
      </c>
      <c r="R144" s="1007">
        <v>179500.95605625957</v>
      </c>
    </row>
    <row r="145" spans="5:18" x14ac:dyDescent="0.25">
      <c r="E145" s="264"/>
      <c r="F145" s="978"/>
      <c r="G145" s="1994"/>
      <c r="H145" s="993">
        <f t="shared" si="39"/>
        <v>4561880.2918287348</v>
      </c>
      <c r="I145" s="992">
        <v>179500.95605625957</v>
      </c>
      <c r="J145" s="1007">
        <v>179500.95605625957</v>
      </c>
      <c r="K145" s="1007">
        <v>179500.95605625957</v>
      </c>
      <c r="L145" s="1007">
        <v>179500.95605625957</v>
      </c>
      <c r="M145" s="1007">
        <v>179500.95605625957</v>
      </c>
      <c r="N145" s="1007">
        <v>179500.95605625957</v>
      </c>
      <c r="O145" s="1007">
        <v>179500.95605625957</v>
      </c>
      <c r="P145" s="1007">
        <v>179500.95605625957</v>
      </c>
      <c r="Q145" s="1007">
        <v>179500.95605625957</v>
      </c>
      <c r="R145" s="1007">
        <v>179500.95605625957</v>
      </c>
    </row>
    <row r="146" spans="5:18" x14ac:dyDescent="0.25">
      <c r="E146" s="264"/>
      <c r="F146" s="978"/>
      <c r="G146" s="1994"/>
      <c r="H146" s="993">
        <f t="shared" si="39"/>
        <v>5791880.2918287348</v>
      </c>
      <c r="I146" s="992">
        <v>179500.95605625957</v>
      </c>
      <c r="J146" s="1007">
        <v>179500.95605625957</v>
      </c>
      <c r="K146" s="1007">
        <v>179500.95605625957</v>
      </c>
      <c r="L146" s="1007">
        <v>179500.95605625957</v>
      </c>
      <c r="M146" s="1007">
        <v>179500.95605625957</v>
      </c>
      <c r="N146" s="1007">
        <v>179500.95605625957</v>
      </c>
      <c r="O146" s="1007">
        <v>179500.95605625957</v>
      </c>
      <c r="P146" s="1007">
        <v>179500.95605625957</v>
      </c>
      <c r="Q146" s="1007">
        <v>179500.95605625957</v>
      </c>
      <c r="R146" s="1007">
        <v>179500.95605625957</v>
      </c>
    </row>
    <row r="147" spans="5:18" x14ac:dyDescent="0.25">
      <c r="E147" s="264"/>
      <c r="F147" s="978"/>
      <c r="G147" s="1994"/>
      <c r="H147" s="993">
        <f t="shared" si="39"/>
        <v>7021880.2918287348</v>
      </c>
      <c r="I147" s="992">
        <v>179500.95605625957</v>
      </c>
      <c r="J147" s="1007">
        <v>179500.95605625957</v>
      </c>
      <c r="K147" s="1007">
        <v>179500.95605625957</v>
      </c>
      <c r="L147" s="1007">
        <v>179500.95605625957</v>
      </c>
      <c r="M147" s="1007">
        <v>179500.95605625957</v>
      </c>
      <c r="N147" s="1007">
        <v>179500.95605625957</v>
      </c>
      <c r="O147" s="1007">
        <v>179500.95605625957</v>
      </c>
      <c r="P147" s="1007">
        <v>179500.95605625957</v>
      </c>
      <c r="Q147" s="1007">
        <v>179500.95605625957</v>
      </c>
      <c r="R147" s="1007">
        <v>179500.95605625957</v>
      </c>
    </row>
    <row r="148" spans="5:18" x14ac:dyDescent="0.25">
      <c r="E148" s="264"/>
      <c r="F148" s="978"/>
      <c r="G148" s="1994"/>
      <c r="H148" s="993">
        <f t="shared" si="39"/>
        <v>8251880.2918287348</v>
      </c>
      <c r="I148" s="992">
        <v>179500.95605625957</v>
      </c>
      <c r="J148" s="1007">
        <v>179500.95605625957</v>
      </c>
      <c r="K148" s="1007">
        <v>179500.95605625957</v>
      </c>
      <c r="L148" s="1007">
        <v>179500.95605625957</v>
      </c>
      <c r="M148" s="1007">
        <v>179500.95605625957</v>
      </c>
      <c r="N148" s="1007">
        <v>179500.95605625957</v>
      </c>
      <c r="O148" s="1007">
        <v>179500.95605625957</v>
      </c>
      <c r="P148" s="1007">
        <v>179500.95605625957</v>
      </c>
      <c r="Q148" s="1007">
        <v>179500.95605625957</v>
      </c>
      <c r="R148" s="1007">
        <v>179500.95605625957</v>
      </c>
    </row>
    <row r="149" spans="5:18" x14ac:dyDescent="0.25">
      <c r="E149" s="264"/>
      <c r="F149" s="978"/>
      <c r="G149" s="1004"/>
      <c r="H149" s="1005"/>
      <c r="I149" s="1002"/>
      <c r="J149" s="1003"/>
    </row>
    <row r="150" spans="5:18" x14ac:dyDescent="0.25">
      <c r="E150" s="264"/>
      <c r="F150" s="978"/>
      <c r="G150" s="1004"/>
      <c r="H150" s="1005"/>
      <c r="I150" s="1002"/>
      <c r="J150" s="1003"/>
    </row>
    <row r="151" spans="5:18" x14ac:dyDescent="0.25">
      <c r="E151" s="264"/>
      <c r="F151" s="978"/>
      <c r="G151" s="265" t="s">
        <v>1392</v>
      </c>
      <c r="H151" s="1005"/>
      <c r="I151" s="1002"/>
      <c r="J151" s="1003"/>
    </row>
    <row r="152" spans="5:18" x14ac:dyDescent="0.25">
      <c r="E152" s="264"/>
      <c r="F152" s="978"/>
      <c r="G152" s="1004"/>
      <c r="H152" s="1005"/>
      <c r="I152" s="1002"/>
      <c r="J152" s="1003"/>
    </row>
    <row r="153" spans="5:18" x14ac:dyDescent="0.25">
      <c r="E153" s="264"/>
      <c r="F153" s="978"/>
      <c r="G153" s="264"/>
      <c r="H153" s="1999" t="s">
        <v>1397</v>
      </c>
      <c r="I153" s="1999"/>
      <c r="J153" s="1999"/>
    </row>
    <row r="154" spans="5:18" x14ac:dyDescent="0.25">
      <c r="E154" s="264"/>
      <c r="F154" s="978"/>
      <c r="G154" s="1012" t="s">
        <v>1393</v>
      </c>
      <c r="H154" s="1008" t="s">
        <v>1394</v>
      </c>
      <c r="I154" s="1009" t="s">
        <v>1395</v>
      </c>
      <c r="J154" s="1010" t="s">
        <v>1396</v>
      </c>
    </row>
    <row r="155" spans="5:18" ht="25.5" x14ac:dyDescent="0.25">
      <c r="E155" s="264"/>
      <c r="F155" s="978"/>
      <c r="G155" s="1013" t="s">
        <v>1398</v>
      </c>
      <c r="H155" s="1011"/>
      <c r="I155" s="1011"/>
      <c r="J155" s="1011"/>
    </row>
    <row r="156" spans="5:18" ht="25.5" x14ac:dyDescent="0.25">
      <c r="E156" s="264"/>
      <c r="F156" s="978"/>
      <c r="G156" s="1013" t="s">
        <v>1399</v>
      </c>
      <c r="H156" s="1011"/>
      <c r="I156" s="1011"/>
      <c r="J156" s="1011"/>
    </row>
    <row r="157" spans="5:18" ht="25.5" x14ac:dyDescent="0.25">
      <c r="E157" s="264"/>
      <c r="F157" s="978"/>
      <c r="G157" s="1013" t="s">
        <v>1400</v>
      </c>
      <c r="H157" s="1011"/>
      <c r="I157" s="1011"/>
      <c r="J157" s="1011"/>
    </row>
    <row r="158" spans="5:18" x14ac:dyDescent="0.25">
      <c r="E158" s="264"/>
      <c r="F158" s="978"/>
      <c r="G158" s="1013" t="s">
        <v>1401</v>
      </c>
      <c r="H158" s="1011"/>
      <c r="I158" s="1011"/>
      <c r="J158" s="1011"/>
    </row>
    <row r="159" spans="5:18" ht="25.5" x14ac:dyDescent="0.25">
      <c r="F159" s="978"/>
      <c r="G159" s="1013" t="s">
        <v>1402</v>
      </c>
      <c r="H159" s="1011"/>
      <c r="I159" s="1011"/>
      <c r="J159" s="1011"/>
    </row>
    <row r="160" spans="5:18" x14ac:dyDescent="0.25">
      <c r="F160" s="978"/>
    </row>
    <row r="161" spans="4:34" x14ac:dyDescent="0.25">
      <c r="F161" s="978"/>
    </row>
    <row r="162" spans="4:34" x14ac:dyDescent="0.25">
      <c r="F162" s="978"/>
    </row>
    <row r="163" spans="4:34" x14ac:dyDescent="0.25">
      <c r="F163" s="978"/>
    </row>
    <row r="164" spans="4:34" x14ac:dyDescent="0.25">
      <c r="F164" s="978"/>
    </row>
    <row r="165" spans="4:34" x14ac:dyDescent="0.25">
      <c r="F165" s="978"/>
    </row>
    <row r="166" spans="4:34" x14ac:dyDescent="0.25">
      <c r="F166" s="1014"/>
    </row>
    <row r="167" spans="4:34" x14ac:dyDescent="0.25">
      <c r="D167" s="1985" t="s">
        <v>1354</v>
      </c>
      <c r="E167" s="1611" t="s">
        <v>1353</v>
      </c>
      <c r="F167" s="1611"/>
      <c r="G167" s="1611"/>
      <c r="H167" s="1611"/>
      <c r="I167" s="1611"/>
      <c r="J167" s="1611"/>
      <c r="K167" s="1611"/>
      <c r="L167" s="1611"/>
      <c r="M167" s="1611"/>
      <c r="N167" s="1611"/>
      <c r="O167" s="1611"/>
      <c r="P167" s="1612"/>
      <c r="Q167" s="390"/>
      <c r="R167" s="390"/>
      <c r="V167" s="1985" t="s">
        <v>1354</v>
      </c>
      <c r="W167" s="1611" t="s">
        <v>1353</v>
      </c>
      <c r="X167" s="1611"/>
      <c r="Y167" s="1611"/>
      <c r="Z167" s="1611"/>
      <c r="AA167" s="1611"/>
      <c r="AB167" s="1611"/>
      <c r="AC167" s="1611"/>
      <c r="AD167" s="1611"/>
      <c r="AE167" s="1611"/>
      <c r="AF167" s="1611"/>
      <c r="AG167" s="1611"/>
      <c r="AH167" s="1612"/>
    </row>
    <row r="168" spans="4:34" x14ac:dyDescent="0.25">
      <c r="D168" s="1986"/>
      <c r="G168" s="948">
        <v>0.1</v>
      </c>
      <c r="H168" s="949">
        <v>0.2</v>
      </c>
      <c r="I168" s="949">
        <v>0.3</v>
      </c>
      <c r="J168" s="949">
        <v>0.4</v>
      </c>
      <c r="K168" s="949">
        <v>0.5</v>
      </c>
      <c r="L168" s="949">
        <v>0.6</v>
      </c>
      <c r="M168" s="949">
        <v>0.7</v>
      </c>
      <c r="N168" s="949">
        <v>0.8</v>
      </c>
      <c r="O168" s="949">
        <v>0.9</v>
      </c>
      <c r="P168" s="950">
        <v>1</v>
      </c>
      <c r="Q168" s="954"/>
      <c r="R168" s="954"/>
      <c r="V168" s="1986"/>
      <c r="Y168" s="948">
        <v>0.1</v>
      </c>
      <c r="Z168" s="949">
        <v>0.2</v>
      </c>
      <c r="AA168" s="949">
        <v>0.3</v>
      </c>
      <c r="AB168" s="949">
        <v>0.4</v>
      </c>
      <c r="AC168" s="949">
        <v>0.5</v>
      </c>
      <c r="AD168" s="949">
        <v>0.6</v>
      </c>
      <c r="AE168" s="949">
        <v>0.7</v>
      </c>
      <c r="AF168" s="949">
        <v>0.8</v>
      </c>
      <c r="AG168" s="949">
        <v>0.9</v>
      </c>
      <c r="AH168" s="950">
        <v>1</v>
      </c>
    </row>
    <row r="169" spans="4:34" x14ac:dyDescent="0.25">
      <c r="D169" s="1986"/>
      <c r="G169" s="936"/>
      <c r="H169" s="936"/>
      <c r="I169" s="936"/>
      <c r="J169" s="936"/>
      <c r="K169" s="936"/>
      <c r="L169" s="936"/>
      <c r="M169" s="936"/>
      <c r="N169" s="936"/>
      <c r="O169" s="936"/>
      <c r="P169" s="936"/>
      <c r="Q169" s="936"/>
      <c r="R169" s="936"/>
      <c r="V169" s="1986"/>
      <c r="W169" s="264"/>
      <c r="X169" s="264"/>
      <c r="Y169" s="264"/>
      <c r="Z169" s="264"/>
      <c r="AA169" s="264"/>
      <c r="AB169" s="264"/>
      <c r="AC169" s="264"/>
      <c r="AD169" s="264"/>
      <c r="AE169" s="264"/>
      <c r="AF169" s="264"/>
    </row>
    <row r="170" spans="4:34" x14ac:dyDescent="0.25">
      <c r="D170" s="1986"/>
      <c r="E170" s="191" t="s">
        <v>1319</v>
      </c>
      <c r="F170" s="921">
        <f>D29</f>
        <v>179500.95605625957</v>
      </c>
      <c r="G170" s="251">
        <f>$D$13+($D$13*G168)</f>
        <v>12146645.562309451</v>
      </c>
      <c r="H170" s="251">
        <f t="shared" ref="H170:P170" si="40">$D$13+($D$13*H168)</f>
        <v>13250886.067973947</v>
      </c>
      <c r="I170" s="251">
        <f t="shared" si="40"/>
        <v>14355126.573638443</v>
      </c>
      <c r="J170" s="251">
        <f t="shared" si="40"/>
        <v>15459367.079302937</v>
      </c>
      <c r="K170" s="251">
        <f t="shared" si="40"/>
        <v>16563607.584967434</v>
      </c>
      <c r="L170" s="251">
        <f t="shared" si="40"/>
        <v>17667848.090631928</v>
      </c>
      <c r="M170" s="251">
        <f t="shared" si="40"/>
        <v>18772088.596296422</v>
      </c>
      <c r="N170" s="251">
        <f t="shared" si="40"/>
        <v>19876329.10196092</v>
      </c>
      <c r="O170" s="251">
        <f t="shared" si="40"/>
        <v>20980569.607625417</v>
      </c>
      <c r="P170" s="251">
        <f t="shared" si="40"/>
        <v>22084810.113289911</v>
      </c>
      <c r="Q170" s="251"/>
      <c r="R170" s="251"/>
      <c r="V170" s="1986"/>
      <c r="W170" s="191" t="s">
        <v>1319</v>
      </c>
      <c r="X170" s="955">
        <f>V29</f>
        <v>4625192.7723587025</v>
      </c>
      <c r="Y170" s="251">
        <f>$V$13+($V$13*Y168)</f>
        <v>9442102.0560930502</v>
      </c>
      <c r="Z170" s="251">
        <f t="shared" ref="Z170:AH170" si="41">$V$13+($V$13*Z168)</f>
        <v>10300474.970283328</v>
      </c>
      <c r="AA170" s="251">
        <f t="shared" si="41"/>
        <v>11158847.884473605</v>
      </c>
      <c r="AB170" s="251">
        <f t="shared" si="41"/>
        <v>12017220.798663883</v>
      </c>
      <c r="AC170" s="251">
        <f t="shared" si="41"/>
        <v>12875593.712854158</v>
      </c>
      <c r="AD170" s="251">
        <f t="shared" si="41"/>
        <v>13733966.627044436</v>
      </c>
      <c r="AE170" s="251">
        <f t="shared" si="41"/>
        <v>14592339.541234713</v>
      </c>
      <c r="AF170" s="251">
        <f t="shared" si="41"/>
        <v>15450712.455424991</v>
      </c>
      <c r="AG170" s="251">
        <f t="shared" si="41"/>
        <v>16309085.369615268</v>
      </c>
      <c r="AH170" s="251">
        <f t="shared" si="41"/>
        <v>17167458.283805545</v>
      </c>
    </row>
    <row r="171" spans="4:34" x14ac:dyDescent="0.25">
      <c r="D171" s="1986"/>
      <c r="E171" s="951">
        <v>0.1</v>
      </c>
      <c r="F171" s="251">
        <f>$D$13-($D$13*E171)</f>
        <v>9938164.5509804599</v>
      </c>
      <c r="G171" s="927">
        <f t="dataTable" ref="G171:P180" dt2D="1" dtr="1" r1="E23" r2="E10" ca="1"/>
        <v>-2655676.1764971912</v>
      </c>
      <c r="H171" s="928">
        <v>-3678121.0891495012</v>
      </c>
      <c r="I171" s="928">
        <v>-4700566.0018018121</v>
      </c>
      <c r="J171" s="928">
        <v>-5723010.9144541211</v>
      </c>
      <c r="K171" s="928">
        <v>-6745455.827106433</v>
      </c>
      <c r="L171" s="928">
        <v>-7767900.739758743</v>
      </c>
      <c r="M171" s="928">
        <v>-8790345.6524110511</v>
      </c>
      <c r="N171" s="928">
        <v>-9812790.5650633648</v>
      </c>
      <c r="O171" s="928">
        <v>-10835235.477715677</v>
      </c>
      <c r="P171" s="929">
        <v>-11857680.390367987</v>
      </c>
      <c r="Q171" s="931"/>
      <c r="R171" s="931"/>
      <c r="V171" s="1986"/>
      <c r="W171" s="951">
        <v>0.1</v>
      </c>
      <c r="X171" s="251">
        <f>$V$13-($V$13*W171)</f>
        <v>7725356.2277124953</v>
      </c>
      <c r="Y171" s="927">
        <f t="dataTable" ref="Y171:AH180" dt2D="1" dtr="1" r1="W23" r2="W10" ca="1"/>
        <v>1929480.8603130654</v>
      </c>
      <c r="Z171" s="928">
        <v>1134691.1249516979</v>
      </c>
      <c r="AA171" s="928">
        <v>339901.38959033042</v>
      </c>
      <c r="AB171" s="928">
        <v>-454888.34577103797</v>
      </c>
      <c r="AC171" s="928">
        <v>-1249678.0811324026</v>
      </c>
      <c r="AD171" s="928">
        <v>-2044467.816493771</v>
      </c>
      <c r="AE171" s="928">
        <v>-2839257.5518551394</v>
      </c>
      <c r="AF171" s="928">
        <v>-3634047.2872165078</v>
      </c>
      <c r="AG171" s="928">
        <v>-4428837.0225778762</v>
      </c>
      <c r="AH171" s="929">
        <v>-5223626.7579392446</v>
      </c>
    </row>
    <row r="172" spans="4:34" x14ac:dyDescent="0.25">
      <c r="D172" s="1986"/>
      <c r="E172" s="952">
        <v>0.2</v>
      </c>
      <c r="F172" s="251">
        <f t="shared" ref="F172:F180" si="42">$D$13-($D$13*E172)</f>
        <v>8833924.0453159641</v>
      </c>
      <c r="G172" s="930">
        <v>-3678121.0891495012</v>
      </c>
      <c r="H172" s="931">
        <v>-4700566.0018018121</v>
      </c>
      <c r="I172" s="931">
        <v>-5723010.9144541221</v>
      </c>
      <c r="J172" s="931">
        <v>-6745455.8271064311</v>
      </c>
      <c r="K172" s="931">
        <v>-7767900.7397587439</v>
      </c>
      <c r="L172" s="931">
        <v>-8790345.652411053</v>
      </c>
      <c r="M172" s="931">
        <v>-9812790.5650633629</v>
      </c>
      <c r="N172" s="931">
        <v>-10835235.477715675</v>
      </c>
      <c r="O172" s="931">
        <v>-11857680.390367988</v>
      </c>
      <c r="P172" s="932">
        <v>-12880125.303020297</v>
      </c>
      <c r="Q172" s="931"/>
      <c r="R172" s="931"/>
      <c r="V172" s="1986"/>
      <c r="W172" s="952">
        <v>0.2</v>
      </c>
      <c r="X172" s="251">
        <f t="shared" ref="X172:X180" si="43">$V$13-($V$13*W172)</f>
        <v>6866983.3135222178</v>
      </c>
      <c r="Y172" s="930">
        <v>1134691.1249516979</v>
      </c>
      <c r="Z172" s="931">
        <v>339901.38959033042</v>
      </c>
      <c r="AA172" s="931">
        <v>-454888.34577103797</v>
      </c>
      <c r="AB172" s="931">
        <v>-1249678.0811324045</v>
      </c>
      <c r="AC172" s="931">
        <v>-2044467.816493771</v>
      </c>
      <c r="AD172" s="931">
        <v>-2839257.5518551394</v>
      </c>
      <c r="AE172" s="931">
        <v>-3634047.2872165078</v>
      </c>
      <c r="AF172" s="931">
        <v>-4428837.0225778762</v>
      </c>
      <c r="AG172" s="931">
        <v>-5223626.7579392446</v>
      </c>
      <c r="AH172" s="932">
        <v>-6018416.493300613</v>
      </c>
    </row>
    <row r="173" spans="4:34" x14ac:dyDescent="0.25">
      <c r="D173" s="1986"/>
      <c r="E173" s="952">
        <v>0.3</v>
      </c>
      <c r="F173" s="251">
        <f t="shared" si="42"/>
        <v>7729683.5396514684</v>
      </c>
      <c r="G173" s="930">
        <v>-4700566.0018018121</v>
      </c>
      <c r="H173" s="931">
        <v>-5723010.9144541221</v>
      </c>
      <c r="I173" s="931">
        <v>-6745455.827106433</v>
      </c>
      <c r="J173" s="931">
        <v>-7767900.739758743</v>
      </c>
      <c r="K173" s="931">
        <v>-8790345.6524110548</v>
      </c>
      <c r="L173" s="931">
        <v>-9812790.5650633648</v>
      </c>
      <c r="M173" s="931">
        <v>-10835235.477715673</v>
      </c>
      <c r="N173" s="931">
        <v>-11857680.390367987</v>
      </c>
      <c r="O173" s="931">
        <v>-12880125.3030203</v>
      </c>
      <c r="P173" s="932">
        <v>-13902570.215672608</v>
      </c>
      <c r="Q173" s="931"/>
      <c r="R173" s="931"/>
      <c r="V173" s="1986"/>
      <c r="W173" s="952">
        <v>0.3</v>
      </c>
      <c r="X173" s="251">
        <f t="shared" si="43"/>
        <v>6008610.3993319403</v>
      </c>
      <c r="Y173" s="930">
        <v>339901.38959033042</v>
      </c>
      <c r="Z173" s="931">
        <v>-454888.34577103797</v>
      </c>
      <c r="AA173" s="931">
        <v>-1249678.0811324045</v>
      </c>
      <c r="AB173" s="931">
        <v>-2044467.8164937729</v>
      </c>
      <c r="AC173" s="931">
        <v>-2839257.5518551394</v>
      </c>
      <c r="AD173" s="931">
        <v>-3634047.2872165078</v>
      </c>
      <c r="AE173" s="931">
        <v>-4428837.0225778762</v>
      </c>
      <c r="AF173" s="931">
        <v>-5223626.7579392446</v>
      </c>
      <c r="AG173" s="931">
        <v>-6018416.493300613</v>
      </c>
      <c r="AH173" s="932">
        <v>-6813206.2286619805</v>
      </c>
    </row>
    <row r="174" spans="4:34" x14ac:dyDescent="0.25">
      <c r="D174" s="1986"/>
      <c r="E174" s="952">
        <v>0.4</v>
      </c>
      <c r="F174" s="251">
        <f t="shared" si="42"/>
        <v>6625443.0339869736</v>
      </c>
      <c r="G174" s="930">
        <v>-5723010.9144541221</v>
      </c>
      <c r="H174" s="931">
        <v>-6745455.8271064321</v>
      </c>
      <c r="I174" s="931">
        <v>-7767900.739758743</v>
      </c>
      <c r="J174" s="931">
        <v>-8790345.6524110511</v>
      </c>
      <c r="K174" s="931">
        <v>-9812790.5650633648</v>
      </c>
      <c r="L174" s="931">
        <v>-10835235.477715673</v>
      </c>
      <c r="M174" s="931">
        <v>-11857680.390367983</v>
      </c>
      <c r="N174" s="931">
        <v>-12880125.303020297</v>
      </c>
      <c r="O174" s="931">
        <v>-13902570.215672608</v>
      </c>
      <c r="P174" s="932">
        <v>-14925015.128324918</v>
      </c>
      <c r="Q174" s="931"/>
      <c r="R174" s="931"/>
      <c r="V174" s="1986"/>
      <c r="W174" s="952">
        <v>0.4</v>
      </c>
      <c r="X174" s="251">
        <f t="shared" si="43"/>
        <v>5150237.4851416629</v>
      </c>
      <c r="Y174" s="930">
        <v>-454888.34577103797</v>
      </c>
      <c r="Z174" s="931">
        <v>-1249678.0811324045</v>
      </c>
      <c r="AA174" s="931">
        <v>-2044467.8164937729</v>
      </c>
      <c r="AB174" s="931">
        <v>-2839257.5518551404</v>
      </c>
      <c r="AC174" s="931">
        <v>-3634047.2872165078</v>
      </c>
      <c r="AD174" s="931">
        <v>-4428837.0225778762</v>
      </c>
      <c r="AE174" s="931">
        <v>-5223626.7579392446</v>
      </c>
      <c r="AF174" s="931">
        <v>-6018416.493300613</v>
      </c>
      <c r="AG174" s="931">
        <v>-6813206.2286619805</v>
      </c>
      <c r="AH174" s="932">
        <v>-7607995.9640233479</v>
      </c>
    </row>
    <row r="175" spans="4:34" x14ac:dyDescent="0.25">
      <c r="D175" s="1986"/>
      <c r="E175" s="952">
        <v>0.5</v>
      </c>
      <c r="F175" s="251">
        <f t="shared" si="42"/>
        <v>5521202.5283224778</v>
      </c>
      <c r="G175" s="930">
        <v>-6745455.8271064321</v>
      </c>
      <c r="H175" s="931">
        <v>-7767900.739758743</v>
      </c>
      <c r="I175" s="931">
        <v>-8790345.6524110548</v>
      </c>
      <c r="J175" s="931">
        <v>-9812790.5650633648</v>
      </c>
      <c r="K175" s="931">
        <v>-10835235.477715677</v>
      </c>
      <c r="L175" s="931">
        <v>-11857680.390367987</v>
      </c>
      <c r="M175" s="931">
        <v>-12880125.303020297</v>
      </c>
      <c r="N175" s="931">
        <v>-13902570.215672608</v>
      </c>
      <c r="O175" s="931">
        <v>-14925015.128324922</v>
      </c>
      <c r="P175" s="932">
        <v>-15947460.04097723</v>
      </c>
      <c r="Q175" s="931"/>
      <c r="R175" s="931"/>
      <c r="V175" s="1986"/>
      <c r="W175" s="952">
        <v>0.5</v>
      </c>
      <c r="X175" s="251">
        <f t="shared" si="43"/>
        <v>4291864.5709513864</v>
      </c>
      <c r="Y175" s="930">
        <v>-1249678.0811324045</v>
      </c>
      <c r="Z175" s="931">
        <v>-2044467.8164937729</v>
      </c>
      <c r="AA175" s="931">
        <v>-2839257.5518551404</v>
      </c>
      <c r="AB175" s="931">
        <v>-3634047.2872165097</v>
      </c>
      <c r="AC175" s="931">
        <v>-4428837.0225778744</v>
      </c>
      <c r="AD175" s="931">
        <v>-5223626.7579392428</v>
      </c>
      <c r="AE175" s="931">
        <v>-6018416.4933006112</v>
      </c>
      <c r="AF175" s="931">
        <v>-6813206.2286619786</v>
      </c>
      <c r="AG175" s="931">
        <v>-7607995.9640233461</v>
      </c>
      <c r="AH175" s="932">
        <v>-8402785.6993847135</v>
      </c>
    </row>
    <row r="176" spans="4:34" x14ac:dyDescent="0.25">
      <c r="D176" s="1986"/>
      <c r="E176" s="952">
        <v>0.6</v>
      </c>
      <c r="F176" s="251">
        <f t="shared" si="42"/>
        <v>4416962.0226579821</v>
      </c>
      <c r="G176" s="930">
        <v>-7767900.739758743</v>
      </c>
      <c r="H176" s="931">
        <v>-8790345.6524110548</v>
      </c>
      <c r="I176" s="931">
        <v>-9812790.5650633648</v>
      </c>
      <c r="J176" s="931">
        <v>-10835235.477715673</v>
      </c>
      <c r="K176" s="931">
        <v>-11857680.390367987</v>
      </c>
      <c r="L176" s="931">
        <v>-12880125.303020297</v>
      </c>
      <c r="M176" s="931">
        <v>-13902570.215672605</v>
      </c>
      <c r="N176" s="931">
        <v>-14925015.128324918</v>
      </c>
      <c r="O176" s="931">
        <v>-15947460.04097723</v>
      </c>
      <c r="P176" s="932">
        <v>-16969904.953629538</v>
      </c>
      <c r="Q176" s="931"/>
      <c r="R176" s="931"/>
      <c r="V176" s="1986"/>
      <c r="W176" s="952">
        <v>0.6</v>
      </c>
      <c r="X176" s="251">
        <f t="shared" si="43"/>
        <v>3433491.6567611089</v>
      </c>
      <c r="Y176" s="930">
        <v>-2044467.8164937729</v>
      </c>
      <c r="Z176" s="931">
        <v>-2839257.5518551404</v>
      </c>
      <c r="AA176" s="931">
        <v>-3634047.2872165097</v>
      </c>
      <c r="AB176" s="931">
        <v>-4428837.0225778781</v>
      </c>
      <c r="AC176" s="931">
        <v>-5223626.7579392428</v>
      </c>
      <c r="AD176" s="931">
        <v>-6018416.4933006112</v>
      </c>
      <c r="AE176" s="931">
        <v>-6813206.2286619786</v>
      </c>
      <c r="AF176" s="931">
        <v>-7607995.9640233461</v>
      </c>
      <c r="AG176" s="931">
        <v>-8402785.6993847135</v>
      </c>
      <c r="AH176" s="932">
        <v>-9197575.434746081</v>
      </c>
    </row>
    <row r="177" spans="4:34" x14ac:dyDescent="0.25">
      <c r="D177" s="1986"/>
      <c r="E177" s="952">
        <v>0.7</v>
      </c>
      <c r="F177" s="251">
        <f t="shared" si="42"/>
        <v>3312721.5169934873</v>
      </c>
      <c r="G177" s="930">
        <v>-8790345.652411053</v>
      </c>
      <c r="H177" s="931">
        <v>-9812790.5650633648</v>
      </c>
      <c r="I177" s="931">
        <v>-10835235.477715675</v>
      </c>
      <c r="J177" s="931">
        <v>-11857680.390367985</v>
      </c>
      <c r="K177" s="931">
        <v>-12880125.303020297</v>
      </c>
      <c r="L177" s="931">
        <v>-13902570.215672605</v>
      </c>
      <c r="M177" s="931">
        <v>-14925015.128324915</v>
      </c>
      <c r="N177" s="931">
        <v>-15947460.040977228</v>
      </c>
      <c r="O177" s="931">
        <v>-16969904.953629546</v>
      </c>
      <c r="P177" s="932">
        <v>-17992349.866281845</v>
      </c>
      <c r="Q177" s="931"/>
      <c r="R177" s="931"/>
      <c r="V177" s="1986"/>
      <c r="W177" s="952">
        <v>0.7</v>
      </c>
      <c r="X177" s="251">
        <f t="shared" si="43"/>
        <v>2575118.7425708324</v>
      </c>
      <c r="Y177" s="930">
        <v>-2839257.5518551394</v>
      </c>
      <c r="Z177" s="931">
        <v>-3634047.2872165078</v>
      </c>
      <c r="AA177" s="931">
        <v>-4428837.0225778762</v>
      </c>
      <c r="AB177" s="931">
        <v>-5223626.7579392446</v>
      </c>
      <c r="AC177" s="931">
        <v>-6018416.4933006112</v>
      </c>
      <c r="AD177" s="931">
        <v>-6813206.2286619786</v>
      </c>
      <c r="AE177" s="931">
        <v>-7607995.9640233461</v>
      </c>
      <c r="AF177" s="931">
        <v>-8402785.6993847135</v>
      </c>
      <c r="AG177" s="931">
        <v>-9197575.434746081</v>
      </c>
      <c r="AH177" s="932">
        <v>-9992365.1701074485</v>
      </c>
    </row>
    <row r="178" spans="4:34" x14ac:dyDescent="0.25">
      <c r="D178" s="1986"/>
      <c r="E178" s="952">
        <v>0.8</v>
      </c>
      <c r="F178" s="251">
        <f t="shared" si="42"/>
        <v>2208481.0113289915</v>
      </c>
      <c r="G178" s="930">
        <v>-9812790.5650633648</v>
      </c>
      <c r="H178" s="931">
        <v>-10835235.477715675</v>
      </c>
      <c r="I178" s="931">
        <v>-11857680.390367987</v>
      </c>
      <c r="J178" s="931">
        <v>-12880125.303020297</v>
      </c>
      <c r="K178" s="931">
        <v>-13902570.215672608</v>
      </c>
      <c r="L178" s="931">
        <v>-14925015.128324918</v>
      </c>
      <c r="M178" s="931">
        <v>-15947460.040977228</v>
      </c>
      <c r="N178" s="937">
        <v>-16969904.953629538</v>
      </c>
      <c r="O178" s="937">
        <v>-17992349.866281848</v>
      </c>
      <c r="P178" s="938">
        <v>-19014794.778934162</v>
      </c>
      <c r="Q178" s="937"/>
      <c r="R178" s="937"/>
      <c r="V178" s="1986"/>
      <c r="W178" s="952">
        <v>0.8</v>
      </c>
      <c r="X178" s="251">
        <f t="shared" si="43"/>
        <v>1716745.828380554</v>
      </c>
      <c r="Y178" s="930">
        <v>-3634047.2872165097</v>
      </c>
      <c r="Z178" s="931">
        <v>-4428837.0225778781</v>
      </c>
      <c r="AA178" s="931">
        <v>-5223626.7579392465</v>
      </c>
      <c r="AB178" s="931">
        <v>-6018416.4933006149</v>
      </c>
      <c r="AC178" s="931">
        <v>-6813206.2286619786</v>
      </c>
      <c r="AD178" s="931">
        <v>-7607995.9640233461</v>
      </c>
      <c r="AE178" s="931">
        <v>-8402785.6993847135</v>
      </c>
      <c r="AF178" s="931">
        <v>-9197575.434746081</v>
      </c>
      <c r="AG178" s="931">
        <v>-9992365.1701074485</v>
      </c>
      <c r="AH178" s="932">
        <v>-10787154.905468818</v>
      </c>
    </row>
    <row r="179" spans="4:34" x14ac:dyDescent="0.25">
      <c r="D179" s="1986"/>
      <c r="E179" s="952">
        <v>0.9</v>
      </c>
      <c r="F179" s="251">
        <f t="shared" si="42"/>
        <v>1104240.5056644958</v>
      </c>
      <c r="G179" s="930">
        <v>-10835235.477715675</v>
      </c>
      <c r="H179" s="931">
        <v>-11857680.390367987</v>
      </c>
      <c r="I179" s="931">
        <v>-12880125.303020297</v>
      </c>
      <c r="J179" s="931">
        <v>-13902570.215672605</v>
      </c>
      <c r="K179" s="931">
        <v>-14925015.128324918</v>
      </c>
      <c r="L179" s="931">
        <v>-15947460.040977228</v>
      </c>
      <c r="M179" s="931">
        <v>-16969904.953629538</v>
      </c>
      <c r="N179" s="937">
        <v>-17992349.866281845</v>
      </c>
      <c r="O179" s="937">
        <v>-19014794.778934162</v>
      </c>
      <c r="P179" s="938">
        <v>-20037239.691586472</v>
      </c>
      <c r="Q179" s="937"/>
      <c r="R179" s="937"/>
      <c r="V179" s="1986"/>
      <c r="W179" s="952">
        <v>0.9</v>
      </c>
      <c r="X179" s="251">
        <f t="shared" si="43"/>
        <v>858372.91419027746</v>
      </c>
      <c r="Y179" s="930">
        <v>-4428837.0225778762</v>
      </c>
      <c r="Z179" s="931">
        <v>-5223626.7579392446</v>
      </c>
      <c r="AA179" s="931">
        <v>-6018416.493300613</v>
      </c>
      <c r="AB179" s="931">
        <v>-6813206.2286619805</v>
      </c>
      <c r="AC179" s="931">
        <v>-7607995.9640233461</v>
      </c>
      <c r="AD179" s="931">
        <v>-8402785.6993847135</v>
      </c>
      <c r="AE179" s="931">
        <v>-9197575.434746081</v>
      </c>
      <c r="AF179" s="931">
        <v>-9992365.1701074485</v>
      </c>
      <c r="AG179" s="931">
        <v>-10787154.905468818</v>
      </c>
      <c r="AH179" s="932">
        <v>-11581944.640830185</v>
      </c>
    </row>
    <row r="180" spans="4:34" x14ac:dyDescent="0.25">
      <c r="D180" s="1987"/>
      <c r="E180" s="953">
        <v>1</v>
      </c>
      <c r="F180" s="251">
        <f t="shared" si="42"/>
        <v>0</v>
      </c>
      <c r="G180" s="933">
        <v>-11857680.390367987</v>
      </c>
      <c r="H180" s="934">
        <v>-12880125.303020297</v>
      </c>
      <c r="I180" s="934">
        <v>-13902570.215672608</v>
      </c>
      <c r="J180" s="934">
        <v>-14925015.128324918</v>
      </c>
      <c r="K180" s="934">
        <v>-15947460.04097723</v>
      </c>
      <c r="L180" s="934">
        <v>-16969904.953629538</v>
      </c>
      <c r="M180" s="934">
        <v>-17992349.866281845</v>
      </c>
      <c r="N180" s="939">
        <v>-19014794.778934162</v>
      </c>
      <c r="O180" s="939">
        <v>-20037239.691586472</v>
      </c>
      <c r="P180" s="940">
        <v>-21059684.604238778</v>
      </c>
      <c r="Q180" s="937"/>
      <c r="R180" s="937"/>
      <c r="V180" s="1987"/>
      <c r="W180" s="953">
        <v>1</v>
      </c>
      <c r="X180" s="251">
        <f t="shared" si="43"/>
        <v>0</v>
      </c>
      <c r="Y180" s="933">
        <v>-5223626.7579392446</v>
      </c>
      <c r="Z180" s="934">
        <v>-6018416.493300613</v>
      </c>
      <c r="AA180" s="934">
        <v>-6813206.2286619805</v>
      </c>
      <c r="AB180" s="934">
        <v>-7607995.9640233479</v>
      </c>
      <c r="AC180" s="934">
        <v>-8402785.6993847135</v>
      </c>
      <c r="AD180" s="934">
        <v>-9197575.434746081</v>
      </c>
      <c r="AE180" s="934">
        <v>-9992365.1701074485</v>
      </c>
      <c r="AF180" s="934">
        <v>-10787154.905468818</v>
      </c>
      <c r="AG180" s="934">
        <v>-11581944.640830185</v>
      </c>
      <c r="AH180" s="935">
        <v>-12376734.376191553</v>
      </c>
    </row>
    <row r="181" spans="4:34" x14ac:dyDescent="0.25">
      <c r="D181" s="251"/>
    </row>
    <row r="182" spans="4:34" x14ac:dyDescent="0.25">
      <c r="D182" s="251"/>
    </row>
    <row r="183" spans="4:34" x14ac:dyDescent="0.25">
      <c r="D183" s="251"/>
    </row>
    <row r="184" spans="4:34" x14ac:dyDescent="0.25">
      <c r="D184" s="251"/>
    </row>
    <row r="185" spans="4:34" x14ac:dyDescent="0.25">
      <c r="D185" s="251"/>
    </row>
    <row r="186" spans="4:34" ht="12.75" customHeight="1" x14ac:dyDescent="0.25">
      <c r="D186" s="1985" t="s">
        <v>1358</v>
      </c>
      <c r="E186" s="1611" t="s">
        <v>1355</v>
      </c>
      <c r="F186" s="1611"/>
      <c r="G186" s="1611"/>
      <c r="H186" s="1611"/>
      <c r="I186" s="1611"/>
      <c r="J186" s="1611"/>
      <c r="K186" s="1611"/>
      <c r="L186" s="1611"/>
      <c r="M186" s="1611"/>
      <c r="N186" s="1611"/>
      <c r="O186" s="1611"/>
      <c r="P186" s="1612"/>
      <c r="Q186" s="390"/>
      <c r="R186" s="390"/>
      <c r="V186" s="1985" t="s">
        <v>1358</v>
      </c>
      <c r="W186" s="1611" t="s">
        <v>1355</v>
      </c>
      <c r="X186" s="1611"/>
      <c r="Y186" s="1611"/>
      <c r="Z186" s="1611"/>
      <c r="AA186" s="1611"/>
      <c r="AB186" s="1611"/>
      <c r="AC186" s="1611"/>
      <c r="AD186" s="1611"/>
      <c r="AE186" s="1611"/>
      <c r="AF186" s="1611"/>
      <c r="AG186" s="1611"/>
      <c r="AH186" s="1612"/>
    </row>
    <row r="187" spans="4:34" x14ac:dyDescent="0.25">
      <c r="D187" s="1986"/>
      <c r="G187" s="948">
        <v>0.1</v>
      </c>
      <c r="H187" s="949">
        <v>0.2</v>
      </c>
      <c r="I187" s="949">
        <v>0.3</v>
      </c>
      <c r="J187" s="949">
        <v>0.4</v>
      </c>
      <c r="K187" s="949">
        <v>0.5</v>
      </c>
      <c r="L187" s="949">
        <v>0.6</v>
      </c>
      <c r="M187" s="949">
        <v>0.7</v>
      </c>
      <c r="N187" s="949">
        <v>0.8</v>
      </c>
      <c r="O187" s="949">
        <v>0.9</v>
      </c>
      <c r="P187" s="950">
        <v>1</v>
      </c>
      <c r="Q187" s="954"/>
      <c r="R187" s="954"/>
      <c r="V187" s="1986"/>
      <c r="Y187" s="948">
        <v>0.1</v>
      </c>
      <c r="Z187" s="949">
        <v>0.2</v>
      </c>
      <c r="AA187" s="949">
        <v>0.3</v>
      </c>
      <c r="AB187" s="949">
        <v>0.4</v>
      </c>
      <c r="AC187" s="949">
        <v>0.5</v>
      </c>
      <c r="AD187" s="949">
        <v>0.6</v>
      </c>
      <c r="AE187" s="949">
        <v>0.7</v>
      </c>
      <c r="AF187" s="949">
        <v>0.8</v>
      </c>
      <c r="AG187" s="949">
        <v>0.9</v>
      </c>
      <c r="AH187" s="950">
        <v>1</v>
      </c>
    </row>
    <row r="188" spans="4:34" x14ac:dyDescent="0.25">
      <c r="D188" s="1986"/>
      <c r="G188" s="954"/>
      <c r="H188" s="954"/>
      <c r="I188" s="954"/>
      <c r="J188" s="954"/>
      <c r="K188" s="954"/>
      <c r="L188" s="954"/>
      <c r="M188" s="954"/>
      <c r="N188" s="954"/>
      <c r="O188" s="954"/>
      <c r="P188" s="954"/>
      <c r="Q188" s="954"/>
      <c r="R188" s="954"/>
      <c r="V188" s="1986"/>
    </row>
    <row r="189" spans="4:34" x14ac:dyDescent="0.25">
      <c r="D189" s="1986"/>
      <c r="E189" s="191" t="s">
        <v>1319</v>
      </c>
      <c r="F189" s="921">
        <f>E65</f>
        <v>179500.95605625957</v>
      </c>
      <c r="G189" s="251">
        <f>$E$10+($E$10*G187)</f>
        <v>3299727.0810116078</v>
      </c>
      <c r="H189" s="251">
        <f t="shared" ref="H189:P189" si="44">$E$10+($E$10*H187)</f>
        <v>3599702.2701944811</v>
      </c>
      <c r="I189" s="251">
        <f t="shared" si="44"/>
        <v>3899677.4593773549</v>
      </c>
      <c r="J189" s="251">
        <f t="shared" si="44"/>
        <v>4199652.6485602278</v>
      </c>
      <c r="K189" s="251">
        <f t="shared" si="44"/>
        <v>4499627.8377431016</v>
      </c>
      <c r="L189" s="251">
        <f t="shared" si="44"/>
        <v>4799603.0269259755</v>
      </c>
      <c r="M189" s="251">
        <f t="shared" si="44"/>
        <v>5099578.2161088483</v>
      </c>
      <c r="N189" s="251">
        <f t="shared" si="44"/>
        <v>5399553.4052917222</v>
      </c>
      <c r="O189" s="251">
        <f t="shared" si="44"/>
        <v>5699528.594474595</v>
      </c>
      <c r="P189" s="251">
        <f t="shared" si="44"/>
        <v>5999503.7836574689</v>
      </c>
      <c r="Q189" s="251"/>
      <c r="R189" s="251"/>
      <c r="V189" s="1986"/>
      <c r="W189" s="191" t="s">
        <v>1319</v>
      </c>
      <c r="X189" s="921">
        <f>V29</f>
        <v>4625192.7723587025</v>
      </c>
      <c r="Y189" s="251">
        <f>$W$10+($W$10*Y187)</f>
        <v>3299727.0810116078</v>
      </c>
      <c r="Z189" s="251">
        <f t="shared" ref="Z189:AH189" si="45">$W$10+($W$10*Z187)</f>
        <v>3599702.2701944811</v>
      </c>
      <c r="AA189" s="251">
        <f t="shared" si="45"/>
        <v>3899677.4593773549</v>
      </c>
      <c r="AB189" s="251">
        <f t="shared" si="45"/>
        <v>4199652.6485602278</v>
      </c>
      <c r="AC189" s="251">
        <f t="shared" si="45"/>
        <v>4499627.8377431016</v>
      </c>
      <c r="AD189" s="251">
        <f t="shared" si="45"/>
        <v>4799603.0269259755</v>
      </c>
      <c r="AE189" s="251">
        <f t="shared" si="45"/>
        <v>5099578.2161088483</v>
      </c>
      <c r="AF189" s="251">
        <f t="shared" si="45"/>
        <v>5399553.4052917222</v>
      </c>
      <c r="AG189" s="251">
        <f t="shared" si="45"/>
        <v>5699528.594474595</v>
      </c>
      <c r="AH189" s="251">
        <f t="shared" si="45"/>
        <v>5999503.7836574689</v>
      </c>
    </row>
    <row r="190" spans="4:34" x14ac:dyDescent="0.25">
      <c r="D190" s="1986"/>
      <c r="E190" s="957">
        <v>0.1</v>
      </c>
      <c r="F190" s="251">
        <f>$E$10-($E$10*E190)</f>
        <v>2699776.7026458611</v>
      </c>
      <c r="G190" s="961">
        <f t="dataTable" ref="G190:P199" dt2D="1" dtr="1" r1="E23" r2="E10" ca="1"/>
        <v>-1166295.9607904814</v>
      </c>
      <c r="H190" s="962">
        <v>-1110744.9998306911</v>
      </c>
      <c r="I190" s="962">
        <v>-1360724.3241497539</v>
      </c>
      <c r="J190" s="962">
        <v>-1610703.6484688129</v>
      </c>
      <c r="K190" s="962">
        <v>-1860682.9727878757</v>
      </c>
      <c r="L190" s="962">
        <v>-2110662.2971069366</v>
      </c>
      <c r="M190" s="962">
        <v>-2360641.6214259975</v>
      </c>
      <c r="N190" s="962">
        <v>-2610620.9457450584</v>
      </c>
      <c r="O190" s="962">
        <v>-2860600.2700641211</v>
      </c>
      <c r="P190" s="963">
        <v>-3110579.5943831811</v>
      </c>
      <c r="Q190" s="960"/>
      <c r="R190" s="960"/>
      <c r="V190" s="1986"/>
      <c r="W190" s="957">
        <v>0.1</v>
      </c>
      <c r="X190" s="251">
        <f>$W$10-($W$10*W190)</f>
        <v>2699776.7026458611</v>
      </c>
      <c r="Y190" s="927">
        <f t="dataTable" ref="Y190:AH199" dt2D="1" dtr="1" r1="W23" r2="W10" ca="1"/>
        <v>2963550.7214378882</v>
      </c>
      <c r="Z190" s="928">
        <v>3019101.6823976785</v>
      </c>
      <c r="AA190" s="928">
        <v>2769122.3580786176</v>
      </c>
      <c r="AB190" s="928">
        <v>2519143.0337595567</v>
      </c>
      <c r="AC190" s="928">
        <v>2269163.709440494</v>
      </c>
      <c r="AD190" s="928">
        <v>2019184.3851214349</v>
      </c>
      <c r="AE190" s="928">
        <v>1769205.0608023722</v>
      </c>
      <c r="AF190" s="928">
        <v>1519225.7364833131</v>
      </c>
      <c r="AG190" s="928">
        <v>1269246.4121642504</v>
      </c>
      <c r="AH190" s="929">
        <v>1019267.0878451895</v>
      </c>
    </row>
    <row r="191" spans="4:34" x14ac:dyDescent="0.25">
      <c r="D191" s="1986"/>
      <c r="E191" s="958">
        <v>0.2</v>
      </c>
      <c r="F191" s="251">
        <f t="shared" ref="F191:F199" si="46">$E$10-($E$10*E191)</f>
        <v>2399801.5134629877</v>
      </c>
      <c r="G191" s="964">
        <v>-1360724.3241497539</v>
      </c>
      <c r="H191" s="960">
        <v>-1010753.2701030672</v>
      </c>
      <c r="I191" s="960">
        <v>-1210736.729558317</v>
      </c>
      <c r="J191" s="960">
        <v>-1410720.189013565</v>
      </c>
      <c r="K191" s="960">
        <v>-1610703.6484688129</v>
      </c>
      <c r="L191" s="960">
        <v>-1810687.1079240628</v>
      </c>
      <c r="M191" s="960">
        <v>-2010670.5673793107</v>
      </c>
      <c r="N191" s="960">
        <v>-2210654.0268345606</v>
      </c>
      <c r="O191" s="960">
        <v>-2410637.4862898104</v>
      </c>
      <c r="P191" s="965">
        <v>-2610620.9457450584</v>
      </c>
      <c r="Q191" s="960"/>
      <c r="R191" s="960"/>
      <c r="V191" s="1986"/>
      <c r="W191" s="958">
        <v>0.2</v>
      </c>
      <c r="X191" s="251">
        <f t="shared" ref="X191:X198" si="47">$W$10-($W$10*W191)</f>
        <v>2399801.5134629877</v>
      </c>
      <c r="Y191" s="930">
        <v>2769122.3580786157</v>
      </c>
      <c r="Z191" s="931">
        <v>3119093.4121253025</v>
      </c>
      <c r="AA191" s="931">
        <v>2919109.9526700545</v>
      </c>
      <c r="AB191" s="931">
        <v>2719126.4932148047</v>
      </c>
      <c r="AC191" s="931">
        <v>2519143.0337595567</v>
      </c>
      <c r="AD191" s="931">
        <v>2319159.5743043069</v>
      </c>
      <c r="AE191" s="931">
        <v>2119176.1148490589</v>
      </c>
      <c r="AF191" s="931">
        <v>1919192.6553938091</v>
      </c>
      <c r="AG191" s="931">
        <v>1719209.1959385592</v>
      </c>
      <c r="AH191" s="932">
        <v>1519225.7364833131</v>
      </c>
    </row>
    <row r="192" spans="4:34" x14ac:dyDescent="0.25">
      <c r="D192" s="1986"/>
      <c r="E192" s="958">
        <v>0.3</v>
      </c>
      <c r="F192" s="251">
        <f t="shared" si="46"/>
        <v>2099826.3242801139</v>
      </c>
      <c r="G192" s="964">
        <v>-1410720.189013565</v>
      </c>
      <c r="H192" s="960">
        <v>-890763.19442991726</v>
      </c>
      <c r="I192" s="960">
        <v>-1030751.6160485912</v>
      </c>
      <c r="J192" s="960">
        <v>-1170740.0376672652</v>
      </c>
      <c r="K192" s="960">
        <v>-1310728.459285941</v>
      </c>
      <c r="L192" s="960">
        <v>-1450716.8809046149</v>
      </c>
      <c r="M192" s="960">
        <v>-1590705.3025232889</v>
      </c>
      <c r="N192" s="960">
        <v>-1730693.7241419647</v>
      </c>
      <c r="O192" s="960">
        <v>-1870682.1457606368</v>
      </c>
      <c r="P192" s="965">
        <v>-2010670.5673793107</v>
      </c>
      <c r="Q192" s="960"/>
      <c r="R192" s="960"/>
      <c r="V192" s="1986"/>
      <c r="W192" s="958">
        <v>0.3</v>
      </c>
      <c r="X192" s="251">
        <f t="shared" si="47"/>
        <v>2099826.3242801139</v>
      </c>
      <c r="Y192" s="930">
        <v>2719126.4932148047</v>
      </c>
      <c r="Z192" s="931">
        <v>3239083.4877984505</v>
      </c>
      <c r="AA192" s="931">
        <v>3099095.0661797766</v>
      </c>
      <c r="AB192" s="931">
        <v>2959106.6445611045</v>
      </c>
      <c r="AC192" s="931">
        <v>2819118.2229424287</v>
      </c>
      <c r="AD192" s="931">
        <v>2679129.8013237547</v>
      </c>
      <c r="AE192" s="931">
        <v>2539141.3797050826</v>
      </c>
      <c r="AF192" s="931">
        <v>2399152.9580864068</v>
      </c>
      <c r="AG192" s="931">
        <v>2259164.5364677329</v>
      </c>
      <c r="AH192" s="932">
        <v>2119176.1148490589</v>
      </c>
    </row>
    <row r="193" spans="4:34" x14ac:dyDescent="0.25">
      <c r="D193" s="1986"/>
      <c r="E193" s="958">
        <v>0.4</v>
      </c>
      <c r="F193" s="251">
        <f t="shared" si="46"/>
        <v>1799851.1350972406</v>
      </c>
      <c r="G193" s="964">
        <v>-1310728.459285941</v>
      </c>
      <c r="H193" s="960">
        <v>-778772.45713497885</v>
      </c>
      <c r="I193" s="960">
        <v>-862765.51010618173</v>
      </c>
      <c r="J193" s="960">
        <v>-946758.56307738647</v>
      </c>
      <c r="K193" s="960">
        <v>-1030751.6160485912</v>
      </c>
      <c r="L193" s="960">
        <v>-1114744.669019796</v>
      </c>
      <c r="M193" s="960">
        <v>-1198737.7219910007</v>
      </c>
      <c r="N193" s="960">
        <v>-1282730.7749622054</v>
      </c>
      <c r="O193" s="960">
        <v>-1366723.8279334102</v>
      </c>
      <c r="P193" s="965">
        <v>-1450716.8809046149</v>
      </c>
      <c r="Q193" s="960"/>
      <c r="R193" s="960"/>
      <c r="V193" s="1986"/>
      <c r="W193" s="958">
        <v>0.4</v>
      </c>
      <c r="X193" s="251">
        <f t="shared" si="47"/>
        <v>1799851.1350972406</v>
      </c>
      <c r="Y193" s="930">
        <v>2819118.2229424287</v>
      </c>
      <c r="Z193" s="931">
        <v>3351074.2250933908</v>
      </c>
      <c r="AA193" s="931">
        <v>3267081.1721221879</v>
      </c>
      <c r="AB193" s="931">
        <v>3183088.1191509832</v>
      </c>
      <c r="AC193" s="931">
        <v>3099095.0661797766</v>
      </c>
      <c r="AD193" s="931">
        <v>3015102.0132085737</v>
      </c>
      <c r="AE193" s="931">
        <v>2931108.9602373689</v>
      </c>
      <c r="AF193" s="931">
        <v>2847115.9072661661</v>
      </c>
      <c r="AG193" s="931">
        <v>2763122.8542949613</v>
      </c>
      <c r="AH193" s="932">
        <v>2679129.8013237547</v>
      </c>
    </row>
    <row r="194" spans="4:34" x14ac:dyDescent="0.25">
      <c r="D194" s="1986"/>
      <c r="E194" s="958">
        <v>0.5</v>
      </c>
      <c r="F194" s="251">
        <f t="shared" si="46"/>
        <v>1499875.9459143672</v>
      </c>
      <c r="G194" s="964">
        <v>-1114744.669019796</v>
      </c>
      <c r="H194" s="960">
        <v>-694779.4041637741</v>
      </c>
      <c r="I194" s="960">
        <v>-736775.93064937554</v>
      </c>
      <c r="J194" s="960">
        <v>-778772.45713497885</v>
      </c>
      <c r="K194" s="960">
        <v>-820768.98362058029</v>
      </c>
      <c r="L194" s="960">
        <v>-862765.51010618173</v>
      </c>
      <c r="M194" s="960">
        <v>-904762.03659178503</v>
      </c>
      <c r="N194" s="960">
        <v>-946758.56307738647</v>
      </c>
      <c r="O194" s="960">
        <v>-988755.08956298977</v>
      </c>
      <c r="P194" s="965">
        <v>-1030751.6160485912</v>
      </c>
      <c r="Q194" s="960"/>
      <c r="R194" s="960"/>
      <c r="V194" s="1986"/>
      <c r="W194" s="958">
        <v>0.5</v>
      </c>
      <c r="X194" s="251">
        <f t="shared" si="47"/>
        <v>1499875.9459143672</v>
      </c>
      <c r="Y194" s="930">
        <v>3015102.0132085737</v>
      </c>
      <c r="Z194" s="931">
        <v>3435067.2780645955</v>
      </c>
      <c r="AA194" s="931">
        <v>3393070.7515789941</v>
      </c>
      <c r="AB194" s="931">
        <v>3351074.2250933908</v>
      </c>
      <c r="AC194" s="931">
        <v>3309077.6986077894</v>
      </c>
      <c r="AD194" s="931">
        <v>3267081.1721221879</v>
      </c>
      <c r="AE194" s="931">
        <v>3225084.6456365846</v>
      </c>
      <c r="AF194" s="931">
        <v>3183088.1191509813</v>
      </c>
      <c r="AG194" s="931">
        <v>3141091.592665378</v>
      </c>
      <c r="AH194" s="932">
        <v>3099095.0661797766</v>
      </c>
    </row>
    <row r="195" spans="4:34" x14ac:dyDescent="0.25">
      <c r="D195" s="1986"/>
      <c r="E195" s="958">
        <v>0.6</v>
      </c>
      <c r="F195" s="251">
        <f t="shared" si="46"/>
        <v>1199900.7567314939</v>
      </c>
      <c r="G195" s="964">
        <v>-904762.03659178503</v>
      </c>
      <c r="H195" s="960">
        <v>-644383.57238105126</v>
      </c>
      <c r="I195" s="960">
        <v>-661182.18297529221</v>
      </c>
      <c r="J195" s="960">
        <v>-677980.79356953315</v>
      </c>
      <c r="K195" s="960">
        <v>-694779.4041637741</v>
      </c>
      <c r="L195" s="960">
        <v>-711578.01475801505</v>
      </c>
      <c r="M195" s="960">
        <v>-728376.625352256</v>
      </c>
      <c r="N195" s="960">
        <v>-745175.23594649695</v>
      </c>
      <c r="O195" s="960">
        <v>-761973.8465407379</v>
      </c>
      <c r="P195" s="965">
        <v>-778772.45713497885</v>
      </c>
      <c r="Q195" s="960"/>
      <c r="R195" s="960"/>
      <c r="V195" s="1986"/>
      <c r="W195" s="958">
        <v>0.6</v>
      </c>
      <c r="X195" s="251">
        <f t="shared" si="47"/>
        <v>1199900.7567314939</v>
      </c>
      <c r="Y195" s="930">
        <v>3225084.6456365846</v>
      </c>
      <c r="Z195" s="931">
        <v>3485463.1098473184</v>
      </c>
      <c r="AA195" s="931">
        <v>3468664.4992530774</v>
      </c>
      <c r="AB195" s="931">
        <v>3451865.8886588365</v>
      </c>
      <c r="AC195" s="931">
        <v>3435067.2780645955</v>
      </c>
      <c r="AD195" s="931">
        <v>3418268.6674703546</v>
      </c>
      <c r="AE195" s="931">
        <v>3401470.0568761136</v>
      </c>
      <c r="AF195" s="931">
        <v>3384671.4462818727</v>
      </c>
      <c r="AG195" s="931">
        <v>3367872.8356876317</v>
      </c>
      <c r="AH195" s="932">
        <v>3351074.2250933908</v>
      </c>
    </row>
    <row r="196" spans="4:34" x14ac:dyDescent="0.25">
      <c r="D196" s="1986"/>
      <c r="E196" s="958">
        <v>0.7</v>
      </c>
      <c r="F196" s="251">
        <f t="shared" si="46"/>
        <v>899925.56754862051</v>
      </c>
      <c r="G196" s="964">
        <v>-745175.23594649695</v>
      </c>
      <c r="H196" s="960">
        <v>-620865.5175491143</v>
      </c>
      <c r="I196" s="960">
        <v>-625905.10072738491</v>
      </c>
      <c r="J196" s="960">
        <v>-630944.68390565738</v>
      </c>
      <c r="K196" s="960">
        <v>-635984.26708392985</v>
      </c>
      <c r="L196" s="960">
        <v>-641023.85026220232</v>
      </c>
      <c r="M196" s="960">
        <v>-646063.43344047479</v>
      </c>
      <c r="N196" s="960">
        <v>-651103.01661874726</v>
      </c>
      <c r="O196" s="960">
        <v>-656142.59979701787</v>
      </c>
      <c r="P196" s="965">
        <v>-661182.18297529221</v>
      </c>
      <c r="Q196" s="960"/>
      <c r="R196" s="960"/>
      <c r="V196" s="1986"/>
      <c r="W196" s="958">
        <v>0.7</v>
      </c>
      <c r="X196" s="251">
        <f t="shared" si="47"/>
        <v>899925.56754862051</v>
      </c>
      <c r="Y196" s="930">
        <v>3384671.4462818727</v>
      </c>
      <c r="Z196" s="931">
        <v>3508981.1646792553</v>
      </c>
      <c r="AA196" s="931">
        <v>3503941.5815009847</v>
      </c>
      <c r="AB196" s="931">
        <v>3498901.9983227104</v>
      </c>
      <c r="AC196" s="931">
        <v>3493862.4151444398</v>
      </c>
      <c r="AD196" s="931">
        <v>3488822.8319661655</v>
      </c>
      <c r="AE196" s="931">
        <v>3483783.2487878948</v>
      </c>
      <c r="AF196" s="931">
        <v>3478743.6656096224</v>
      </c>
      <c r="AG196" s="931">
        <v>3473704.0824313499</v>
      </c>
      <c r="AH196" s="932">
        <v>3468664.4992530774</v>
      </c>
    </row>
    <row r="197" spans="4:34" x14ac:dyDescent="0.25">
      <c r="D197" s="1986"/>
      <c r="E197" s="958">
        <v>0.8</v>
      </c>
      <c r="F197" s="251">
        <f t="shared" si="46"/>
        <v>599950.3783657467</v>
      </c>
      <c r="G197" s="964">
        <v>-656142.59979701787</v>
      </c>
      <c r="H197" s="960">
        <v>-612802.18446387723</v>
      </c>
      <c r="I197" s="960">
        <v>-613810.1010995321</v>
      </c>
      <c r="J197" s="960">
        <v>-614818.01773518696</v>
      </c>
      <c r="K197" s="960">
        <v>-615825.93437083997</v>
      </c>
      <c r="L197" s="960">
        <v>-616833.85100649484</v>
      </c>
      <c r="M197" s="960">
        <v>-617841.7676421497</v>
      </c>
      <c r="N197" s="960">
        <v>-618849.68427780457</v>
      </c>
      <c r="O197" s="960">
        <v>-619857.60091345944</v>
      </c>
      <c r="P197" s="965">
        <v>-620865.5175491143</v>
      </c>
      <c r="Q197" s="960"/>
      <c r="R197" s="960"/>
      <c r="V197" s="1986"/>
      <c r="W197" s="958">
        <v>0.8</v>
      </c>
      <c r="X197" s="251">
        <f t="shared" si="47"/>
        <v>599950.3783657467</v>
      </c>
      <c r="Y197" s="930">
        <v>3473704.0824313499</v>
      </c>
      <c r="Z197" s="931">
        <v>3517044.4977644924</v>
      </c>
      <c r="AA197" s="931">
        <v>3516036.5811288375</v>
      </c>
      <c r="AB197" s="931">
        <v>3515028.6644931808</v>
      </c>
      <c r="AC197" s="931">
        <v>3514020.7478575278</v>
      </c>
      <c r="AD197" s="931">
        <v>3513012.8312218729</v>
      </c>
      <c r="AE197" s="931">
        <v>3512004.9145862181</v>
      </c>
      <c r="AF197" s="931">
        <v>3510996.9979505632</v>
      </c>
      <c r="AG197" s="931">
        <v>3509989.0813149102</v>
      </c>
      <c r="AH197" s="932">
        <v>3508981.1646792553</v>
      </c>
    </row>
    <row r="198" spans="4:34" x14ac:dyDescent="0.25">
      <c r="D198" s="1986"/>
      <c r="E198" s="958">
        <v>0.9</v>
      </c>
      <c r="F198" s="251">
        <f t="shared" si="46"/>
        <v>299975.18918287335</v>
      </c>
      <c r="G198" s="964">
        <v>-620865.5175491143</v>
      </c>
      <c r="H198" s="960">
        <v>-610987.93451970071</v>
      </c>
      <c r="I198" s="960">
        <v>-611088.72618326545</v>
      </c>
      <c r="J198" s="960">
        <v>-611189.51784683019</v>
      </c>
      <c r="K198" s="960">
        <v>-611290.30951039679</v>
      </c>
      <c r="L198" s="960">
        <v>-611391.10117396154</v>
      </c>
      <c r="M198" s="960">
        <v>-611491.89283752628</v>
      </c>
      <c r="N198" s="960">
        <v>-611592.68450109288</v>
      </c>
      <c r="O198" s="960">
        <v>-611693.47616465762</v>
      </c>
      <c r="P198" s="965">
        <v>-611794.26782822423</v>
      </c>
      <c r="Q198" s="960"/>
      <c r="R198" s="960"/>
      <c r="V198" s="1986"/>
      <c r="W198" s="958">
        <v>0.9</v>
      </c>
      <c r="X198" s="251">
        <f t="shared" si="47"/>
        <v>299975.18918287335</v>
      </c>
      <c r="Y198" s="930">
        <v>3508981.1646792553</v>
      </c>
      <c r="Z198" s="931">
        <v>3518858.7477086689</v>
      </c>
      <c r="AA198" s="931">
        <v>3518757.9560451042</v>
      </c>
      <c r="AB198" s="931">
        <v>3518657.1643815376</v>
      </c>
      <c r="AC198" s="931">
        <v>3518556.3727179728</v>
      </c>
      <c r="AD198" s="931">
        <v>3518455.5810544062</v>
      </c>
      <c r="AE198" s="931">
        <v>3518354.7893908434</v>
      </c>
      <c r="AF198" s="931">
        <v>3518253.9977272768</v>
      </c>
      <c r="AG198" s="931">
        <v>3518153.2060637102</v>
      </c>
      <c r="AH198" s="932">
        <v>3518052.4144001454</v>
      </c>
    </row>
    <row r="199" spans="4:34" x14ac:dyDescent="0.25">
      <c r="D199" s="1987"/>
      <c r="E199" s="959">
        <v>1</v>
      </c>
      <c r="F199" s="251">
        <f t="shared" si="46"/>
        <v>0</v>
      </c>
      <c r="G199" s="966">
        <v>-611895.05949178711</v>
      </c>
      <c r="H199" s="967">
        <v>-610786.35119256936</v>
      </c>
      <c r="I199" s="967">
        <v>-610786.35119256936</v>
      </c>
      <c r="J199" s="967">
        <v>-610786.35119256936</v>
      </c>
      <c r="K199" s="967">
        <v>-610786.35119256936</v>
      </c>
      <c r="L199" s="967">
        <v>-610786.35119256936</v>
      </c>
      <c r="M199" s="967">
        <v>-610786.35119256936</v>
      </c>
      <c r="N199" s="967">
        <v>-610786.35119256936</v>
      </c>
      <c r="O199" s="967">
        <v>-610786.35119256936</v>
      </c>
      <c r="P199" s="968">
        <v>-610786.35119256936</v>
      </c>
      <c r="Q199" s="960"/>
      <c r="R199" s="960"/>
      <c r="V199" s="1987"/>
      <c r="W199" s="959">
        <v>1</v>
      </c>
      <c r="X199" s="251">
        <f>$W$10-($W$10*W199)</f>
        <v>0</v>
      </c>
      <c r="Y199" s="933">
        <v>3517951.6227365807</v>
      </c>
      <c r="Z199" s="934">
        <v>3519060.3310358003</v>
      </c>
      <c r="AA199" s="934">
        <v>3519060.3310358003</v>
      </c>
      <c r="AB199" s="934">
        <v>3519060.3310358003</v>
      </c>
      <c r="AC199" s="934">
        <v>3519060.3310358003</v>
      </c>
      <c r="AD199" s="934">
        <v>3519060.3310358003</v>
      </c>
      <c r="AE199" s="934">
        <v>3519060.3310358003</v>
      </c>
      <c r="AF199" s="934">
        <v>3519060.3310358003</v>
      </c>
      <c r="AG199" s="934">
        <v>3519060.3310358003</v>
      </c>
      <c r="AH199" s="935">
        <v>3519060.3310358003</v>
      </c>
    </row>
    <row r="200" spans="4:34" x14ac:dyDescent="0.25">
      <c r="D200" s="956"/>
      <c r="G200" s="954"/>
      <c r="H200" s="954"/>
      <c r="I200" s="954"/>
      <c r="J200" s="954"/>
      <c r="K200" s="954"/>
      <c r="L200" s="954"/>
      <c r="M200" s="954"/>
      <c r="N200" s="954"/>
      <c r="O200" s="954"/>
      <c r="P200" s="954"/>
      <c r="Q200" s="954"/>
      <c r="R200" s="954"/>
    </row>
    <row r="201" spans="4:34" x14ac:dyDescent="0.25">
      <c r="D201" s="956"/>
      <c r="G201" s="954"/>
      <c r="H201" s="954"/>
      <c r="I201" s="954"/>
      <c r="J201" s="954"/>
      <c r="K201" s="954"/>
      <c r="L201" s="954"/>
      <c r="M201" s="954"/>
      <c r="N201" s="954"/>
      <c r="O201" s="954"/>
      <c r="P201" s="954"/>
      <c r="Q201" s="954"/>
      <c r="R201" s="954"/>
    </row>
    <row r="202" spans="4:34" x14ac:dyDescent="0.25">
      <c r="D202" s="956"/>
      <c r="G202" s="954"/>
      <c r="H202" s="954"/>
      <c r="I202" s="954"/>
      <c r="J202" s="954"/>
      <c r="K202" s="954"/>
      <c r="L202" s="954"/>
      <c r="M202" s="954"/>
      <c r="N202" s="954"/>
      <c r="O202" s="954"/>
      <c r="P202" s="954"/>
      <c r="Q202" s="954"/>
      <c r="R202" s="954"/>
    </row>
    <row r="203" spans="4:34" ht="12.75" customHeight="1" x14ac:dyDescent="0.25">
      <c r="D203" s="1985" t="s">
        <v>1358</v>
      </c>
      <c r="E203" s="1611" t="s">
        <v>1355</v>
      </c>
      <c r="F203" s="1611"/>
      <c r="G203" s="1611"/>
      <c r="H203" s="1611"/>
      <c r="I203" s="1611"/>
      <c r="J203" s="1611"/>
      <c r="K203" s="1611"/>
      <c r="L203" s="1611"/>
      <c r="M203" s="1611"/>
      <c r="N203" s="1611"/>
      <c r="O203" s="1611"/>
      <c r="P203" s="1612"/>
      <c r="Q203" s="390"/>
      <c r="R203" s="390"/>
    </row>
    <row r="204" spans="4:34" x14ac:dyDescent="0.25">
      <c r="D204" s="1986"/>
      <c r="G204" s="948">
        <v>0.1</v>
      </c>
      <c r="H204" s="949">
        <v>0.2</v>
      </c>
      <c r="I204" s="949">
        <v>0.3</v>
      </c>
      <c r="J204" s="949">
        <v>0.4</v>
      </c>
      <c r="K204" s="949">
        <v>0.5</v>
      </c>
      <c r="L204" s="949">
        <v>0.6</v>
      </c>
      <c r="M204" s="949">
        <v>0.7</v>
      </c>
      <c r="N204" s="949">
        <v>0.8</v>
      </c>
      <c r="O204" s="949">
        <v>0.9</v>
      </c>
      <c r="P204" s="950">
        <v>1</v>
      </c>
      <c r="Q204" s="954"/>
      <c r="R204" s="954"/>
    </row>
    <row r="205" spans="4:34" x14ac:dyDescent="0.25">
      <c r="D205" s="1986"/>
      <c r="G205" s="954"/>
      <c r="H205" s="954"/>
      <c r="I205" s="954"/>
      <c r="J205" s="954"/>
      <c r="K205" s="954"/>
      <c r="L205" s="954"/>
      <c r="M205" s="954"/>
      <c r="N205" s="954"/>
      <c r="O205" s="954"/>
      <c r="P205" s="954"/>
      <c r="Q205" s="954"/>
      <c r="R205" s="954"/>
    </row>
    <row r="206" spans="4:34" x14ac:dyDescent="0.25">
      <c r="D206" s="1986"/>
      <c r="E206" s="191" t="s">
        <v>1319</v>
      </c>
      <c r="F206" s="921">
        <f>E65</f>
        <v>179500.95605625957</v>
      </c>
      <c r="G206" s="251">
        <f>$D$13+($D$13*G204)</f>
        <v>12146645.562309451</v>
      </c>
      <c r="H206" s="251">
        <f t="shared" ref="H206:P206" si="48">$D$13+($D$13*H204)</f>
        <v>13250886.067973947</v>
      </c>
      <c r="I206" s="251">
        <f t="shared" si="48"/>
        <v>14355126.573638443</v>
      </c>
      <c r="J206" s="251">
        <f t="shared" si="48"/>
        <v>15459367.079302937</v>
      </c>
      <c r="K206" s="251">
        <f t="shared" si="48"/>
        <v>16563607.584967434</v>
      </c>
      <c r="L206" s="251">
        <f t="shared" si="48"/>
        <v>17667848.090631928</v>
      </c>
      <c r="M206" s="251">
        <f t="shared" si="48"/>
        <v>18772088.596296422</v>
      </c>
      <c r="N206" s="251">
        <f t="shared" si="48"/>
        <v>19876329.10196092</v>
      </c>
      <c r="O206" s="251">
        <f t="shared" si="48"/>
        <v>20980569.607625417</v>
      </c>
      <c r="P206" s="251">
        <f t="shared" si="48"/>
        <v>22084810.113289911</v>
      </c>
      <c r="Q206" s="251"/>
      <c r="R206" s="251"/>
    </row>
    <row r="207" spans="4:34" x14ac:dyDescent="0.25">
      <c r="D207" s="1986"/>
      <c r="E207" s="957">
        <v>0.1</v>
      </c>
      <c r="F207" s="251">
        <f>E10</f>
        <v>2999751.8918287344</v>
      </c>
      <c r="G207" s="971">
        <f t="dataTable" ref="G207:P216" dt2D="1" dtr="1" r1="E23" r2="E10" ca="1"/>
        <v>-9080132.342378417</v>
      </c>
      <c r="H207" s="972">
        <v>-10102577.255030729</v>
      </c>
      <c r="I207" s="972">
        <v>-11125022.167683039</v>
      </c>
      <c r="J207" s="972">
        <v>-12147467.080335349</v>
      </c>
      <c r="K207" s="972">
        <v>-13169911.992987663</v>
      </c>
      <c r="L207" s="972">
        <v>-14192356.905639971</v>
      </c>
      <c r="M207" s="972">
        <v>-15214801.818292281</v>
      </c>
      <c r="N207" s="972">
        <v>-16237246.730944593</v>
      </c>
      <c r="O207" s="972">
        <v>-17259691.643596902</v>
      </c>
      <c r="P207" s="973">
        <v>-18282136.556249216</v>
      </c>
      <c r="Q207" s="954"/>
      <c r="R207" s="954"/>
    </row>
    <row r="208" spans="4:34" x14ac:dyDescent="0.25">
      <c r="D208" s="1986"/>
      <c r="E208" s="958">
        <v>0.2</v>
      </c>
      <c r="F208" s="251">
        <f>F10</f>
        <v>3242745.8009790857</v>
      </c>
      <c r="G208" s="974">
        <v>-8855137.9820540175</v>
      </c>
      <c r="H208" s="954">
        <v>-9877582.8947063293</v>
      </c>
      <c r="I208" s="954">
        <v>-10900027.807358639</v>
      </c>
      <c r="J208" s="954">
        <v>-11922472.720010949</v>
      </c>
      <c r="K208" s="954">
        <v>-12944917.632663263</v>
      </c>
      <c r="L208" s="954">
        <v>-13967362.545315571</v>
      </c>
      <c r="M208" s="954">
        <v>-14989807.457967881</v>
      </c>
      <c r="N208" s="954">
        <v>-16012252.370620195</v>
      </c>
      <c r="O208" s="954">
        <v>-17034697.283272505</v>
      </c>
      <c r="P208" s="975">
        <v>-18057142.195924811</v>
      </c>
      <c r="Q208" s="954"/>
      <c r="R208" s="954"/>
    </row>
    <row r="209" spans="3:18" x14ac:dyDescent="0.25">
      <c r="D209" s="1986"/>
      <c r="E209" s="958">
        <v>0.3</v>
      </c>
      <c r="F209" s="251">
        <f>G10</f>
        <v>3485918.2243290218</v>
      </c>
      <c r="G209" s="974">
        <v>-8629978.3308040779</v>
      </c>
      <c r="H209" s="954">
        <v>-9652423.2434563879</v>
      </c>
      <c r="I209" s="954">
        <v>-10674868.1561087</v>
      </c>
      <c r="J209" s="954">
        <v>-11697313.068761008</v>
      </c>
      <c r="K209" s="954">
        <v>-12719757.981413322</v>
      </c>
      <c r="L209" s="954">
        <v>-13742202.894065632</v>
      </c>
      <c r="M209" s="954">
        <v>-14764647.806717942</v>
      </c>
      <c r="N209" s="954">
        <v>-15787092.719370253</v>
      </c>
      <c r="O209" s="954">
        <v>-16809537.632022567</v>
      </c>
      <c r="P209" s="975">
        <v>-17831982.544674873</v>
      </c>
      <c r="Q209" s="954"/>
      <c r="R209" s="954"/>
    </row>
    <row r="210" spans="3:18" x14ac:dyDescent="0.25">
      <c r="D210" s="1986"/>
      <c r="E210" s="958">
        <v>0.4</v>
      </c>
      <c r="F210" s="251">
        <f>H10</f>
        <v>3729271.6800396303</v>
      </c>
      <c r="G210" s="974">
        <v>-8404651.0569979586</v>
      </c>
      <c r="H210" s="954">
        <v>-9427095.9696502686</v>
      </c>
      <c r="I210" s="954">
        <v>-10449540.88230258</v>
      </c>
      <c r="J210" s="954">
        <v>-11471985.794954889</v>
      </c>
      <c r="K210" s="954">
        <v>-12494430.707607202</v>
      </c>
      <c r="L210" s="954">
        <v>-13516875.620259512</v>
      </c>
      <c r="M210" s="954">
        <v>-14539320.532911822</v>
      </c>
      <c r="N210" s="954">
        <v>-15561765.445564134</v>
      </c>
      <c r="O210" s="954">
        <v>-16584210.358216448</v>
      </c>
      <c r="P210" s="975">
        <v>-17606655.270868752</v>
      </c>
      <c r="Q210" s="954"/>
      <c r="R210" s="954"/>
    </row>
    <row r="211" spans="3:18" x14ac:dyDescent="0.25">
      <c r="D211" s="1986"/>
      <c r="E211" s="958">
        <v>0.5</v>
      </c>
      <c r="F211" s="251">
        <f>I10</f>
        <v>3972808.7218198916</v>
      </c>
      <c r="G211" s="974">
        <v>-8179153.7960903086</v>
      </c>
      <c r="H211" s="954">
        <v>-9201598.7087426204</v>
      </c>
      <c r="I211" s="954">
        <v>-10224043.62139493</v>
      </c>
      <c r="J211" s="954">
        <v>-11246488.534047239</v>
      </c>
      <c r="K211" s="954">
        <v>-12268933.44669955</v>
      </c>
      <c r="L211" s="954">
        <v>-13291378.359351862</v>
      </c>
      <c r="M211" s="954">
        <v>-14313823.27200417</v>
      </c>
      <c r="N211" s="954">
        <v>-15336268.184656482</v>
      </c>
      <c r="O211" s="954">
        <v>-16358713.097308796</v>
      </c>
      <c r="P211" s="975">
        <v>-17381158.009961102</v>
      </c>
      <c r="Q211" s="954"/>
      <c r="R211" s="954"/>
    </row>
    <row r="212" spans="3:18" x14ac:dyDescent="0.25">
      <c r="D212" s="1986"/>
      <c r="E212" s="958">
        <v>0.6</v>
      </c>
      <c r="F212" s="251">
        <f>J10</f>
        <v>4216531.9394285074</v>
      </c>
      <c r="G212" s="974">
        <v>-7953484.1501564048</v>
      </c>
      <c r="H212" s="954">
        <v>-8975929.0628087167</v>
      </c>
      <c r="I212" s="954">
        <v>-9998373.9754610267</v>
      </c>
      <c r="J212" s="954">
        <v>-11020818.888113335</v>
      </c>
      <c r="K212" s="954">
        <v>-12043263.800765648</v>
      </c>
      <c r="L212" s="954">
        <v>-13065708.713417958</v>
      </c>
      <c r="M212" s="954">
        <v>-14088153.626070268</v>
      </c>
      <c r="N212" s="954">
        <v>-15110598.53872258</v>
      </c>
      <c r="O212" s="954">
        <v>-16133043.451374892</v>
      </c>
      <c r="P212" s="975">
        <v>-17155488.364027198</v>
      </c>
      <c r="Q212" s="954"/>
      <c r="R212" s="954"/>
    </row>
    <row r="213" spans="3:18" x14ac:dyDescent="0.25">
      <c r="D213" s="1986"/>
      <c r="E213" s="958">
        <v>0.7</v>
      </c>
      <c r="F213" s="251">
        <f>K10</f>
        <v>4230443.9591828091</v>
      </c>
      <c r="G213" s="974">
        <v>-7940602.6503839027</v>
      </c>
      <c r="H213" s="954">
        <v>-8963047.5630362146</v>
      </c>
      <c r="I213" s="954">
        <v>-9985492.4756885245</v>
      </c>
      <c r="J213" s="954">
        <v>-11007937.388340833</v>
      </c>
      <c r="K213" s="954">
        <v>-12030382.300993146</v>
      </c>
      <c r="L213" s="954">
        <v>-13052827.213645456</v>
      </c>
      <c r="M213" s="954">
        <v>-14075272.126297766</v>
      </c>
      <c r="N213" s="954">
        <v>-15097717.038950078</v>
      </c>
      <c r="O213" s="954">
        <v>-16120161.951602392</v>
      </c>
      <c r="P213" s="975">
        <v>-17142606.864254698</v>
      </c>
      <c r="Q213" s="954"/>
      <c r="R213" s="954"/>
    </row>
    <row r="214" spans="3:18" x14ac:dyDescent="0.25">
      <c r="D214" s="1986"/>
      <c r="E214" s="958">
        <v>0.8</v>
      </c>
      <c r="F214" s="251">
        <f>L10</f>
        <v>4244547.4444748526</v>
      </c>
      <c r="G214" s="922">
        <v>-7927543.8677060846</v>
      </c>
      <c r="H214" s="264">
        <v>-8949988.7803583965</v>
      </c>
      <c r="I214" s="264">
        <v>-9972433.6930107065</v>
      </c>
      <c r="J214" s="264">
        <v>-10994878.605663015</v>
      </c>
      <c r="K214" s="264">
        <v>-12017323.518315328</v>
      </c>
      <c r="L214" s="264">
        <v>-13039768.430967638</v>
      </c>
      <c r="M214" s="264">
        <v>-14062213.343619948</v>
      </c>
      <c r="N214" s="264">
        <v>-15084658.25627226</v>
      </c>
      <c r="O214" s="264">
        <v>-16107103.168924574</v>
      </c>
      <c r="P214" s="923">
        <v>-17129548.08157688</v>
      </c>
      <c r="Q214" s="264"/>
      <c r="R214" s="264"/>
    </row>
    <row r="215" spans="3:18" x14ac:dyDescent="0.25">
      <c r="D215" s="1986"/>
      <c r="E215" s="958">
        <v>0.9</v>
      </c>
      <c r="F215" s="251">
        <f>M10</f>
        <v>4258845.0962947989</v>
      </c>
      <c r="G215" s="922">
        <v>-7914305.3012061352</v>
      </c>
      <c r="H215" s="264">
        <v>-8936750.2138584442</v>
      </c>
      <c r="I215" s="264">
        <v>-9959195.126510758</v>
      </c>
      <c r="J215" s="264">
        <v>-10981640.039163066</v>
      </c>
      <c r="K215" s="264">
        <v>-12004084.95181538</v>
      </c>
      <c r="L215" s="264">
        <v>-13026529.86446769</v>
      </c>
      <c r="M215" s="264">
        <v>-14048974.77712</v>
      </c>
      <c r="N215" s="264">
        <v>-15071419.689772312</v>
      </c>
      <c r="O215" s="264">
        <v>-16093864.602424625</v>
      </c>
      <c r="P215" s="923">
        <v>-17116309.515076932</v>
      </c>
      <c r="Q215" s="264"/>
      <c r="R215" s="264"/>
    </row>
    <row r="216" spans="3:18" x14ac:dyDescent="0.25">
      <c r="D216" s="1987"/>
      <c r="E216" s="959">
        <v>1</v>
      </c>
      <c r="F216" s="251">
        <f>N10</f>
        <v>4273339.6537616821</v>
      </c>
      <c r="G216" s="924">
        <v>-7900884.4146627244</v>
      </c>
      <c r="H216" s="925">
        <v>-8923329.3273150343</v>
      </c>
      <c r="I216" s="925">
        <v>-9945774.2399673481</v>
      </c>
      <c r="J216" s="925">
        <v>-10968219.152619656</v>
      </c>
      <c r="K216" s="925">
        <v>-11990664.06527197</v>
      </c>
      <c r="L216" s="925">
        <v>-13013108.97792428</v>
      </c>
      <c r="M216" s="925">
        <v>-14035553.89057659</v>
      </c>
      <c r="N216" s="925">
        <v>-15057998.803228902</v>
      </c>
      <c r="O216" s="925">
        <v>-16080443.715881214</v>
      </c>
      <c r="P216" s="926">
        <v>-17102888.62853352</v>
      </c>
      <c r="Q216" s="264"/>
      <c r="R216" s="264"/>
    </row>
    <row r="221" spans="3:18" x14ac:dyDescent="0.2">
      <c r="C221" s="908" t="s">
        <v>1340</v>
      </c>
      <c r="E221" s="883"/>
    </row>
    <row r="224" spans="3:18" x14ac:dyDescent="0.2">
      <c r="C224" s="1995" t="s">
        <v>649</v>
      </c>
      <c r="D224" s="1995" t="s">
        <v>1341</v>
      </c>
      <c r="E224" s="1989" t="s">
        <v>1318</v>
      </c>
      <c r="F224" s="1996" t="s">
        <v>1342</v>
      </c>
      <c r="G224" s="1997"/>
      <c r="H224" s="1998"/>
      <c r="I224" s="893" t="s">
        <v>1343</v>
      </c>
      <c r="J224" s="916" t="s">
        <v>1344</v>
      </c>
      <c r="K224" s="916"/>
      <c r="L224" s="916"/>
      <c r="M224" s="893" t="s">
        <v>1343</v>
      </c>
    </row>
    <row r="225" spans="3:13" x14ac:dyDescent="0.2">
      <c r="C225" s="1995"/>
      <c r="D225" s="1995"/>
      <c r="E225" s="1990"/>
      <c r="F225" s="893" t="s">
        <v>1345</v>
      </c>
      <c r="G225" s="893" t="s">
        <v>1346</v>
      </c>
      <c r="H225" s="893" t="s">
        <v>1347</v>
      </c>
      <c r="I225" s="917">
        <f>E66</f>
        <v>8.3016788549242992E-2</v>
      </c>
      <c r="J225" s="893" t="s">
        <v>1348</v>
      </c>
      <c r="K225" s="893" t="s">
        <v>1349</v>
      </c>
      <c r="L225" s="893" t="s">
        <v>1350</v>
      </c>
      <c r="M225" s="911">
        <v>0.14192766800000001</v>
      </c>
    </row>
    <row r="226" spans="3:13" ht="12.75" customHeight="1" x14ac:dyDescent="0.2">
      <c r="C226" s="919" t="s">
        <v>1351</v>
      </c>
      <c r="D226" s="909">
        <v>1</v>
      </c>
      <c r="E226" s="910">
        <f>D27</f>
        <v>-11042405.056644956</v>
      </c>
      <c r="F226" s="910">
        <f>$E$226*1.1</f>
        <v>-12146645.562309451</v>
      </c>
      <c r="G226" s="910">
        <f>$E$226*1.2</f>
        <v>-13250886.067973947</v>
      </c>
      <c r="H226" s="910">
        <f>$E$226*1.3</f>
        <v>-14355126.573638443</v>
      </c>
      <c r="I226" s="920">
        <f>$E$226*1.69413</f>
        <v>-18707269.678613916</v>
      </c>
      <c r="J226" s="910">
        <f>$AA$65</f>
        <v>0</v>
      </c>
      <c r="K226" s="910">
        <f>$AA$65</f>
        <v>0</v>
      </c>
      <c r="L226" s="910">
        <f>$AA$65</f>
        <v>0</v>
      </c>
      <c r="M226" s="910">
        <f>$AA$65</f>
        <v>0</v>
      </c>
    </row>
    <row r="227" spans="3:13" x14ac:dyDescent="0.2">
      <c r="C227" s="1988" t="s">
        <v>1341</v>
      </c>
      <c r="D227" s="909">
        <v>1</v>
      </c>
      <c r="E227" s="910">
        <f>E27</f>
        <v>853510.29182873433</v>
      </c>
      <c r="F227" s="910">
        <f>E27</f>
        <v>853510.29182873433</v>
      </c>
      <c r="G227" s="910">
        <f>E27</f>
        <v>853510.29182873433</v>
      </c>
      <c r="H227" s="910">
        <f>E27</f>
        <v>853510.29182873433</v>
      </c>
      <c r="I227" s="915">
        <f>E27</f>
        <v>853510.29182873433</v>
      </c>
      <c r="J227" s="915">
        <f t="shared" ref="J227:J236" si="49">E227*0.9</f>
        <v>768159.2626458609</v>
      </c>
      <c r="K227" s="915">
        <f t="shared" ref="K227:K236" si="50">E227*0.8</f>
        <v>682808.23346298747</v>
      </c>
      <c r="L227" s="915">
        <f t="shared" ref="L227:L236" si="51">E227*0.7</f>
        <v>597457.20428011403</v>
      </c>
      <c r="M227" s="915">
        <f>F227*(100%-$AI$63)</f>
        <v>853510.29182873433</v>
      </c>
    </row>
    <row r="228" spans="3:13" x14ac:dyDescent="0.2">
      <c r="C228" s="1988"/>
      <c r="D228" s="909">
        <v>2</v>
      </c>
      <c r="E228" s="910">
        <f>F27</f>
        <v>1096504.2009790856</v>
      </c>
      <c r="F228" s="910">
        <f>F27</f>
        <v>1096504.2009790856</v>
      </c>
      <c r="G228" s="910">
        <f>F27</f>
        <v>1096504.2009790856</v>
      </c>
      <c r="H228" s="910">
        <f>F27</f>
        <v>1096504.2009790856</v>
      </c>
      <c r="I228" s="915">
        <f>F27</f>
        <v>1096504.2009790856</v>
      </c>
      <c r="J228" s="915">
        <f t="shared" si="49"/>
        <v>986853.78088117705</v>
      </c>
      <c r="K228" s="915">
        <f t="shared" si="50"/>
        <v>877203.36078326858</v>
      </c>
      <c r="L228" s="915">
        <f t="shared" si="51"/>
        <v>767552.94068535988</v>
      </c>
      <c r="M228" s="915">
        <f t="shared" ref="M228:M236" si="52">F228*(100%-$AI$63)</f>
        <v>1096504.2009790856</v>
      </c>
    </row>
    <row r="229" spans="3:13" x14ac:dyDescent="0.2">
      <c r="C229" s="1988"/>
      <c r="D229" s="909">
        <v>3</v>
      </c>
      <c r="E229" s="910">
        <f>G27</f>
        <v>1339676.6243290217</v>
      </c>
      <c r="F229" s="910">
        <f>G27</f>
        <v>1339676.6243290217</v>
      </c>
      <c r="G229" s="910">
        <f>G27</f>
        <v>1339676.6243290217</v>
      </c>
      <c r="H229" s="910">
        <f>G27</f>
        <v>1339676.6243290217</v>
      </c>
      <c r="I229" s="915">
        <f>G27</f>
        <v>1339676.6243290217</v>
      </c>
      <c r="J229" s="915">
        <f t="shared" si="49"/>
        <v>1205708.9618961196</v>
      </c>
      <c r="K229" s="915">
        <f t="shared" si="50"/>
        <v>1071741.2994632174</v>
      </c>
      <c r="L229" s="915">
        <f t="shared" si="51"/>
        <v>937773.63703031512</v>
      </c>
      <c r="M229" s="915">
        <f t="shared" si="52"/>
        <v>1339676.6243290217</v>
      </c>
    </row>
    <row r="230" spans="3:13" x14ac:dyDescent="0.2">
      <c r="C230" s="1988"/>
      <c r="D230" s="909">
        <v>4</v>
      </c>
      <c r="E230" s="910">
        <f>H27</f>
        <v>1583030.0800396302</v>
      </c>
      <c r="F230" s="910">
        <f>H27</f>
        <v>1583030.0800396302</v>
      </c>
      <c r="G230" s="910">
        <f>H27</f>
        <v>1583030.0800396302</v>
      </c>
      <c r="H230" s="910">
        <f>H27</f>
        <v>1583030.0800396302</v>
      </c>
      <c r="I230" s="915">
        <f>H27</f>
        <v>1583030.0800396302</v>
      </c>
      <c r="J230" s="915">
        <f t="shared" si="49"/>
        <v>1424727.0720356673</v>
      </c>
      <c r="K230" s="915">
        <f t="shared" si="50"/>
        <v>1266424.0640317043</v>
      </c>
      <c r="L230" s="915">
        <f t="shared" si="51"/>
        <v>1108121.0560277409</v>
      </c>
      <c r="M230" s="915">
        <f t="shared" si="52"/>
        <v>1583030.0800396302</v>
      </c>
    </row>
    <row r="231" spans="3:13" x14ac:dyDescent="0.2">
      <c r="C231" s="1988"/>
      <c r="D231" s="909">
        <v>5</v>
      </c>
      <c r="E231" s="910">
        <f>I27</f>
        <v>1756567.1218198915</v>
      </c>
      <c r="F231" s="910">
        <f>I27</f>
        <v>1756567.1218198915</v>
      </c>
      <c r="G231" s="910">
        <f>I27</f>
        <v>1756567.1218198915</v>
      </c>
      <c r="H231" s="910">
        <f>I27</f>
        <v>1756567.1218198915</v>
      </c>
      <c r="I231" s="915">
        <f>I27</f>
        <v>1756567.1218198915</v>
      </c>
      <c r="J231" s="915">
        <f t="shared" si="49"/>
        <v>1580910.4096379024</v>
      </c>
      <c r="K231" s="915">
        <f t="shared" si="50"/>
        <v>1405253.6974559133</v>
      </c>
      <c r="L231" s="915">
        <f t="shared" si="51"/>
        <v>1229596.985273924</v>
      </c>
      <c r="M231" s="915">
        <f t="shared" si="52"/>
        <v>1756567.1218198915</v>
      </c>
    </row>
    <row r="232" spans="3:13" x14ac:dyDescent="0.2">
      <c r="C232" s="1988"/>
      <c r="D232" s="909">
        <v>6</v>
      </c>
      <c r="E232" s="910">
        <f>J27</f>
        <v>2070290.3394285073</v>
      </c>
      <c r="F232" s="910">
        <f>J27</f>
        <v>2070290.3394285073</v>
      </c>
      <c r="G232" s="910">
        <f>J27</f>
        <v>2070290.3394285073</v>
      </c>
      <c r="H232" s="910">
        <f>J27</f>
        <v>2070290.3394285073</v>
      </c>
      <c r="I232" s="915">
        <f>J27</f>
        <v>2070290.3394285073</v>
      </c>
      <c r="J232" s="915">
        <f t="shared" si="49"/>
        <v>1863261.3054856565</v>
      </c>
      <c r="K232" s="915">
        <f t="shared" si="50"/>
        <v>1656232.2715428059</v>
      </c>
      <c r="L232" s="915">
        <f t="shared" si="51"/>
        <v>1449203.2375999549</v>
      </c>
      <c r="M232" s="915">
        <f t="shared" si="52"/>
        <v>2070290.3394285073</v>
      </c>
    </row>
    <row r="233" spans="3:13" x14ac:dyDescent="0.2">
      <c r="C233" s="1988"/>
      <c r="D233" s="909">
        <v>7</v>
      </c>
      <c r="E233" s="910">
        <f>K27</f>
        <v>2084202.359182809</v>
      </c>
      <c r="F233" s="910">
        <f>K27</f>
        <v>2084202.359182809</v>
      </c>
      <c r="G233" s="910">
        <f>K27</f>
        <v>2084202.359182809</v>
      </c>
      <c r="H233" s="910">
        <f>K27</f>
        <v>2084202.359182809</v>
      </c>
      <c r="I233" s="915">
        <f>K27</f>
        <v>2084202.359182809</v>
      </c>
      <c r="J233" s="915">
        <f t="shared" si="49"/>
        <v>1875782.1232645281</v>
      </c>
      <c r="K233" s="915">
        <f t="shared" si="50"/>
        <v>1667361.8873462472</v>
      </c>
      <c r="L233" s="915">
        <f t="shared" si="51"/>
        <v>1458941.6514279663</v>
      </c>
      <c r="M233" s="915">
        <f t="shared" si="52"/>
        <v>2084202.359182809</v>
      </c>
    </row>
    <row r="234" spans="3:13" x14ac:dyDescent="0.2">
      <c r="C234" s="1988"/>
      <c r="D234" s="909">
        <v>8</v>
      </c>
      <c r="E234" s="910">
        <f>L27</f>
        <v>2098305.8444748526</v>
      </c>
      <c r="F234" s="910">
        <f>L27</f>
        <v>2098305.8444748526</v>
      </c>
      <c r="G234" s="910">
        <f>L27</f>
        <v>2098305.8444748526</v>
      </c>
      <c r="H234" s="910">
        <f>L27</f>
        <v>2098305.8444748526</v>
      </c>
      <c r="I234" s="915">
        <f>L27</f>
        <v>2098305.8444748526</v>
      </c>
      <c r="J234" s="915">
        <f t="shared" si="49"/>
        <v>1888475.2600273674</v>
      </c>
      <c r="K234" s="915">
        <f t="shared" si="50"/>
        <v>1678644.6755798822</v>
      </c>
      <c r="L234" s="915">
        <f t="shared" si="51"/>
        <v>1468814.0911323966</v>
      </c>
      <c r="M234" s="915">
        <f t="shared" si="52"/>
        <v>2098305.8444748526</v>
      </c>
    </row>
    <row r="235" spans="3:13" x14ac:dyDescent="0.2">
      <c r="C235" s="1988"/>
      <c r="D235" s="909">
        <v>9</v>
      </c>
      <c r="E235" s="910">
        <f>M27</f>
        <v>2112603.4962947988</v>
      </c>
      <c r="F235" s="910">
        <f>M27</f>
        <v>2112603.4962947988</v>
      </c>
      <c r="G235" s="910">
        <f>M27</f>
        <v>2112603.4962947988</v>
      </c>
      <c r="H235" s="910">
        <f>M27</f>
        <v>2112603.4962947988</v>
      </c>
      <c r="I235" s="915">
        <f>M27</f>
        <v>2112603.4962947988</v>
      </c>
      <c r="J235" s="915">
        <f t="shared" si="49"/>
        <v>1901343.1466653189</v>
      </c>
      <c r="K235" s="915">
        <f t="shared" si="50"/>
        <v>1690082.7970358392</v>
      </c>
      <c r="L235" s="915">
        <f t="shared" si="51"/>
        <v>1478822.447406359</v>
      </c>
      <c r="M235" s="915">
        <f t="shared" si="52"/>
        <v>2112603.4962947988</v>
      </c>
    </row>
    <row r="236" spans="3:13" x14ac:dyDescent="0.2">
      <c r="C236" s="1988"/>
      <c r="D236" s="909">
        <v>10</v>
      </c>
      <c r="E236" s="910">
        <f>N27</f>
        <v>2931338.5594261773</v>
      </c>
      <c r="F236" s="910">
        <f>N27</f>
        <v>2931338.5594261773</v>
      </c>
      <c r="G236" s="910">
        <f>N27</f>
        <v>2931338.5594261773</v>
      </c>
      <c r="H236" s="910">
        <f>N27</f>
        <v>2931338.5594261773</v>
      </c>
      <c r="I236" s="915">
        <f>N27</f>
        <v>2931338.5594261773</v>
      </c>
      <c r="J236" s="915">
        <f t="shared" si="49"/>
        <v>2638204.7034835597</v>
      </c>
      <c r="K236" s="915">
        <f t="shared" si="50"/>
        <v>2345070.847540942</v>
      </c>
      <c r="L236" s="915">
        <f t="shared" si="51"/>
        <v>2051936.9915983239</v>
      </c>
      <c r="M236" s="915">
        <f t="shared" si="52"/>
        <v>2931338.5594261773</v>
      </c>
    </row>
    <row r="237" spans="3:13" x14ac:dyDescent="0.2">
      <c r="C237" s="1620" t="s">
        <v>1326</v>
      </c>
      <c r="D237" s="912" t="s">
        <v>1319</v>
      </c>
      <c r="E237" s="913">
        <f>NPV($D$28,E227:E236)+E226</f>
        <v>179500.95605625957</v>
      </c>
      <c r="F237" s="913">
        <f>NPV($D$28,F227:F236)+F226</f>
        <v>-924739.54960823618</v>
      </c>
      <c r="G237" s="913">
        <f>NPV($D$28,G227:G236)+G226</f>
        <v>-2028980.0552727319</v>
      </c>
      <c r="H237" s="913">
        <f>NPV($D$28,H227:H236)+H226</f>
        <v>-3133220.5609372277</v>
      </c>
      <c r="I237" s="913">
        <f>NPV($D$28,I227:I236)+I226</f>
        <v>-7485363.6659127008</v>
      </c>
      <c r="J237" s="913">
        <f>NPV(11%,J227:J236)+J226</f>
        <v>8642835.4293877743</v>
      </c>
      <c r="K237" s="913">
        <f>NPV(11%,K227:K236)+K226</f>
        <v>7682520.3816780197</v>
      </c>
      <c r="L237" s="913">
        <f>NPV(11%,L227:L236)+L226</f>
        <v>6722205.3339682668</v>
      </c>
      <c r="M237" s="913">
        <f>NPV(11%,M227:M236)+M226</f>
        <v>9603150.4770975243</v>
      </c>
    </row>
    <row r="238" spans="3:13" x14ac:dyDescent="0.2">
      <c r="C238" s="1622"/>
      <c r="D238" s="912" t="s">
        <v>1320</v>
      </c>
      <c r="E238" s="914">
        <f t="shared" ref="E238:M238" si="53">IRR(E226:E236)</f>
        <v>8.3016788549242992E-2</v>
      </c>
      <c r="F238" s="914">
        <f t="shared" si="53"/>
        <v>6.5464360392518017E-2</v>
      </c>
      <c r="G238" s="914">
        <f t="shared" si="53"/>
        <v>5.0002340657068212E-2</v>
      </c>
      <c r="H238" s="914">
        <f t="shared" si="53"/>
        <v>3.6221881260022792E-2</v>
      </c>
      <c r="I238" s="914">
        <f t="shared" si="53"/>
        <v>-6.6420448120196873E-3</v>
      </c>
      <c r="J238" s="914" t="e">
        <f t="shared" si="53"/>
        <v>#NUM!</v>
      </c>
      <c r="K238" s="914" t="e">
        <f t="shared" si="53"/>
        <v>#NUM!</v>
      </c>
      <c r="L238" s="914" t="e">
        <f t="shared" si="53"/>
        <v>#NUM!</v>
      </c>
      <c r="M238" s="914" t="e">
        <f t="shared" si="53"/>
        <v>#NUM!</v>
      </c>
    </row>
  </sheetData>
  <scenarios current="0" show="0">
    <scenario name="MODERADO" locked="1" count="5" user="ORFEI-GERMUT" comment="Creado por ORFEI-GERMUT el 11/03/2020">
      <inputCells r="E84" val="8656486.10327729"/>
      <inputCells r="D85" val="0.76" numFmtId="9"/>
      <inputCells r="D89" val="0.4" numFmtId="9"/>
      <inputCells r="D90" val="0.08" numFmtId="9"/>
      <inputCells r="E97" val="2101880.29182873"/>
    </scenario>
  </scenarios>
  <mergeCells count="91">
    <mergeCell ref="C227:C236"/>
    <mergeCell ref="C237:C238"/>
    <mergeCell ref="E224:E225"/>
    <mergeCell ref="J8:J9"/>
    <mergeCell ref="C7:C9"/>
    <mergeCell ref="G105:G114"/>
    <mergeCell ref="G121:G130"/>
    <mergeCell ref="G139:G148"/>
    <mergeCell ref="D224:D225"/>
    <mergeCell ref="F224:H224"/>
    <mergeCell ref="E8:E9"/>
    <mergeCell ref="F8:F9"/>
    <mergeCell ref="G8:G9"/>
    <mergeCell ref="H8:H9"/>
    <mergeCell ref="C224:C225"/>
    <mergeCell ref="H153:J153"/>
    <mergeCell ref="W186:AH186"/>
    <mergeCell ref="V186:V199"/>
    <mergeCell ref="E203:P203"/>
    <mergeCell ref="D203:D216"/>
    <mergeCell ref="W167:AH167"/>
    <mergeCell ref="V167:V180"/>
    <mergeCell ref="E186:P186"/>
    <mergeCell ref="D186:D199"/>
    <mergeCell ref="D167:D180"/>
    <mergeCell ref="E167:P167"/>
    <mergeCell ref="U78:AH78"/>
    <mergeCell ref="V8:V9"/>
    <mergeCell ref="AB8:AB9"/>
    <mergeCell ref="C34:R34"/>
    <mergeCell ref="C36:C38"/>
    <mergeCell ref="D36:N36"/>
    <mergeCell ref="D37:D38"/>
    <mergeCell ref="E37:E38"/>
    <mergeCell ref="F37:F38"/>
    <mergeCell ref="K8:K9"/>
    <mergeCell ref="L8:L9"/>
    <mergeCell ref="M8:M9"/>
    <mergeCell ref="Y62:Y63"/>
    <mergeCell ref="Y65:Y66"/>
    <mergeCell ref="U34:AJ34"/>
    <mergeCell ref="U36:U38"/>
    <mergeCell ref="C4:R4"/>
    <mergeCell ref="C80:F80"/>
    <mergeCell ref="G80:J80"/>
    <mergeCell ref="C62:C63"/>
    <mergeCell ref="E62:F62"/>
    <mergeCell ref="G62:G63"/>
    <mergeCell ref="D62:D63"/>
    <mergeCell ref="C78:R78"/>
    <mergeCell ref="D64:F64"/>
    <mergeCell ref="D67:F67"/>
    <mergeCell ref="C64:C70"/>
    <mergeCell ref="D7:N7"/>
    <mergeCell ref="D8:D9"/>
    <mergeCell ref="L37:L38"/>
    <mergeCell ref="M37:M38"/>
    <mergeCell ref="I137:R137"/>
    <mergeCell ref="N8:N9"/>
    <mergeCell ref="I8:I9"/>
    <mergeCell ref="N37:N38"/>
    <mergeCell ref="G37:G38"/>
    <mergeCell ref="H37:H38"/>
    <mergeCell ref="I37:I38"/>
    <mergeCell ref="J37:J38"/>
    <mergeCell ref="K37:K38"/>
    <mergeCell ref="G65:G66"/>
    <mergeCell ref="U4:AG4"/>
    <mergeCell ref="AC8:AC9"/>
    <mergeCell ref="AD8:AD9"/>
    <mergeCell ref="AE8:AE9"/>
    <mergeCell ref="AF8:AF9"/>
    <mergeCell ref="V7:AF7"/>
    <mergeCell ref="W8:W9"/>
    <mergeCell ref="X8:X9"/>
    <mergeCell ref="Y8:Y9"/>
    <mergeCell ref="Z8:Z9"/>
    <mergeCell ref="AA8:AA9"/>
    <mergeCell ref="U7:U9"/>
    <mergeCell ref="V36:AF36"/>
    <mergeCell ref="V37:V38"/>
    <mergeCell ref="W37:W38"/>
    <mergeCell ref="X37:X38"/>
    <mergeCell ref="Y37:Y38"/>
    <mergeCell ref="Z37:Z38"/>
    <mergeCell ref="AA37:AA38"/>
    <mergeCell ref="AB37:AB38"/>
    <mergeCell ref="AC37:AC38"/>
    <mergeCell ref="AD37:AD38"/>
    <mergeCell ref="AE37:AE38"/>
    <mergeCell ref="AF37:AF38"/>
  </mergeCells>
  <phoneticPr fontId="59" type="noConversion"/>
  <conditionalFormatting sqref="G171:R180">
    <cfRule type="cellIs" dxfId="3" priority="5" operator="greaterThan">
      <formula>0</formula>
    </cfRule>
  </conditionalFormatting>
  <conditionalFormatting sqref="Y171:AH180">
    <cfRule type="cellIs" dxfId="2" priority="4" operator="greaterThan">
      <formula>0</formula>
    </cfRule>
  </conditionalFormatting>
  <conditionalFormatting sqref="G190:R199">
    <cfRule type="cellIs" dxfId="1" priority="3" operator="greaterThan">
      <formula>0</formula>
    </cfRule>
  </conditionalFormatting>
  <conditionalFormatting sqref="Y190:AH199">
    <cfRule type="cellIs" dxfId="0" priority="2" operator="greaterThan">
      <formula>0</formula>
    </cfRule>
  </conditionalFormatting>
  <conditionalFormatting sqref="G207:R216">
    <cfRule type="cellIs" priority="1" operator="greaterThan">
      <formula>0</formula>
    </cfRule>
  </conditionalFormatting>
  <pageMargins left="0.7" right="0.7" top="0.75" bottom="0.75" header="0.3" footer="0.3"/>
  <pageSetup paperSize="9" scale="37" orientation="portrait" r:id="rId1"/>
  <rowBreaks count="1" manualBreakCount="1">
    <brk id="165" min="2" max="33" man="1"/>
  </rowBreaks>
  <colBreaks count="1" manualBreakCount="1">
    <brk id="18" min="2" max="10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3:H1048490"/>
  <sheetViews>
    <sheetView view="pageBreakPreview" zoomScale="85" zoomScaleNormal="115" zoomScaleSheetLayoutView="85" workbookViewId="0">
      <selection activeCell="G7" sqref="G7"/>
    </sheetView>
  </sheetViews>
  <sheetFormatPr baseColWidth="10" defaultColWidth="11.42578125" defaultRowHeight="12.75" x14ac:dyDescent="0.2"/>
  <cols>
    <col min="1" max="1" width="4" style="30" customWidth="1"/>
    <col min="2" max="3" width="11.42578125" style="30"/>
    <col min="4" max="4" width="15" style="30" customWidth="1"/>
    <col min="5" max="6" width="11.5703125" style="30" bestFit="1" customWidth="1"/>
    <col min="7" max="7" width="14.140625" style="30" bestFit="1" customWidth="1"/>
    <col min="8" max="8" width="11.5703125" style="30" bestFit="1" customWidth="1"/>
    <col min="9" max="16384" width="11.42578125" style="30"/>
  </cols>
  <sheetData>
    <row r="3" spans="2:8" x14ac:dyDescent="0.2">
      <c r="B3" s="28" t="s">
        <v>213</v>
      </c>
      <c r="C3" s="29"/>
      <c r="D3" s="29"/>
      <c r="E3" s="29"/>
      <c r="F3" s="29"/>
      <c r="G3" s="29"/>
      <c r="H3" s="29"/>
    </row>
    <row r="5" spans="2:8" x14ac:dyDescent="0.2">
      <c r="D5" s="1535" t="s">
        <v>168</v>
      </c>
      <c r="E5" s="1535"/>
      <c r="F5" s="1535"/>
      <c r="G5" s="1535"/>
      <c r="H5" s="1535"/>
    </row>
    <row r="6" spans="2:8" x14ac:dyDescent="0.2">
      <c r="D6" s="31" t="s">
        <v>251</v>
      </c>
      <c r="E6" s="31">
        <v>2007</v>
      </c>
      <c r="F6" s="31">
        <v>2017</v>
      </c>
      <c r="G6" s="31" t="s">
        <v>170</v>
      </c>
      <c r="H6" s="31" t="s">
        <v>171</v>
      </c>
    </row>
    <row r="7" spans="2:8" ht="28.5" customHeight="1" x14ac:dyDescent="0.2">
      <c r="D7" s="32" t="s">
        <v>163</v>
      </c>
      <c r="E7" s="33">
        <v>404190</v>
      </c>
      <c r="F7" s="33">
        <v>424258.97147592169</v>
      </c>
      <c r="G7" s="34">
        <f>(F7/E7)^(1/(2017-2007))-1</f>
        <v>4.8576589682707283E-3</v>
      </c>
      <c r="H7" s="43">
        <f>G7</f>
        <v>4.8576589682707283E-3</v>
      </c>
    </row>
    <row r="8" spans="2:8" ht="29.25" customHeight="1" x14ac:dyDescent="0.2">
      <c r="D8" s="32" t="s">
        <v>164</v>
      </c>
      <c r="E8" s="33">
        <v>27412157</v>
      </c>
      <c r="F8" s="33">
        <v>29381884</v>
      </c>
      <c r="G8" s="34">
        <f>(F8/E8)^(1/(2017-2007))-1</f>
        <v>6.9633011030576508E-3</v>
      </c>
      <c r="H8" s="43">
        <f>G8</f>
        <v>6.9633011030576508E-3</v>
      </c>
    </row>
    <row r="9" spans="2:8" x14ac:dyDescent="0.2">
      <c r="E9" s="47"/>
      <c r="F9" s="47"/>
    </row>
    <row r="11" spans="2:8" x14ac:dyDescent="0.2">
      <c r="B11" s="35"/>
      <c r="C11" s="35"/>
      <c r="D11" s="35"/>
      <c r="E11" s="35"/>
      <c r="F11" s="35"/>
      <c r="G11" s="35"/>
      <c r="H11" s="35"/>
    </row>
    <row r="13" spans="2:8" x14ac:dyDescent="0.2">
      <c r="B13" s="28" t="s">
        <v>214</v>
      </c>
      <c r="C13" s="29"/>
      <c r="D13" s="29"/>
      <c r="E13" s="29"/>
      <c r="F13" s="29"/>
      <c r="G13" s="29"/>
      <c r="H13" s="29"/>
    </row>
    <row r="16" spans="2:8" ht="15" customHeight="1" x14ac:dyDescent="0.2">
      <c r="D16" s="1536" t="s">
        <v>168</v>
      </c>
      <c r="E16" s="1536"/>
      <c r="F16" s="1536"/>
      <c r="G16" s="1536"/>
      <c r="H16" s="1536"/>
    </row>
    <row r="17" spans="2:8" ht="21" customHeight="1" x14ac:dyDescent="0.2">
      <c r="D17" s="36" t="s">
        <v>155</v>
      </c>
      <c r="E17" s="36">
        <f>+E6</f>
        <v>2007</v>
      </c>
      <c r="F17" s="36">
        <f>+F6</f>
        <v>2017</v>
      </c>
      <c r="G17" s="36" t="s">
        <v>170</v>
      </c>
      <c r="H17" s="36" t="s">
        <v>171</v>
      </c>
    </row>
    <row r="18" spans="2:8" x14ac:dyDescent="0.2">
      <c r="D18" s="37" t="s">
        <v>162</v>
      </c>
      <c r="E18" s="41">
        <v>96064</v>
      </c>
      <c r="F18" s="41">
        <v>110520</v>
      </c>
      <c r="G18" s="40">
        <f>(F18/E18)^(1/(2017-2007))-1</f>
        <v>1.4116901910895319E-2</v>
      </c>
      <c r="H18" s="42">
        <f>G18</f>
        <v>1.4116901910895319E-2</v>
      </c>
    </row>
    <row r="19" spans="2:8" x14ac:dyDescent="0.2">
      <c r="G19" s="48"/>
    </row>
    <row r="24" spans="2:8" x14ac:dyDescent="0.2">
      <c r="B24" s="28" t="s">
        <v>215</v>
      </c>
      <c r="C24" s="29"/>
      <c r="D24" s="29"/>
      <c r="E24" s="29"/>
      <c r="F24" s="29"/>
      <c r="G24" s="29"/>
      <c r="H24" s="29"/>
    </row>
    <row r="27" spans="2:8" ht="15" customHeight="1" x14ac:dyDescent="0.2">
      <c r="D27" s="1536" t="s">
        <v>168</v>
      </c>
      <c r="E27" s="1536"/>
      <c r="F27" s="1536"/>
      <c r="G27" s="1536"/>
      <c r="H27" s="1536"/>
    </row>
    <row r="28" spans="2:8" ht="21" customHeight="1" x14ac:dyDescent="0.2">
      <c r="C28" s="36" t="s">
        <v>189</v>
      </c>
      <c r="D28" s="36" t="s">
        <v>188</v>
      </c>
      <c r="E28" s="36">
        <f>+E17</f>
        <v>2007</v>
      </c>
      <c r="F28" s="36">
        <f>+F17</f>
        <v>2017</v>
      </c>
      <c r="G28" s="36" t="s">
        <v>170</v>
      </c>
      <c r="H28" s="36" t="s">
        <v>171</v>
      </c>
    </row>
    <row r="29" spans="2:8" x14ac:dyDescent="0.2">
      <c r="C29" s="1537" t="s">
        <v>162</v>
      </c>
      <c r="D29" s="37" t="s">
        <v>162</v>
      </c>
      <c r="E29" s="38">
        <v>51225</v>
      </c>
      <c r="F29" s="38">
        <v>69028</v>
      </c>
      <c r="G29" s="40">
        <f t="shared" ref="G29:G37" si="0">(F29/E29)^(1/(2017-2007))-1</f>
        <v>3.027777724270031E-2</v>
      </c>
      <c r="H29" s="42">
        <f>G29</f>
        <v>3.027777724270031E-2</v>
      </c>
    </row>
    <row r="30" spans="2:8" x14ac:dyDescent="0.2">
      <c r="C30" s="1537"/>
      <c r="D30" s="37" t="s">
        <v>190</v>
      </c>
      <c r="E30" s="38">
        <v>1213</v>
      </c>
      <c r="F30" s="38">
        <v>1339</v>
      </c>
      <c r="G30" s="40">
        <f t="shared" si="0"/>
        <v>9.9316382633922728E-3</v>
      </c>
      <c r="H30" s="42">
        <f t="shared" ref="H30:H37" si="1">G30</f>
        <v>9.9316382633922728E-3</v>
      </c>
    </row>
    <row r="31" spans="2:8" x14ac:dyDescent="0.2">
      <c r="C31" s="1537"/>
      <c r="D31" s="37" t="s">
        <v>184</v>
      </c>
      <c r="E31" s="38">
        <v>2498</v>
      </c>
      <c r="F31" s="38">
        <v>1866</v>
      </c>
      <c r="G31" s="40">
        <f t="shared" si="0"/>
        <v>-2.8748012458718053E-2</v>
      </c>
      <c r="H31" s="42">
        <f t="shared" si="1"/>
        <v>-2.8748012458718053E-2</v>
      </c>
    </row>
    <row r="32" spans="2:8" x14ac:dyDescent="0.2">
      <c r="C32" s="1537"/>
      <c r="D32" s="37" t="s">
        <v>191</v>
      </c>
      <c r="E32" s="38">
        <v>16532</v>
      </c>
      <c r="F32" s="38">
        <v>16223</v>
      </c>
      <c r="G32" s="40">
        <f t="shared" si="0"/>
        <v>-1.8850119512807684E-3</v>
      </c>
      <c r="H32" s="42">
        <f t="shared" si="1"/>
        <v>-1.8850119512807684E-3</v>
      </c>
    </row>
    <row r="33" spans="3:8" x14ac:dyDescent="0.2">
      <c r="C33" s="1537"/>
      <c r="D33" s="37" t="s">
        <v>185</v>
      </c>
      <c r="E33" s="38">
        <v>4515</v>
      </c>
      <c r="F33" s="38">
        <v>2886</v>
      </c>
      <c r="G33" s="40">
        <f t="shared" si="0"/>
        <v>-4.376671396631282E-2</v>
      </c>
      <c r="H33" s="42">
        <f t="shared" si="1"/>
        <v>-4.376671396631282E-2</v>
      </c>
    </row>
    <row r="34" spans="3:8" x14ac:dyDescent="0.2">
      <c r="C34" s="1537"/>
      <c r="D34" s="37" t="s">
        <v>187</v>
      </c>
      <c r="E34" s="38">
        <v>5043</v>
      </c>
      <c r="F34" s="38">
        <v>3002</v>
      </c>
      <c r="G34" s="40">
        <f t="shared" si="0"/>
        <v>-5.0549840091358322E-2</v>
      </c>
      <c r="H34" s="42">
        <f t="shared" si="1"/>
        <v>-5.0549840091358322E-2</v>
      </c>
    </row>
    <row r="35" spans="3:8" x14ac:dyDescent="0.2">
      <c r="C35" s="1537"/>
      <c r="D35" s="37" t="s">
        <v>186</v>
      </c>
      <c r="E35" s="38">
        <v>4154</v>
      </c>
      <c r="F35" s="38">
        <v>2774</v>
      </c>
      <c r="G35" s="40">
        <f t="shared" si="0"/>
        <v>-3.9573805425316633E-2</v>
      </c>
      <c r="H35" s="42">
        <f t="shared" si="1"/>
        <v>-3.9573805425316633E-2</v>
      </c>
    </row>
    <row r="36" spans="3:8" ht="25.5" x14ac:dyDescent="0.2">
      <c r="C36" s="1537"/>
      <c r="D36" s="37" t="s">
        <v>192</v>
      </c>
      <c r="E36" s="38">
        <v>3531</v>
      </c>
      <c r="F36" s="39">
        <v>2541</v>
      </c>
      <c r="G36" s="40">
        <f t="shared" si="0"/>
        <v>-3.2366947201163843E-2</v>
      </c>
      <c r="H36" s="42">
        <f t="shared" si="1"/>
        <v>-3.2366947201163843E-2</v>
      </c>
    </row>
    <row r="37" spans="3:8" x14ac:dyDescent="0.2">
      <c r="C37" s="1537"/>
      <c r="D37" s="37" t="s">
        <v>193</v>
      </c>
      <c r="E37" s="38">
        <v>7353</v>
      </c>
      <c r="F37" s="39">
        <v>10861</v>
      </c>
      <c r="G37" s="40">
        <f t="shared" si="0"/>
        <v>3.9777761869776995E-2</v>
      </c>
      <c r="H37" s="42">
        <f t="shared" si="1"/>
        <v>3.9777761869776995E-2</v>
      </c>
    </row>
    <row r="1048490" spans="4:4" x14ac:dyDescent="0.2">
      <c r="D1048490" s="37"/>
    </row>
  </sheetData>
  <sortState xmlns:xlrd2="http://schemas.microsoft.com/office/spreadsheetml/2017/richdata2" ref="D19:D25">
    <sortCondition ref="D19"/>
  </sortState>
  <mergeCells count="4">
    <mergeCell ref="D5:H5"/>
    <mergeCell ref="D16:H16"/>
    <mergeCell ref="D27:H27"/>
    <mergeCell ref="C29:C37"/>
  </mergeCells>
  <pageMargins left="0.7" right="0.7" top="0.75" bottom="0.75" header="0.3" footer="0.3"/>
  <pageSetup scale="8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101"/>
  <sheetViews>
    <sheetView view="pageBreakPreview" zoomScaleNormal="100" zoomScaleSheetLayoutView="100" workbookViewId="0">
      <selection activeCell="M17" sqref="M17"/>
    </sheetView>
  </sheetViews>
  <sheetFormatPr baseColWidth="10" defaultColWidth="11.42578125" defaultRowHeight="15" x14ac:dyDescent="0.25"/>
  <cols>
    <col min="1" max="3" width="21.28515625" style="5" customWidth="1"/>
    <col min="4" max="4" width="20.42578125" style="5" customWidth="1"/>
    <col min="5" max="5" width="24" style="71" customWidth="1"/>
    <col min="6" max="6" width="22.42578125" style="71" hidden="1" customWidth="1"/>
    <col min="7" max="7" width="21.140625" style="71" customWidth="1"/>
    <col min="8" max="8" width="23.85546875" style="71" customWidth="1"/>
    <col min="9" max="9" width="22.7109375" style="5" hidden="1" customWidth="1"/>
    <col min="10" max="10" width="18.28515625" style="5" hidden="1" customWidth="1"/>
    <col min="11" max="16384" width="11.42578125" style="5"/>
  </cols>
  <sheetData>
    <row r="1" spans="1:11" x14ac:dyDescent="0.25">
      <c r="B1" s="13" t="s">
        <v>164</v>
      </c>
      <c r="C1" s="13" t="s">
        <v>163</v>
      </c>
      <c r="D1" s="18" t="s">
        <v>150</v>
      </c>
      <c r="E1" s="67" t="s">
        <v>55</v>
      </c>
      <c r="F1" s="67" t="s">
        <v>151</v>
      </c>
      <c r="G1" s="67" t="s">
        <v>152</v>
      </c>
      <c r="H1" s="67" t="s">
        <v>149</v>
      </c>
      <c r="I1" s="18" t="s">
        <v>154</v>
      </c>
      <c r="J1" s="18" t="s">
        <v>153</v>
      </c>
    </row>
    <row r="2" spans="1:11" x14ac:dyDescent="0.25">
      <c r="A2" s="18" t="s">
        <v>44</v>
      </c>
      <c r="B2" s="25">
        <v>29381884</v>
      </c>
      <c r="C2" s="23">
        <v>405759</v>
      </c>
      <c r="D2" s="20">
        <v>110520</v>
      </c>
      <c r="E2" s="68">
        <v>142477</v>
      </c>
      <c r="F2" s="68">
        <v>11310</v>
      </c>
      <c r="G2" s="68">
        <v>24307</v>
      </c>
      <c r="H2" s="68">
        <v>45247</v>
      </c>
      <c r="I2" s="20">
        <v>50656</v>
      </c>
      <c r="J2" s="20">
        <v>21242</v>
      </c>
    </row>
    <row r="3" spans="1:11" x14ac:dyDescent="0.25">
      <c r="A3" s="18"/>
      <c r="B3" s="24"/>
      <c r="C3" s="24"/>
      <c r="D3" s="20"/>
      <c r="E3" s="68"/>
      <c r="F3" s="68"/>
      <c r="G3" s="68"/>
      <c r="H3" s="68"/>
      <c r="I3" s="20"/>
      <c r="J3" s="20"/>
    </row>
    <row r="4" spans="1:11" x14ac:dyDescent="0.25">
      <c r="A4" s="19" t="s">
        <v>56</v>
      </c>
      <c r="B4" s="26">
        <v>475716</v>
      </c>
      <c r="C4" s="21">
        <v>6892</v>
      </c>
      <c r="D4" s="21">
        <v>1844</v>
      </c>
      <c r="E4" s="69">
        <v>2509</v>
      </c>
      <c r="F4" s="69">
        <v>151</v>
      </c>
      <c r="G4" s="69">
        <v>361</v>
      </c>
      <c r="H4" s="69">
        <v>837</v>
      </c>
      <c r="I4" s="21">
        <v>905</v>
      </c>
      <c r="J4" s="21">
        <v>285</v>
      </c>
    </row>
    <row r="5" spans="1:11" x14ac:dyDescent="0.25">
      <c r="A5" s="19" t="s">
        <v>50</v>
      </c>
      <c r="B5" s="26">
        <v>503748</v>
      </c>
      <c r="C5" s="21">
        <v>7216</v>
      </c>
      <c r="D5" s="21">
        <v>1921</v>
      </c>
      <c r="E5" s="69">
        <v>2596</v>
      </c>
      <c r="F5" s="69">
        <v>165</v>
      </c>
      <c r="G5" s="69">
        <v>351</v>
      </c>
      <c r="H5" s="69">
        <v>880</v>
      </c>
      <c r="I5" s="21">
        <v>944</v>
      </c>
      <c r="J5" s="21">
        <v>359</v>
      </c>
    </row>
    <row r="6" spans="1:11" x14ac:dyDescent="0.25">
      <c r="A6" s="19" t="s">
        <v>57</v>
      </c>
      <c r="B6" s="27">
        <v>524181</v>
      </c>
      <c r="C6" s="22">
        <v>7400</v>
      </c>
      <c r="D6" s="22">
        <v>1852</v>
      </c>
      <c r="E6" s="70">
        <v>2776</v>
      </c>
      <c r="F6" s="70">
        <v>163</v>
      </c>
      <c r="G6" s="70">
        <v>403</v>
      </c>
      <c r="H6" s="70">
        <v>939</v>
      </c>
      <c r="I6" s="22">
        <v>987</v>
      </c>
      <c r="J6" s="22">
        <v>280</v>
      </c>
    </row>
    <row r="7" spans="1:11" x14ac:dyDescent="0.25">
      <c r="A7" s="19" t="s">
        <v>58</v>
      </c>
      <c r="B7" s="26">
        <v>534295</v>
      </c>
      <c r="C7" s="21">
        <v>7496</v>
      </c>
      <c r="D7" s="21">
        <v>1952</v>
      </c>
      <c r="E7" s="69">
        <v>2810</v>
      </c>
      <c r="F7" s="69">
        <v>194</v>
      </c>
      <c r="G7" s="69">
        <v>392</v>
      </c>
      <c r="H7" s="69">
        <v>827</v>
      </c>
      <c r="I7" s="21">
        <v>940</v>
      </c>
      <c r="J7" s="21">
        <v>381</v>
      </c>
    </row>
    <row r="8" spans="1:11" x14ac:dyDescent="0.25">
      <c r="A8" s="19" t="s">
        <v>59</v>
      </c>
      <c r="B8" s="26">
        <v>511262</v>
      </c>
      <c r="C8" s="21">
        <v>6981</v>
      </c>
      <c r="D8" s="21">
        <v>1844</v>
      </c>
      <c r="E8" s="69">
        <v>2546</v>
      </c>
      <c r="F8" s="69">
        <v>155</v>
      </c>
      <c r="G8" s="69">
        <v>348</v>
      </c>
      <c r="H8" s="69">
        <v>858</v>
      </c>
      <c r="I8" s="21">
        <v>896</v>
      </c>
      <c r="J8" s="21">
        <v>334</v>
      </c>
      <c r="K8" s="193">
        <f>SUM(D4:D8)</f>
        <v>9413</v>
      </c>
    </row>
    <row r="9" spans="1:11" x14ac:dyDescent="0.25">
      <c r="A9" s="19" t="s">
        <v>51</v>
      </c>
      <c r="B9" s="26">
        <v>516416</v>
      </c>
      <c r="C9" s="21">
        <v>7286</v>
      </c>
      <c r="D9" s="21">
        <v>1885</v>
      </c>
      <c r="E9" s="69">
        <v>2684</v>
      </c>
      <c r="F9" s="69">
        <v>164</v>
      </c>
      <c r="G9" s="69">
        <v>351</v>
      </c>
      <c r="H9" s="69">
        <v>893</v>
      </c>
      <c r="I9" s="21">
        <v>928</v>
      </c>
      <c r="J9" s="21">
        <v>381</v>
      </c>
    </row>
    <row r="10" spans="1:11" x14ac:dyDescent="0.25">
      <c r="A10" s="19" t="s">
        <v>52</v>
      </c>
      <c r="B10" s="26">
        <v>535534</v>
      </c>
      <c r="C10" s="21">
        <v>7575</v>
      </c>
      <c r="D10" s="21">
        <v>1914</v>
      </c>
      <c r="E10" s="69">
        <v>2744</v>
      </c>
      <c r="F10" s="69">
        <v>193</v>
      </c>
      <c r="G10" s="69">
        <v>365</v>
      </c>
      <c r="H10" s="69">
        <v>952</v>
      </c>
      <c r="I10" s="21">
        <v>981</v>
      </c>
      <c r="J10" s="21">
        <v>426</v>
      </c>
    </row>
    <row r="11" spans="1:11" x14ac:dyDescent="0.25">
      <c r="A11" s="19" t="s">
        <v>60</v>
      </c>
      <c r="B11" s="26">
        <v>547909</v>
      </c>
      <c r="C11" s="21">
        <v>8002</v>
      </c>
      <c r="D11" s="21">
        <v>2004</v>
      </c>
      <c r="E11" s="69">
        <v>2849</v>
      </c>
      <c r="F11" s="69">
        <v>260</v>
      </c>
      <c r="G11" s="69">
        <v>439</v>
      </c>
      <c r="H11" s="69">
        <v>1059</v>
      </c>
      <c r="I11" s="21">
        <v>975</v>
      </c>
      <c r="J11" s="21">
        <v>416</v>
      </c>
    </row>
    <row r="12" spans="1:11" x14ac:dyDescent="0.25">
      <c r="A12" s="19" t="s">
        <v>61</v>
      </c>
      <c r="B12" s="26">
        <v>535203</v>
      </c>
      <c r="C12" s="21">
        <v>8185</v>
      </c>
      <c r="D12" s="21">
        <v>2072</v>
      </c>
      <c r="E12" s="69">
        <v>2941</v>
      </c>
      <c r="F12" s="69">
        <v>239</v>
      </c>
      <c r="G12" s="69">
        <v>420</v>
      </c>
      <c r="H12" s="69">
        <v>948</v>
      </c>
      <c r="I12" s="21">
        <v>1095</v>
      </c>
      <c r="J12" s="21">
        <v>470</v>
      </c>
    </row>
    <row r="13" spans="1:11" x14ac:dyDescent="0.25">
      <c r="A13" s="19" t="s">
        <v>62</v>
      </c>
      <c r="B13" s="26">
        <v>511922</v>
      </c>
      <c r="C13" s="21">
        <v>8290</v>
      </c>
      <c r="D13" s="21">
        <v>1976</v>
      </c>
      <c r="E13" s="69">
        <v>2957</v>
      </c>
      <c r="F13" s="69">
        <v>257</v>
      </c>
      <c r="G13" s="69">
        <v>450</v>
      </c>
      <c r="H13" s="69">
        <v>974</v>
      </c>
      <c r="I13" s="21">
        <v>1185</v>
      </c>
      <c r="J13" s="21">
        <v>491</v>
      </c>
    </row>
    <row r="14" spans="1:11" x14ac:dyDescent="0.25">
      <c r="A14" s="19" t="s">
        <v>63</v>
      </c>
      <c r="B14" s="26">
        <v>532947</v>
      </c>
      <c r="C14" s="21">
        <v>8757</v>
      </c>
      <c r="D14" s="21">
        <v>2062</v>
      </c>
      <c r="E14" s="69">
        <v>3123</v>
      </c>
      <c r="F14" s="69">
        <v>297</v>
      </c>
      <c r="G14" s="69">
        <v>466</v>
      </c>
      <c r="H14" s="69">
        <v>1111</v>
      </c>
      <c r="I14" s="21">
        <v>1167</v>
      </c>
      <c r="J14" s="21">
        <v>531</v>
      </c>
    </row>
    <row r="15" spans="1:11" x14ac:dyDescent="0.25">
      <c r="A15" s="19" t="s">
        <v>64</v>
      </c>
      <c r="B15" s="26">
        <v>544366</v>
      </c>
      <c r="C15" s="21">
        <v>9411</v>
      </c>
      <c r="D15" s="21">
        <v>2293</v>
      </c>
      <c r="E15" s="69">
        <v>3368</v>
      </c>
      <c r="F15" s="69">
        <v>275</v>
      </c>
      <c r="G15" s="69">
        <v>534</v>
      </c>
      <c r="H15" s="69">
        <v>1133</v>
      </c>
      <c r="I15" s="21">
        <v>1222</v>
      </c>
      <c r="J15" s="21">
        <v>586</v>
      </c>
    </row>
    <row r="16" spans="1:11" x14ac:dyDescent="0.25">
      <c r="A16" s="19" t="s">
        <v>65</v>
      </c>
      <c r="B16" s="26">
        <v>523192</v>
      </c>
      <c r="C16" s="21">
        <v>8855</v>
      </c>
      <c r="D16" s="21">
        <v>2204</v>
      </c>
      <c r="E16" s="69">
        <v>3059</v>
      </c>
      <c r="F16" s="69">
        <v>259</v>
      </c>
      <c r="G16" s="69">
        <v>530</v>
      </c>
      <c r="H16" s="69">
        <v>1028</v>
      </c>
      <c r="I16" s="21">
        <v>1261</v>
      </c>
      <c r="J16" s="21">
        <v>514</v>
      </c>
    </row>
    <row r="17" spans="1:10" x14ac:dyDescent="0.25">
      <c r="A17" s="19" t="s">
        <v>66</v>
      </c>
      <c r="B17" s="26">
        <v>501000</v>
      </c>
      <c r="C17" s="21">
        <v>8283</v>
      </c>
      <c r="D17" s="21">
        <v>1996</v>
      </c>
      <c r="E17" s="69">
        <v>3021</v>
      </c>
      <c r="F17" s="69">
        <v>221</v>
      </c>
      <c r="G17" s="69">
        <v>520</v>
      </c>
      <c r="H17" s="69">
        <v>1054</v>
      </c>
      <c r="I17" s="21">
        <v>1022</v>
      </c>
      <c r="J17" s="21">
        <v>449</v>
      </c>
    </row>
    <row r="18" spans="1:10" x14ac:dyDescent="0.25">
      <c r="A18" s="19" t="s">
        <v>67</v>
      </c>
      <c r="B18" s="26">
        <v>483528</v>
      </c>
      <c r="C18" s="21">
        <v>7643</v>
      </c>
      <c r="D18" s="21">
        <v>1818</v>
      </c>
      <c r="E18" s="69">
        <v>2805</v>
      </c>
      <c r="F18" s="69">
        <v>218</v>
      </c>
      <c r="G18" s="69">
        <v>557</v>
      </c>
      <c r="H18" s="69">
        <v>938</v>
      </c>
      <c r="I18" s="21">
        <v>902</v>
      </c>
      <c r="J18" s="21">
        <v>405</v>
      </c>
    </row>
    <row r="19" spans="1:10" x14ac:dyDescent="0.25">
      <c r="A19" s="19" t="s">
        <v>68</v>
      </c>
      <c r="B19" s="26">
        <v>476818</v>
      </c>
      <c r="C19" s="21">
        <v>7509</v>
      </c>
      <c r="D19" s="21">
        <v>1963</v>
      </c>
      <c r="E19" s="69">
        <v>2703</v>
      </c>
      <c r="F19" s="69">
        <v>167</v>
      </c>
      <c r="G19" s="69">
        <v>424</v>
      </c>
      <c r="H19" s="69">
        <v>953</v>
      </c>
      <c r="I19" s="21">
        <v>946</v>
      </c>
      <c r="J19" s="21">
        <v>353</v>
      </c>
    </row>
    <row r="20" spans="1:10" x14ac:dyDescent="0.25">
      <c r="A20" s="19" t="s">
        <v>69</v>
      </c>
      <c r="B20" s="26">
        <v>489932</v>
      </c>
      <c r="C20" s="21">
        <v>7111</v>
      </c>
      <c r="D20" s="21">
        <v>1957</v>
      </c>
      <c r="E20" s="69">
        <v>2698</v>
      </c>
      <c r="F20" s="69">
        <v>130</v>
      </c>
      <c r="G20" s="69">
        <v>311</v>
      </c>
      <c r="H20" s="69">
        <v>790</v>
      </c>
      <c r="I20" s="21">
        <v>875</v>
      </c>
      <c r="J20" s="21">
        <v>350</v>
      </c>
    </row>
    <row r="21" spans="1:10" x14ac:dyDescent="0.25">
      <c r="A21" s="19" t="s">
        <v>70</v>
      </c>
      <c r="B21" s="26">
        <v>500521</v>
      </c>
      <c r="C21" s="21">
        <v>6763</v>
      </c>
      <c r="D21" s="21">
        <v>2040</v>
      </c>
      <c r="E21" s="69">
        <v>2464</v>
      </c>
      <c r="F21" s="69">
        <v>120</v>
      </c>
      <c r="G21" s="69">
        <v>305</v>
      </c>
      <c r="H21" s="69">
        <v>655</v>
      </c>
      <c r="I21" s="21">
        <v>840</v>
      </c>
      <c r="J21" s="21">
        <v>339</v>
      </c>
    </row>
    <row r="22" spans="1:10" x14ac:dyDescent="0.25">
      <c r="A22" s="19" t="s">
        <v>71</v>
      </c>
      <c r="B22" s="26">
        <v>471679</v>
      </c>
      <c r="C22" s="21">
        <v>5966</v>
      </c>
      <c r="D22" s="21">
        <v>1908</v>
      </c>
      <c r="E22" s="69">
        <v>2200</v>
      </c>
      <c r="F22" s="69">
        <v>101</v>
      </c>
      <c r="G22" s="69">
        <v>257</v>
      </c>
      <c r="H22" s="69">
        <v>504</v>
      </c>
      <c r="I22" s="21">
        <v>721</v>
      </c>
      <c r="J22" s="21">
        <v>275</v>
      </c>
    </row>
    <row r="23" spans="1:10" x14ac:dyDescent="0.25">
      <c r="A23" s="19" t="s">
        <v>72</v>
      </c>
      <c r="B23" s="26">
        <v>495554</v>
      </c>
      <c r="C23" s="21">
        <v>6074</v>
      </c>
      <c r="D23" s="21">
        <v>2008</v>
      </c>
      <c r="E23" s="69">
        <v>2240</v>
      </c>
      <c r="F23" s="69">
        <v>95</v>
      </c>
      <c r="G23" s="69">
        <v>262</v>
      </c>
      <c r="H23" s="69">
        <v>575</v>
      </c>
      <c r="I23" s="21">
        <v>663</v>
      </c>
      <c r="J23" s="21">
        <v>231</v>
      </c>
    </row>
    <row r="24" spans="1:10" x14ac:dyDescent="0.25">
      <c r="A24" s="19" t="s">
        <v>73</v>
      </c>
      <c r="B24" s="26">
        <v>502164</v>
      </c>
      <c r="C24" s="21">
        <v>6380</v>
      </c>
      <c r="D24" s="21">
        <v>2180</v>
      </c>
      <c r="E24" s="69">
        <v>2261</v>
      </c>
      <c r="F24" s="69">
        <v>134</v>
      </c>
      <c r="G24" s="69">
        <v>261</v>
      </c>
      <c r="H24" s="69">
        <v>567</v>
      </c>
      <c r="I24" s="21">
        <v>724</v>
      </c>
      <c r="J24" s="21">
        <v>253</v>
      </c>
    </row>
    <row r="25" spans="1:10" x14ac:dyDescent="0.25">
      <c r="A25" s="19" t="s">
        <v>74</v>
      </c>
      <c r="B25" s="26">
        <v>505897</v>
      </c>
      <c r="C25" s="21">
        <v>6577</v>
      </c>
      <c r="D25" s="21">
        <v>2192</v>
      </c>
      <c r="E25" s="69">
        <v>2412</v>
      </c>
      <c r="F25" s="69">
        <v>127</v>
      </c>
      <c r="G25" s="69">
        <v>292</v>
      </c>
      <c r="H25" s="69">
        <v>553</v>
      </c>
      <c r="I25" s="21">
        <v>752</v>
      </c>
      <c r="J25" s="21">
        <v>249</v>
      </c>
    </row>
    <row r="26" spans="1:10" x14ac:dyDescent="0.25">
      <c r="A26" s="19" t="s">
        <v>75</v>
      </c>
      <c r="B26" s="26">
        <v>498640</v>
      </c>
      <c r="C26" s="21">
        <v>6562</v>
      </c>
      <c r="D26" s="21">
        <v>2129</v>
      </c>
      <c r="E26" s="69">
        <v>2432</v>
      </c>
      <c r="F26" s="69">
        <v>117</v>
      </c>
      <c r="G26" s="69">
        <v>252</v>
      </c>
      <c r="H26" s="69">
        <v>572</v>
      </c>
      <c r="I26" s="21">
        <v>785</v>
      </c>
      <c r="J26" s="21">
        <v>275</v>
      </c>
    </row>
    <row r="27" spans="1:10" x14ac:dyDescent="0.25">
      <c r="A27" s="19" t="s">
        <v>76</v>
      </c>
      <c r="B27" s="26">
        <v>506481</v>
      </c>
      <c r="C27" s="21">
        <v>6472</v>
      </c>
      <c r="D27" s="21">
        <v>2185</v>
      </c>
      <c r="E27" s="69">
        <v>2275</v>
      </c>
      <c r="F27" s="69">
        <v>129</v>
      </c>
      <c r="G27" s="69">
        <v>309</v>
      </c>
      <c r="H27" s="69">
        <v>583</v>
      </c>
      <c r="I27" s="21">
        <v>748</v>
      </c>
      <c r="J27" s="21">
        <v>243</v>
      </c>
    </row>
    <row r="28" spans="1:10" x14ac:dyDescent="0.25">
      <c r="A28" s="19" t="s">
        <v>77</v>
      </c>
      <c r="B28" s="26">
        <v>505738</v>
      </c>
      <c r="C28" s="21">
        <v>6519</v>
      </c>
      <c r="D28" s="21">
        <v>2100</v>
      </c>
      <c r="E28" s="69">
        <v>2348</v>
      </c>
      <c r="F28" s="69">
        <v>125</v>
      </c>
      <c r="G28" s="69">
        <v>265</v>
      </c>
      <c r="H28" s="69">
        <v>594</v>
      </c>
      <c r="I28" s="21">
        <v>851</v>
      </c>
      <c r="J28" s="21">
        <v>236</v>
      </c>
    </row>
    <row r="29" spans="1:10" x14ac:dyDescent="0.25">
      <c r="A29" s="19" t="s">
        <v>78</v>
      </c>
      <c r="B29" s="26">
        <v>465583</v>
      </c>
      <c r="C29" s="21">
        <v>6015</v>
      </c>
      <c r="D29" s="21">
        <v>1971</v>
      </c>
      <c r="E29" s="69">
        <v>2076</v>
      </c>
      <c r="F29" s="69">
        <v>136</v>
      </c>
      <c r="G29" s="69">
        <v>303</v>
      </c>
      <c r="H29" s="69">
        <v>527</v>
      </c>
      <c r="I29" s="21">
        <v>769</v>
      </c>
      <c r="J29" s="21">
        <v>233</v>
      </c>
    </row>
    <row r="30" spans="1:10" x14ac:dyDescent="0.25">
      <c r="A30" s="19" t="s">
        <v>79</v>
      </c>
      <c r="B30" s="26">
        <v>455235</v>
      </c>
      <c r="C30" s="21">
        <v>5847</v>
      </c>
      <c r="D30" s="21">
        <v>1805</v>
      </c>
      <c r="E30" s="69">
        <v>2004</v>
      </c>
      <c r="F30" s="69">
        <v>151</v>
      </c>
      <c r="G30" s="69">
        <v>291</v>
      </c>
      <c r="H30" s="69">
        <v>521</v>
      </c>
      <c r="I30" s="21">
        <v>803</v>
      </c>
      <c r="J30" s="21">
        <v>272</v>
      </c>
    </row>
    <row r="31" spans="1:10" x14ac:dyDescent="0.25">
      <c r="A31" s="19" t="s">
        <v>53</v>
      </c>
      <c r="B31" s="26">
        <v>469318</v>
      </c>
      <c r="C31" s="21">
        <v>6071</v>
      </c>
      <c r="D31" s="21">
        <v>1991</v>
      </c>
      <c r="E31" s="69">
        <v>2007</v>
      </c>
      <c r="F31" s="69">
        <v>138</v>
      </c>
      <c r="G31" s="69">
        <v>305</v>
      </c>
      <c r="H31" s="69">
        <v>541</v>
      </c>
      <c r="I31" s="21">
        <v>842</v>
      </c>
      <c r="J31" s="21">
        <v>247</v>
      </c>
    </row>
    <row r="32" spans="1:10" x14ac:dyDescent="0.25">
      <c r="A32" s="19" t="s">
        <v>54</v>
      </c>
      <c r="B32" s="26">
        <v>490446</v>
      </c>
      <c r="C32" s="21">
        <v>6350</v>
      </c>
      <c r="D32" s="21">
        <v>1959</v>
      </c>
      <c r="E32" s="69">
        <v>2198</v>
      </c>
      <c r="F32" s="69">
        <v>151</v>
      </c>
      <c r="G32" s="69">
        <v>298</v>
      </c>
      <c r="H32" s="69">
        <v>538</v>
      </c>
      <c r="I32" s="21">
        <v>922</v>
      </c>
      <c r="J32" s="21">
        <v>284</v>
      </c>
    </row>
    <row r="33" spans="1:10" x14ac:dyDescent="0.25">
      <c r="A33" s="19" t="s">
        <v>80</v>
      </c>
      <c r="B33" s="26">
        <v>478164</v>
      </c>
      <c r="C33" s="21">
        <v>6015</v>
      </c>
      <c r="D33" s="21">
        <v>1855</v>
      </c>
      <c r="E33" s="69">
        <v>2097</v>
      </c>
      <c r="F33" s="69">
        <v>134</v>
      </c>
      <c r="G33" s="69">
        <v>250</v>
      </c>
      <c r="H33" s="69">
        <v>582</v>
      </c>
      <c r="I33" s="21">
        <v>833</v>
      </c>
      <c r="J33" s="21">
        <v>264</v>
      </c>
    </row>
    <row r="34" spans="1:10" x14ac:dyDescent="0.25">
      <c r="A34" s="19" t="s">
        <v>81</v>
      </c>
      <c r="B34" s="26">
        <v>444392</v>
      </c>
      <c r="C34" s="21">
        <v>5744</v>
      </c>
      <c r="D34" s="21">
        <v>1752</v>
      </c>
      <c r="E34" s="69">
        <v>1989</v>
      </c>
      <c r="F34" s="69">
        <v>165</v>
      </c>
      <c r="G34" s="69">
        <v>276</v>
      </c>
      <c r="H34" s="69">
        <v>531</v>
      </c>
      <c r="I34" s="21">
        <v>800</v>
      </c>
      <c r="J34" s="21">
        <v>231</v>
      </c>
    </row>
    <row r="35" spans="1:10" x14ac:dyDescent="0.25">
      <c r="A35" s="19" t="s">
        <v>82</v>
      </c>
      <c r="B35" s="26">
        <v>453734</v>
      </c>
      <c r="C35" s="21">
        <v>5616</v>
      </c>
      <c r="D35" s="21">
        <v>1652</v>
      </c>
      <c r="E35" s="69">
        <v>1970</v>
      </c>
      <c r="F35" s="69">
        <v>143</v>
      </c>
      <c r="G35" s="69">
        <v>283</v>
      </c>
      <c r="H35" s="69">
        <v>542</v>
      </c>
      <c r="I35" s="21">
        <v>778</v>
      </c>
      <c r="J35" s="21">
        <v>248</v>
      </c>
    </row>
    <row r="36" spans="1:10" x14ac:dyDescent="0.25">
      <c r="A36" s="19" t="s">
        <v>83</v>
      </c>
      <c r="B36" s="26">
        <v>433085</v>
      </c>
      <c r="C36" s="21">
        <v>5369</v>
      </c>
      <c r="D36" s="21">
        <v>1709</v>
      </c>
      <c r="E36" s="69">
        <v>1785</v>
      </c>
      <c r="F36" s="69">
        <v>132</v>
      </c>
      <c r="G36" s="69">
        <v>257</v>
      </c>
      <c r="H36" s="69">
        <v>530</v>
      </c>
      <c r="I36" s="21">
        <v>743</v>
      </c>
      <c r="J36" s="21">
        <v>213</v>
      </c>
    </row>
    <row r="37" spans="1:10" x14ac:dyDescent="0.25">
      <c r="A37" s="19" t="s">
        <v>84</v>
      </c>
      <c r="B37" s="26">
        <v>447727</v>
      </c>
      <c r="C37" s="21">
        <v>5630</v>
      </c>
      <c r="D37" s="21">
        <v>1666</v>
      </c>
      <c r="E37" s="69">
        <v>1935</v>
      </c>
      <c r="F37" s="69">
        <v>180</v>
      </c>
      <c r="G37" s="69">
        <v>281</v>
      </c>
      <c r="H37" s="69">
        <v>547</v>
      </c>
      <c r="I37" s="21">
        <v>766</v>
      </c>
      <c r="J37" s="21">
        <v>255</v>
      </c>
    </row>
    <row r="38" spans="1:10" x14ac:dyDescent="0.25">
      <c r="A38" s="19" t="s">
        <v>85</v>
      </c>
      <c r="B38" s="26">
        <v>450070</v>
      </c>
      <c r="C38" s="21">
        <v>5867</v>
      </c>
      <c r="D38" s="21">
        <v>1715</v>
      </c>
      <c r="E38" s="69">
        <v>1978</v>
      </c>
      <c r="F38" s="69">
        <v>152</v>
      </c>
      <c r="G38" s="69">
        <v>320</v>
      </c>
      <c r="H38" s="69">
        <v>606</v>
      </c>
      <c r="I38" s="21">
        <v>800</v>
      </c>
      <c r="J38" s="21">
        <v>296</v>
      </c>
    </row>
    <row r="39" spans="1:10" x14ac:dyDescent="0.25">
      <c r="A39" s="19" t="s">
        <v>86</v>
      </c>
      <c r="B39" s="26">
        <v>428618</v>
      </c>
      <c r="C39" s="21">
        <v>5374</v>
      </c>
      <c r="D39" s="21">
        <v>1557</v>
      </c>
      <c r="E39" s="69">
        <v>1860</v>
      </c>
      <c r="F39" s="69">
        <v>147</v>
      </c>
      <c r="G39" s="69">
        <v>318</v>
      </c>
      <c r="H39" s="69">
        <v>563</v>
      </c>
      <c r="I39" s="21">
        <v>726</v>
      </c>
      <c r="J39" s="21">
        <v>203</v>
      </c>
    </row>
    <row r="40" spans="1:10" x14ac:dyDescent="0.25">
      <c r="A40" s="19" t="s">
        <v>87</v>
      </c>
      <c r="B40" s="26">
        <v>423289</v>
      </c>
      <c r="C40" s="21">
        <v>5383</v>
      </c>
      <c r="D40" s="21">
        <v>1514</v>
      </c>
      <c r="E40" s="69">
        <v>1848</v>
      </c>
      <c r="F40" s="69">
        <v>164</v>
      </c>
      <c r="G40" s="69">
        <v>313</v>
      </c>
      <c r="H40" s="69">
        <v>546</v>
      </c>
      <c r="I40" s="21">
        <v>749</v>
      </c>
      <c r="J40" s="21">
        <v>249</v>
      </c>
    </row>
    <row r="41" spans="1:10" x14ac:dyDescent="0.25">
      <c r="A41" s="19" t="s">
        <v>88</v>
      </c>
      <c r="B41" s="26">
        <v>416178</v>
      </c>
      <c r="C41" s="21">
        <v>5225</v>
      </c>
      <c r="D41" s="21">
        <v>1443</v>
      </c>
      <c r="E41" s="69">
        <v>1825</v>
      </c>
      <c r="F41" s="69">
        <v>156</v>
      </c>
      <c r="G41" s="69">
        <v>290</v>
      </c>
      <c r="H41" s="69">
        <v>565</v>
      </c>
      <c r="I41" s="21">
        <v>690</v>
      </c>
      <c r="J41" s="21">
        <v>256</v>
      </c>
    </row>
    <row r="42" spans="1:10" x14ac:dyDescent="0.25">
      <c r="A42" s="19" t="s">
        <v>89</v>
      </c>
      <c r="B42" s="26">
        <v>404520</v>
      </c>
      <c r="C42" s="21">
        <v>4979</v>
      </c>
      <c r="D42" s="21">
        <v>1366</v>
      </c>
      <c r="E42" s="69">
        <v>1681</v>
      </c>
      <c r="F42" s="69">
        <v>149</v>
      </c>
      <c r="G42" s="69">
        <v>292</v>
      </c>
      <c r="H42" s="69">
        <v>534</v>
      </c>
      <c r="I42" s="21">
        <v>721</v>
      </c>
      <c r="J42" s="21">
        <v>236</v>
      </c>
    </row>
    <row r="43" spans="1:10" x14ac:dyDescent="0.25">
      <c r="A43" s="19" t="s">
        <v>90</v>
      </c>
      <c r="B43" s="26">
        <v>410716</v>
      </c>
      <c r="C43" s="21">
        <v>5446</v>
      </c>
      <c r="D43" s="21">
        <v>1500</v>
      </c>
      <c r="E43" s="69">
        <v>1934</v>
      </c>
      <c r="F43" s="69">
        <v>175</v>
      </c>
      <c r="G43" s="69">
        <v>325</v>
      </c>
      <c r="H43" s="69">
        <v>535</v>
      </c>
      <c r="I43" s="21">
        <v>699</v>
      </c>
      <c r="J43" s="21">
        <v>278</v>
      </c>
    </row>
    <row r="44" spans="1:10" x14ac:dyDescent="0.25">
      <c r="A44" s="19" t="s">
        <v>91</v>
      </c>
      <c r="B44" s="26">
        <v>400073</v>
      </c>
      <c r="C44" s="21">
        <v>5153</v>
      </c>
      <c r="D44" s="21">
        <v>1385</v>
      </c>
      <c r="E44" s="69">
        <v>1814</v>
      </c>
      <c r="F44" s="69">
        <v>153</v>
      </c>
      <c r="G44" s="69">
        <v>308</v>
      </c>
      <c r="H44" s="69">
        <v>596</v>
      </c>
      <c r="I44" s="21">
        <v>633</v>
      </c>
      <c r="J44" s="21">
        <v>264</v>
      </c>
    </row>
    <row r="45" spans="1:10" x14ac:dyDescent="0.25">
      <c r="A45" s="19" t="s">
        <v>92</v>
      </c>
      <c r="B45" s="26">
        <v>395057</v>
      </c>
      <c r="C45" s="21">
        <v>5024</v>
      </c>
      <c r="D45" s="21">
        <v>1310</v>
      </c>
      <c r="E45" s="69">
        <v>1711</v>
      </c>
      <c r="F45" s="69">
        <v>149</v>
      </c>
      <c r="G45" s="69">
        <v>292</v>
      </c>
      <c r="H45" s="69">
        <v>528</v>
      </c>
      <c r="I45" s="21">
        <v>747</v>
      </c>
      <c r="J45" s="21">
        <v>287</v>
      </c>
    </row>
    <row r="46" spans="1:10" x14ac:dyDescent="0.25">
      <c r="A46" s="19" t="s">
        <v>93</v>
      </c>
      <c r="B46" s="26">
        <v>381196</v>
      </c>
      <c r="C46" s="21">
        <v>4801</v>
      </c>
      <c r="D46" s="21">
        <v>1352</v>
      </c>
      <c r="E46" s="69">
        <v>1625</v>
      </c>
      <c r="F46" s="69">
        <v>150</v>
      </c>
      <c r="G46" s="69">
        <v>314</v>
      </c>
      <c r="H46" s="69">
        <v>493</v>
      </c>
      <c r="I46" s="21">
        <v>605</v>
      </c>
      <c r="J46" s="21">
        <v>262</v>
      </c>
    </row>
    <row r="47" spans="1:10" x14ac:dyDescent="0.25">
      <c r="A47" s="19" t="s">
        <v>94</v>
      </c>
      <c r="B47" s="26">
        <v>365619</v>
      </c>
      <c r="C47" s="21">
        <v>4791</v>
      </c>
      <c r="D47" s="21">
        <v>1293</v>
      </c>
      <c r="E47" s="69">
        <v>1711</v>
      </c>
      <c r="F47" s="69">
        <v>149</v>
      </c>
      <c r="G47" s="69">
        <v>306</v>
      </c>
      <c r="H47" s="69">
        <v>505</v>
      </c>
      <c r="I47" s="21">
        <v>583</v>
      </c>
      <c r="J47" s="21">
        <v>244</v>
      </c>
    </row>
    <row r="48" spans="1:10" x14ac:dyDescent="0.25">
      <c r="A48" s="19" t="s">
        <v>95</v>
      </c>
      <c r="B48" s="26">
        <v>363153</v>
      </c>
      <c r="C48" s="21">
        <v>4650</v>
      </c>
      <c r="D48" s="21">
        <v>1304</v>
      </c>
      <c r="E48" s="69">
        <v>1599</v>
      </c>
      <c r="F48" s="69">
        <v>144</v>
      </c>
      <c r="G48" s="69">
        <v>296</v>
      </c>
      <c r="H48" s="69">
        <v>523</v>
      </c>
      <c r="I48" s="21">
        <v>538</v>
      </c>
      <c r="J48" s="21">
        <v>246</v>
      </c>
    </row>
    <row r="49" spans="1:10" x14ac:dyDescent="0.25">
      <c r="A49" s="19" t="s">
        <v>96</v>
      </c>
      <c r="B49" s="26">
        <v>347430</v>
      </c>
      <c r="C49" s="21">
        <v>4505</v>
      </c>
      <c r="D49" s="21">
        <v>1237</v>
      </c>
      <c r="E49" s="69">
        <v>1554</v>
      </c>
      <c r="F49" s="69">
        <v>114</v>
      </c>
      <c r="G49" s="69">
        <v>288</v>
      </c>
      <c r="H49" s="69">
        <v>534</v>
      </c>
      <c r="I49" s="21">
        <v>546</v>
      </c>
      <c r="J49" s="21">
        <v>232</v>
      </c>
    </row>
    <row r="50" spans="1:10" x14ac:dyDescent="0.25">
      <c r="A50" s="19" t="s">
        <v>97</v>
      </c>
      <c r="B50" s="26">
        <v>346666</v>
      </c>
      <c r="C50" s="21">
        <v>4690</v>
      </c>
      <c r="D50" s="21">
        <v>1191</v>
      </c>
      <c r="E50" s="69">
        <v>1692</v>
      </c>
      <c r="F50" s="69">
        <v>160</v>
      </c>
      <c r="G50" s="69">
        <v>269</v>
      </c>
      <c r="H50" s="69">
        <v>518</v>
      </c>
      <c r="I50" s="21">
        <v>607</v>
      </c>
      <c r="J50" s="21">
        <v>253</v>
      </c>
    </row>
    <row r="51" spans="1:10" x14ac:dyDescent="0.25">
      <c r="A51" s="19" t="s">
        <v>98</v>
      </c>
      <c r="B51" s="26">
        <v>324242</v>
      </c>
      <c r="C51" s="21">
        <v>4100</v>
      </c>
      <c r="D51" s="21">
        <v>1090</v>
      </c>
      <c r="E51" s="69">
        <v>1480</v>
      </c>
      <c r="F51" s="69">
        <v>143</v>
      </c>
      <c r="G51" s="69">
        <v>252</v>
      </c>
      <c r="H51" s="69">
        <v>483</v>
      </c>
      <c r="I51" s="21">
        <v>459</v>
      </c>
      <c r="J51" s="21">
        <v>193</v>
      </c>
    </row>
    <row r="52" spans="1:10" x14ac:dyDescent="0.25">
      <c r="A52" s="19" t="s">
        <v>99</v>
      </c>
      <c r="B52" s="26">
        <v>326226</v>
      </c>
      <c r="C52" s="21">
        <v>4418</v>
      </c>
      <c r="D52" s="21">
        <v>1160</v>
      </c>
      <c r="E52" s="69">
        <v>1589</v>
      </c>
      <c r="F52" s="69">
        <v>140</v>
      </c>
      <c r="G52" s="69">
        <v>272</v>
      </c>
      <c r="H52" s="69">
        <v>512</v>
      </c>
      <c r="I52" s="21">
        <v>511</v>
      </c>
      <c r="J52" s="21">
        <v>234</v>
      </c>
    </row>
    <row r="53" spans="1:10" x14ac:dyDescent="0.25">
      <c r="A53" s="19" t="s">
        <v>100</v>
      </c>
      <c r="B53" s="26">
        <v>315153</v>
      </c>
      <c r="C53" s="21">
        <v>4396</v>
      </c>
      <c r="D53" s="21">
        <v>1127</v>
      </c>
      <c r="E53" s="69">
        <v>1621</v>
      </c>
      <c r="F53" s="69">
        <v>140</v>
      </c>
      <c r="G53" s="69">
        <v>273</v>
      </c>
      <c r="H53" s="69">
        <v>522</v>
      </c>
      <c r="I53" s="21">
        <v>494</v>
      </c>
      <c r="J53" s="21">
        <v>219</v>
      </c>
    </row>
    <row r="54" spans="1:10" x14ac:dyDescent="0.25">
      <c r="A54" s="19" t="s">
        <v>101</v>
      </c>
      <c r="B54" s="26">
        <v>315745</v>
      </c>
      <c r="C54" s="21">
        <v>4480</v>
      </c>
      <c r="D54" s="21">
        <v>1097</v>
      </c>
      <c r="E54" s="69">
        <v>1553</v>
      </c>
      <c r="F54" s="69">
        <v>159</v>
      </c>
      <c r="G54" s="69">
        <v>330</v>
      </c>
      <c r="H54" s="69">
        <v>579</v>
      </c>
      <c r="I54" s="21">
        <v>504</v>
      </c>
      <c r="J54" s="21">
        <v>258</v>
      </c>
    </row>
    <row r="55" spans="1:10" x14ac:dyDescent="0.25">
      <c r="A55" s="19" t="s">
        <v>102</v>
      </c>
      <c r="B55" s="26">
        <v>306816</v>
      </c>
      <c r="C55" s="21">
        <v>4223</v>
      </c>
      <c r="D55" s="21">
        <v>1085</v>
      </c>
      <c r="E55" s="69">
        <v>1405</v>
      </c>
      <c r="F55" s="69">
        <v>131</v>
      </c>
      <c r="G55" s="69">
        <v>316</v>
      </c>
      <c r="H55" s="69">
        <v>516</v>
      </c>
      <c r="I55" s="21">
        <v>515</v>
      </c>
      <c r="J55" s="21">
        <v>255</v>
      </c>
    </row>
    <row r="56" spans="1:10" x14ac:dyDescent="0.25">
      <c r="A56" s="19" t="s">
        <v>103</v>
      </c>
      <c r="B56" s="26">
        <v>287698</v>
      </c>
      <c r="C56" s="21">
        <v>3651</v>
      </c>
      <c r="D56" s="21">
        <v>972</v>
      </c>
      <c r="E56" s="69">
        <v>1198</v>
      </c>
      <c r="F56" s="69">
        <v>127</v>
      </c>
      <c r="G56" s="69">
        <v>281</v>
      </c>
      <c r="H56" s="69">
        <v>424</v>
      </c>
      <c r="I56" s="21">
        <v>431</v>
      </c>
      <c r="J56" s="21">
        <v>218</v>
      </c>
    </row>
    <row r="57" spans="1:10" x14ac:dyDescent="0.25">
      <c r="A57" s="19" t="s">
        <v>104</v>
      </c>
      <c r="B57" s="26">
        <v>277813</v>
      </c>
      <c r="C57" s="21">
        <v>3321</v>
      </c>
      <c r="D57" s="21">
        <v>864</v>
      </c>
      <c r="E57" s="69">
        <v>1115</v>
      </c>
      <c r="F57" s="69">
        <v>102</v>
      </c>
      <c r="G57" s="69">
        <v>258</v>
      </c>
      <c r="H57" s="69">
        <v>357</v>
      </c>
      <c r="I57" s="21">
        <v>408</v>
      </c>
      <c r="J57" s="21">
        <v>217</v>
      </c>
    </row>
    <row r="58" spans="1:10" x14ac:dyDescent="0.25">
      <c r="A58" s="19" t="s">
        <v>105</v>
      </c>
      <c r="B58" s="26">
        <v>267196</v>
      </c>
      <c r="C58" s="21">
        <v>3525</v>
      </c>
      <c r="D58" s="21">
        <v>880</v>
      </c>
      <c r="E58" s="69">
        <v>1220</v>
      </c>
      <c r="F58" s="69">
        <v>100</v>
      </c>
      <c r="G58" s="69">
        <v>234</v>
      </c>
      <c r="H58" s="69">
        <v>404</v>
      </c>
      <c r="I58" s="21">
        <v>460</v>
      </c>
      <c r="J58" s="21">
        <v>227</v>
      </c>
    </row>
    <row r="59" spans="1:10" x14ac:dyDescent="0.25">
      <c r="A59" s="19" t="s">
        <v>106</v>
      </c>
      <c r="B59" s="26">
        <v>259097</v>
      </c>
      <c r="C59" s="21">
        <v>3345</v>
      </c>
      <c r="D59" s="21">
        <v>833</v>
      </c>
      <c r="E59" s="69">
        <v>1143</v>
      </c>
      <c r="F59" s="69">
        <v>99</v>
      </c>
      <c r="G59" s="69">
        <v>268</v>
      </c>
      <c r="H59" s="69">
        <v>421</v>
      </c>
      <c r="I59" s="21">
        <v>380</v>
      </c>
      <c r="J59" s="21">
        <v>201</v>
      </c>
    </row>
    <row r="60" spans="1:10" x14ac:dyDescent="0.25">
      <c r="A60" s="19" t="s">
        <v>107</v>
      </c>
      <c r="B60" s="26">
        <v>263572</v>
      </c>
      <c r="C60" s="21">
        <v>3608</v>
      </c>
      <c r="D60" s="21">
        <v>886</v>
      </c>
      <c r="E60" s="69">
        <v>1221</v>
      </c>
      <c r="F60" s="69">
        <v>133</v>
      </c>
      <c r="G60" s="69">
        <v>287</v>
      </c>
      <c r="H60" s="69">
        <v>419</v>
      </c>
      <c r="I60" s="21">
        <v>437</v>
      </c>
      <c r="J60" s="21">
        <v>225</v>
      </c>
    </row>
    <row r="61" spans="1:10" x14ac:dyDescent="0.25">
      <c r="A61" s="19" t="s">
        <v>108</v>
      </c>
      <c r="B61" s="26">
        <v>251571</v>
      </c>
      <c r="C61" s="21">
        <v>3288</v>
      </c>
      <c r="D61" s="21">
        <v>866</v>
      </c>
      <c r="E61" s="69">
        <v>1069</v>
      </c>
      <c r="F61" s="69">
        <v>129</v>
      </c>
      <c r="G61" s="69">
        <v>257</v>
      </c>
      <c r="H61" s="69">
        <v>375</v>
      </c>
      <c r="I61" s="21">
        <v>360</v>
      </c>
      <c r="J61" s="21">
        <v>232</v>
      </c>
    </row>
    <row r="62" spans="1:10" x14ac:dyDescent="0.25">
      <c r="A62" s="19" t="s">
        <v>109</v>
      </c>
      <c r="B62" s="26">
        <v>227907</v>
      </c>
      <c r="C62" s="21">
        <v>2774</v>
      </c>
      <c r="D62" s="21">
        <v>729</v>
      </c>
      <c r="E62" s="69">
        <v>930</v>
      </c>
      <c r="F62" s="69">
        <v>100</v>
      </c>
      <c r="G62" s="69">
        <v>223</v>
      </c>
      <c r="H62" s="69">
        <v>319</v>
      </c>
      <c r="I62" s="21">
        <v>296</v>
      </c>
      <c r="J62" s="21">
        <v>177</v>
      </c>
    </row>
    <row r="63" spans="1:10" x14ac:dyDescent="0.25">
      <c r="A63" s="19" t="s">
        <v>110</v>
      </c>
      <c r="B63" s="26">
        <v>218911</v>
      </c>
      <c r="C63" s="21">
        <v>2621</v>
      </c>
      <c r="D63" s="21">
        <v>659</v>
      </c>
      <c r="E63" s="69">
        <v>919</v>
      </c>
      <c r="F63" s="69">
        <v>92</v>
      </c>
      <c r="G63" s="69">
        <v>212</v>
      </c>
      <c r="H63" s="69">
        <v>317</v>
      </c>
      <c r="I63" s="21">
        <v>289</v>
      </c>
      <c r="J63" s="21">
        <v>133</v>
      </c>
    </row>
    <row r="64" spans="1:10" x14ac:dyDescent="0.25">
      <c r="A64" s="19" t="s">
        <v>111</v>
      </c>
      <c r="B64" s="26">
        <v>211687</v>
      </c>
      <c r="C64" s="21">
        <v>2532</v>
      </c>
      <c r="D64" s="21">
        <v>642</v>
      </c>
      <c r="E64" s="69">
        <v>873</v>
      </c>
      <c r="F64" s="69">
        <v>84</v>
      </c>
      <c r="G64" s="69">
        <v>197</v>
      </c>
      <c r="H64" s="69">
        <v>262</v>
      </c>
      <c r="I64" s="21">
        <v>278</v>
      </c>
      <c r="J64" s="21">
        <v>196</v>
      </c>
    </row>
    <row r="65" spans="1:10" x14ac:dyDescent="0.25">
      <c r="A65" s="19" t="s">
        <v>112</v>
      </c>
      <c r="B65" s="26">
        <v>211723</v>
      </c>
      <c r="C65" s="21">
        <v>2704</v>
      </c>
      <c r="D65" s="21">
        <v>688</v>
      </c>
      <c r="E65" s="69">
        <v>840</v>
      </c>
      <c r="F65" s="69">
        <v>81</v>
      </c>
      <c r="G65" s="69">
        <v>218</v>
      </c>
      <c r="H65" s="69">
        <v>308</v>
      </c>
      <c r="I65" s="21">
        <v>335</v>
      </c>
      <c r="J65" s="21">
        <v>234</v>
      </c>
    </row>
    <row r="66" spans="1:10" x14ac:dyDescent="0.25">
      <c r="A66" s="19" t="s">
        <v>113</v>
      </c>
      <c r="B66" s="26">
        <v>202124</v>
      </c>
      <c r="C66" s="21">
        <v>2632</v>
      </c>
      <c r="D66" s="21">
        <v>649</v>
      </c>
      <c r="E66" s="69">
        <v>878</v>
      </c>
      <c r="F66" s="69">
        <v>89</v>
      </c>
      <c r="G66" s="69">
        <v>223</v>
      </c>
      <c r="H66" s="69">
        <v>316</v>
      </c>
      <c r="I66" s="21">
        <v>289</v>
      </c>
      <c r="J66" s="21">
        <v>188</v>
      </c>
    </row>
    <row r="67" spans="1:10" x14ac:dyDescent="0.25">
      <c r="A67" s="19" t="s">
        <v>114</v>
      </c>
      <c r="B67" s="26">
        <v>194060</v>
      </c>
      <c r="C67" s="21">
        <v>2490</v>
      </c>
      <c r="D67" s="21">
        <v>611</v>
      </c>
      <c r="E67" s="69">
        <v>871</v>
      </c>
      <c r="F67" s="69">
        <v>79</v>
      </c>
      <c r="G67" s="69">
        <v>220</v>
      </c>
      <c r="H67" s="69">
        <v>291</v>
      </c>
      <c r="I67" s="21">
        <v>264</v>
      </c>
      <c r="J67" s="21">
        <v>154</v>
      </c>
    </row>
    <row r="68" spans="1:10" x14ac:dyDescent="0.25">
      <c r="A68" s="19" t="s">
        <v>115</v>
      </c>
      <c r="B68" s="26">
        <v>179186</v>
      </c>
      <c r="C68" s="21">
        <v>2435</v>
      </c>
      <c r="D68" s="21">
        <v>584</v>
      </c>
      <c r="E68" s="69">
        <v>821</v>
      </c>
      <c r="F68" s="69">
        <v>78</v>
      </c>
      <c r="G68" s="69">
        <v>214</v>
      </c>
      <c r="H68" s="69">
        <v>295</v>
      </c>
      <c r="I68" s="21">
        <v>276</v>
      </c>
      <c r="J68" s="21">
        <v>167</v>
      </c>
    </row>
    <row r="69" spans="1:10" x14ac:dyDescent="0.25">
      <c r="A69" s="19" t="s">
        <v>116</v>
      </c>
      <c r="B69" s="26">
        <v>165378</v>
      </c>
      <c r="C69" s="21">
        <v>2393</v>
      </c>
      <c r="D69" s="21">
        <v>562</v>
      </c>
      <c r="E69" s="69">
        <v>785</v>
      </c>
      <c r="F69" s="69">
        <v>71</v>
      </c>
      <c r="G69" s="69">
        <v>215</v>
      </c>
      <c r="H69" s="69">
        <v>329</v>
      </c>
      <c r="I69" s="21">
        <v>276</v>
      </c>
      <c r="J69" s="21">
        <v>155</v>
      </c>
    </row>
    <row r="70" spans="1:10" x14ac:dyDescent="0.25">
      <c r="A70" s="19" t="s">
        <v>117</v>
      </c>
      <c r="B70" s="26">
        <v>167462</v>
      </c>
      <c r="C70" s="21">
        <v>2358</v>
      </c>
      <c r="D70" s="21">
        <v>555</v>
      </c>
      <c r="E70" s="69">
        <v>774</v>
      </c>
      <c r="F70" s="69">
        <v>85</v>
      </c>
      <c r="G70" s="69">
        <v>200</v>
      </c>
      <c r="H70" s="69">
        <v>296</v>
      </c>
      <c r="I70" s="21">
        <v>276</v>
      </c>
      <c r="J70" s="21">
        <v>172</v>
      </c>
    </row>
    <row r="71" spans="1:10" x14ac:dyDescent="0.25">
      <c r="A71" s="19" t="s">
        <v>118</v>
      </c>
      <c r="B71" s="26">
        <v>148959</v>
      </c>
      <c r="C71" s="21">
        <v>2039</v>
      </c>
      <c r="D71" s="21">
        <v>487</v>
      </c>
      <c r="E71" s="69">
        <v>709</v>
      </c>
      <c r="F71" s="69">
        <v>68</v>
      </c>
      <c r="G71" s="69">
        <v>198</v>
      </c>
      <c r="H71" s="69">
        <v>248</v>
      </c>
      <c r="I71" s="21">
        <v>186</v>
      </c>
      <c r="J71" s="21">
        <v>143</v>
      </c>
    </row>
    <row r="72" spans="1:10" x14ac:dyDescent="0.25">
      <c r="A72" s="19" t="s">
        <v>119</v>
      </c>
      <c r="B72" s="26">
        <v>146917</v>
      </c>
      <c r="C72" s="21">
        <v>1854</v>
      </c>
      <c r="D72" s="21">
        <v>451</v>
      </c>
      <c r="E72" s="69">
        <v>603</v>
      </c>
      <c r="F72" s="69">
        <v>66</v>
      </c>
      <c r="G72" s="69">
        <v>199</v>
      </c>
      <c r="H72" s="69">
        <v>241</v>
      </c>
      <c r="I72" s="21">
        <v>167</v>
      </c>
      <c r="J72" s="21">
        <v>127</v>
      </c>
    </row>
    <row r="73" spans="1:10" x14ac:dyDescent="0.25">
      <c r="A73" s="19" t="s">
        <v>120</v>
      </c>
      <c r="B73" s="26">
        <v>142884</v>
      </c>
      <c r="C73" s="21">
        <v>2166</v>
      </c>
      <c r="D73" s="21">
        <v>526</v>
      </c>
      <c r="E73" s="69">
        <v>726</v>
      </c>
      <c r="F73" s="69">
        <v>79</v>
      </c>
      <c r="G73" s="69">
        <v>207</v>
      </c>
      <c r="H73" s="69">
        <v>253</v>
      </c>
      <c r="I73" s="21">
        <v>228</v>
      </c>
      <c r="J73" s="21">
        <v>147</v>
      </c>
    </row>
    <row r="74" spans="1:10" x14ac:dyDescent="0.25">
      <c r="A74" s="19" t="s">
        <v>121</v>
      </c>
      <c r="B74" s="26">
        <v>128867</v>
      </c>
      <c r="C74" s="21">
        <v>1984</v>
      </c>
      <c r="D74" s="21">
        <v>464</v>
      </c>
      <c r="E74" s="69">
        <v>628</v>
      </c>
      <c r="F74" s="69">
        <v>76</v>
      </c>
      <c r="G74" s="69">
        <v>204</v>
      </c>
      <c r="H74" s="69">
        <v>268</v>
      </c>
      <c r="I74" s="21">
        <v>211</v>
      </c>
      <c r="J74" s="21">
        <v>133</v>
      </c>
    </row>
    <row r="75" spans="1:10" x14ac:dyDescent="0.25">
      <c r="A75" s="19" t="s">
        <v>122</v>
      </c>
      <c r="B75" s="26">
        <v>128342</v>
      </c>
      <c r="C75" s="21">
        <v>2088</v>
      </c>
      <c r="D75" s="21">
        <v>454</v>
      </c>
      <c r="E75" s="69">
        <v>633</v>
      </c>
      <c r="F75" s="69">
        <v>104</v>
      </c>
      <c r="G75" s="69">
        <v>225</v>
      </c>
      <c r="H75" s="69">
        <v>271</v>
      </c>
      <c r="I75" s="21">
        <v>253</v>
      </c>
      <c r="J75" s="21">
        <v>148</v>
      </c>
    </row>
    <row r="76" spans="1:10" x14ac:dyDescent="0.25">
      <c r="A76" s="19" t="s">
        <v>123</v>
      </c>
      <c r="B76" s="26">
        <v>116259</v>
      </c>
      <c r="C76" s="21">
        <v>1893</v>
      </c>
      <c r="D76" s="21">
        <v>438</v>
      </c>
      <c r="E76" s="69">
        <v>588</v>
      </c>
      <c r="F76" s="69">
        <v>92</v>
      </c>
      <c r="G76" s="69">
        <v>203</v>
      </c>
      <c r="H76" s="69">
        <v>212</v>
      </c>
      <c r="I76" s="21">
        <v>213</v>
      </c>
      <c r="J76" s="21">
        <v>147</v>
      </c>
    </row>
    <row r="77" spans="1:10" x14ac:dyDescent="0.25">
      <c r="A77" s="19" t="s">
        <v>124</v>
      </c>
      <c r="B77" s="26">
        <v>108160</v>
      </c>
      <c r="C77" s="21">
        <v>1808</v>
      </c>
      <c r="D77" s="21">
        <v>415</v>
      </c>
      <c r="E77" s="69">
        <v>598</v>
      </c>
      <c r="F77" s="69">
        <v>92</v>
      </c>
      <c r="G77" s="69">
        <v>171</v>
      </c>
      <c r="H77" s="69">
        <v>223</v>
      </c>
      <c r="I77" s="21">
        <v>170</v>
      </c>
      <c r="J77" s="21">
        <v>139</v>
      </c>
    </row>
    <row r="78" spans="1:10" x14ac:dyDescent="0.25">
      <c r="A78" s="19" t="s">
        <v>125</v>
      </c>
      <c r="B78" s="26">
        <v>106313</v>
      </c>
      <c r="C78" s="21">
        <v>1873</v>
      </c>
      <c r="D78" s="21">
        <v>483</v>
      </c>
      <c r="E78" s="69">
        <v>591</v>
      </c>
      <c r="F78" s="69">
        <v>62</v>
      </c>
      <c r="G78" s="69">
        <v>152</v>
      </c>
      <c r="H78" s="69">
        <v>262</v>
      </c>
      <c r="I78" s="21">
        <v>176</v>
      </c>
      <c r="J78" s="21">
        <v>147</v>
      </c>
    </row>
    <row r="79" spans="1:10" x14ac:dyDescent="0.25">
      <c r="A79" s="19" t="s">
        <v>126</v>
      </c>
      <c r="B79" s="26">
        <v>89667</v>
      </c>
      <c r="C79" s="21">
        <v>1571</v>
      </c>
      <c r="D79" s="21">
        <v>361</v>
      </c>
      <c r="E79" s="69">
        <v>567</v>
      </c>
      <c r="F79" s="69">
        <v>56</v>
      </c>
      <c r="G79" s="69">
        <v>142</v>
      </c>
      <c r="H79" s="69">
        <v>226</v>
      </c>
      <c r="I79" s="21">
        <v>129</v>
      </c>
      <c r="J79" s="21">
        <v>90</v>
      </c>
    </row>
    <row r="80" spans="1:10" x14ac:dyDescent="0.25">
      <c r="A80" s="19" t="s">
        <v>127</v>
      </c>
      <c r="B80" s="26">
        <v>95887</v>
      </c>
      <c r="C80" s="21">
        <v>1751</v>
      </c>
      <c r="D80" s="21">
        <v>352</v>
      </c>
      <c r="E80" s="69">
        <v>575</v>
      </c>
      <c r="F80" s="69">
        <v>73</v>
      </c>
      <c r="G80" s="69">
        <v>199</v>
      </c>
      <c r="H80" s="69">
        <v>254</v>
      </c>
      <c r="I80" s="21">
        <v>184</v>
      </c>
      <c r="J80" s="21">
        <v>114</v>
      </c>
    </row>
    <row r="81" spans="1:10" x14ac:dyDescent="0.25">
      <c r="A81" s="19" t="s">
        <v>128</v>
      </c>
      <c r="B81" s="26">
        <v>84095</v>
      </c>
      <c r="C81" s="21">
        <v>1457</v>
      </c>
      <c r="D81" s="21">
        <v>315</v>
      </c>
      <c r="E81" s="69">
        <v>472</v>
      </c>
      <c r="F81" s="69">
        <v>71</v>
      </c>
      <c r="G81" s="69">
        <v>146</v>
      </c>
      <c r="H81" s="69">
        <v>218</v>
      </c>
      <c r="I81" s="21">
        <v>141</v>
      </c>
      <c r="J81" s="21">
        <v>94</v>
      </c>
    </row>
    <row r="82" spans="1:10" x14ac:dyDescent="0.25">
      <c r="A82" s="19" t="s">
        <v>129</v>
      </c>
      <c r="B82" s="26">
        <v>77592</v>
      </c>
      <c r="C82" s="21">
        <v>1210</v>
      </c>
      <c r="D82" s="21">
        <v>266</v>
      </c>
      <c r="E82" s="69">
        <v>381</v>
      </c>
      <c r="F82" s="69">
        <v>57</v>
      </c>
      <c r="G82" s="69">
        <v>140</v>
      </c>
      <c r="H82" s="69">
        <v>170</v>
      </c>
      <c r="I82" s="21">
        <v>105</v>
      </c>
      <c r="J82" s="21">
        <v>91</v>
      </c>
    </row>
    <row r="83" spans="1:10" x14ac:dyDescent="0.25">
      <c r="A83" s="19" t="s">
        <v>130</v>
      </c>
      <c r="B83" s="26">
        <v>72896</v>
      </c>
      <c r="C83" s="21">
        <v>1145</v>
      </c>
      <c r="D83" s="21">
        <v>277</v>
      </c>
      <c r="E83" s="69">
        <v>366</v>
      </c>
      <c r="F83" s="69">
        <v>52</v>
      </c>
      <c r="G83" s="69">
        <v>118</v>
      </c>
      <c r="H83" s="69">
        <v>146</v>
      </c>
      <c r="I83" s="21">
        <v>112</v>
      </c>
      <c r="J83" s="21">
        <v>74</v>
      </c>
    </row>
    <row r="84" spans="1:10" x14ac:dyDescent="0.25">
      <c r="A84" s="19" t="s">
        <v>131</v>
      </c>
      <c r="B84" s="26">
        <v>67652</v>
      </c>
      <c r="C84" s="21">
        <v>1037</v>
      </c>
      <c r="D84" s="21">
        <v>238</v>
      </c>
      <c r="E84" s="69">
        <v>321</v>
      </c>
      <c r="F84" s="69">
        <v>49</v>
      </c>
      <c r="G84" s="69">
        <v>115</v>
      </c>
      <c r="H84" s="69">
        <v>151</v>
      </c>
      <c r="I84" s="21">
        <v>92</v>
      </c>
      <c r="J84" s="21">
        <v>71</v>
      </c>
    </row>
    <row r="85" spans="1:10" x14ac:dyDescent="0.25">
      <c r="A85" s="19" t="s">
        <v>132</v>
      </c>
      <c r="B85" s="26">
        <v>63974</v>
      </c>
      <c r="C85" s="21">
        <v>1125</v>
      </c>
      <c r="D85" s="21">
        <v>266</v>
      </c>
      <c r="E85" s="69">
        <v>313</v>
      </c>
      <c r="F85" s="69">
        <v>36</v>
      </c>
      <c r="G85" s="69">
        <v>109</v>
      </c>
      <c r="H85" s="69">
        <v>142</v>
      </c>
      <c r="I85" s="21">
        <v>145</v>
      </c>
      <c r="J85" s="21">
        <v>114</v>
      </c>
    </row>
    <row r="86" spans="1:10" x14ac:dyDescent="0.25">
      <c r="A86" s="19" t="s">
        <v>133</v>
      </c>
      <c r="B86" s="26">
        <v>55508</v>
      </c>
      <c r="C86" s="21">
        <v>897</v>
      </c>
      <c r="D86" s="21">
        <v>200</v>
      </c>
      <c r="E86" s="69">
        <v>283</v>
      </c>
      <c r="F86" s="69">
        <v>29</v>
      </c>
      <c r="G86" s="69">
        <v>104</v>
      </c>
      <c r="H86" s="69">
        <v>107</v>
      </c>
      <c r="I86" s="21">
        <v>89</v>
      </c>
      <c r="J86" s="21">
        <v>85</v>
      </c>
    </row>
    <row r="87" spans="1:10" x14ac:dyDescent="0.25">
      <c r="A87" s="19" t="s">
        <v>134</v>
      </c>
      <c r="B87" s="26">
        <v>51095</v>
      </c>
      <c r="C87" s="21">
        <v>792</v>
      </c>
      <c r="D87" s="21">
        <v>205</v>
      </c>
      <c r="E87" s="69">
        <v>271</v>
      </c>
      <c r="F87" s="69">
        <v>31</v>
      </c>
      <c r="G87" s="69">
        <v>78</v>
      </c>
      <c r="H87" s="69">
        <v>96</v>
      </c>
      <c r="I87" s="21">
        <v>64</v>
      </c>
      <c r="J87" s="21">
        <v>47</v>
      </c>
    </row>
    <row r="88" spans="1:10" x14ac:dyDescent="0.25">
      <c r="A88" s="19" t="s">
        <v>135</v>
      </c>
      <c r="B88" s="26">
        <v>46310</v>
      </c>
      <c r="C88" s="21">
        <v>796</v>
      </c>
      <c r="D88" s="21">
        <v>188</v>
      </c>
      <c r="E88" s="69">
        <v>267</v>
      </c>
      <c r="F88" s="69">
        <v>29</v>
      </c>
      <c r="G88" s="69">
        <v>70</v>
      </c>
      <c r="H88" s="69">
        <v>108</v>
      </c>
      <c r="I88" s="21">
        <v>79</v>
      </c>
      <c r="J88" s="21">
        <v>55</v>
      </c>
    </row>
    <row r="89" spans="1:10" x14ac:dyDescent="0.25">
      <c r="A89" s="19" t="s">
        <v>136</v>
      </c>
      <c r="B89" s="26">
        <v>37904</v>
      </c>
      <c r="C89" s="21">
        <v>583</v>
      </c>
      <c r="D89" s="21">
        <v>135</v>
      </c>
      <c r="E89" s="69">
        <v>194</v>
      </c>
      <c r="F89" s="69">
        <v>22</v>
      </c>
      <c r="G89" s="69">
        <v>63</v>
      </c>
      <c r="H89" s="69">
        <v>82</v>
      </c>
      <c r="I89" s="21">
        <v>47</v>
      </c>
      <c r="J89" s="21">
        <v>40</v>
      </c>
    </row>
    <row r="90" spans="1:10" x14ac:dyDescent="0.25">
      <c r="A90" s="19" t="s">
        <v>137</v>
      </c>
      <c r="B90" s="26">
        <v>37375</v>
      </c>
      <c r="C90" s="21">
        <v>656</v>
      </c>
      <c r="D90" s="21">
        <v>156</v>
      </c>
      <c r="E90" s="69">
        <v>200</v>
      </c>
      <c r="F90" s="69">
        <v>18</v>
      </c>
      <c r="G90" s="69">
        <v>75</v>
      </c>
      <c r="H90" s="69">
        <v>79</v>
      </c>
      <c r="I90" s="21">
        <v>71</v>
      </c>
      <c r="J90" s="21">
        <v>57</v>
      </c>
    </row>
    <row r="91" spans="1:10" x14ac:dyDescent="0.25">
      <c r="A91" s="19" t="s">
        <v>138</v>
      </c>
      <c r="B91" s="26">
        <v>27248</v>
      </c>
      <c r="C91" s="21">
        <v>426</v>
      </c>
      <c r="D91" s="21">
        <v>124</v>
      </c>
      <c r="E91" s="69">
        <v>136</v>
      </c>
      <c r="F91" s="69">
        <v>12</v>
      </c>
      <c r="G91" s="69">
        <v>35</v>
      </c>
      <c r="H91" s="69">
        <v>48</v>
      </c>
      <c r="I91" s="21">
        <v>39</v>
      </c>
      <c r="J91" s="21">
        <v>32</v>
      </c>
    </row>
    <row r="92" spans="1:10" x14ac:dyDescent="0.25">
      <c r="A92" s="19" t="s">
        <v>139</v>
      </c>
      <c r="B92" s="26">
        <v>24630</v>
      </c>
      <c r="C92" s="21">
        <v>390</v>
      </c>
      <c r="D92" s="21">
        <v>85</v>
      </c>
      <c r="E92" s="69">
        <v>141</v>
      </c>
      <c r="F92" s="69">
        <v>13</v>
      </c>
      <c r="G92" s="69">
        <v>39</v>
      </c>
      <c r="H92" s="69">
        <v>49</v>
      </c>
      <c r="I92" s="21">
        <v>38</v>
      </c>
      <c r="J92" s="21">
        <v>25</v>
      </c>
    </row>
    <row r="93" spans="1:10" x14ac:dyDescent="0.25">
      <c r="A93" s="19" t="s">
        <v>140</v>
      </c>
      <c r="B93" s="27">
        <v>20132</v>
      </c>
      <c r="C93" s="22">
        <v>289</v>
      </c>
      <c r="D93" s="22">
        <v>73</v>
      </c>
      <c r="E93" s="70">
        <v>89</v>
      </c>
      <c r="F93" s="70">
        <v>21</v>
      </c>
      <c r="G93" s="70">
        <v>31</v>
      </c>
      <c r="H93" s="70">
        <v>34</v>
      </c>
      <c r="I93" s="22">
        <v>26</v>
      </c>
      <c r="J93" s="22">
        <v>15</v>
      </c>
    </row>
    <row r="94" spans="1:10" x14ac:dyDescent="0.25">
      <c r="A94" s="19" t="s">
        <v>141</v>
      </c>
      <c r="B94" s="26">
        <v>15387</v>
      </c>
      <c r="C94" s="21">
        <v>245</v>
      </c>
      <c r="D94" s="21">
        <v>68</v>
      </c>
      <c r="E94" s="69">
        <v>86</v>
      </c>
      <c r="F94" s="69">
        <v>7</v>
      </c>
      <c r="G94" s="69">
        <v>21</v>
      </c>
      <c r="H94" s="69">
        <v>36</v>
      </c>
      <c r="I94" s="21">
        <v>13</v>
      </c>
      <c r="J94" s="21">
        <v>14</v>
      </c>
    </row>
    <row r="95" spans="1:10" x14ac:dyDescent="0.25">
      <c r="A95" s="19" t="s">
        <v>142</v>
      </c>
      <c r="B95" s="26">
        <v>13426</v>
      </c>
      <c r="C95" s="21">
        <v>210</v>
      </c>
      <c r="D95" s="21">
        <v>47</v>
      </c>
      <c r="E95" s="69">
        <v>71</v>
      </c>
      <c r="F95" s="69">
        <v>9</v>
      </c>
      <c r="G95" s="69">
        <v>28</v>
      </c>
      <c r="H95" s="69">
        <v>23</v>
      </c>
      <c r="I95" s="21">
        <v>12</v>
      </c>
      <c r="J95" s="21">
        <v>20</v>
      </c>
    </row>
    <row r="96" spans="1:10" x14ac:dyDescent="0.25">
      <c r="A96" s="19" t="s">
        <v>143</v>
      </c>
      <c r="B96" s="26">
        <v>10003</v>
      </c>
      <c r="C96" s="21">
        <v>170</v>
      </c>
      <c r="D96" s="21">
        <v>48</v>
      </c>
      <c r="E96" s="69">
        <v>62</v>
      </c>
      <c r="F96" s="69">
        <v>4</v>
      </c>
      <c r="G96" s="69">
        <v>14</v>
      </c>
      <c r="H96" s="69">
        <v>25</v>
      </c>
      <c r="I96" s="21">
        <v>5</v>
      </c>
      <c r="J96" s="21">
        <v>12</v>
      </c>
    </row>
    <row r="97" spans="1:10" x14ac:dyDescent="0.25">
      <c r="A97" s="19" t="s">
        <v>144</v>
      </c>
      <c r="B97" s="26">
        <v>7589</v>
      </c>
      <c r="C97" s="21">
        <v>122</v>
      </c>
      <c r="D97" s="21">
        <v>35</v>
      </c>
      <c r="E97" s="69">
        <v>46</v>
      </c>
      <c r="F97" s="69">
        <v>5</v>
      </c>
      <c r="G97" s="69">
        <v>12</v>
      </c>
      <c r="H97" s="69">
        <v>8</v>
      </c>
      <c r="I97" s="21">
        <v>8</v>
      </c>
      <c r="J97" s="21">
        <v>8</v>
      </c>
    </row>
    <row r="98" spans="1:10" x14ac:dyDescent="0.25">
      <c r="A98" s="19" t="s">
        <v>145</v>
      </c>
      <c r="B98" s="26">
        <v>6210</v>
      </c>
      <c r="C98" s="21">
        <v>121</v>
      </c>
      <c r="D98" s="21">
        <v>36</v>
      </c>
      <c r="E98" s="69">
        <v>46</v>
      </c>
      <c r="F98" s="69">
        <v>2</v>
      </c>
      <c r="G98" s="69">
        <v>11</v>
      </c>
      <c r="H98" s="69">
        <v>12</v>
      </c>
      <c r="I98" s="21">
        <v>5</v>
      </c>
      <c r="J98" s="21">
        <v>9</v>
      </c>
    </row>
    <row r="99" spans="1:10" x14ac:dyDescent="0.25">
      <c r="A99" s="19" t="s">
        <v>146</v>
      </c>
      <c r="B99" s="26">
        <v>4800</v>
      </c>
      <c r="C99" s="21">
        <v>92</v>
      </c>
      <c r="D99" s="21">
        <v>23</v>
      </c>
      <c r="E99" s="69">
        <v>36</v>
      </c>
      <c r="F99" s="69">
        <v>2</v>
      </c>
      <c r="G99" s="69">
        <v>11</v>
      </c>
      <c r="H99" s="69">
        <v>9</v>
      </c>
      <c r="I99" s="21">
        <v>5</v>
      </c>
      <c r="J99" s="21">
        <v>6</v>
      </c>
    </row>
    <row r="100" spans="1:10" x14ac:dyDescent="0.25">
      <c r="A100" s="19" t="s">
        <v>147</v>
      </c>
      <c r="B100" s="26">
        <v>3990</v>
      </c>
      <c r="C100" s="21">
        <v>85</v>
      </c>
      <c r="D100" s="21">
        <v>23</v>
      </c>
      <c r="E100" s="69">
        <v>26</v>
      </c>
      <c r="F100" s="69">
        <v>5</v>
      </c>
      <c r="G100" s="69">
        <v>3</v>
      </c>
      <c r="H100" s="69">
        <v>19</v>
      </c>
      <c r="I100" s="21">
        <v>5</v>
      </c>
      <c r="J100" s="21">
        <v>4</v>
      </c>
    </row>
    <row r="101" spans="1:10" x14ac:dyDescent="0.25">
      <c r="A101" s="19" t="s">
        <v>148</v>
      </c>
      <c r="B101" s="26">
        <v>6974</v>
      </c>
      <c r="C101" s="21">
        <v>167</v>
      </c>
      <c r="D101" s="21">
        <v>56</v>
      </c>
      <c r="E101" s="69">
        <v>57</v>
      </c>
      <c r="F101" s="69">
        <v>4</v>
      </c>
      <c r="G101" s="69">
        <v>21</v>
      </c>
      <c r="H101" s="69">
        <v>18</v>
      </c>
      <c r="I101" s="21">
        <v>3</v>
      </c>
      <c r="J101" s="21">
        <v>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3:Y1048493"/>
  <sheetViews>
    <sheetView view="pageBreakPreview" zoomScale="90" zoomScaleNormal="115" zoomScaleSheetLayoutView="90" workbookViewId="0">
      <selection activeCell="I19" sqref="I19"/>
    </sheetView>
  </sheetViews>
  <sheetFormatPr baseColWidth="10" defaultColWidth="11.42578125" defaultRowHeight="12.75" x14ac:dyDescent="0.2"/>
  <cols>
    <col min="1" max="1" width="4" style="52" customWidth="1"/>
    <col min="2" max="3" width="11.5703125" style="52" bestFit="1" customWidth="1"/>
    <col min="4" max="4" width="15" style="52" customWidth="1"/>
    <col min="5" max="5" width="16.42578125" style="52" customWidth="1"/>
    <col min="6" max="6" width="14.85546875" style="52" bestFit="1" customWidth="1"/>
    <col min="7" max="7" width="16" style="52" customWidth="1"/>
    <col min="8" max="9" width="11.7109375" style="52" bestFit="1" customWidth="1"/>
    <col min="10" max="10" width="11.42578125" style="52" customWidth="1"/>
    <col min="11" max="11" width="12.85546875" style="52" customWidth="1"/>
    <col min="12" max="20" width="9.5703125" style="52" customWidth="1"/>
    <col min="21" max="24" width="11.5703125" style="52" bestFit="1" customWidth="1"/>
    <col min="25" max="25" width="13.5703125" style="52" customWidth="1"/>
    <col min="26" max="16384" width="11.42578125" style="52"/>
  </cols>
  <sheetData>
    <row r="3" spans="2:25" x14ac:dyDescent="0.2">
      <c r="B3" s="79" t="s">
        <v>167</v>
      </c>
      <c r="C3" s="80"/>
      <c r="D3" s="80"/>
    </row>
    <row r="5" spans="2:25" x14ac:dyDescent="0.2">
      <c r="D5" s="1539" t="s">
        <v>168</v>
      </c>
      <c r="E5" s="1539"/>
      <c r="F5" s="1539"/>
      <c r="G5" s="1539"/>
      <c r="H5" s="1539"/>
    </row>
    <row r="6" spans="2:25" x14ac:dyDescent="0.2">
      <c r="D6" s="81" t="s">
        <v>169</v>
      </c>
      <c r="E6" s="81">
        <v>2007</v>
      </c>
      <c r="F6" s="81">
        <v>2017</v>
      </c>
      <c r="G6" s="81" t="s">
        <v>170</v>
      </c>
      <c r="H6" s="81" t="s">
        <v>171</v>
      </c>
    </row>
    <row r="7" spans="2:25" ht="28.5" customHeight="1" x14ac:dyDescent="0.2">
      <c r="D7" s="82" t="s">
        <v>163</v>
      </c>
      <c r="E7" s="83">
        <v>404190</v>
      </c>
      <c r="F7" s="83">
        <v>405759</v>
      </c>
      <c r="G7" s="84">
        <f>(F7/E7)^(1/(2017-2007))-1</f>
        <v>3.8750734746773041E-4</v>
      </c>
      <c r="H7" s="1275">
        <f>G7</f>
        <v>3.8750734746773041E-4</v>
      </c>
    </row>
    <row r="8" spans="2:25" ht="29.25" customHeight="1" x14ac:dyDescent="0.2">
      <c r="D8" s="82" t="s">
        <v>164</v>
      </c>
      <c r="E8" s="83">
        <v>27412157</v>
      </c>
      <c r="F8" s="83">
        <v>29381884</v>
      </c>
      <c r="G8" s="84">
        <f>(F8/E8)^(1/(2017-2007))-1</f>
        <v>6.9633011030576508E-3</v>
      </c>
      <c r="H8" s="85">
        <f>G8</f>
        <v>6.9633011030576508E-3</v>
      </c>
    </row>
    <row r="11" spans="2:25" x14ac:dyDescent="0.2">
      <c r="B11" s="86"/>
      <c r="C11" s="86"/>
      <c r="D11" s="86"/>
      <c r="E11" s="86"/>
      <c r="F11" s="86"/>
      <c r="G11" s="86"/>
      <c r="H11" s="86"/>
      <c r="I11" s="86"/>
      <c r="J11" s="86"/>
      <c r="K11" s="86"/>
      <c r="L11" s="86"/>
      <c r="M11" s="86"/>
      <c r="N11" s="86"/>
      <c r="O11" s="86"/>
      <c r="P11" s="86"/>
      <c r="Q11" s="86"/>
      <c r="R11" s="86"/>
      <c r="S11" s="86"/>
      <c r="T11" s="86"/>
      <c r="U11" s="86"/>
      <c r="V11" s="86"/>
      <c r="W11" s="86"/>
      <c r="X11" s="86"/>
    </row>
    <row r="13" spans="2:25" x14ac:dyDescent="0.2">
      <c r="B13" s="79" t="s">
        <v>172</v>
      </c>
      <c r="C13" s="80"/>
      <c r="D13" s="80"/>
    </row>
    <row r="14" spans="2:25" x14ac:dyDescent="0.2">
      <c r="I14" s="132">
        <f>$F$18*(1+$H$18)^(I16-$F$17)</f>
        <v>405916.23459380114</v>
      </c>
      <c r="J14" s="132">
        <f>$F$18*(1+$H$18)^(J16-$F$17)</f>
        <v>406073.53011716274</v>
      </c>
      <c r="K14" s="132">
        <f t="shared" ref="K14:X14" si="0">$F$18*(1+$H$18)^(K16-$F$17)</f>
        <v>406230.88659369526</v>
      </c>
      <c r="L14" s="132">
        <f t="shared" si="0"/>
        <v>406388.3040470187</v>
      </c>
      <c r="M14" s="132">
        <f t="shared" si="0"/>
        <v>406545.78250076185</v>
      </c>
      <c r="N14" s="132">
        <f t="shared" si="0"/>
        <v>406703.32197856304</v>
      </c>
      <c r="O14" s="132">
        <f t="shared" si="0"/>
        <v>406860.92250406917</v>
      </c>
      <c r="P14" s="132">
        <f t="shared" si="0"/>
        <v>407018.58410093706</v>
      </c>
      <c r="Q14" s="132">
        <f t="shared" si="0"/>
        <v>407176.3067928321</v>
      </c>
      <c r="R14" s="132">
        <f t="shared" si="0"/>
        <v>407334.09060342913</v>
      </c>
      <c r="S14" s="132">
        <f t="shared" si="0"/>
        <v>407491.93555641203</v>
      </c>
      <c r="T14" s="132">
        <f t="shared" si="0"/>
        <v>407649.84167547402</v>
      </c>
      <c r="U14" s="132">
        <f t="shared" si="0"/>
        <v>407807.80898431729</v>
      </c>
      <c r="V14" s="132">
        <f t="shared" si="0"/>
        <v>407965.83750665351</v>
      </c>
      <c r="W14" s="132">
        <f t="shared" si="0"/>
        <v>408123.92726620316</v>
      </c>
      <c r="X14" s="132">
        <f t="shared" si="0"/>
        <v>408282.07828669623</v>
      </c>
    </row>
    <row r="15" spans="2:25" x14ac:dyDescent="0.2">
      <c r="I15" s="1544" t="s">
        <v>173</v>
      </c>
      <c r="J15" s="1545"/>
      <c r="K15" s="1545"/>
      <c r="L15" s="1545"/>
      <c r="M15" s="1545"/>
      <c r="N15" s="1545"/>
      <c r="O15" s="1545"/>
      <c r="P15" s="1545"/>
      <c r="Q15" s="1545"/>
      <c r="R15" s="1545"/>
      <c r="S15" s="1545"/>
      <c r="T15" s="1545"/>
      <c r="U15" s="1545"/>
      <c r="V15" s="1545"/>
      <c r="W15" s="1545"/>
      <c r="X15" s="1545"/>
      <c r="Y15" s="125"/>
    </row>
    <row r="16" spans="2:25" ht="15" customHeight="1" x14ac:dyDescent="0.2">
      <c r="D16" s="1540" t="s">
        <v>168</v>
      </c>
      <c r="E16" s="1540"/>
      <c r="F16" s="1540"/>
      <c r="G16" s="1540"/>
      <c r="H16" s="1540"/>
      <c r="I16" s="1541">
        <v>2018</v>
      </c>
      <c r="J16" s="1541">
        <v>2019</v>
      </c>
      <c r="K16" s="1548">
        <v>2020</v>
      </c>
      <c r="L16" s="87">
        <v>2021</v>
      </c>
      <c r="M16" s="88">
        <v>2022</v>
      </c>
      <c r="N16" s="88">
        <v>2023</v>
      </c>
      <c r="O16" s="55">
        <v>2024</v>
      </c>
      <c r="P16" s="55">
        <v>2025</v>
      </c>
      <c r="Q16" s="55">
        <v>2026</v>
      </c>
      <c r="R16" s="55">
        <v>2027</v>
      </c>
      <c r="S16" s="55">
        <v>2028</v>
      </c>
      <c r="T16" s="55">
        <v>2029</v>
      </c>
      <c r="U16" s="55">
        <v>2030</v>
      </c>
      <c r="V16" s="55">
        <v>2031</v>
      </c>
      <c r="W16" s="55">
        <v>2032</v>
      </c>
      <c r="X16" s="55">
        <v>2033</v>
      </c>
      <c r="Y16" s="89"/>
    </row>
    <row r="17" spans="2:25" ht="21" customHeight="1" x14ac:dyDescent="0.2">
      <c r="D17" s="1542" t="s">
        <v>155</v>
      </c>
      <c r="E17" s="65">
        <f>+E6</f>
        <v>2007</v>
      </c>
      <c r="F17" s="65">
        <f>+F6</f>
        <v>2017</v>
      </c>
      <c r="G17" s="65" t="s">
        <v>170</v>
      </c>
      <c r="H17" s="65" t="s">
        <v>171</v>
      </c>
      <c r="I17" s="1541"/>
      <c r="J17" s="1541"/>
      <c r="K17" s="1548"/>
      <c r="L17" s="1547" t="s">
        <v>257</v>
      </c>
      <c r="M17" s="1547"/>
      <c r="N17" s="1547"/>
      <c r="O17" s="54" t="s">
        <v>174</v>
      </c>
      <c r="P17" s="54" t="s">
        <v>175</v>
      </c>
      <c r="Q17" s="54" t="s">
        <v>176</v>
      </c>
      <c r="R17" s="54" t="s">
        <v>177</v>
      </c>
      <c r="S17" s="54" t="s">
        <v>178</v>
      </c>
      <c r="T17" s="54" t="s">
        <v>179</v>
      </c>
      <c r="U17" s="54" t="s">
        <v>180</v>
      </c>
      <c r="V17" s="54" t="s">
        <v>181</v>
      </c>
      <c r="W17" s="54" t="s">
        <v>182</v>
      </c>
      <c r="X17" s="54" t="s">
        <v>183</v>
      </c>
      <c r="Y17" s="89"/>
    </row>
    <row r="18" spans="2:25" ht="29.25" customHeight="1" x14ac:dyDescent="0.2">
      <c r="D18" s="1543"/>
      <c r="E18" s="90">
        <f>+E7</f>
        <v>404190</v>
      </c>
      <c r="F18" s="90">
        <f>+F7</f>
        <v>405759</v>
      </c>
      <c r="G18" s="91">
        <f>+$G$7</f>
        <v>3.8750734746773041E-4</v>
      </c>
      <c r="H18" s="92">
        <f>G18</f>
        <v>3.8750734746773041E-4</v>
      </c>
      <c r="I18" s="93">
        <f>+F18*(1+$H$7)^(2018-2017)</f>
        <v>405916.23459380114</v>
      </c>
      <c r="J18" s="93">
        <f>+I18*(1+$H$7)^(2019-2018)</f>
        <v>406073.53011716268</v>
      </c>
      <c r="K18" s="93">
        <f>+J18*(1+$H$7)^(2019-2018)</f>
        <v>406230.88659369526</v>
      </c>
      <c r="L18" s="93">
        <f>+K18*(1+$H$7)^(2019-2018)</f>
        <v>406388.30404701864</v>
      </c>
      <c r="M18" s="93">
        <f t="shared" ref="M18:X18" si="1">+L18*(1+$H$7)^(2019-2018)</f>
        <v>406545.78250076179</v>
      </c>
      <c r="N18" s="93">
        <f t="shared" si="1"/>
        <v>406703.32197856286</v>
      </c>
      <c r="O18" s="93">
        <f t="shared" si="1"/>
        <v>406860.92250406911</v>
      </c>
      <c r="P18" s="93">
        <f t="shared" si="1"/>
        <v>407018.58410093695</v>
      </c>
      <c r="Q18" s="93">
        <f t="shared" si="1"/>
        <v>407176.30679283198</v>
      </c>
      <c r="R18" s="93">
        <f t="shared" si="1"/>
        <v>407334.09060342895</v>
      </c>
      <c r="S18" s="93">
        <f t="shared" si="1"/>
        <v>407491.93555641186</v>
      </c>
      <c r="T18" s="93">
        <f t="shared" si="1"/>
        <v>407649.84167547384</v>
      </c>
      <c r="U18" s="93">
        <f t="shared" si="1"/>
        <v>407807.80898431712</v>
      </c>
      <c r="V18" s="93">
        <f t="shared" si="1"/>
        <v>407965.83750665328</v>
      </c>
      <c r="W18" s="93">
        <f t="shared" si="1"/>
        <v>408123.92726620293</v>
      </c>
      <c r="X18" s="93">
        <f t="shared" si="1"/>
        <v>408282.07828669599</v>
      </c>
      <c r="Y18" s="94"/>
    </row>
    <row r="19" spans="2:25" ht="13.5" thickBot="1" x14ac:dyDescent="0.25">
      <c r="C19" s="52">
        <v>1</v>
      </c>
      <c r="D19" s="37" t="s">
        <v>162</v>
      </c>
      <c r="E19" s="41">
        <v>96064</v>
      </c>
      <c r="F19" s="41">
        <v>110520</v>
      </c>
      <c r="G19" s="95">
        <f>(F19/E19)^(1/(2017-2007))-1</f>
        <v>1.4116901910895319E-2</v>
      </c>
      <c r="H19" s="96">
        <f>G19</f>
        <v>1.4116901910895319E-2</v>
      </c>
      <c r="I19" s="93">
        <f>+$F$19*(1+$H$19)^(I16-$F$17)</f>
        <v>112080.19999919215</v>
      </c>
      <c r="J19" s="93">
        <f t="shared" ref="J19:X19" si="2">+$F$19*(1+$H$19)^(J16-$F$17)</f>
        <v>113662.42518873428</v>
      </c>
      <c r="K19" s="93">
        <f t="shared" si="2"/>
        <v>115266.98649607813</v>
      </c>
      <c r="L19" s="93">
        <f t="shared" si="2"/>
        <v>116894.19923800777</v>
      </c>
      <c r="M19" s="93">
        <f t="shared" si="2"/>
        <v>118544.38318260337</v>
      </c>
      <c r="N19" s="93">
        <f t="shared" si="2"/>
        <v>120217.8626120798</v>
      </c>
      <c r="O19" s="93">
        <f t="shared" si="2"/>
        <v>121914.96638651202</v>
      </c>
      <c r="P19" s="93">
        <f t="shared" si="2"/>
        <v>123636.02800846053</v>
      </c>
      <c r="Q19" s="93">
        <f t="shared" si="2"/>
        <v>125381.38568850867</v>
      </c>
      <c r="R19" s="93">
        <f t="shared" si="2"/>
        <v>127151.3824117255</v>
      </c>
      <c r="S19" s="93">
        <f t="shared" si="2"/>
        <v>128946.36600506656</v>
      </c>
      <c r="T19" s="93">
        <f t="shared" si="2"/>
        <v>130766.68920572652</v>
      </c>
      <c r="U19" s="93">
        <f t="shared" si="2"/>
        <v>132612.70973045626</v>
      </c>
      <c r="V19" s="93">
        <f t="shared" si="2"/>
        <v>134484.79034585919</v>
      </c>
      <c r="W19" s="93">
        <f t="shared" si="2"/>
        <v>136383.29893967902</v>
      </c>
      <c r="X19" s="93">
        <f t="shared" si="2"/>
        <v>138308.60859309477</v>
      </c>
      <c r="Y19" s="94"/>
    </row>
    <row r="20" spans="2:25" s="97" customFormat="1" x14ac:dyDescent="0.2">
      <c r="J20" s="98"/>
      <c r="K20" s="98"/>
      <c r="L20" s="99"/>
      <c r="M20" s="100"/>
      <c r="N20" s="101"/>
      <c r="O20" s="98"/>
      <c r="Y20" s="102"/>
    </row>
    <row r="21" spans="2:25" s="97" customFormat="1" x14ac:dyDescent="0.2">
      <c r="I21" s="103">
        <f>SUM(I19:I19)</f>
        <v>112080.19999919215</v>
      </c>
      <c r="J21" s="104">
        <f>SUM(J19:J19)</f>
        <v>113662.42518873428</v>
      </c>
      <c r="K21" s="105">
        <f t="shared" ref="K21:X21" si="3">SUM(K19:K19)</f>
        <v>115266.98649607813</v>
      </c>
      <c r="L21" s="106">
        <f t="shared" si="3"/>
        <v>116894.19923800777</v>
      </c>
      <c r="M21" s="107">
        <f t="shared" si="3"/>
        <v>118544.38318260337</v>
      </c>
      <c r="N21" s="108">
        <f t="shared" si="3"/>
        <v>120217.8626120798</v>
      </c>
      <c r="O21" s="109">
        <f t="shared" si="3"/>
        <v>121914.96638651202</v>
      </c>
      <c r="P21" s="103">
        <f t="shared" si="3"/>
        <v>123636.02800846053</v>
      </c>
      <c r="Q21" s="103">
        <f t="shared" si="3"/>
        <v>125381.38568850867</v>
      </c>
      <c r="R21" s="103">
        <f t="shared" si="3"/>
        <v>127151.3824117255</v>
      </c>
      <c r="S21" s="103">
        <f t="shared" si="3"/>
        <v>128946.36600506656</v>
      </c>
      <c r="T21" s="103">
        <f t="shared" si="3"/>
        <v>130766.68920572652</v>
      </c>
      <c r="U21" s="103">
        <f t="shared" si="3"/>
        <v>132612.70973045626</v>
      </c>
      <c r="V21" s="103">
        <f t="shared" si="3"/>
        <v>134484.79034585919</v>
      </c>
      <c r="W21" s="103">
        <f t="shared" si="3"/>
        <v>136383.29893967902</v>
      </c>
      <c r="X21" s="110">
        <f t="shared" si="3"/>
        <v>138308.60859309477</v>
      </c>
      <c r="Y21" s="102"/>
    </row>
    <row r="22" spans="2:25" s="97" customFormat="1" ht="13.5" thickBot="1" x14ac:dyDescent="0.25">
      <c r="J22" s="98"/>
      <c r="K22" s="98"/>
      <c r="L22" s="111"/>
      <c r="M22" s="112"/>
      <c r="N22" s="113"/>
      <c r="O22" s="98"/>
    </row>
    <row r="23" spans="2:25" x14ac:dyDescent="0.2">
      <c r="I23" s="132">
        <f>$F$19*(1+$H$19)^(I16-$F$17)</f>
        <v>112080.19999919215</v>
      </c>
      <c r="J23" s="132">
        <f>$F$19*(1+$H$19)^(J16-$F$17)</f>
        <v>113662.42518873428</v>
      </c>
      <c r="K23" s="132">
        <f>$F$19*(1+$H$19)^(K16-$F$17)</f>
        <v>115266.98649607813</v>
      </c>
      <c r="L23" s="132">
        <f>$F$19*(1+$H$19)^(L16-$F$17)</f>
        <v>116894.19923800777</v>
      </c>
      <c r="M23" s="132">
        <f>$F$19*(1+$H$19)^(M16-$F$17)</f>
        <v>118544.38318260337</v>
      </c>
      <c r="N23" s="132">
        <f t="shared" ref="N23:X23" si="4">$F$19*(1+$H$19)^(N16-$F$17)</f>
        <v>120217.8626120798</v>
      </c>
      <c r="O23" s="132">
        <f t="shared" si="4"/>
        <v>121914.96638651202</v>
      </c>
      <c r="P23" s="132">
        <f t="shared" si="4"/>
        <v>123636.02800846053</v>
      </c>
      <c r="Q23" s="132">
        <f t="shared" si="4"/>
        <v>125381.38568850867</v>
      </c>
      <c r="R23" s="132">
        <f t="shared" si="4"/>
        <v>127151.3824117255</v>
      </c>
      <c r="S23" s="132">
        <f t="shared" si="4"/>
        <v>128946.36600506656</v>
      </c>
      <c r="T23" s="132">
        <f t="shared" si="4"/>
        <v>130766.68920572652</v>
      </c>
      <c r="U23" s="132">
        <f t="shared" si="4"/>
        <v>132612.70973045626</v>
      </c>
      <c r="V23" s="132">
        <f t="shared" si="4"/>
        <v>134484.79034585919</v>
      </c>
      <c r="W23" s="132">
        <f t="shared" si="4"/>
        <v>136383.29893967902</v>
      </c>
      <c r="X23" s="132">
        <f t="shared" si="4"/>
        <v>138308.60859309477</v>
      </c>
    </row>
    <row r="25" spans="2:25" s="244" customFormat="1" x14ac:dyDescent="0.2"/>
    <row r="27" spans="2:25" x14ac:dyDescent="0.2">
      <c r="B27" s="79" t="s">
        <v>172</v>
      </c>
      <c r="C27" s="80"/>
      <c r="D27" s="80"/>
      <c r="I27" s="52">
        <f>2033-2017</f>
        <v>16</v>
      </c>
      <c r="K27" s="132">
        <f>F19*(1+H19)^16</f>
        <v>138308.60859309477</v>
      </c>
    </row>
    <row r="29" spans="2:25" x14ac:dyDescent="0.2">
      <c r="I29" s="1544" t="s">
        <v>173</v>
      </c>
      <c r="J29" s="1545"/>
      <c r="K29" s="1545"/>
      <c r="L29" s="1545"/>
      <c r="M29" s="1545"/>
      <c r="N29" s="1545"/>
      <c r="O29" s="1545"/>
      <c r="P29" s="1545"/>
      <c r="Q29" s="1545"/>
      <c r="R29" s="1545"/>
      <c r="S29" s="1545"/>
      <c r="T29" s="1545"/>
      <c r="U29" s="1545"/>
      <c r="V29" s="1545"/>
      <c r="W29" s="1545"/>
      <c r="X29" s="1545"/>
      <c r="Y29" s="1546"/>
    </row>
    <row r="30" spans="2:25" ht="15" customHeight="1" x14ac:dyDescent="0.2">
      <c r="D30" s="1540" t="s">
        <v>168</v>
      </c>
      <c r="E30" s="1540"/>
      <c r="F30" s="1540"/>
      <c r="G30" s="1540"/>
      <c r="H30" s="1540"/>
      <c r="I30" s="1541">
        <v>2018</v>
      </c>
      <c r="J30" s="1541">
        <v>2019</v>
      </c>
      <c r="K30" s="1548">
        <v>2020</v>
      </c>
      <c r="L30" s="87">
        <v>2021</v>
      </c>
      <c r="M30" s="88">
        <f t="shared" ref="M30:X30" si="5">+L30+1</f>
        <v>2022</v>
      </c>
      <c r="N30" s="88">
        <f t="shared" si="5"/>
        <v>2023</v>
      </c>
      <c r="O30" s="55">
        <v>2024</v>
      </c>
      <c r="P30" s="55">
        <f t="shared" si="5"/>
        <v>2025</v>
      </c>
      <c r="Q30" s="55">
        <f t="shared" si="5"/>
        <v>2026</v>
      </c>
      <c r="R30" s="55">
        <f t="shared" si="5"/>
        <v>2027</v>
      </c>
      <c r="S30" s="55">
        <f t="shared" si="5"/>
        <v>2028</v>
      </c>
      <c r="T30" s="55">
        <f t="shared" si="5"/>
        <v>2029</v>
      </c>
      <c r="U30" s="55">
        <f t="shared" si="5"/>
        <v>2030</v>
      </c>
      <c r="V30" s="55">
        <f t="shared" si="5"/>
        <v>2031</v>
      </c>
      <c r="W30" s="55">
        <f t="shared" si="5"/>
        <v>2032</v>
      </c>
      <c r="X30" s="55">
        <f t="shared" si="5"/>
        <v>2033</v>
      </c>
      <c r="Y30" s="89"/>
    </row>
    <row r="31" spans="2:25" ht="21" customHeight="1" x14ac:dyDescent="0.2">
      <c r="C31" s="65" t="s">
        <v>189</v>
      </c>
      <c r="D31" s="65" t="s">
        <v>188</v>
      </c>
      <c r="E31" s="65">
        <f>+E17</f>
        <v>2007</v>
      </c>
      <c r="F31" s="65">
        <f>+F17</f>
        <v>2017</v>
      </c>
      <c r="G31" s="65" t="s">
        <v>170</v>
      </c>
      <c r="H31" s="65" t="s">
        <v>171</v>
      </c>
      <c r="I31" s="1541"/>
      <c r="J31" s="1541"/>
      <c r="K31" s="1548"/>
      <c r="L31" s="1547" t="s">
        <v>257</v>
      </c>
      <c r="M31" s="1547"/>
      <c r="N31" s="1547"/>
      <c r="O31" s="54" t="s">
        <v>174</v>
      </c>
      <c r="P31" s="54" t="s">
        <v>175</v>
      </c>
      <c r="Q31" s="54" t="s">
        <v>176</v>
      </c>
      <c r="R31" s="54" t="s">
        <v>177</v>
      </c>
      <c r="S31" s="54" t="s">
        <v>178</v>
      </c>
      <c r="T31" s="54" t="s">
        <v>179</v>
      </c>
      <c r="U31" s="54" t="s">
        <v>180</v>
      </c>
      <c r="V31" s="54" t="s">
        <v>181</v>
      </c>
      <c r="W31" s="54" t="s">
        <v>182</v>
      </c>
      <c r="X31" s="54" t="s">
        <v>183</v>
      </c>
      <c r="Y31" s="89"/>
    </row>
    <row r="32" spans="2:25" x14ac:dyDescent="0.2">
      <c r="B32" s="52">
        <v>1</v>
      </c>
      <c r="C32" s="1538" t="s">
        <v>162</v>
      </c>
      <c r="D32" s="66" t="s">
        <v>162</v>
      </c>
      <c r="E32" s="38">
        <v>51225</v>
      </c>
      <c r="F32" s="38">
        <v>69028</v>
      </c>
      <c r="G32" s="95">
        <f>(F32/E32)^(1/(2017-2007))-1</f>
        <v>3.027777724270031E-2</v>
      </c>
      <c r="H32" s="96">
        <f>G32</f>
        <v>3.027777724270031E-2</v>
      </c>
      <c r="I32" s="93">
        <f>+F32*(1+H32)^(2018-2017)</f>
        <v>71118.014407509123</v>
      </c>
      <c r="J32" s="93">
        <f>+I32*(1+$H$32)^(2019-2018)</f>
        <v>73271.309805682831</v>
      </c>
      <c r="K32" s="93">
        <f t="shared" ref="K32:T32" si="6">+J32*(1+$H$32)^(2019-2018)</f>
        <v>75489.80220226018</v>
      </c>
      <c r="L32" s="93">
        <f t="shared" si="6"/>
        <v>77775.465617435722</v>
      </c>
      <c r="M32" s="93">
        <f t="shared" si="6"/>
        <v>80130.333840347739</v>
      </c>
      <c r="N32" s="93">
        <f t="shared" si="6"/>
        <v>82556.502238749003</v>
      </c>
      <c r="O32" s="93">
        <f t="shared" si="6"/>
        <v>85056.129623470333</v>
      </c>
      <c r="P32" s="93">
        <f t="shared" si="6"/>
        <v>87631.440169336012</v>
      </c>
      <c r="Q32" s="93">
        <f t="shared" si="6"/>
        <v>90284.725394240188</v>
      </c>
      <c r="R32" s="93">
        <f t="shared" si="6"/>
        <v>93018.346198145358</v>
      </c>
      <c r="S32" s="93">
        <f t="shared" si="6"/>
        <v>95834.734963817187</v>
      </c>
      <c r="T32" s="93">
        <f t="shared" si="6"/>
        <v>98736.39772116486</v>
      </c>
      <c r="U32" s="93">
        <f>+T32*(1+H32)^(2019-2018)</f>
        <v>101725.91637711295</v>
      </c>
      <c r="V32" s="93">
        <f>+U32*(1+H32)^(2019-2018)</f>
        <v>104805.95101298873</v>
      </c>
      <c r="W32" s="93">
        <f>+V32*(1+H32)^(2019-2018)</f>
        <v>107979.24225146938</v>
      </c>
      <c r="X32" s="93">
        <f>+W32*(1+H32)^(2019-2018)</f>
        <v>111248.61369519494</v>
      </c>
      <c r="Y32" s="89"/>
    </row>
    <row r="33" spans="2:25" x14ac:dyDescent="0.2">
      <c r="B33" s="52">
        <v>2</v>
      </c>
      <c r="C33" s="1538"/>
      <c r="D33" s="66" t="s">
        <v>190</v>
      </c>
      <c r="E33" s="38">
        <v>1213</v>
      </c>
      <c r="F33" s="38">
        <v>1339</v>
      </c>
      <c r="G33" s="95">
        <f t="shared" ref="G33:G40" si="7">(F33/E33)^(1/(2017-2007))-1</f>
        <v>9.9316382633922728E-3</v>
      </c>
      <c r="H33" s="96">
        <f t="shared" ref="H33:H40" si="8">G33</f>
        <v>9.9316382633922728E-3</v>
      </c>
      <c r="I33" s="93">
        <f>+F33*(1+H33)^(2018-2017)</f>
        <v>1352.2984636346823</v>
      </c>
      <c r="J33" s="93">
        <f>+I33*(1+$H$33)^(2019-2018)</f>
        <v>1365.729002799643</v>
      </c>
      <c r="K33" s="93">
        <f t="shared" ref="K33:T33" si="9">+J33*(1+$H$33)^(2019-2018)</f>
        <v>1379.2929292212725</v>
      </c>
      <c r="L33" s="93">
        <f t="shared" si="9"/>
        <v>1392.9915676535529</v>
      </c>
      <c r="M33" s="93">
        <f t="shared" si="9"/>
        <v>1406.8262560074438</v>
      </c>
      <c r="N33" s="93">
        <f t="shared" si="9"/>
        <v>1420.7983454815521</v>
      </c>
      <c r="O33" s="93">
        <f t="shared" si="9"/>
        <v>1434.9092006941012</v>
      </c>
      <c r="P33" s="93">
        <f t="shared" si="9"/>
        <v>1449.1601998162084</v>
      </c>
      <c r="Q33" s="93">
        <f t="shared" si="9"/>
        <v>1463.5527347064883</v>
      </c>
      <c r="R33" s="93">
        <f t="shared" si="9"/>
        <v>1478.0882110469918</v>
      </c>
      <c r="S33" s="93">
        <f t="shared" si="9"/>
        <v>1492.7680484804951</v>
      </c>
      <c r="T33" s="93">
        <f t="shared" si="9"/>
        <v>1507.5936807491532</v>
      </c>
      <c r="U33" s="93">
        <f t="shared" ref="U33:U40" si="10">+T33*(1+H33)^(2019-2018)</f>
        <v>1522.5665558345299</v>
      </c>
      <c r="V33" s="93">
        <f t="shared" ref="V33:V40" si="11">+U33*(1+H33)^(2019-2018)</f>
        <v>1537.6881360990176</v>
      </c>
      <c r="W33" s="93">
        <f t="shared" ref="W33:W40" si="12">+V33*(1+H33)^(2019-2018)</f>
        <v>1552.9598984286629</v>
      </c>
      <c r="X33" s="93">
        <f t="shared" ref="X33:X40" si="13">+W33*(1+H33)^(2019-2018)</f>
        <v>1568.3833343774108</v>
      </c>
      <c r="Y33" s="89"/>
    </row>
    <row r="34" spans="2:25" x14ac:dyDescent="0.2">
      <c r="B34" s="52">
        <v>3</v>
      </c>
      <c r="C34" s="1538"/>
      <c r="D34" s="66" t="s">
        <v>184</v>
      </c>
      <c r="E34" s="38">
        <v>2498</v>
      </c>
      <c r="F34" s="38">
        <v>1866</v>
      </c>
      <c r="G34" s="95">
        <f t="shared" si="7"/>
        <v>-2.8748012458718053E-2</v>
      </c>
      <c r="H34" s="96">
        <f t="shared" si="8"/>
        <v>-2.8748012458718053E-2</v>
      </c>
      <c r="I34" s="93">
        <f>+F34*(1+$H$7)^(2018-2017)</f>
        <v>1866.7230887103749</v>
      </c>
      <c r="J34" s="93">
        <f>+I34*(1+$H$34)^(2019-2018)</f>
        <v>1813.0585100991525</v>
      </c>
      <c r="K34" s="93">
        <f t="shared" ref="K34:T34" si="14">+J34*(1+$H$34)^(2019-2018)</f>
        <v>1760.9366814624373</v>
      </c>
      <c r="L34" s="93">
        <f t="shared" si="14"/>
        <v>1710.3132518047414</v>
      </c>
      <c r="M34" s="93">
        <f t="shared" si="14"/>
        <v>1661.1451451335481</v>
      </c>
      <c r="N34" s="93">
        <f t="shared" si="14"/>
        <v>1613.3905238055099</v>
      </c>
      <c r="O34" s="93">
        <f t="shared" si="14"/>
        <v>1567.0087529263715</v>
      </c>
      <c r="P34" s="93">
        <f t="shared" si="14"/>
        <v>1521.9603657743239</v>
      </c>
      <c r="Q34" s="93">
        <f t="shared" si="14"/>
        <v>1478.2070302173686</v>
      </c>
      <c r="R34" s="93">
        <f t="shared" si="14"/>
        <v>1435.711516096115</v>
      </c>
      <c r="S34" s="93">
        <f t="shared" si="14"/>
        <v>1394.4376635442588</v>
      </c>
      <c r="T34" s="93">
        <f t="shared" si="14"/>
        <v>1354.3503522197827</v>
      </c>
      <c r="U34" s="93">
        <f t="shared" si="10"/>
        <v>1315.4154714206993</v>
      </c>
      <c r="V34" s="93">
        <f t="shared" si="11"/>
        <v>1277.5998910599067</v>
      </c>
      <c r="W34" s="93">
        <f t="shared" si="12"/>
        <v>1240.8714334744595</v>
      </c>
      <c r="X34" s="93">
        <f t="shared" si="13"/>
        <v>1205.1988460452685</v>
      </c>
      <c r="Y34" s="94"/>
    </row>
    <row r="35" spans="2:25" x14ac:dyDescent="0.2">
      <c r="B35" s="52">
        <v>4</v>
      </c>
      <c r="C35" s="1538"/>
      <c r="D35" s="66" t="s">
        <v>191</v>
      </c>
      <c r="E35" s="38">
        <v>16532</v>
      </c>
      <c r="F35" s="38">
        <v>16223</v>
      </c>
      <c r="G35" s="95">
        <f t="shared" si="7"/>
        <v>-1.8850119512807684E-3</v>
      </c>
      <c r="H35" s="96">
        <f t="shared" si="8"/>
        <v>-1.8850119512807684E-3</v>
      </c>
      <c r="I35" s="93">
        <f t="shared" ref="I35:I40" si="15">+F35*(1+$H$7)^(2018-2017)</f>
        <v>16229.28653169797</v>
      </c>
      <c r="J35" s="93">
        <f>+I35*(1+$H$35)^(2019-2018)</f>
        <v>16198.69413262496</v>
      </c>
      <c r="K35" s="93">
        <f t="shared" ref="K35:T35" si="16">+J35*(1+$H$35)^(2019-2018)</f>
        <v>16168.159400589821</v>
      </c>
      <c r="L35" s="93">
        <f t="shared" si="16"/>
        <v>16137.682226889496</v>
      </c>
      <c r="M35" s="93">
        <f t="shared" si="16"/>
        <v>16107.262503025839</v>
      </c>
      <c r="N35" s="93">
        <f t="shared" si="16"/>
        <v>16076.900120705219</v>
      </c>
      <c r="O35" s="93">
        <f t="shared" si="16"/>
        <v>16046.594971838142</v>
      </c>
      <c r="P35" s="93">
        <f t="shared" si="16"/>
        <v>16016.346948538865</v>
      </c>
      <c r="Q35" s="93">
        <f t="shared" si="16"/>
        <v>15986.15594312501</v>
      </c>
      <c r="R35" s="93">
        <f t="shared" si="16"/>
        <v>15956.021848117181</v>
      </c>
      <c r="S35" s="93">
        <f t="shared" si="16"/>
        <v>15925.944556238583</v>
      </c>
      <c r="T35" s="93">
        <f t="shared" si="16"/>
        <v>15895.923960414639</v>
      </c>
      <c r="U35" s="93">
        <f t="shared" si="10"/>
        <v>15865.959953772606</v>
      </c>
      <c r="V35" s="93">
        <f t="shared" si="11"/>
        <v>15836.052429641202</v>
      </c>
      <c r="W35" s="93">
        <f t="shared" si="12"/>
        <v>15806.20128155022</v>
      </c>
      <c r="X35" s="93">
        <f t="shared" si="13"/>
        <v>15776.406403230148</v>
      </c>
      <c r="Y35" s="94"/>
    </row>
    <row r="36" spans="2:25" x14ac:dyDescent="0.2">
      <c r="B36" s="52">
        <v>5</v>
      </c>
      <c r="C36" s="1538"/>
      <c r="D36" s="66" t="s">
        <v>185</v>
      </c>
      <c r="E36" s="38">
        <v>4515</v>
      </c>
      <c r="F36" s="38">
        <v>2886</v>
      </c>
      <c r="G36" s="95">
        <f t="shared" si="7"/>
        <v>-4.376671396631282E-2</v>
      </c>
      <c r="H36" s="96">
        <f t="shared" si="8"/>
        <v>-4.376671396631282E-2</v>
      </c>
      <c r="I36" s="93">
        <f t="shared" si="15"/>
        <v>2887.118346204792</v>
      </c>
      <c r="J36" s="93">
        <f>+I36*(1+$H$36)^(2019-2018)</f>
        <v>2760.7586633595529</v>
      </c>
      <c r="K36" s="93">
        <f t="shared" ref="K36:S36" si="17">+J36*(1+$H$36)^(2019-2018)</f>
        <v>2639.9293286102752</v>
      </c>
      <c r="L36" s="93">
        <f t="shared" si="17"/>
        <v>2524.3882967937088</v>
      </c>
      <c r="M36" s="93">
        <f t="shared" si="17"/>
        <v>2413.904116268031</v>
      </c>
      <c r="N36" s="93">
        <f t="shared" si="17"/>
        <v>2308.2554652692229</v>
      </c>
      <c r="O36" s="93">
        <f t="shared" si="17"/>
        <v>2207.2307085596067</v>
      </c>
      <c r="P36" s="93">
        <f t="shared" si="17"/>
        <v>2110.6274734804165</v>
      </c>
      <c r="Q36" s="93">
        <f t="shared" si="17"/>
        <v>2018.2522445591576</v>
      </c>
      <c r="R36" s="93">
        <f t="shared" si="17"/>
        <v>1929.9199758596681</v>
      </c>
      <c r="S36" s="93">
        <f t="shared" si="17"/>
        <v>1845.4537202983447</v>
      </c>
      <c r="T36" s="93">
        <f>+S36*(1+$H$36)^(2019-2018)</f>
        <v>1764.6842751839793</v>
      </c>
      <c r="U36" s="93">
        <f t="shared" si="10"/>
        <v>1687.4498432711521</v>
      </c>
      <c r="V36" s="93">
        <f t="shared" si="11"/>
        <v>1613.5957086482042</v>
      </c>
      <c r="W36" s="93">
        <f t="shared" si="12"/>
        <v>1542.9739268105284</v>
      </c>
      <c r="X36" s="93">
        <f t="shared" si="13"/>
        <v>1475.4430282983335</v>
      </c>
      <c r="Y36" s="94"/>
    </row>
    <row r="37" spans="2:25" x14ac:dyDescent="0.2">
      <c r="B37" s="52">
        <v>6</v>
      </c>
      <c r="C37" s="1538"/>
      <c r="D37" s="66" t="s">
        <v>187</v>
      </c>
      <c r="E37" s="38">
        <v>5043</v>
      </c>
      <c r="F37" s="38">
        <v>3002</v>
      </c>
      <c r="G37" s="95">
        <f t="shared" si="7"/>
        <v>-5.0549840091358322E-2</v>
      </c>
      <c r="H37" s="96">
        <f t="shared" si="8"/>
        <v>-5.0549840091358322E-2</v>
      </c>
      <c r="I37" s="93">
        <f t="shared" si="15"/>
        <v>3003.1632970570981</v>
      </c>
      <c r="J37" s="93">
        <f>+I37*(1+$H$37)^(2019-2018)</f>
        <v>2851.3538726226252</v>
      </c>
      <c r="K37" s="93">
        <f t="shared" ref="K37:T37" si="18">+J37*(1+$H$37)^(2019-2018)</f>
        <v>2707.218390317676</v>
      </c>
      <c r="L37" s="93">
        <f t="shared" si="18"/>
        <v>2570.3689335947329</v>
      </c>
      <c r="M37" s="93">
        <f t="shared" si="18"/>
        <v>2440.4371950257241</v>
      </c>
      <c r="N37" s="93">
        <f t="shared" si="18"/>
        <v>2317.0734850641707</v>
      </c>
      <c r="O37" s="93">
        <f t="shared" si="18"/>
        <v>2199.9457909142507</v>
      </c>
      <c r="P37" s="93">
        <f t="shared" si="18"/>
        <v>2088.7388829738784</v>
      </c>
      <c r="Q37" s="93">
        <f t="shared" si="18"/>
        <v>1983.1534664469464</v>
      </c>
      <c r="R37" s="93">
        <f t="shared" si="18"/>
        <v>1882.9053758414302</v>
      </c>
      <c r="S37" s="93">
        <f t="shared" si="18"/>
        <v>1787.7248101854871</v>
      </c>
      <c r="T37" s="93">
        <f t="shared" si="18"/>
        <v>1697.3556069032568</v>
      </c>
      <c r="U37" s="93">
        <f t="shared" si="10"/>
        <v>1611.5545523961266</v>
      </c>
      <c r="V37" s="93">
        <f t="shared" si="11"/>
        <v>1530.0907274740018</v>
      </c>
      <c r="W37" s="93">
        <f t="shared" si="12"/>
        <v>1452.744885874921</v>
      </c>
      <c r="X37" s="93">
        <f t="shared" si="13"/>
        <v>1379.3088642004052</v>
      </c>
      <c r="Y37" s="94"/>
    </row>
    <row r="38" spans="2:25" x14ac:dyDescent="0.2">
      <c r="B38" s="52">
        <v>7</v>
      </c>
      <c r="C38" s="1538"/>
      <c r="D38" s="66" t="s">
        <v>186</v>
      </c>
      <c r="E38" s="38">
        <v>4154</v>
      </c>
      <c r="F38" s="38">
        <v>2774</v>
      </c>
      <c r="G38" s="95">
        <f t="shared" si="7"/>
        <v>-3.9573805425316633E-2</v>
      </c>
      <c r="H38" s="96">
        <f t="shared" si="8"/>
        <v>-3.9573805425316633E-2</v>
      </c>
      <c r="I38" s="93">
        <f t="shared" si="15"/>
        <v>2775.0749453818753</v>
      </c>
      <c r="J38" s="93">
        <f>+I38*(1+$H$38)^(2019-2018)</f>
        <v>2665.2546694526618</v>
      </c>
      <c r="K38" s="93">
        <f t="shared" ref="K38:T38" si="19">+J38*(1+$H$38)^(2019-2018)</f>
        <v>2559.7803997548253</v>
      </c>
      <c r="L38" s="93">
        <f t="shared" si="19"/>
        <v>2458.4801482833886</v>
      </c>
      <c r="M38" s="93">
        <f t="shared" si="19"/>
        <v>2361.1887332532183</v>
      </c>
      <c r="N38" s="93">
        <f t="shared" si="19"/>
        <v>2267.7475097510055</v>
      </c>
      <c r="O38" s="93">
        <f t="shared" si="19"/>
        <v>2178.0041110463731</v>
      </c>
      <c r="P38" s="93">
        <f t="shared" si="19"/>
        <v>2091.8122001402839</v>
      </c>
      <c r="Q38" s="93">
        <f t="shared" si="19"/>
        <v>2009.0312311456289</v>
      </c>
      <c r="R38" s="93">
        <f t="shared" si="19"/>
        <v>1929.5262201108874</v>
      </c>
      <c r="S38" s="93">
        <f t="shared" si="19"/>
        <v>1853.1675249131724</v>
      </c>
      <c r="T38" s="93">
        <f t="shared" si="19"/>
        <v>1779.8306338617429</v>
      </c>
      <c r="U38" s="93">
        <f t="shared" si="10"/>
        <v>1709.3959626672802</v>
      </c>
      <c r="V38" s="93">
        <f t="shared" si="11"/>
        <v>1641.7486594458635</v>
      </c>
      <c r="W38" s="93">
        <f t="shared" si="12"/>
        <v>1576.7784174396784</v>
      </c>
      <c r="X38" s="93">
        <f t="shared" si="13"/>
        <v>1514.3792951490818</v>
      </c>
      <c r="Y38" s="94"/>
    </row>
    <row r="39" spans="2:25" ht="25.5" x14ac:dyDescent="0.2">
      <c r="B39" s="52">
        <v>8</v>
      </c>
      <c r="C39" s="1538"/>
      <c r="D39" s="66" t="s">
        <v>192</v>
      </c>
      <c r="E39" s="38">
        <v>3531</v>
      </c>
      <c r="F39" s="39">
        <v>2541</v>
      </c>
      <c r="G39" s="95">
        <f t="shared" si="7"/>
        <v>-3.2366947201163843E-2</v>
      </c>
      <c r="H39" s="96">
        <f t="shared" si="8"/>
        <v>-3.2366947201163843E-2</v>
      </c>
      <c r="I39" s="93">
        <f t="shared" si="15"/>
        <v>2541.9846561699155</v>
      </c>
      <c r="J39" s="93">
        <f>+I39*(1+$H$39)^(2019-2018)</f>
        <v>2459.7083730174954</v>
      </c>
      <c r="K39" s="93">
        <f>+J39*(1+$H$39)^(2019-2018)</f>
        <v>2380.0951219777776</v>
      </c>
      <c r="L39" s="93">
        <f t="shared" ref="L39:T39" si="20">+K39*(1+$H$39)^(2019-2018)</f>
        <v>2303.0587088309753</v>
      </c>
      <c r="M39" s="93">
        <f t="shared" si="20"/>
        <v>2228.5157292010626</v>
      </c>
      <c r="N39" s="93">
        <f t="shared" si="20"/>
        <v>2156.3854782570488</v>
      </c>
      <c r="O39" s="93">
        <f t="shared" si="20"/>
        <v>2086.5898633369466</v>
      </c>
      <c r="P39" s="93">
        <f t="shared" si="20"/>
        <v>2019.053319399836</v>
      </c>
      <c r="Q39" s="93">
        <f t="shared" si="20"/>
        <v>1953.7027272144869</v>
      </c>
      <c r="R39" s="93">
        <f t="shared" si="20"/>
        <v>1890.4673341959658</v>
      </c>
      <c r="S39" s="93">
        <f t="shared" si="20"/>
        <v>1829.2786778045199</v>
      </c>
      <c r="T39" s="93">
        <f t="shared" si="20"/>
        <v>1770.0705114238062</v>
      </c>
      <c r="U39" s="93">
        <f t="shared" si="10"/>
        <v>1712.7787326382149</v>
      </c>
      <c r="V39" s="93">
        <f t="shared" si="11"/>
        <v>1657.3413138316375</v>
      </c>
      <c r="W39" s="93">
        <f t="shared" si="12"/>
        <v>1603.6982350325413</v>
      </c>
      <c r="X39" s="93">
        <f t="shared" si="13"/>
        <v>1551.7914189326434</v>
      </c>
      <c r="Y39" s="94"/>
    </row>
    <row r="40" spans="2:25" x14ac:dyDescent="0.2">
      <c r="B40" s="52">
        <v>9</v>
      </c>
      <c r="C40" s="1538"/>
      <c r="D40" s="66" t="s">
        <v>193</v>
      </c>
      <c r="E40" s="38">
        <v>7353</v>
      </c>
      <c r="F40" s="39">
        <v>10861</v>
      </c>
      <c r="G40" s="95">
        <f t="shared" si="7"/>
        <v>3.9777761869776995E-2</v>
      </c>
      <c r="H40" s="96">
        <f t="shared" si="8"/>
        <v>3.9777761869776995E-2</v>
      </c>
      <c r="I40" s="93">
        <f t="shared" si="15"/>
        <v>10865.208717300848</v>
      </c>
      <c r="J40" s="93">
        <f>+I40*(1+$H$40)^(2019-2018)</f>
        <v>11297.402402323067</v>
      </c>
      <c r="K40" s="93">
        <f t="shared" ref="K40:T40" si="21">+J40*(1+$H$40)^(2019-2018)</f>
        <v>11746.787784829719</v>
      </c>
      <c r="L40" s="93">
        <f t="shared" si="21"/>
        <v>12214.048712069482</v>
      </c>
      <c r="M40" s="93">
        <f t="shared" si="21"/>
        <v>12699.896233204037</v>
      </c>
      <c r="N40" s="93">
        <f t="shared" si="21"/>
        <v>13205.069681339306</v>
      </c>
      <c r="O40" s="93">
        <f t="shared" si="21"/>
        <v>13730.337798597433</v>
      </c>
      <c r="P40" s="93">
        <f t="shared" si="21"/>
        <v>14276.49990594164</v>
      </c>
      <c r="Q40" s="93">
        <f t="shared" si="21"/>
        <v>14844.38711953408</v>
      </c>
      <c r="R40" s="93">
        <f t="shared" si="21"/>
        <v>15434.86361547769</v>
      </c>
      <c r="S40" s="93">
        <f t="shared" si="21"/>
        <v>16048.827944866647</v>
      </c>
      <c r="T40" s="93">
        <f t="shared" si="21"/>
        <v>16687.214401146575</v>
      </c>
      <c r="U40" s="93">
        <f t="shared" si="10"/>
        <v>17350.994441865296</v>
      </c>
      <c r="V40" s="93">
        <f t="shared" si="11"/>
        <v>18041.178166977639</v>
      </c>
      <c r="W40" s="93">
        <f t="shared" si="12"/>
        <v>18758.815855953897</v>
      </c>
      <c r="X40" s="93">
        <f t="shared" si="13"/>
        <v>19504.999566031027</v>
      </c>
      <c r="Y40" s="94"/>
    </row>
    <row r="41" spans="2:25" s="97" customFormat="1" ht="13.5" thickBot="1" x14ac:dyDescent="0.25">
      <c r="B41" s="97">
        <v>85</v>
      </c>
      <c r="J41" s="114"/>
      <c r="K41" s="115"/>
      <c r="L41" s="115"/>
      <c r="M41" s="115"/>
      <c r="N41" s="116"/>
      <c r="Y41" s="102"/>
    </row>
    <row r="42" spans="2:25" s="97" customFormat="1" x14ac:dyDescent="0.2">
      <c r="G42" s="117">
        <f>AVERAGE(G34:G40)</f>
        <v>-2.2444652746339062E-2</v>
      </c>
      <c r="I42" s="118">
        <f t="shared" ref="I42:T42" si="22">SUM(I32:I40)</f>
        <v>112638.87245366667</v>
      </c>
      <c r="J42" s="118">
        <f t="shared" si="22"/>
        <v>114683.26943198201</v>
      </c>
      <c r="K42" s="119">
        <f t="shared" si="22"/>
        <v>116832.002239024</v>
      </c>
      <c r="L42" s="120">
        <f t="shared" si="22"/>
        <v>119086.79746335576</v>
      </c>
      <c r="M42" s="121">
        <f t="shared" si="22"/>
        <v>121449.50975146664</v>
      </c>
      <c r="N42" s="122">
        <f t="shared" si="22"/>
        <v>123922.12284842205</v>
      </c>
      <c r="O42" s="123">
        <f t="shared" si="22"/>
        <v>126506.75082138358</v>
      </c>
      <c r="P42" s="118">
        <f t="shared" si="22"/>
        <v>129205.63946540147</v>
      </c>
      <c r="Q42" s="118">
        <f t="shared" si="22"/>
        <v>132021.16789118937</v>
      </c>
      <c r="R42" s="118">
        <f t="shared" si="22"/>
        <v>134955.85029489128</v>
      </c>
      <c r="S42" s="118">
        <f t="shared" si="22"/>
        <v>138012.33791014869</v>
      </c>
      <c r="T42" s="118">
        <f t="shared" si="22"/>
        <v>141193.4211430678</v>
      </c>
      <c r="U42" s="118">
        <f>SUM(U32:U40)</f>
        <v>144502.03189097886</v>
      </c>
      <c r="V42" s="118">
        <f>SUM(V32:V40)</f>
        <v>147941.24604616623</v>
      </c>
      <c r="W42" s="118">
        <f>SUM(W32:W40)</f>
        <v>151514.28618603427</v>
      </c>
      <c r="X42" s="118">
        <f>SUM(X32:X40)</f>
        <v>155224.52445145929</v>
      </c>
      <c r="Y42" s="124"/>
    </row>
    <row r="43" spans="2:25" s="97" customFormat="1" ht="13.5" thickBot="1" x14ac:dyDescent="0.25">
      <c r="J43" s="98"/>
      <c r="K43" s="98"/>
      <c r="L43" s="111"/>
      <c r="M43" s="112"/>
      <c r="N43" s="113"/>
      <c r="O43" s="98"/>
    </row>
    <row r="1048493" spans="4:4" x14ac:dyDescent="0.2">
      <c r="D1048493" s="37"/>
    </row>
  </sheetData>
  <mergeCells count="15">
    <mergeCell ref="C32:C40"/>
    <mergeCell ref="D5:H5"/>
    <mergeCell ref="D16:H16"/>
    <mergeCell ref="I16:I17"/>
    <mergeCell ref="J16:J17"/>
    <mergeCell ref="D17:D18"/>
    <mergeCell ref="D30:H30"/>
    <mergeCell ref="I30:I31"/>
    <mergeCell ref="J30:J31"/>
    <mergeCell ref="I29:Y29"/>
    <mergeCell ref="L17:N17"/>
    <mergeCell ref="K16:K17"/>
    <mergeCell ref="K30:K31"/>
    <mergeCell ref="L31:N31"/>
    <mergeCell ref="I15:X15"/>
  </mergeCells>
  <pageMargins left="0.7" right="0.7" top="0.75" bottom="0.75" header="0.3" footer="0.3"/>
  <pageSetup scale="44" orientation="landscape" r:id="rId1"/>
  <colBreaks count="1" manualBreakCount="1">
    <brk id="25" max="4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3:AA1048350"/>
  <sheetViews>
    <sheetView view="pageBreakPreview" zoomScale="80" zoomScaleNormal="80" zoomScaleSheetLayoutView="80" workbookViewId="0">
      <selection activeCell="F30" sqref="F30"/>
    </sheetView>
  </sheetViews>
  <sheetFormatPr baseColWidth="10" defaultColWidth="11.42578125" defaultRowHeight="12.75" x14ac:dyDescent="0.2"/>
  <cols>
    <col min="1" max="1" width="4" style="52" customWidth="1"/>
    <col min="2" max="2" width="11.42578125" style="52"/>
    <col min="3" max="3" width="16.28515625" style="52" customWidth="1"/>
    <col min="4" max="4" width="20.28515625" style="52" customWidth="1"/>
    <col min="5" max="5" width="34" style="52" customWidth="1"/>
    <col min="6" max="6" width="11.5703125" style="52" customWidth="1"/>
    <col min="7" max="7" width="14.140625" style="52" customWidth="1"/>
    <col min="8" max="8" width="11.5703125" style="52" customWidth="1"/>
    <col min="9" max="9" width="11.5703125" style="52" bestFit="1" customWidth="1"/>
    <col min="10" max="11" width="11.42578125" style="52" customWidth="1"/>
    <col min="12" max="12" width="12.28515625" style="52" customWidth="1"/>
    <col min="13" max="13" width="12.85546875" style="52" customWidth="1"/>
    <col min="14" max="22" width="9.5703125" style="52" customWidth="1"/>
    <col min="23" max="26" width="11.42578125" style="52"/>
    <col min="27" max="27" width="13.42578125" style="52" customWidth="1"/>
    <col min="28" max="16384" width="11.42578125" style="52"/>
  </cols>
  <sheetData>
    <row r="3" spans="2:26" x14ac:dyDescent="0.2">
      <c r="B3" s="79" t="s">
        <v>167</v>
      </c>
      <c r="C3" s="80"/>
      <c r="D3" s="80"/>
    </row>
    <row r="5" spans="2:26" x14ac:dyDescent="0.2">
      <c r="D5" s="1539" t="s">
        <v>168</v>
      </c>
      <c r="E5" s="1539"/>
      <c r="F5" s="1539"/>
      <c r="G5" s="1539"/>
      <c r="H5" s="1539"/>
    </row>
    <row r="6" spans="2:26" x14ac:dyDescent="0.2">
      <c r="D6" s="81" t="s">
        <v>169</v>
      </c>
      <c r="E6" s="81">
        <v>2007</v>
      </c>
      <c r="F6" s="81">
        <v>2017</v>
      </c>
      <c r="G6" s="81" t="s">
        <v>170</v>
      </c>
      <c r="H6" s="81" t="s">
        <v>171</v>
      </c>
    </row>
    <row r="7" spans="2:26" ht="28.5" customHeight="1" x14ac:dyDescent="0.2">
      <c r="D7" s="82" t="s">
        <v>163</v>
      </c>
      <c r="E7" s="83">
        <v>404190</v>
      </c>
      <c r="F7" s="83">
        <v>405759</v>
      </c>
      <c r="G7" s="84">
        <f>(F7/E7)^(1/(2017-2007))-1</f>
        <v>3.8750734746773041E-4</v>
      </c>
      <c r="H7" s="85">
        <f>G7</f>
        <v>3.8750734746773041E-4</v>
      </c>
    </row>
    <row r="8" spans="2:26" ht="29.25" customHeight="1" x14ac:dyDescent="0.2">
      <c r="D8" s="82" t="s">
        <v>164</v>
      </c>
      <c r="E8" s="83">
        <v>27412157</v>
      </c>
      <c r="F8" s="83">
        <v>29381884</v>
      </c>
      <c r="G8" s="84">
        <f>(F8/E8)^(1/(2017-2007))-1</f>
        <v>6.9633011030576508E-3</v>
      </c>
      <c r="H8" s="85">
        <f>G8</f>
        <v>6.9633011030576508E-3</v>
      </c>
    </row>
    <row r="11" spans="2:26" x14ac:dyDescent="0.2">
      <c r="B11" s="86"/>
      <c r="C11" s="86"/>
      <c r="D11" s="86"/>
      <c r="E11" s="86"/>
      <c r="F11" s="86"/>
      <c r="G11" s="86"/>
      <c r="H11" s="86"/>
      <c r="I11" s="86"/>
      <c r="J11" s="86"/>
      <c r="K11" s="86"/>
      <c r="L11" s="86"/>
      <c r="M11" s="86"/>
      <c r="N11" s="86"/>
      <c r="O11" s="86"/>
      <c r="P11" s="86"/>
      <c r="Q11" s="86"/>
      <c r="R11" s="86"/>
      <c r="S11" s="86"/>
      <c r="T11" s="86"/>
      <c r="U11" s="86"/>
      <c r="V11" s="86"/>
    </row>
    <row r="13" spans="2:26" x14ac:dyDescent="0.2">
      <c r="B13" s="79" t="s">
        <v>172</v>
      </c>
      <c r="C13" s="80"/>
      <c r="D13" s="80"/>
    </row>
    <row r="14" spans="2:26" x14ac:dyDescent="0.2">
      <c r="I14" s="89"/>
      <c r="J14" s="89"/>
      <c r="K14" s="89"/>
      <c r="L14" s="89"/>
      <c r="M14" s="89"/>
      <c r="N14" s="89"/>
      <c r="O14" s="89"/>
      <c r="P14" s="89"/>
      <c r="Q14" s="89"/>
      <c r="R14" s="89"/>
      <c r="S14" s="89"/>
      <c r="T14" s="89"/>
      <c r="U14" s="89"/>
      <c r="V14" s="89"/>
      <c r="W14" s="89"/>
      <c r="X14" s="89"/>
      <c r="Y14" s="89"/>
      <c r="Z14" s="89"/>
    </row>
    <row r="15" spans="2:26" x14ac:dyDescent="0.2">
      <c r="I15" s="125"/>
      <c r="J15" s="125"/>
      <c r="K15" s="125"/>
      <c r="L15" s="125"/>
      <c r="M15" s="125"/>
      <c r="N15" s="125"/>
      <c r="O15" s="125"/>
      <c r="P15" s="125"/>
      <c r="Q15" s="125"/>
      <c r="R15" s="125"/>
      <c r="S15" s="125"/>
      <c r="T15" s="125"/>
      <c r="U15" s="125"/>
      <c r="V15" s="125"/>
      <c r="W15" s="125"/>
      <c r="X15" s="125"/>
      <c r="Y15" s="125"/>
      <c r="Z15" s="125"/>
    </row>
    <row r="16" spans="2:26" ht="15" customHeight="1" x14ac:dyDescent="0.2">
      <c r="D16" s="1540" t="s">
        <v>168</v>
      </c>
      <c r="E16" s="1540"/>
      <c r="F16" s="1540"/>
      <c r="G16" s="1540"/>
      <c r="H16" s="1540"/>
      <c r="I16" s="53"/>
      <c r="J16" s="53"/>
      <c r="K16" s="53"/>
      <c r="L16" s="53"/>
      <c r="M16" s="89"/>
      <c r="N16" s="89"/>
      <c r="O16" s="89"/>
      <c r="P16" s="89"/>
      <c r="Q16" s="89"/>
      <c r="R16" s="89"/>
      <c r="S16" s="89"/>
      <c r="T16" s="89"/>
      <c r="U16" s="89"/>
      <c r="V16" s="89"/>
      <c r="W16" s="89"/>
      <c r="X16" s="89"/>
      <c r="Y16" s="89"/>
      <c r="Z16" s="89"/>
    </row>
    <row r="17" spans="1:27" ht="21" customHeight="1" x14ac:dyDescent="0.2">
      <c r="D17" s="1541" t="s">
        <v>155</v>
      </c>
      <c r="E17" s="65">
        <f>+E6</f>
        <v>2007</v>
      </c>
      <c r="F17" s="65">
        <f>+F6</f>
        <v>2017</v>
      </c>
      <c r="G17" s="65" t="s">
        <v>170</v>
      </c>
      <c r="H17" s="65" t="s">
        <v>171</v>
      </c>
      <c r="I17" s="53"/>
      <c r="J17" s="53"/>
      <c r="K17" s="53"/>
      <c r="L17" s="53"/>
      <c r="M17" s="126"/>
      <c r="N17" s="126"/>
      <c r="O17" s="126"/>
      <c r="P17" s="126"/>
      <c r="Q17" s="126"/>
      <c r="R17" s="126"/>
      <c r="S17" s="126"/>
      <c r="T17" s="126"/>
      <c r="U17" s="126"/>
      <c r="V17" s="126"/>
      <c r="W17" s="126"/>
      <c r="X17" s="126"/>
      <c r="Y17" s="126"/>
      <c r="Z17" s="126"/>
    </row>
    <row r="18" spans="1:27" ht="29.25" customHeight="1" x14ac:dyDescent="0.2">
      <c r="D18" s="1541"/>
      <c r="E18" s="90">
        <f>+E7</f>
        <v>404190</v>
      </c>
      <c r="F18" s="90">
        <f>+F7</f>
        <v>405759</v>
      </c>
      <c r="G18" s="91">
        <f>+$G$7</f>
        <v>3.8750734746773041E-4</v>
      </c>
      <c r="H18" s="92">
        <f>G18</f>
        <v>3.8750734746773041E-4</v>
      </c>
      <c r="I18" s="94"/>
      <c r="J18" s="94"/>
      <c r="K18" s="94"/>
      <c r="L18" s="94"/>
      <c r="M18" s="94"/>
      <c r="N18" s="94"/>
      <c r="O18" s="94"/>
      <c r="P18" s="94"/>
      <c r="Q18" s="94"/>
      <c r="R18" s="94"/>
      <c r="S18" s="94"/>
      <c r="T18" s="94"/>
      <c r="U18" s="94"/>
      <c r="V18" s="94"/>
      <c r="W18" s="94"/>
      <c r="X18" s="94"/>
      <c r="Y18" s="94"/>
      <c r="Z18" s="94"/>
    </row>
    <row r="19" spans="1:27" x14ac:dyDescent="0.2">
      <c r="D19" s="37" t="s">
        <v>162</v>
      </c>
      <c r="E19" s="41">
        <v>96064</v>
      </c>
      <c r="F19" s="41">
        <v>110520</v>
      </c>
      <c r="G19" s="95">
        <f>(F19/E19)^(1/(2017-2007))-1</f>
        <v>1.4116901910895319E-2</v>
      </c>
      <c r="H19" s="96">
        <f>G19</f>
        <v>1.4116901910895319E-2</v>
      </c>
      <c r="I19" s="94"/>
      <c r="J19" s="94"/>
      <c r="K19" s="94"/>
      <c r="L19" s="94"/>
      <c r="M19" s="94"/>
      <c r="N19" s="94"/>
      <c r="O19" s="94"/>
      <c r="P19" s="94"/>
      <c r="Q19" s="94"/>
      <c r="R19" s="94"/>
      <c r="S19" s="94"/>
      <c r="T19" s="94"/>
      <c r="U19" s="94"/>
      <c r="V19" s="94"/>
      <c r="W19" s="94"/>
      <c r="X19" s="94"/>
      <c r="Y19" s="94"/>
      <c r="Z19" s="94"/>
    </row>
    <row r="20" spans="1:27" x14ac:dyDescent="0.2">
      <c r="I20" s="89"/>
      <c r="J20" s="89"/>
      <c r="K20" s="89"/>
      <c r="L20" s="89"/>
      <c r="M20" s="89"/>
      <c r="N20" s="89"/>
      <c r="O20" s="89"/>
      <c r="P20" s="89"/>
      <c r="Q20" s="89"/>
      <c r="R20" s="89"/>
      <c r="S20" s="89"/>
      <c r="T20" s="89"/>
      <c r="U20" s="89"/>
      <c r="V20" s="89">
        <f>V28-F29</f>
        <v>16</v>
      </c>
      <c r="W20" s="89"/>
      <c r="X20" s="89"/>
      <c r="Y20" s="89"/>
      <c r="Z20" s="89"/>
    </row>
    <row r="21" spans="1:27" x14ac:dyDescent="0.2">
      <c r="I21" s="127"/>
      <c r="J21" s="127"/>
      <c r="K21" s="127"/>
      <c r="L21" s="127"/>
      <c r="M21" s="127"/>
      <c r="N21" s="127"/>
      <c r="O21" s="127"/>
      <c r="P21" s="127"/>
      <c r="Q21" s="127"/>
      <c r="R21" s="127"/>
      <c r="S21" s="127"/>
      <c r="T21" s="127"/>
      <c r="U21" s="127"/>
      <c r="V21" s="127"/>
      <c r="W21" s="127"/>
      <c r="X21" s="127"/>
      <c r="Y21" s="127"/>
      <c r="Z21" s="127"/>
    </row>
    <row r="22" spans="1:27" x14ac:dyDescent="0.2">
      <c r="I22" s="89"/>
      <c r="J22" s="89"/>
      <c r="K22" s="89"/>
      <c r="L22" s="89"/>
      <c r="M22" s="89"/>
      <c r="N22" s="89"/>
      <c r="O22" s="89"/>
      <c r="P22" s="89"/>
      <c r="Q22" s="89"/>
      <c r="R22" s="89"/>
      <c r="S22" s="89"/>
      <c r="T22" s="89"/>
      <c r="U22" s="89"/>
      <c r="V22" s="149">
        <f>F54*(1+H19)^16</f>
        <v>376.68196875245684</v>
      </c>
      <c r="W22" s="89"/>
      <c r="X22" s="89"/>
      <c r="Y22" s="89"/>
      <c r="Z22" s="89"/>
    </row>
    <row r="23" spans="1:27" x14ac:dyDescent="0.2">
      <c r="G23" s="143">
        <f>$F$54*(1+$H$19)^(G29-$F$29)</f>
        <v>305.2491874751795</v>
      </c>
      <c r="H23" s="143">
        <f>$F$54*(1+$H$19)^(H29-$F$29)</f>
        <v>309.55836031314715</v>
      </c>
      <c r="I23" s="143">
        <f>$F$54*(1+$H$19)^(I29-$F$29)</f>
        <v>313.9283653213854</v>
      </c>
      <c r="J23" s="143">
        <f>$F$54*(1+$H$19)^(J28-$F$29)</f>
        <v>318.36006126167518</v>
      </c>
      <c r="K23" s="143">
        <f t="shared" ref="K23:V23" si="0">$F$54*(1+$H$19)^(K28-$F$29)</f>
        <v>322.85431901885283</v>
      </c>
      <c r="L23" s="143">
        <f t="shared" si="0"/>
        <v>327.41202177195095</v>
      </c>
      <c r="M23" s="143">
        <f t="shared" si="0"/>
        <v>332.03406516775351</v>
      </c>
      <c r="N23" s="143">
        <f t="shared" si="0"/>
        <v>336.72135749680257</v>
      </c>
      <c r="O23" s="143">
        <f t="shared" si="0"/>
        <v>341.47481987188843</v>
      </c>
      <c r="P23" s="143">
        <f t="shared" si="0"/>
        <v>346.2953864090606</v>
      </c>
      <c r="Q23" s="143">
        <f t="shared" si="0"/>
        <v>351.18400441119286</v>
      </c>
      <c r="R23" s="143">
        <f t="shared" si="0"/>
        <v>356.14163455414115</v>
      </c>
      <c r="S23" s="143">
        <f t="shared" si="0"/>
        <v>361.16925107552782</v>
      </c>
      <c r="T23" s="143">
        <f t="shared" si="0"/>
        <v>366.26784196619269</v>
      </c>
      <c r="U23" s="143">
        <f t="shared" si="0"/>
        <v>371.43840916434476</v>
      </c>
      <c r="V23" s="143">
        <f t="shared" si="0"/>
        <v>376.68196875245684</v>
      </c>
      <c r="W23" s="89"/>
      <c r="X23" s="89"/>
      <c r="Y23" s="89"/>
      <c r="Z23" s="89"/>
    </row>
    <row r="25" spans="1:27" x14ac:dyDescent="0.2">
      <c r="B25" s="79" t="s">
        <v>172</v>
      </c>
      <c r="C25" s="80"/>
      <c r="D25" s="80"/>
      <c r="E25" s="1551" t="s">
        <v>580</v>
      </c>
      <c r="F25" s="1551"/>
      <c r="G25" s="1551"/>
      <c r="H25" s="1551"/>
      <c r="I25" s="1551"/>
    </row>
    <row r="26" spans="1:27" x14ac:dyDescent="0.2">
      <c r="E26" s="1551"/>
      <c r="F26" s="1551"/>
      <c r="G26" s="1551"/>
      <c r="H26" s="1551"/>
      <c r="I26" s="1551"/>
    </row>
    <row r="27" spans="1:27" x14ac:dyDescent="0.2">
      <c r="E27" s="1551"/>
      <c r="F27" s="1551"/>
      <c r="G27" s="1551"/>
      <c r="H27" s="1551"/>
      <c r="I27" s="1551"/>
      <c r="J27" s="1558" t="s">
        <v>173</v>
      </c>
      <c r="K27" s="1558"/>
      <c r="L27" s="1558"/>
      <c r="M27" s="1558"/>
      <c r="N27" s="1558"/>
      <c r="O27" s="1558"/>
      <c r="P27" s="1558"/>
      <c r="Q27" s="1558"/>
      <c r="R27" s="1558"/>
      <c r="S27" s="1558"/>
      <c r="T27" s="1558"/>
      <c r="U27" s="1558"/>
      <c r="V27" s="1558"/>
      <c r="W27" s="125"/>
      <c r="X27" s="125"/>
      <c r="Y27" s="125"/>
      <c r="Z27" s="125"/>
      <c r="AA27" s="125"/>
    </row>
    <row r="28" spans="1:27" ht="15" customHeight="1" x14ac:dyDescent="0.2">
      <c r="D28" s="53"/>
      <c r="E28" s="1552"/>
      <c r="F28" s="1552"/>
      <c r="G28" s="1552"/>
      <c r="H28" s="1552"/>
      <c r="I28" s="1552"/>
      <c r="J28" s="65">
        <v>2021</v>
      </c>
      <c r="K28" s="65">
        <v>2022</v>
      </c>
      <c r="L28" s="65">
        <v>2023</v>
      </c>
      <c r="M28" s="128">
        <v>2024</v>
      </c>
      <c r="N28" s="65">
        <v>2025</v>
      </c>
      <c r="O28" s="65">
        <v>2026</v>
      </c>
      <c r="P28" s="65">
        <v>2027</v>
      </c>
      <c r="Q28" s="65">
        <v>2028</v>
      </c>
      <c r="R28" s="65">
        <v>2029</v>
      </c>
      <c r="S28" s="65">
        <v>2030</v>
      </c>
      <c r="T28" s="65">
        <v>2031</v>
      </c>
      <c r="U28" s="65">
        <v>2032</v>
      </c>
      <c r="V28" s="65">
        <v>2033</v>
      </c>
      <c r="W28" s="129"/>
      <c r="X28" s="89"/>
      <c r="Y28" s="89"/>
      <c r="Z28" s="89"/>
      <c r="AA28" s="89"/>
    </row>
    <row r="29" spans="1:27" ht="21" customHeight="1" x14ac:dyDescent="0.2">
      <c r="C29" s="65" t="s">
        <v>189</v>
      </c>
      <c r="D29" s="65" t="s">
        <v>188</v>
      </c>
      <c r="E29" s="65" t="s">
        <v>256</v>
      </c>
      <c r="F29" s="65">
        <f>+F17</f>
        <v>2017</v>
      </c>
      <c r="G29" s="65">
        <v>2018</v>
      </c>
      <c r="H29" s="130">
        <v>2019</v>
      </c>
      <c r="I29" s="130">
        <v>2020</v>
      </c>
      <c r="J29" s="1538" t="s">
        <v>257</v>
      </c>
      <c r="K29" s="1538"/>
      <c r="L29" s="1538"/>
      <c r="M29" s="54" t="s">
        <v>174</v>
      </c>
      <c r="N29" s="54" t="s">
        <v>175</v>
      </c>
      <c r="O29" s="54" t="s">
        <v>176</v>
      </c>
      <c r="P29" s="54" t="s">
        <v>177</v>
      </c>
      <c r="Q29" s="54" t="s">
        <v>178</v>
      </c>
      <c r="R29" s="54" t="s">
        <v>179</v>
      </c>
      <c r="S29" s="54" t="s">
        <v>180</v>
      </c>
      <c r="T29" s="54" t="s">
        <v>181</v>
      </c>
      <c r="U29" s="54" t="s">
        <v>182</v>
      </c>
      <c r="V29" s="54" t="s">
        <v>183</v>
      </c>
      <c r="W29" s="89"/>
      <c r="X29" s="126"/>
      <c r="Y29" s="126"/>
      <c r="Z29" s="126"/>
      <c r="AA29" s="126"/>
    </row>
    <row r="30" spans="1:27" x14ac:dyDescent="0.2">
      <c r="A30" s="1553">
        <v>1</v>
      </c>
      <c r="B30" s="214">
        <v>1</v>
      </c>
      <c r="C30" s="75" t="s">
        <v>161</v>
      </c>
      <c r="D30" s="75" t="s">
        <v>161</v>
      </c>
      <c r="E30" s="75" t="s">
        <v>324</v>
      </c>
      <c r="F30" s="201">
        <v>55</v>
      </c>
      <c r="G30" s="337">
        <f t="shared" ref="G30:G61" si="1">+F30*(1+$H$8)</f>
        <v>55.382981560668171</v>
      </c>
      <c r="H30" s="337">
        <f t="shared" ref="H30:V30" si="2">+G30*(1+$H$8)</f>
        <v>55.768629937260194</v>
      </c>
      <c r="I30" s="337">
        <f t="shared" si="2"/>
        <v>56.156963699618331</v>
      </c>
      <c r="J30" s="337">
        <f t="shared" si="2"/>
        <v>56.548001546892252</v>
      </c>
      <c r="K30" s="337">
        <f t="shared" si="2"/>
        <v>56.941762308439429</v>
      </c>
      <c r="L30" s="337">
        <f t="shared" si="2"/>
        <v>57.338264944731833</v>
      </c>
      <c r="M30" s="337">
        <f t="shared" si="2"/>
        <v>57.737528548268898</v>
      </c>
      <c r="N30" s="337">
        <f t="shared" si="2"/>
        <v>58.139572344496884</v>
      </c>
      <c r="O30" s="337">
        <f t="shared" si="2"/>
        <v>58.544415692734617</v>
      </c>
      <c r="P30" s="337">
        <f t="shared" si="2"/>
        <v>58.952078087105704</v>
      </c>
      <c r="Q30" s="337">
        <f t="shared" si="2"/>
        <v>59.362579157477185</v>
      </c>
      <c r="R30" s="337">
        <f t="shared" si="2"/>
        <v>59.775938670404791</v>
      </c>
      <c r="S30" s="337">
        <f t="shared" si="2"/>
        <v>60.19217653008473</v>
      </c>
      <c r="T30" s="337">
        <f t="shared" si="2"/>
        <v>60.611312779312108</v>
      </c>
      <c r="U30" s="337">
        <f t="shared" si="2"/>
        <v>61.033367600446063</v>
      </c>
      <c r="V30" s="337">
        <f t="shared" si="2"/>
        <v>61.45836131638157</v>
      </c>
      <c r="W30" s="94"/>
      <c r="X30" s="94"/>
      <c r="Y30" s="94"/>
      <c r="Z30" s="94"/>
      <c r="AA30" s="89"/>
    </row>
    <row r="31" spans="1:27" x14ac:dyDescent="0.2">
      <c r="A31" s="1553"/>
      <c r="B31" s="52">
        <v>2</v>
      </c>
      <c r="C31" s="64" t="s">
        <v>161</v>
      </c>
      <c r="D31" s="64" t="s">
        <v>161</v>
      </c>
      <c r="E31" s="64" t="s">
        <v>325</v>
      </c>
      <c r="F31" s="201">
        <v>192</v>
      </c>
      <c r="G31" s="337">
        <f t="shared" si="1"/>
        <v>193.33695381178705</v>
      </c>
      <c r="H31" s="337">
        <f t="shared" ref="H31:V31" si="3">+G31*(1+$H$8)</f>
        <v>194.68321723552648</v>
      </c>
      <c r="I31" s="337">
        <f t="shared" si="3"/>
        <v>196.03885509684943</v>
      </c>
      <c r="J31" s="337">
        <f t="shared" si="3"/>
        <v>197.40393267278748</v>
      </c>
      <c r="K31" s="337">
        <f t="shared" si="3"/>
        <v>198.77851569491582</v>
      </c>
      <c r="L31" s="337">
        <f t="shared" si="3"/>
        <v>200.1626703525184</v>
      </c>
      <c r="M31" s="337">
        <f t="shared" si="3"/>
        <v>201.55646329577507</v>
      </c>
      <c r="N31" s="337">
        <f t="shared" si="3"/>
        <v>202.95996163897095</v>
      </c>
      <c r="O31" s="337">
        <f t="shared" si="3"/>
        <v>204.37323296372813</v>
      </c>
      <c r="P31" s="337">
        <f t="shared" si="3"/>
        <v>205.79634532225992</v>
      </c>
      <c r="Q31" s="337">
        <f t="shared" si="3"/>
        <v>207.22936724064766</v>
      </c>
      <c r="R31" s="337">
        <f t="shared" si="3"/>
        <v>208.67236772214039</v>
      </c>
      <c r="S31" s="337">
        <f t="shared" si="3"/>
        <v>210.12541625047763</v>
      </c>
      <c r="T31" s="337">
        <f t="shared" si="3"/>
        <v>211.58858279323502</v>
      </c>
      <c r="U31" s="337">
        <f t="shared" si="3"/>
        <v>213.06193780519357</v>
      </c>
      <c r="V31" s="337">
        <f t="shared" si="3"/>
        <v>214.54555223173207</v>
      </c>
      <c r="W31" s="94"/>
      <c r="X31" s="94"/>
      <c r="Y31" s="94"/>
      <c r="Z31" s="94"/>
      <c r="AA31" s="89"/>
    </row>
    <row r="32" spans="1:27" x14ac:dyDescent="0.2">
      <c r="A32" s="1553"/>
      <c r="B32" s="52">
        <v>3</v>
      </c>
      <c r="C32" s="64" t="s">
        <v>161</v>
      </c>
      <c r="D32" s="64" t="s">
        <v>161</v>
      </c>
      <c r="E32" s="64" t="s">
        <v>309</v>
      </c>
      <c r="F32" s="201">
        <v>108</v>
      </c>
      <c r="G32" s="337">
        <f t="shared" si="1"/>
        <v>108.75203651913023</v>
      </c>
      <c r="H32" s="337">
        <f t="shared" ref="H32:V32" si="4">+G32*(1+$H$8)</f>
        <v>109.50930969498366</v>
      </c>
      <c r="I32" s="337">
        <f t="shared" si="4"/>
        <v>110.27185599197782</v>
      </c>
      <c r="J32" s="337">
        <f t="shared" si="4"/>
        <v>111.03971212844297</v>
      </c>
      <c r="K32" s="337">
        <f t="shared" si="4"/>
        <v>111.81291507839016</v>
      </c>
      <c r="L32" s="337">
        <f t="shared" si="4"/>
        <v>112.59150207329161</v>
      </c>
      <c r="M32" s="337">
        <f t="shared" si="4"/>
        <v>113.37551060387348</v>
      </c>
      <c r="N32" s="337">
        <f t="shared" si="4"/>
        <v>114.16497842192116</v>
      </c>
      <c r="O32" s="337">
        <f t="shared" si="4"/>
        <v>114.95994354209708</v>
      </c>
      <c r="P32" s="337">
        <f t="shared" si="4"/>
        <v>115.7604442437712</v>
      </c>
      <c r="Q32" s="337">
        <f t="shared" si="4"/>
        <v>116.5665190728643</v>
      </c>
      <c r="R32" s="337">
        <f t="shared" si="4"/>
        <v>117.37820684370396</v>
      </c>
      <c r="S32" s="337">
        <f t="shared" si="4"/>
        <v>118.19554664089365</v>
      </c>
      <c r="T32" s="337">
        <f t="shared" si="4"/>
        <v>119.0185778211947</v>
      </c>
      <c r="U32" s="337">
        <f t="shared" si="4"/>
        <v>119.84734001542138</v>
      </c>
      <c r="V32" s="337">
        <f t="shared" si="4"/>
        <v>120.68187313034929</v>
      </c>
      <c r="W32" s="94"/>
      <c r="X32" s="94"/>
      <c r="Y32" s="94"/>
      <c r="Z32" s="94"/>
      <c r="AA32" s="89"/>
    </row>
    <row r="33" spans="1:27" x14ac:dyDescent="0.2">
      <c r="A33" s="1553"/>
      <c r="B33" s="52">
        <f>SUM(F30:F41)</f>
        <v>1560</v>
      </c>
      <c r="C33" s="64" t="s">
        <v>161</v>
      </c>
      <c r="D33" s="64" t="s">
        <v>161</v>
      </c>
      <c r="E33" s="64" t="s">
        <v>310</v>
      </c>
      <c r="F33" s="201">
        <v>153</v>
      </c>
      <c r="G33" s="337">
        <f t="shared" si="1"/>
        <v>154.06538506876782</v>
      </c>
      <c r="H33" s="337">
        <f t="shared" ref="H33:V33" si="5">+G33*(1+$H$8)</f>
        <v>155.13818873456017</v>
      </c>
      <c r="I33" s="337">
        <f t="shared" si="5"/>
        <v>156.21846265530189</v>
      </c>
      <c r="J33" s="337">
        <f t="shared" si="5"/>
        <v>157.30625884862752</v>
      </c>
      <c r="K33" s="337">
        <f t="shared" si="5"/>
        <v>158.40162969438603</v>
      </c>
      <c r="L33" s="337">
        <f t="shared" si="5"/>
        <v>159.50462793716309</v>
      </c>
      <c r="M33" s="337">
        <f t="shared" si="5"/>
        <v>160.61530668882074</v>
      </c>
      <c r="N33" s="337">
        <f t="shared" si="5"/>
        <v>161.73371943105494</v>
      </c>
      <c r="O33" s="337">
        <f t="shared" si="5"/>
        <v>162.85992001797081</v>
      </c>
      <c r="P33" s="337">
        <f t="shared" si="5"/>
        <v>163.99396267867581</v>
      </c>
      <c r="Q33" s="337">
        <f t="shared" si="5"/>
        <v>165.13590201989103</v>
      </c>
      <c r="R33" s="337">
        <f t="shared" si="5"/>
        <v>166.28579302858057</v>
      </c>
      <c r="S33" s="337">
        <f t="shared" si="5"/>
        <v>167.44369107459931</v>
      </c>
      <c r="T33" s="337">
        <f t="shared" si="5"/>
        <v>168.60965191335913</v>
      </c>
      <c r="U33" s="337">
        <f t="shared" si="5"/>
        <v>169.7837316885136</v>
      </c>
      <c r="V33" s="337">
        <f t="shared" si="5"/>
        <v>170.96598693466146</v>
      </c>
      <c r="W33" s="94"/>
      <c r="X33" s="94"/>
      <c r="Y33" s="94"/>
      <c r="Z33" s="94"/>
      <c r="AA33" s="89"/>
    </row>
    <row r="34" spans="1:27" x14ac:dyDescent="0.2">
      <c r="A34" s="1553"/>
      <c r="B34" s="52">
        <v>5</v>
      </c>
      <c r="C34" s="64" t="s">
        <v>161</v>
      </c>
      <c r="D34" s="64" t="s">
        <v>161</v>
      </c>
      <c r="E34" s="64" t="s">
        <v>308</v>
      </c>
      <c r="F34" s="201">
        <v>196</v>
      </c>
      <c r="G34" s="337">
        <f t="shared" si="1"/>
        <v>197.36480701619931</v>
      </c>
      <c r="H34" s="337">
        <f t="shared" ref="H34:V34" si="6">+G34*(1+$H$8)</f>
        <v>198.73911759459997</v>
      </c>
      <c r="I34" s="337">
        <f t="shared" si="6"/>
        <v>200.12299791136715</v>
      </c>
      <c r="J34" s="337">
        <f t="shared" si="6"/>
        <v>201.51651460347057</v>
      </c>
      <c r="K34" s="337">
        <f t="shared" si="6"/>
        <v>202.91973477189325</v>
      </c>
      <c r="L34" s="337">
        <f t="shared" si="6"/>
        <v>204.33272598486255</v>
      </c>
      <c r="M34" s="337">
        <f t="shared" si="6"/>
        <v>205.75555628110371</v>
      </c>
      <c r="N34" s="337">
        <f t="shared" si="6"/>
        <v>207.18829417311616</v>
      </c>
      <c r="O34" s="337">
        <f t="shared" si="6"/>
        <v>208.63100865047247</v>
      </c>
      <c r="P34" s="337">
        <f t="shared" si="6"/>
        <v>210.08376918314033</v>
      </c>
      <c r="Q34" s="337">
        <f t="shared" si="6"/>
        <v>211.54664572482781</v>
      </c>
      <c r="R34" s="337">
        <f t="shared" si="6"/>
        <v>213.01970871635166</v>
      </c>
      <c r="S34" s="337">
        <f t="shared" si="6"/>
        <v>214.50302908902924</v>
      </c>
      <c r="T34" s="337">
        <f t="shared" si="6"/>
        <v>215.99667826809409</v>
      </c>
      <c r="U34" s="337">
        <f t="shared" si="6"/>
        <v>217.50072817613508</v>
      </c>
      <c r="V34" s="337">
        <f t="shared" si="6"/>
        <v>219.01525123655981</v>
      </c>
      <c r="W34" s="94"/>
      <c r="X34" s="94"/>
      <c r="Y34" s="94"/>
      <c r="Z34" s="94"/>
      <c r="AA34" s="89"/>
    </row>
    <row r="35" spans="1:27" x14ac:dyDescent="0.2">
      <c r="A35" s="1553"/>
      <c r="B35" s="52">
        <v>6</v>
      </c>
      <c r="C35" s="64" t="s">
        <v>161</v>
      </c>
      <c r="D35" s="64" t="s">
        <v>161</v>
      </c>
      <c r="E35" s="64" t="s">
        <v>326</v>
      </c>
      <c r="F35" s="201">
        <v>90</v>
      </c>
      <c r="G35" s="337">
        <f t="shared" si="1"/>
        <v>90.626697099275191</v>
      </c>
      <c r="H35" s="337">
        <f t="shared" ref="H35:V35" si="7">+G35*(1+$H$8)</f>
        <v>91.257758079153049</v>
      </c>
      <c r="I35" s="337">
        <f t="shared" si="7"/>
        <v>91.89321332664818</v>
      </c>
      <c r="J35" s="337">
        <f t="shared" si="7"/>
        <v>92.533093440369143</v>
      </c>
      <c r="K35" s="337">
        <f t="shared" si="7"/>
        <v>93.177429231991809</v>
      </c>
      <c r="L35" s="337">
        <f t="shared" si="7"/>
        <v>93.826251727743013</v>
      </c>
      <c r="M35" s="337">
        <f t="shared" si="7"/>
        <v>94.479592169894573</v>
      </c>
      <c r="N35" s="337">
        <f t="shared" si="7"/>
        <v>95.137482018267633</v>
      </c>
      <c r="O35" s="337">
        <f t="shared" si="7"/>
        <v>95.799952951747557</v>
      </c>
      <c r="P35" s="337">
        <f t="shared" si="7"/>
        <v>96.467036869809334</v>
      </c>
      <c r="Q35" s="337">
        <f t="shared" si="7"/>
        <v>97.138765894053577</v>
      </c>
      <c r="R35" s="337">
        <f t="shared" si="7"/>
        <v>97.815172369753299</v>
      </c>
      <c r="S35" s="337">
        <f t="shared" si="7"/>
        <v>98.49628886741138</v>
      </c>
      <c r="T35" s="337">
        <f t="shared" si="7"/>
        <v>99.182148184328909</v>
      </c>
      <c r="U35" s="337">
        <f t="shared" si="7"/>
        <v>99.872783346184477</v>
      </c>
      <c r="V35" s="337">
        <f t="shared" si="7"/>
        <v>100.5682276086244</v>
      </c>
      <c r="W35" s="94"/>
      <c r="X35" s="94"/>
      <c r="Y35" s="94"/>
      <c r="Z35" s="94"/>
      <c r="AA35" s="89"/>
    </row>
    <row r="36" spans="1:27" x14ac:dyDescent="0.2">
      <c r="A36" s="1553"/>
      <c r="B36" s="52">
        <v>7</v>
      </c>
      <c r="C36" s="64" t="s">
        <v>161</v>
      </c>
      <c r="D36" s="64" t="s">
        <v>161</v>
      </c>
      <c r="E36" s="64" t="s">
        <v>327</v>
      </c>
      <c r="F36" s="201">
        <v>83</v>
      </c>
      <c r="G36" s="337">
        <f t="shared" si="1"/>
        <v>83.577953991553784</v>
      </c>
      <c r="H36" s="337">
        <f t="shared" ref="H36:V36" si="8">+G36*(1+$H$8)</f>
        <v>84.159932450774477</v>
      </c>
      <c r="I36" s="337">
        <f t="shared" si="8"/>
        <v>84.745963401242207</v>
      </c>
      <c r="J36" s="337">
        <f t="shared" si="8"/>
        <v>85.336075061673753</v>
      </c>
      <c r="K36" s="337">
        <f t="shared" si="8"/>
        <v>85.930295847281315</v>
      </c>
      <c r="L36" s="337">
        <f t="shared" si="8"/>
        <v>86.52865437114076</v>
      </c>
      <c r="M36" s="337">
        <f t="shared" si="8"/>
        <v>87.131179445569416</v>
      </c>
      <c r="N36" s="337">
        <f t="shared" si="8"/>
        <v>87.737900083513466</v>
      </c>
      <c r="O36" s="337">
        <f t="shared" si="8"/>
        <v>88.348845499944957</v>
      </c>
      <c r="P36" s="337">
        <f t="shared" si="8"/>
        <v>88.964045113268597</v>
      </c>
      <c r="Q36" s="337">
        <f t="shared" si="8"/>
        <v>89.583528546738293</v>
      </c>
      <c r="R36" s="337">
        <f t="shared" si="8"/>
        <v>90.207325629883599</v>
      </c>
      <c r="S36" s="337">
        <f t="shared" si="8"/>
        <v>90.835466399946043</v>
      </c>
      <c r="T36" s="337">
        <f t="shared" si="8"/>
        <v>91.467981103325542</v>
      </c>
      <c r="U36" s="337">
        <f t="shared" si="8"/>
        <v>92.104900197036784</v>
      </c>
      <c r="V36" s="337">
        <f t="shared" si="8"/>
        <v>92.746254350175832</v>
      </c>
      <c r="W36" s="94"/>
      <c r="X36" s="94"/>
      <c r="Y36" s="94"/>
      <c r="Z36" s="94"/>
      <c r="AA36" s="89"/>
    </row>
    <row r="37" spans="1:27" x14ac:dyDescent="0.2">
      <c r="A37" s="1553"/>
      <c r="B37" s="52">
        <v>8</v>
      </c>
      <c r="C37" s="64" t="s">
        <v>161</v>
      </c>
      <c r="D37" s="64" t="s">
        <v>161</v>
      </c>
      <c r="E37" s="64" t="s">
        <v>268</v>
      </c>
      <c r="F37" s="201">
        <v>83</v>
      </c>
      <c r="G37" s="337">
        <f t="shared" si="1"/>
        <v>83.577953991553784</v>
      </c>
      <c r="H37" s="337">
        <f t="shared" ref="H37:V37" si="9">+G37*(1+$H$8)</f>
        <v>84.159932450774477</v>
      </c>
      <c r="I37" s="337">
        <f t="shared" si="9"/>
        <v>84.745963401242207</v>
      </c>
      <c r="J37" s="337">
        <f t="shared" si="9"/>
        <v>85.336075061673753</v>
      </c>
      <c r="K37" s="337">
        <f t="shared" si="9"/>
        <v>85.930295847281315</v>
      </c>
      <c r="L37" s="337">
        <f t="shared" si="9"/>
        <v>86.52865437114076</v>
      </c>
      <c r="M37" s="337">
        <f t="shared" si="9"/>
        <v>87.131179445569416</v>
      </c>
      <c r="N37" s="337">
        <f t="shared" si="9"/>
        <v>87.737900083513466</v>
      </c>
      <c r="O37" s="337">
        <f t="shared" si="9"/>
        <v>88.348845499944957</v>
      </c>
      <c r="P37" s="337">
        <f t="shared" si="9"/>
        <v>88.964045113268597</v>
      </c>
      <c r="Q37" s="337">
        <f t="shared" si="9"/>
        <v>89.583528546738293</v>
      </c>
      <c r="R37" s="337">
        <f t="shared" si="9"/>
        <v>90.207325629883599</v>
      </c>
      <c r="S37" s="337">
        <f t="shared" si="9"/>
        <v>90.835466399946043</v>
      </c>
      <c r="T37" s="337">
        <f t="shared" si="9"/>
        <v>91.467981103325542</v>
      </c>
      <c r="U37" s="337">
        <f t="shared" si="9"/>
        <v>92.104900197036784</v>
      </c>
      <c r="V37" s="337">
        <f t="shared" si="9"/>
        <v>92.746254350175832</v>
      </c>
      <c r="W37" s="94"/>
      <c r="X37" s="94"/>
      <c r="Y37" s="94"/>
      <c r="Z37" s="94"/>
      <c r="AA37" s="89"/>
    </row>
    <row r="38" spans="1:27" x14ac:dyDescent="0.2">
      <c r="A38" s="1553"/>
      <c r="B38" s="52">
        <v>9</v>
      </c>
      <c r="C38" s="64" t="s">
        <v>161</v>
      </c>
      <c r="D38" s="64" t="s">
        <v>161</v>
      </c>
      <c r="E38" s="64" t="s">
        <v>270</v>
      </c>
      <c r="F38" s="201">
        <v>101</v>
      </c>
      <c r="G38" s="337">
        <f t="shared" si="1"/>
        <v>101.70329341140882</v>
      </c>
      <c r="H38" s="337">
        <f t="shared" ref="H38:V38" si="10">+G38*(1+$H$8)</f>
        <v>102.41148406660508</v>
      </c>
      <c r="I38" s="337">
        <f t="shared" si="10"/>
        <v>103.12460606657184</v>
      </c>
      <c r="J38" s="337">
        <f t="shared" si="10"/>
        <v>103.84269374974758</v>
      </c>
      <c r="K38" s="337">
        <f t="shared" si="10"/>
        <v>104.56578169367968</v>
      </c>
      <c r="L38" s="337">
        <f t="shared" si="10"/>
        <v>105.29390471668937</v>
      </c>
      <c r="M38" s="337">
        <f t="shared" si="10"/>
        <v>106.02709787954834</v>
      </c>
      <c r="N38" s="337">
        <f t="shared" si="10"/>
        <v>106.765396487167</v>
      </c>
      <c r="O38" s="337">
        <f t="shared" si="10"/>
        <v>107.50883609029448</v>
      </c>
      <c r="P38" s="337">
        <f t="shared" si="10"/>
        <v>108.25745248723047</v>
      </c>
      <c r="Q38" s="337">
        <f t="shared" si="10"/>
        <v>109.01128172554901</v>
      </c>
      <c r="R38" s="337">
        <f t="shared" si="10"/>
        <v>109.77036010383425</v>
      </c>
      <c r="S38" s="337">
        <f t="shared" si="10"/>
        <v>110.53472417342832</v>
      </c>
      <c r="T38" s="337">
        <f t="shared" si="10"/>
        <v>111.30441074019133</v>
      </c>
      <c r="U38" s="337">
        <f t="shared" si="10"/>
        <v>112.07945686627369</v>
      </c>
      <c r="V38" s="337">
        <f t="shared" si="10"/>
        <v>112.85989987190071</v>
      </c>
      <c r="W38" s="94"/>
      <c r="X38" s="94"/>
      <c r="Y38" s="94"/>
      <c r="Z38" s="94"/>
      <c r="AA38" s="94"/>
    </row>
    <row r="39" spans="1:27" x14ac:dyDescent="0.2">
      <c r="A39" s="1553"/>
      <c r="B39" s="52">
        <v>10</v>
      </c>
      <c r="C39" s="64" t="s">
        <v>161</v>
      </c>
      <c r="D39" s="64" t="s">
        <v>161</v>
      </c>
      <c r="E39" s="64" t="s">
        <v>328</v>
      </c>
      <c r="F39" s="201">
        <v>109</v>
      </c>
      <c r="G39" s="337">
        <f t="shared" si="1"/>
        <v>109.75899982023329</v>
      </c>
      <c r="H39" s="337">
        <f t="shared" ref="H39:V39" si="11">+G39*(1+$H$8)</f>
        <v>110.52328478475202</v>
      </c>
      <c r="I39" s="337">
        <f t="shared" si="11"/>
        <v>111.29289169560724</v>
      </c>
      <c r="J39" s="337">
        <f t="shared" si="11"/>
        <v>112.06785761111374</v>
      </c>
      <c r="K39" s="337">
        <f t="shared" si="11"/>
        <v>112.84821984763451</v>
      </c>
      <c r="L39" s="337">
        <f t="shared" si="11"/>
        <v>113.63401598137763</v>
      </c>
      <c r="M39" s="337">
        <f t="shared" si="11"/>
        <v>114.42528385020563</v>
      </c>
      <c r="N39" s="337">
        <f t="shared" si="11"/>
        <v>115.22206155545746</v>
      </c>
      <c r="O39" s="337">
        <f t="shared" si="11"/>
        <v>116.02438746378316</v>
      </c>
      <c r="P39" s="337">
        <f t="shared" si="11"/>
        <v>116.83230020899131</v>
      </c>
      <c r="Q39" s="337">
        <f t="shared" si="11"/>
        <v>117.64583869390934</v>
      </c>
      <c r="R39" s="337">
        <f t="shared" si="11"/>
        <v>118.46504209225678</v>
      </c>
      <c r="S39" s="337">
        <f t="shared" si="11"/>
        <v>119.28994985053156</v>
      </c>
      <c r="T39" s="337">
        <f t="shared" si="11"/>
        <v>120.12060168990945</v>
      </c>
      <c r="U39" s="337">
        <f t="shared" si="11"/>
        <v>120.95703760815674</v>
      </c>
      <c r="V39" s="337">
        <f t="shared" si="11"/>
        <v>121.7992978815562</v>
      </c>
      <c r="W39" s="94"/>
      <c r="X39" s="94"/>
      <c r="Y39" s="94"/>
      <c r="Z39" s="94"/>
      <c r="AA39" s="94"/>
    </row>
    <row r="40" spans="1:27" x14ac:dyDescent="0.2">
      <c r="A40" s="1553"/>
      <c r="B40" s="52">
        <v>11</v>
      </c>
      <c r="C40" s="64" t="s">
        <v>161</v>
      </c>
      <c r="D40" s="64" t="s">
        <v>161</v>
      </c>
      <c r="E40" s="64" t="s">
        <v>269</v>
      </c>
      <c r="F40" s="201">
        <v>67</v>
      </c>
      <c r="G40" s="337">
        <f t="shared" si="1"/>
        <v>67.466541173904858</v>
      </c>
      <c r="H40" s="337">
        <f t="shared" ref="H40:V40" si="12">+G40*(1+$H$8)</f>
        <v>67.936331014480601</v>
      </c>
      <c r="I40" s="337">
        <f t="shared" si="12"/>
        <v>68.409392143171416</v>
      </c>
      <c r="J40" s="337">
        <f t="shared" si="12"/>
        <v>68.885747338941471</v>
      </c>
      <c r="K40" s="337">
        <f t="shared" si="12"/>
        <v>69.365419539371672</v>
      </c>
      <c r="L40" s="337">
        <f t="shared" si="12"/>
        <v>69.848431841764238</v>
      </c>
      <c r="M40" s="337">
        <f t="shared" si="12"/>
        <v>70.33480750425484</v>
      </c>
      <c r="N40" s="337">
        <f t="shared" si="12"/>
        <v>70.82456994693257</v>
      </c>
      <c r="O40" s="337">
        <f t="shared" si="12"/>
        <v>71.317742752967632</v>
      </c>
      <c r="P40" s="337">
        <f t="shared" si="12"/>
        <v>71.81434966974696</v>
      </c>
      <c r="Q40" s="337">
        <f t="shared" si="12"/>
        <v>72.314414610017678</v>
      </c>
      <c r="R40" s="337">
        <f t="shared" si="12"/>
        <v>72.81796165303858</v>
      </c>
      <c r="S40" s="337">
        <f t="shared" si="12"/>
        <v>73.32501504573959</v>
      </c>
      <c r="T40" s="337">
        <f t="shared" si="12"/>
        <v>73.835599203889302</v>
      </c>
      <c r="U40" s="337">
        <f t="shared" si="12"/>
        <v>74.349738713270668</v>
      </c>
      <c r="V40" s="337">
        <f t="shared" si="12"/>
        <v>74.867458330864835</v>
      </c>
      <c r="W40" s="94"/>
      <c r="X40" s="94"/>
      <c r="Y40" s="94"/>
      <c r="Z40" s="94"/>
      <c r="AA40" s="94"/>
    </row>
    <row r="41" spans="1:27" x14ac:dyDescent="0.2">
      <c r="A41" s="1553"/>
      <c r="B41" s="52">
        <v>12</v>
      </c>
      <c r="C41" s="64" t="s">
        <v>161</v>
      </c>
      <c r="D41" s="64" t="s">
        <v>161</v>
      </c>
      <c r="E41" s="64" t="s">
        <v>283</v>
      </c>
      <c r="F41" s="201">
        <v>323</v>
      </c>
      <c r="G41" s="337">
        <f t="shared" si="1"/>
        <v>325.24914625628764</v>
      </c>
      <c r="H41" s="337">
        <f t="shared" ref="H41:V41" si="13">+G41*(1+$H$8)</f>
        <v>327.51395399518259</v>
      </c>
      <c r="I41" s="337">
        <f t="shared" si="13"/>
        <v>329.79453227230402</v>
      </c>
      <c r="J41" s="337">
        <f t="shared" si="13"/>
        <v>332.09099090265812</v>
      </c>
      <c r="K41" s="337">
        <f t="shared" si="13"/>
        <v>334.40344046592611</v>
      </c>
      <c r="L41" s="337">
        <f t="shared" si="13"/>
        <v>336.73199231178876</v>
      </c>
      <c r="M41" s="337">
        <f t="shared" si="13"/>
        <v>339.07675856528823</v>
      </c>
      <c r="N41" s="337">
        <f t="shared" si="13"/>
        <v>341.43785213222714</v>
      </c>
      <c r="O41" s="337">
        <f t="shared" si="13"/>
        <v>343.81538670460509</v>
      </c>
      <c r="P41" s="337">
        <f t="shared" si="13"/>
        <v>346.20947676609347</v>
      </c>
      <c r="Q41" s="337">
        <f t="shared" si="13"/>
        <v>348.62023759754783</v>
      </c>
      <c r="R41" s="337">
        <f t="shared" si="13"/>
        <v>351.04778528255906</v>
      </c>
      <c r="S41" s="337">
        <f t="shared" si="13"/>
        <v>353.49223671304304</v>
      </c>
      <c r="T41" s="337">
        <f t="shared" si="13"/>
        <v>355.95370959486928</v>
      </c>
      <c r="U41" s="337">
        <f t="shared" si="13"/>
        <v>358.43232245352868</v>
      </c>
      <c r="V41" s="337">
        <f t="shared" si="13"/>
        <v>360.92819463984085</v>
      </c>
      <c r="W41" s="94"/>
      <c r="X41" s="94"/>
      <c r="Y41" s="94"/>
      <c r="Z41" s="94"/>
      <c r="AA41" s="94"/>
    </row>
    <row r="42" spans="1:27" x14ac:dyDescent="0.2">
      <c r="A42" s="1554">
        <v>2</v>
      </c>
      <c r="B42" s="214">
        <v>15</v>
      </c>
      <c r="C42" s="75" t="s">
        <v>161</v>
      </c>
      <c r="D42" s="75" t="s">
        <v>254</v>
      </c>
      <c r="E42" s="75" t="s">
        <v>311</v>
      </c>
      <c r="F42" s="201">
        <v>80</v>
      </c>
      <c r="G42" s="337">
        <f t="shared" si="1"/>
        <v>80.557064088244616</v>
      </c>
      <c r="H42" s="337">
        <f t="shared" ref="H42:V42" si="14">+G42*(1+$H$8)</f>
        <v>81.11800718146938</v>
      </c>
      <c r="I42" s="337">
        <f t="shared" si="14"/>
        <v>81.682856290353939</v>
      </c>
      <c r="J42" s="337">
        <f t="shared" si="14"/>
        <v>82.251638613661456</v>
      </c>
      <c r="K42" s="337">
        <f t="shared" si="14"/>
        <v>82.82438153954827</v>
      </c>
      <c r="L42" s="337">
        <f t="shared" si="14"/>
        <v>83.40111264688268</v>
      </c>
      <c r="M42" s="337">
        <f t="shared" si="14"/>
        <v>83.981859706572948</v>
      </c>
      <c r="N42" s="337">
        <f t="shared" si="14"/>
        <v>84.566650682904566</v>
      </c>
      <c r="O42" s="337">
        <f t="shared" si="14"/>
        <v>85.155513734886725</v>
      </c>
      <c r="P42" s="337">
        <f t="shared" si="14"/>
        <v>85.748477217608297</v>
      </c>
      <c r="Q42" s="337">
        <f t="shared" si="14"/>
        <v>86.345569683603188</v>
      </c>
      <c r="R42" s="337">
        <f t="shared" si="14"/>
        <v>86.946819884225164</v>
      </c>
      <c r="S42" s="337">
        <f t="shared" si="14"/>
        <v>87.552256771032347</v>
      </c>
      <c r="T42" s="337">
        <f t="shared" si="14"/>
        <v>88.16190949718127</v>
      </c>
      <c r="U42" s="337">
        <f t="shared" si="14"/>
        <v>88.775807418830667</v>
      </c>
      <c r="V42" s="337">
        <f t="shared" si="14"/>
        <v>89.39398009655504</v>
      </c>
      <c r="W42" s="94"/>
      <c r="X42" s="94"/>
      <c r="Y42" s="94"/>
      <c r="Z42" s="94"/>
      <c r="AA42" s="94"/>
    </row>
    <row r="43" spans="1:27" x14ac:dyDescent="0.2">
      <c r="A43" s="1554"/>
      <c r="B43" s="52">
        <f>SUM(F42:F44)</f>
        <v>207</v>
      </c>
      <c r="C43" s="64" t="s">
        <v>161</v>
      </c>
      <c r="D43" s="64" t="s">
        <v>254</v>
      </c>
      <c r="E43" s="64" t="s">
        <v>351</v>
      </c>
      <c r="F43" s="201">
        <v>56</v>
      </c>
      <c r="G43" s="337">
        <f t="shared" si="1"/>
        <v>56.389944861771227</v>
      </c>
      <c r="H43" s="337">
        <f t="shared" ref="H43:R43" si="15">+G43*(1+$H$8)</f>
        <v>56.782605027028559</v>
      </c>
      <c r="I43" s="337">
        <f t="shared" si="15"/>
        <v>57.177999403247753</v>
      </c>
      <c r="J43" s="337">
        <f t="shared" si="15"/>
        <v>57.576147029563018</v>
      </c>
      <c r="K43" s="337">
        <f t="shared" si="15"/>
        <v>57.977067077683785</v>
      </c>
      <c r="L43" s="337">
        <f t="shared" si="15"/>
        <v>58.380778852817869</v>
      </c>
      <c r="M43" s="337">
        <f t="shared" si="15"/>
        <v>58.787301794601063</v>
      </c>
      <c r="N43" s="337">
        <f t="shared" si="15"/>
        <v>59.196655478033193</v>
      </c>
      <c r="O43" s="337">
        <f t="shared" si="15"/>
        <v>59.608859614420709</v>
      </c>
      <c r="P43" s="337">
        <f t="shared" si="15"/>
        <v>60.023934052325814</v>
      </c>
      <c r="Q43" s="337">
        <f t="shared" si="15"/>
        <v>60.441898778522237</v>
      </c>
      <c r="R43" s="337">
        <f t="shared" si="15"/>
        <v>60.862773918957622</v>
      </c>
      <c r="S43" s="337">
        <f t="shared" ref="H43:V58" si="16">+R43*(1+$H$8)</f>
        <v>61.286579739722647</v>
      </c>
      <c r="T43" s="337">
        <f t="shared" si="16"/>
        <v>61.713336648026889</v>
      </c>
      <c r="U43" s="337">
        <f t="shared" si="16"/>
        <v>62.143065193181464</v>
      </c>
      <c r="V43" s="337">
        <f t="shared" si="16"/>
        <v>62.575786067588531</v>
      </c>
      <c r="W43" s="94"/>
      <c r="X43" s="94"/>
      <c r="Y43" s="94"/>
      <c r="Z43" s="94"/>
      <c r="AA43" s="94"/>
    </row>
    <row r="44" spans="1:27" x14ac:dyDescent="0.2">
      <c r="A44" s="1554"/>
      <c r="B44" s="52">
        <v>17</v>
      </c>
      <c r="C44" s="64" t="s">
        <v>161</v>
      </c>
      <c r="D44" s="64" t="s">
        <v>254</v>
      </c>
      <c r="E44" s="64" t="s">
        <v>271</v>
      </c>
      <c r="F44" s="201">
        <v>71</v>
      </c>
      <c r="G44" s="337">
        <f t="shared" si="1"/>
        <v>71.494394378317097</v>
      </c>
      <c r="H44" s="337">
        <f t="shared" si="16"/>
        <v>71.992231373554077</v>
      </c>
      <c r="I44" s="337">
        <f t="shared" si="16"/>
        <v>72.493534957689121</v>
      </c>
      <c r="J44" s="337">
        <f t="shared" si="16"/>
        <v>72.998329269624548</v>
      </c>
      <c r="K44" s="337">
        <f t="shared" si="16"/>
        <v>73.506638616349093</v>
      </c>
      <c r="L44" s="337">
        <f t="shared" si="16"/>
        <v>74.018487474108383</v>
      </c>
      <c r="M44" s="337">
        <f t="shared" si="16"/>
        <v>74.533900489583502</v>
      </c>
      <c r="N44" s="337">
        <f t="shared" si="16"/>
        <v>75.052902481077808</v>
      </c>
      <c r="O44" s="337">
        <f t="shared" si="16"/>
        <v>75.575518439711971</v>
      </c>
      <c r="P44" s="337">
        <f t="shared" si="16"/>
        <v>76.101773530627369</v>
      </c>
      <c r="Q44" s="337">
        <f t="shared" si="16"/>
        <v>76.631693094197828</v>
      </c>
      <c r="R44" s="337">
        <f t="shared" si="16"/>
        <v>77.165302647249831</v>
      </c>
      <c r="S44" s="337">
        <f t="shared" si="16"/>
        <v>77.702627884291203</v>
      </c>
      <c r="T44" s="337">
        <f t="shared" si="16"/>
        <v>78.243694678748369</v>
      </c>
      <c r="U44" s="337">
        <f t="shared" si="16"/>
        <v>78.7885290842122</v>
      </c>
      <c r="V44" s="337">
        <f t="shared" si="16"/>
        <v>79.337157335692581</v>
      </c>
      <c r="W44" s="94"/>
      <c r="X44" s="94"/>
      <c r="Y44" s="94"/>
      <c r="Z44" s="94"/>
      <c r="AA44" s="94"/>
    </row>
    <row r="45" spans="1:27" x14ac:dyDescent="0.2">
      <c r="A45" s="1549">
        <v>3</v>
      </c>
      <c r="B45" s="214">
        <v>28</v>
      </c>
      <c r="C45" s="75" t="s">
        <v>161</v>
      </c>
      <c r="D45" s="75" t="s">
        <v>273</v>
      </c>
      <c r="E45" s="75" t="s">
        <v>273</v>
      </c>
      <c r="F45" s="201">
        <v>199</v>
      </c>
      <c r="G45" s="337">
        <f t="shared" si="1"/>
        <v>200.38569691950846</v>
      </c>
      <c r="H45" s="337">
        <f t="shared" si="16"/>
        <v>201.78104286390504</v>
      </c>
      <c r="I45" s="337">
        <f t="shared" si="16"/>
        <v>203.18610502225539</v>
      </c>
      <c r="J45" s="337">
        <f t="shared" si="16"/>
        <v>204.60095105148284</v>
      </c>
      <c r="K45" s="337">
        <f t="shared" si="16"/>
        <v>206.02564907962628</v>
      </c>
      <c r="L45" s="337">
        <f t="shared" si="16"/>
        <v>207.46026770912061</v>
      </c>
      <c r="M45" s="337">
        <f t="shared" si="16"/>
        <v>208.90487602010018</v>
      </c>
      <c r="N45" s="337">
        <f t="shared" si="16"/>
        <v>210.35954357372506</v>
      </c>
      <c r="O45" s="337">
        <f t="shared" si="16"/>
        <v>211.82434041553068</v>
      </c>
      <c r="P45" s="337">
        <f t="shared" si="16"/>
        <v>213.29933707880062</v>
      </c>
      <c r="Q45" s="337">
        <f t="shared" si="16"/>
        <v>214.78460458796289</v>
      </c>
      <c r="R45" s="337">
        <f t="shared" si="16"/>
        <v>216.28021446201006</v>
      </c>
      <c r="S45" s="337">
        <f t="shared" si="16"/>
        <v>217.78623871794292</v>
      </c>
      <c r="T45" s="337">
        <f t="shared" si="16"/>
        <v>219.30274987423834</v>
      </c>
      <c r="U45" s="337">
        <f t="shared" si="16"/>
        <v>220.82982095434122</v>
      </c>
      <c r="V45" s="337">
        <f t="shared" si="16"/>
        <v>222.36752549018061</v>
      </c>
      <c r="W45" s="94"/>
      <c r="X45" s="94"/>
      <c r="Y45" s="94"/>
      <c r="Z45" s="94"/>
      <c r="AA45" s="94"/>
    </row>
    <row r="46" spans="1:27" x14ac:dyDescent="0.2">
      <c r="A46" s="1549"/>
      <c r="B46" s="52">
        <f>SUM(F45:F46)</f>
        <v>385</v>
      </c>
      <c r="C46" s="64" t="s">
        <v>161</v>
      </c>
      <c r="D46" s="64" t="s">
        <v>273</v>
      </c>
      <c r="E46" s="64" t="s">
        <v>279</v>
      </c>
      <c r="F46" s="201">
        <v>186</v>
      </c>
      <c r="G46" s="337">
        <f t="shared" si="1"/>
        <v>187.29517400516872</v>
      </c>
      <c r="H46" s="337">
        <f t="shared" si="16"/>
        <v>188.59936669691629</v>
      </c>
      <c r="I46" s="337">
        <f t="shared" si="16"/>
        <v>189.9126408750729</v>
      </c>
      <c r="J46" s="337">
        <f t="shared" si="16"/>
        <v>191.23505977676288</v>
      </c>
      <c r="K46" s="337">
        <f t="shared" si="16"/>
        <v>192.56668707944971</v>
      </c>
      <c r="L46" s="337">
        <f t="shared" si="16"/>
        <v>193.90758690400219</v>
      </c>
      <c r="M46" s="337">
        <f t="shared" si="16"/>
        <v>195.25782381778208</v>
      </c>
      <c r="N46" s="337">
        <f t="shared" si="16"/>
        <v>196.61746283775307</v>
      </c>
      <c r="O46" s="337">
        <f t="shared" si="16"/>
        <v>197.98656943361158</v>
      </c>
      <c r="P46" s="337">
        <f t="shared" si="16"/>
        <v>199.36520953093924</v>
      </c>
      <c r="Q46" s="337">
        <f t="shared" si="16"/>
        <v>200.75344951437734</v>
      </c>
      <c r="R46" s="337">
        <f t="shared" si="16"/>
        <v>202.15135623082344</v>
      </c>
      <c r="S46" s="337">
        <f t="shared" si="16"/>
        <v>203.55899699265012</v>
      </c>
      <c r="T46" s="337">
        <f t="shared" si="16"/>
        <v>204.97643958094636</v>
      </c>
      <c r="U46" s="337">
        <f t="shared" si="16"/>
        <v>206.40375224878119</v>
      </c>
      <c r="V46" s="337">
        <f t="shared" si="16"/>
        <v>207.84100372449038</v>
      </c>
      <c r="W46" s="94"/>
      <c r="X46" s="94"/>
      <c r="Y46" s="94"/>
      <c r="Z46" s="94"/>
      <c r="AA46" s="94"/>
    </row>
    <row r="47" spans="1:27" x14ac:dyDescent="0.2">
      <c r="A47" s="1555">
        <v>4</v>
      </c>
      <c r="B47" s="52">
        <v>33</v>
      </c>
      <c r="C47" s="64" t="s">
        <v>161</v>
      </c>
      <c r="D47" s="64" t="s">
        <v>255</v>
      </c>
      <c r="E47" s="64" t="s">
        <v>255</v>
      </c>
      <c r="F47" s="201">
        <v>579</v>
      </c>
      <c r="G47" s="337">
        <f t="shared" si="1"/>
        <v>583.03175133867035</v>
      </c>
      <c r="H47" s="337">
        <f t="shared" si="16"/>
        <v>587.09157697588455</v>
      </c>
      <c r="I47" s="337">
        <f t="shared" si="16"/>
        <v>591.17967240143662</v>
      </c>
      <c r="J47" s="337">
        <f t="shared" si="16"/>
        <v>595.29623446637481</v>
      </c>
      <c r="K47" s="337">
        <f t="shared" si="16"/>
        <v>599.44146139248062</v>
      </c>
      <c r="L47" s="337">
        <f t="shared" si="16"/>
        <v>603.61555278181334</v>
      </c>
      <c r="M47" s="337">
        <f t="shared" si="16"/>
        <v>607.81870962632172</v>
      </c>
      <c r="N47" s="337">
        <f t="shared" si="16"/>
        <v>612.05113431752181</v>
      </c>
      <c r="O47" s="337">
        <f t="shared" si="16"/>
        <v>616.31303065624274</v>
      </c>
      <c r="P47" s="337">
        <f t="shared" si="16"/>
        <v>620.60460386244017</v>
      </c>
      <c r="Q47" s="337">
        <f t="shared" si="16"/>
        <v>624.92606058507818</v>
      </c>
      <c r="R47" s="337">
        <f t="shared" si="16"/>
        <v>629.2776089120797</v>
      </c>
      <c r="S47" s="337">
        <f t="shared" si="16"/>
        <v>633.65945838034668</v>
      </c>
      <c r="T47" s="337">
        <f t="shared" si="16"/>
        <v>638.07181998584952</v>
      </c>
      <c r="U47" s="337">
        <f t="shared" si="16"/>
        <v>642.51490619378694</v>
      </c>
      <c r="V47" s="337">
        <f t="shared" si="16"/>
        <v>646.98893094881714</v>
      </c>
      <c r="W47" s="94"/>
      <c r="X47" s="94"/>
      <c r="Y47" s="94"/>
      <c r="Z47" s="94"/>
      <c r="AA47" s="94"/>
    </row>
    <row r="48" spans="1:27" x14ac:dyDescent="0.2">
      <c r="A48" s="1555"/>
      <c r="B48" s="52">
        <f>SUM(F47:F53)</f>
        <v>1702</v>
      </c>
      <c r="C48" s="64" t="s">
        <v>161</v>
      </c>
      <c r="D48" s="64" t="s">
        <v>255</v>
      </c>
      <c r="E48" s="64" t="s">
        <v>313</v>
      </c>
      <c r="F48" s="201">
        <v>248</v>
      </c>
      <c r="G48" s="337">
        <f t="shared" si="1"/>
        <v>249.72689867355831</v>
      </c>
      <c r="H48" s="337">
        <f t="shared" si="16"/>
        <v>251.46582226255506</v>
      </c>
      <c r="I48" s="337">
        <f t="shared" si="16"/>
        <v>253.21685450009721</v>
      </c>
      <c r="J48" s="337">
        <f t="shared" si="16"/>
        <v>254.98007970235054</v>
      </c>
      <c r="K48" s="337">
        <f t="shared" si="16"/>
        <v>256.75558277259967</v>
      </c>
      <c r="L48" s="337">
        <f t="shared" si="16"/>
        <v>258.54344920533634</v>
      </c>
      <c r="M48" s="337">
        <f t="shared" si="16"/>
        <v>260.34376509037617</v>
      </c>
      <c r="N48" s="337">
        <f t="shared" si="16"/>
        <v>262.15661711700415</v>
      </c>
      <c r="O48" s="337">
        <f t="shared" si="16"/>
        <v>263.98209257814887</v>
      </c>
      <c r="P48" s="337">
        <f t="shared" si="16"/>
        <v>265.82027937458577</v>
      </c>
      <c r="Q48" s="337">
        <f t="shared" si="16"/>
        <v>267.67126601916993</v>
      </c>
      <c r="R48" s="337">
        <f t="shared" si="16"/>
        <v>269.53514164109805</v>
      </c>
      <c r="S48" s="337">
        <f t="shared" si="16"/>
        <v>271.4119959902003</v>
      </c>
      <c r="T48" s="337">
        <f t="shared" si="16"/>
        <v>273.30191944126193</v>
      </c>
      <c r="U48" s="337">
        <f t="shared" si="16"/>
        <v>275.20500299837505</v>
      </c>
      <c r="V48" s="337">
        <f t="shared" si="16"/>
        <v>277.1213382993206</v>
      </c>
      <c r="W48" s="94"/>
      <c r="X48" s="94"/>
      <c r="Y48" s="94"/>
      <c r="Z48" s="94"/>
      <c r="AA48" s="94"/>
    </row>
    <row r="49" spans="1:27" x14ac:dyDescent="0.2">
      <c r="A49" s="1555"/>
      <c r="B49" s="52">
        <v>35</v>
      </c>
      <c r="C49" s="64" t="s">
        <v>161</v>
      </c>
      <c r="D49" s="64" t="s">
        <v>255</v>
      </c>
      <c r="E49" s="64" t="s">
        <v>280</v>
      </c>
      <c r="F49" s="201">
        <v>306</v>
      </c>
      <c r="G49" s="337">
        <f t="shared" si="1"/>
        <v>308.13077013753565</v>
      </c>
      <c r="H49" s="337">
        <f t="shared" si="16"/>
        <v>310.27637746912035</v>
      </c>
      <c r="I49" s="337">
        <f t="shared" si="16"/>
        <v>312.43692531060378</v>
      </c>
      <c r="J49" s="337">
        <f t="shared" si="16"/>
        <v>314.61251769725504</v>
      </c>
      <c r="K49" s="337">
        <f t="shared" si="16"/>
        <v>316.80325938877206</v>
      </c>
      <c r="L49" s="337">
        <f t="shared" si="16"/>
        <v>319.00925587432619</v>
      </c>
      <c r="M49" s="337">
        <f t="shared" si="16"/>
        <v>321.23061337764148</v>
      </c>
      <c r="N49" s="337">
        <f t="shared" si="16"/>
        <v>323.46743886210987</v>
      </c>
      <c r="O49" s="337">
        <f t="shared" si="16"/>
        <v>325.71984003594162</v>
      </c>
      <c r="P49" s="337">
        <f t="shared" si="16"/>
        <v>327.98792535735163</v>
      </c>
      <c r="Q49" s="337">
        <f t="shared" si="16"/>
        <v>330.27180403978207</v>
      </c>
      <c r="R49" s="337">
        <f t="shared" si="16"/>
        <v>332.57158605716114</v>
      </c>
      <c r="S49" s="337">
        <f t="shared" si="16"/>
        <v>334.88738214919863</v>
      </c>
      <c r="T49" s="337">
        <f t="shared" si="16"/>
        <v>337.21930382671826</v>
      </c>
      <c r="U49" s="337">
        <f t="shared" si="16"/>
        <v>339.5674633770272</v>
      </c>
      <c r="V49" s="337">
        <f t="shared" si="16"/>
        <v>341.93197386932292</v>
      </c>
      <c r="W49" s="94"/>
      <c r="X49" s="94"/>
      <c r="Y49" s="94"/>
      <c r="Z49" s="94"/>
      <c r="AA49" s="94"/>
    </row>
    <row r="50" spans="1:27" x14ac:dyDescent="0.2">
      <c r="A50" s="1555"/>
      <c r="B50" s="52">
        <v>36</v>
      </c>
      <c r="C50" s="64" t="s">
        <v>161</v>
      </c>
      <c r="D50" s="64" t="s">
        <v>255</v>
      </c>
      <c r="E50" s="64" t="s">
        <v>272</v>
      </c>
      <c r="F50" s="201">
        <v>54</v>
      </c>
      <c r="G50" s="337">
        <f t="shared" si="1"/>
        <v>54.376018259565114</v>
      </c>
      <c r="H50" s="337">
        <f t="shared" si="16"/>
        <v>54.754654847491828</v>
      </c>
      <c r="I50" s="337">
        <f t="shared" si="16"/>
        <v>55.135927995988908</v>
      </c>
      <c r="J50" s="337">
        <f t="shared" si="16"/>
        <v>55.519856064221486</v>
      </c>
      <c r="K50" s="337">
        <f t="shared" si="16"/>
        <v>55.906457539195081</v>
      </c>
      <c r="L50" s="337">
        <f t="shared" si="16"/>
        <v>56.295751036645804</v>
      </c>
      <c r="M50" s="337">
        <f t="shared" si="16"/>
        <v>56.68775530193674</v>
      </c>
      <c r="N50" s="337">
        <f t="shared" si="16"/>
        <v>57.082489210960581</v>
      </c>
      <c r="O50" s="337">
        <f t="shared" si="16"/>
        <v>57.47997177104854</v>
      </c>
      <c r="P50" s="337">
        <f t="shared" si="16"/>
        <v>57.880222121885602</v>
      </c>
      <c r="Q50" s="337">
        <f t="shared" si="16"/>
        <v>58.283259536432148</v>
      </c>
      <c r="R50" s="337">
        <f t="shared" si="16"/>
        <v>58.689103421851982</v>
      </c>
      <c r="S50" s="337">
        <f t="shared" si="16"/>
        <v>59.097773320446827</v>
      </c>
      <c r="T50" s="337">
        <f t="shared" si="16"/>
        <v>59.509288910597348</v>
      </c>
      <c r="U50" s="337">
        <f t="shared" si="16"/>
        <v>59.92367000771069</v>
      </c>
      <c r="V50" s="337">
        <f t="shared" si="16"/>
        <v>60.340936565174644</v>
      </c>
      <c r="W50" s="94"/>
      <c r="X50" s="94"/>
      <c r="Y50" s="94"/>
      <c r="Z50" s="94"/>
      <c r="AA50" s="94"/>
    </row>
    <row r="51" spans="1:27" x14ac:dyDescent="0.2">
      <c r="A51" s="1555"/>
      <c r="B51" s="52">
        <v>37</v>
      </c>
      <c r="C51" s="64" t="s">
        <v>161</v>
      </c>
      <c r="D51" s="64" t="s">
        <v>255</v>
      </c>
      <c r="E51" s="64" t="s">
        <v>350</v>
      </c>
      <c r="F51" s="201">
        <v>86</v>
      </c>
      <c r="G51" s="337">
        <f t="shared" si="1"/>
        <v>86.598843894862952</v>
      </c>
      <c r="H51" s="337">
        <f t="shared" si="16"/>
        <v>87.201857720079573</v>
      </c>
      <c r="I51" s="337">
        <f t="shared" si="16"/>
        <v>87.809070512130475</v>
      </c>
      <c r="J51" s="337">
        <f t="shared" si="16"/>
        <v>88.420511509686065</v>
      </c>
      <c r="K51" s="337">
        <f t="shared" si="16"/>
        <v>89.036210155014388</v>
      </c>
      <c r="L51" s="337">
        <f t="shared" si="16"/>
        <v>89.656196095398869</v>
      </c>
      <c r="M51" s="337">
        <f t="shared" si="16"/>
        <v>90.280499184565912</v>
      </c>
      <c r="N51" s="337">
        <f t="shared" si="16"/>
        <v>90.909149484122395</v>
      </c>
      <c r="O51" s="337">
        <f t="shared" si="16"/>
        <v>91.542177265003218</v>
      </c>
      <c r="P51" s="337">
        <f t="shared" si="16"/>
        <v>92.179613008928911</v>
      </c>
      <c r="Q51" s="337">
        <f t="shared" si="16"/>
        <v>92.821487409873413</v>
      </c>
      <c r="R51" s="337">
        <f t="shared" si="16"/>
        <v>93.467831375542033</v>
      </c>
      <c r="S51" s="337">
        <f t="shared" si="16"/>
        <v>94.118676028859753</v>
      </c>
      <c r="T51" s="337">
        <f t="shared" si="16"/>
        <v>94.774052709469842</v>
      </c>
      <c r="U51" s="337">
        <f t="shared" si="16"/>
        <v>95.433992975242944</v>
      </c>
      <c r="V51" s="337">
        <f t="shared" si="16"/>
        <v>96.098528603796652</v>
      </c>
      <c r="W51" s="94"/>
      <c r="X51" s="94"/>
      <c r="Y51" s="94"/>
      <c r="Z51" s="94"/>
      <c r="AA51" s="94"/>
    </row>
    <row r="52" spans="1:27" x14ac:dyDescent="0.2">
      <c r="A52" s="1555"/>
      <c r="B52" s="52">
        <v>38</v>
      </c>
      <c r="C52" s="64" t="s">
        <v>161</v>
      </c>
      <c r="D52" s="64" t="s">
        <v>255</v>
      </c>
      <c r="E52" s="64" t="s">
        <v>312</v>
      </c>
      <c r="F52" s="201">
        <v>173</v>
      </c>
      <c r="G52" s="337">
        <f t="shared" si="1"/>
        <v>174.20465109082897</v>
      </c>
      <c r="H52" s="337">
        <f t="shared" si="16"/>
        <v>175.41769052992751</v>
      </c>
      <c r="I52" s="337">
        <f t="shared" si="16"/>
        <v>176.63917672789037</v>
      </c>
      <c r="J52" s="337">
        <f t="shared" si="16"/>
        <v>177.8691685020429</v>
      </c>
      <c r="K52" s="337">
        <f t="shared" si="16"/>
        <v>179.10772507927311</v>
      </c>
      <c r="L52" s="337">
        <f t="shared" si="16"/>
        <v>180.35490609888376</v>
      </c>
      <c r="M52" s="337">
        <f t="shared" si="16"/>
        <v>181.61077161546399</v>
      </c>
      <c r="N52" s="337">
        <f t="shared" si="16"/>
        <v>182.8753821017811</v>
      </c>
      <c r="O52" s="337">
        <f t="shared" si="16"/>
        <v>184.14879845169253</v>
      </c>
      <c r="P52" s="337">
        <f t="shared" si="16"/>
        <v>185.43108198307795</v>
      </c>
      <c r="Q52" s="337">
        <f t="shared" si="16"/>
        <v>186.7222944407919</v>
      </c>
      <c r="R52" s="337">
        <f t="shared" si="16"/>
        <v>188.02249799963693</v>
      </c>
      <c r="S52" s="337">
        <f t="shared" si="16"/>
        <v>189.33175526735747</v>
      </c>
      <c r="T52" s="337">
        <f t="shared" si="16"/>
        <v>190.65012928765449</v>
      </c>
      <c r="U52" s="337">
        <f t="shared" si="16"/>
        <v>191.9776835432213</v>
      </c>
      <c r="V52" s="337">
        <f t="shared" si="16"/>
        <v>193.31448195880026</v>
      </c>
      <c r="W52" s="94"/>
      <c r="X52" s="94"/>
      <c r="Y52" s="94"/>
      <c r="Z52" s="94"/>
      <c r="AA52" s="94"/>
    </row>
    <row r="53" spans="1:27" x14ac:dyDescent="0.2">
      <c r="A53" s="1555"/>
      <c r="B53" s="52">
        <v>39</v>
      </c>
      <c r="C53" s="64" t="s">
        <v>161</v>
      </c>
      <c r="D53" s="64" t="s">
        <v>255</v>
      </c>
      <c r="E53" s="64" t="s">
        <v>281</v>
      </c>
      <c r="F53" s="201">
        <v>256</v>
      </c>
      <c r="G53" s="337">
        <f t="shared" si="1"/>
        <v>257.78260508238276</v>
      </c>
      <c r="H53" s="337">
        <f t="shared" si="16"/>
        <v>259.57762298070202</v>
      </c>
      <c r="I53" s="337">
        <f t="shared" si="16"/>
        <v>261.38514012913259</v>
      </c>
      <c r="J53" s="337">
        <f t="shared" si="16"/>
        <v>263.20524356371664</v>
      </c>
      <c r="K53" s="337">
        <f t="shared" si="16"/>
        <v>265.0380209265544</v>
      </c>
      <c r="L53" s="337">
        <f t="shared" si="16"/>
        <v>266.88356047002446</v>
      </c>
      <c r="M53" s="337">
        <f t="shared" si="16"/>
        <v>268.74195106103332</v>
      </c>
      <c r="N53" s="337">
        <f t="shared" si="16"/>
        <v>270.61328218529445</v>
      </c>
      <c r="O53" s="337">
        <f t="shared" si="16"/>
        <v>272.49764395163737</v>
      </c>
      <c r="P53" s="337">
        <f t="shared" si="16"/>
        <v>274.39512709634641</v>
      </c>
      <c r="Q53" s="337">
        <f t="shared" si="16"/>
        <v>276.30582298753006</v>
      </c>
      <c r="R53" s="337">
        <f t="shared" si="16"/>
        <v>278.22982362952041</v>
      </c>
      <c r="S53" s="337">
        <f t="shared" si="16"/>
        <v>280.16722166730341</v>
      </c>
      <c r="T53" s="337">
        <f t="shared" si="16"/>
        <v>282.11811039097995</v>
      </c>
      <c r="U53" s="337">
        <f t="shared" si="16"/>
        <v>284.08258374025797</v>
      </c>
      <c r="V53" s="337">
        <f t="shared" si="16"/>
        <v>286.060736308976</v>
      </c>
      <c r="W53" s="94"/>
      <c r="X53" s="94"/>
      <c r="Y53" s="94"/>
      <c r="Z53" s="94"/>
      <c r="AA53" s="94"/>
    </row>
    <row r="54" spans="1:27" x14ac:dyDescent="0.2">
      <c r="A54" s="1556">
        <v>5</v>
      </c>
      <c r="B54" s="214">
        <v>46</v>
      </c>
      <c r="C54" s="75" t="s">
        <v>161</v>
      </c>
      <c r="D54" s="75" t="s">
        <v>253</v>
      </c>
      <c r="E54" s="215" t="s">
        <v>253</v>
      </c>
      <c r="F54" s="201">
        <v>301</v>
      </c>
      <c r="G54" s="337">
        <f t="shared" si="1"/>
        <v>303.09595363202033</v>
      </c>
      <c r="H54" s="337">
        <f t="shared" si="16"/>
        <v>305.20650202027849</v>
      </c>
      <c r="I54" s="337">
        <f t="shared" si="16"/>
        <v>307.33174679245667</v>
      </c>
      <c r="J54" s="337">
        <f t="shared" si="16"/>
        <v>309.47179028390121</v>
      </c>
      <c r="K54" s="337">
        <f t="shared" si="16"/>
        <v>311.62673554255031</v>
      </c>
      <c r="L54" s="337">
        <f t="shared" si="16"/>
        <v>313.79668633389599</v>
      </c>
      <c r="M54" s="337">
        <f t="shared" si="16"/>
        <v>315.98174714598065</v>
      </c>
      <c r="N54" s="337">
        <f t="shared" si="16"/>
        <v>318.18202319442833</v>
      </c>
      <c r="O54" s="337">
        <f t="shared" si="16"/>
        <v>320.39762042751119</v>
      </c>
      <c r="P54" s="337">
        <f t="shared" si="16"/>
        <v>322.6286455312511</v>
      </c>
      <c r="Q54" s="337">
        <f t="shared" si="16"/>
        <v>324.87520593455685</v>
      </c>
      <c r="R54" s="337">
        <f t="shared" si="16"/>
        <v>327.13740981439702</v>
      </c>
      <c r="S54" s="337">
        <f t="shared" si="16"/>
        <v>329.41536610100906</v>
      </c>
      <c r="T54" s="337">
        <f t="shared" si="16"/>
        <v>331.70918448314433</v>
      </c>
      <c r="U54" s="337">
        <f t="shared" si="16"/>
        <v>334.01897541335018</v>
      </c>
      <c r="V54" s="337">
        <f t="shared" si="16"/>
        <v>336.34485011328815</v>
      </c>
      <c r="W54" s="94"/>
      <c r="X54" s="94"/>
      <c r="Y54" s="94"/>
      <c r="Z54" s="94"/>
      <c r="AA54" s="94"/>
    </row>
    <row r="55" spans="1:27" x14ac:dyDescent="0.2">
      <c r="A55" s="1556"/>
      <c r="B55" s="52">
        <v>47</v>
      </c>
      <c r="C55" s="64" t="s">
        <v>161</v>
      </c>
      <c r="D55" s="64" t="s">
        <v>253</v>
      </c>
      <c r="E55" s="64" t="s">
        <v>329</v>
      </c>
      <c r="F55" s="201">
        <v>96</v>
      </c>
      <c r="G55" s="337">
        <f t="shared" si="1"/>
        <v>96.668476905893527</v>
      </c>
      <c r="H55" s="337">
        <f t="shared" si="16"/>
        <v>97.341608617763242</v>
      </c>
      <c r="I55" s="337">
        <f t="shared" si="16"/>
        <v>98.019427548424716</v>
      </c>
      <c r="J55" s="337">
        <f t="shared" si="16"/>
        <v>98.701966336393738</v>
      </c>
      <c r="K55" s="337">
        <f t="shared" si="16"/>
        <v>99.389257847457912</v>
      </c>
      <c r="L55" s="337">
        <f t="shared" si="16"/>
        <v>100.0813351762592</v>
      </c>
      <c r="M55" s="337">
        <f t="shared" si="16"/>
        <v>100.77823164788754</v>
      </c>
      <c r="N55" s="337">
        <f t="shared" si="16"/>
        <v>101.47998081948548</v>
      </c>
      <c r="O55" s="337">
        <f t="shared" si="16"/>
        <v>102.18661648186406</v>
      </c>
      <c r="P55" s="337">
        <f t="shared" si="16"/>
        <v>102.89817266112996</v>
      </c>
      <c r="Q55" s="337">
        <f t="shared" si="16"/>
        <v>103.61468362032383</v>
      </c>
      <c r="R55" s="337">
        <f t="shared" si="16"/>
        <v>104.3361838610702</v>
      </c>
      <c r="S55" s="337">
        <f t="shared" si="16"/>
        <v>105.06270812523881</v>
      </c>
      <c r="T55" s="337">
        <f t="shared" si="16"/>
        <v>105.79429139661751</v>
      </c>
      <c r="U55" s="337">
        <f t="shared" si="16"/>
        <v>106.53096890259678</v>
      </c>
      <c r="V55" s="337">
        <f t="shared" si="16"/>
        <v>107.27277611586604</v>
      </c>
      <c r="W55" s="94"/>
      <c r="X55" s="94"/>
      <c r="Y55" s="94"/>
      <c r="Z55" s="94"/>
      <c r="AA55" s="94"/>
    </row>
    <row r="56" spans="1:27" x14ac:dyDescent="0.2">
      <c r="A56" s="1556"/>
      <c r="B56" s="52">
        <f>SUM(F54:F59)</f>
        <v>767</v>
      </c>
      <c r="C56" s="64" t="s">
        <v>161</v>
      </c>
      <c r="D56" s="64" t="s">
        <v>253</v>
      </c>
      <c r="E56" s="64" t="s">
        <v>330</v>
      </c>
      <c r="F56" s="201">
        <v>67</v>
      </c>
      <c r="G56" s="337">
        <f t="shared" si="1"/>
        <v>67.466541173904858</v>
      </c>
      <c r="H56" s="337">
        <f t="shared" si="16"/>
        <v>67.936331014480601</v>
      </c>
      <c r="I56" s="337">
        <f t="shared" si="16"/>
        <v>68.409392143171416</v>
      </c>
      <c r="J56" s="337">
        <f t="shared" si="16"/>
        <v>68.885747338941471</v>
      </c>
      <c r="K56" s="337">
        <f t="shared" si="16"/>
        <v>69.365419539371672</v>
      </c>
      <c r="L56" s="337">
        <f t="shared" si="16"/>
        <v>69.848431841764238</v>
      </c>
      <c r="M56" s="337">
        <f t="shared" si="16"/>
        <v>70.33480750425484</v>
      </c>
      <c r="N56" s="337">
        <f t="shared" si="16"/>
        <v>70.82456994693257</v>
      </c>
      <c r="O56" s="337">
        <f t="shared" si="16"/>
        <v>71.317742752967632</v>
      </c>
      <c r="P56" s="337">
        <f t="shared" si="16"/>
        <v>71.81434966974696</v>
      </c>
      <c r="Q56" s="337">
        <f t="shared" si="16"/>
        <v>72.314414610017678</v>
      </c>
      <c r="R56" s="337">
        <f t="shared" si="16"/>
        <v>72.81796165303858</v>
      </c>
      <c r="S56" s="337">
        <f t="shared" si="16"/>
        <v>73.32501504573959</v>
      </c>
      <c r="T56" s="337">
        <f t="shared" si="16"/>
        <v>73.835599203889302</v>
      </c>
      <c r="U56" s="337">
        <f t="shared" si="16"/>
        <v>74.349738713270668</v>
      </c>
      <c r="V56" s="337">
        <f t="shared" si="16"/>
        <v>74.867458330864835</v>
      </c>
      <c r="W56" s="94"/>
      <c r="X56" s="94"/>
      <c r="Y56" s="94"/>
      <c r="Z56" s="94"/>
      <c r="AA56" s="94"/>
    </row>
    <row r="57" spans="1:27" x14ac:dyDescent="0.2">
      <c r="A57" s="1556"/>
      <c r="B57" s="52">
        <v>49</v>
      </c>
      <c r="C57" s="64" t="s">
        <v>161</v>
      </c>
      <c r="D57" s="64" t="s">
        <v>253</v>
      </c>
      <c r="E57" s="64" t="s">
        <v>282</v>
      </c>
      <c r="F57" s="201">
        <v>125</v>
      </c>
      <c r="G57" s="337">
        <f t="shared" si="1"/>
        <v>125.87041263788221</v>
      </c>
      <c r="H57" s="337">
        <f t="shared" si="16"/>
        <v>126.7468862210459</v>
      </c>
      <c r="I57" s="337">
        <f t="shared" si="16"/>
        <v>127.62946295367803</v>
      </c>
      <c r="J57" s="337">
        <f t="shared" si="16"/>
        <v>128.51818533384602</v>
      </c>
      <c r="K57" s="337">
        <f t="shared" si="16"/>
        <v>129.41309615554417</v>
      </c>
      <c r="L57" s="337">
        <f t="shared" si="16"/>
        <v>130.31423851075417</v>
      </c>
      <c r="M57" s="337">
        <f t="shared" si="16"/>
        <v>131.22165579152022</v>
      </c>
      <c r="N57" s="337">
        <f t="shared" si="16"/>
        <v>132.13539169203835</v>
      </c>
      <c r="O57" s="337">
        <f t="shared" si="16"/>
        <v>133.05549021076047</v>
      </c>
      <c r="P57" s="337">
        <f t="shared" si="16"/>
        <v>133.98199565251292</v>
      </c>
      <c r="Q57" s="337">
        <f t="shared" si="16"/>
        <v>134.91495263062993</v>
      </c>
      <c r="R57" s="337">
        <f t="shared" si="16"/>
        <v>135.85440606910177</v>
      </c>
      <c r="S57" s="337">
        <f t="shared" si="16"/>
        <v>136.80040120473799</v>
      </c>
      <c r="T57" s="337">
        <f t="shared" si="16"/>
        <v>137.75298358934569</v>
      </c>
      <c r="U57" s="337">
        <f t="shared" si="16"/>
        <v>138.71219909192286</v>
      </c>
      <c r="V57" s="337">
        <f t="shared" si="16"/>
        <v>139.6780939008672</v>
      </c>
      <c r="W57" s="94"/>
      <c r="X57" s="94"/>
      <c r="Y57" s="94"/>
      <c r="Z57" s="94"/>
      <c r="AA57" s="94"/>
    </row>
    <row r="58" spans="1:27" x14ac:dyDescent="0.2">
      <c r="A58" s="1556"/>
      <c r="B58" s="52">
        <v>50</v>
      </c>
      <c r="C58" s="64" t="s">
        <v>161</v>
      </c>
      <c r="D58" s="64" t="s">
        <v>253</v>
      </c>
      <c r="E58" s="64" t="s">
        <v>284</v>
      </c>
      <c r="F58" s="201">
        <v>98</v>
      </c>
      <c r="G58" s="337">
        <f t="shared" si="1"/>
        <v>98.682403508099654</v>
      </c>
      <c r="H58" s="337">
        <f t="shared" si="16"/>
        <v>99.369558797299987</v>
      </c>
      <c r="I58" s="337">
        <f t="shared" si="16"/>
        <v>100.06149895568358</v>
      </c>
      <c r="J58" s="337">
        <f t="shared" si="16"/>
        <v>100.75825730173528</v>
      </c>
      <c r="K58" s="337">
        <f t="shared" si="16"/>
        <v>101.45986738594662</v>
      </c>
      <c r="L58" s="337">
        <f t="shared" si="16"/>
        <v>102.16636299243127</v>
      </c>
      <c r="M58" s="337">
        <f t="shared" si="16"/>
        <v>102.87777814055185</v>
      </c>
      <c r="N58" s="337">
        <f t="shared" si="16"/>
        <v>103.59414708655808</v>
      </c>
      <c r="O58" s="337">
        <f t="shared" si="16"/>
        <v>104.31550432523623</v>
      </c>
      <c r="P58" s="337">
        <f t="shared" si="16"/>
        <v>105.04188459157017</v>
      </c>
      <c r="Q58" s="337">
        <f t="shared" si="16"/>
        <v>105.77332286241391</v>
      </c>
      <c r="R58" s="337">
        <f t="shared" si="16"/>
        <v>106.50985435817583</v>
      </c>
      <c r="S58" s="337">
        <f t="shared" si="16"/>
        <v>107.25151454451462</v>
      </c>
      <c r="T58" s="337">
        <f t="shared" si="16"/>
        <v>107.99833913404704</v>
      </c>
      <c r="U58" s="337">
        <f t="shared" si="16"/>
        <v>108.75036408806754</v>
      </c>
      <c r="V58" s="337">
        <f t="shared" si="16"/>
        <v>109.5076256182799</v>
      </c>
      <c r="W58" s="94"/>
      <c r="X58" s="94"/>
      <c r="Y58" s="94"/>
      <c r="Z58" s="94"/>
      <c r="AA58" s="94"/>
    </row>
    <row r="59" spans="1:27" x14ac:dyDescent="0.2">
      <c r="A59" s="1556"/>
      <c r="B59" s="52">
        <v>51</v>
      </c>
      <c r="C59" s="64" t="s">
        <v>161</v>
      </c>
      <c r="D59" s="64" t="s">
        <v>253</v>
      </c>
      <c r="E59" s="64" t="s">
        <v>285</v>
      </c>
      <c r="F59" s="202">
        <v>80</v>
      </c>
      <c r="G59" s="337">
        <f t="shared" si="1"/>
        <v>80.557064088244616</v>
      </c>
      <c r="H59" s="337">
        <f t="shared" ref="H59:V74" si="17">+G59*(1+$H$8)</f>
        <v>81.11800718146938</v>
      </c>
      <c r="I59" s="337">
        <f t="shared" si="17"/>
        <v>81.682856290353939</v>
      </c>
      <c r="J59" s="337">
        <f t="shared" si="17"/>
        <v>82.251638613661456</v>
      </c>
      <c r="K59" s="337">
        <f t="shared" si="17"/>
        <v>82.82438153954827</v>
      </c>
      <c r="L59" s="337">
        <f t="shared" si="17"/>
        <v>83.40111264688268</v>
      </c>
      <c r="M59" s="337">
        <f t="shared" si="17"/>
        <v>83.981859706572948</v>
      </c>
      <c r="N59" s="337">
        <f t="shared" si="17"/>
        <v>84.566650682904566</v>
      </c>
      <c r="O59" s="337">
        <f t="shared" si="17"/>
        <v>85.155513734886725</v>
      </c>
      <c r="P59" s="337">
        <f t="shared" si="17"/>
        <v>85.748477217608297</v>
      </c>
      <c r="Q59" s="337">
        <f t="shared" si="17"/>
        <v>86.345569683603188</v>
      </c>
      <c r="R59" s="337">
        <f t="shared" si="17"/>
        <v>86.946819884225164</v>
      </c>
      <c r="S59" s="337">
        <f t="shared" si="17"/>
        <v>87.552256771032347</v>
      </c>
      <c r="T59" s="337">
        <f t="shared" si="17"/>
        <v>88.16190949718127</v>
      </c>
      <c r="U59" s="337">
        <f t="shared" si="17"/>
        <v>88.775807418830667</v>
      </c>
      <c r="V59" s="337">
        <f t="shared" si="17"/>
        <v>89.39398009655504</v>
      </c>
      <c r="W59" s="94"/>
      <c r="X59" s="94"/>
      <c r="Y59" s="94"/>
      <c r="Z59" s="94"/>
      <c r="AA59" s="94"/>
    </row>
    <row r="60" spans="1:27" x14ac:dyDescent="0.2">
      <c r="A60" s="1557">
        <v>6</v>
      </c>
      <c r="B60" s="214">
        <v>53</v>
      </c>
      <c r="C60" s="75" t="s">
        <v>161</v>
      </c>
      <c r="D60" s="74" t="s">
        <v>286</v>
      </c>
      <c r="E60" s="75" t="s">
        <v>331</v>
      </c>
      <c r="F60" s="202">
        <v>93</v>
      </c>
      <c r="G60" s="337">
        <f t="shared" si="1"/>
        <v>93.647587002584359</v>
      </c>
      <c r="H60" s="337">
        <f t="shared" si="17"/>
        <v>94.299683348458146</v>
      </c>
      <c r="I60" s="337">
        <f t="shared" si="17"/>
        <v>94.956320437536448</v>
      </c>
      <c r="J60" s="337">
        <f t="shared" si="17"/>
        <v>95.617529888381441</v>
      </c>
      <c r="K60" s="337">
        <f t="shared" si="17"/>
        <v>96.283343539724854</v>
      </c>
      <c r="L60" s="337">
        <f t="shared" si="17"/>
        <v>96.953793452001094</v>
      </c>
      <c r="M60" s="337">
        <f t="shared" si="17"/>
        <v>97.628911908891041</v>
      </c>
      <c r="N60" s="337">
        <f t="shared" si="17"/>
        <v>98.308731418876533</v>
      </c>
      <c r="O60" s="337">
        <f t="shared" si="17"/>
        <v>98.993284716805789</v>
      </c>
      <c r="P60" s="337">
        <f t="shared" si="17"/>
        <v>99.68260476546962</v>
      </c>
      <c r="Q60" s="337">
        <f t="shared" si="17"/>
        <v>100.37672475718867</v>
      </c>
      <c r="R60" s="337">
        <f t="shared" si="17"/>
        <v>101.07567811541172</v>
      </c>
      <c r="S60" s="337">
        <f t="shared" si="17"/>
        <v>101.77949849632506</v>
      </c>
      <c r="T60" s="337">
        <f t="shared" si="17"/>
        <v>102.48821979047318</v>
      </c>
      <c r="U60" s="337">
        <f t="shared" si="17"/>
        <v>103.20187612439059</v>
      </c>
      <c r="V60" s="337">
        <f t="shared" si="17"/>
        <v>103.92050186224519</v>
      </c>
      <c r="W60" s="94"/>
      <c r="X60" s="94"/>
      <c r="Y60" s="94"/>
      <c r="Z60" s="94"/>
      <c r="AA60" s="94"/>
    </row>
    <row r="61" spans="1:27" x14ac:dyDescent="0.2">
      <c r="A61" s="1557"/>
      <c r="B61" s="52">
        <v>54</v>
      </c>
      <c r="C61" s="64" t="s">
        <v>161</v>
      </c>
      <c r="D61" s="73" t="s">
        <v>286</v>
      </c>
      <c r="E61" s="64" t="s">
        <v>332</v>
      </c>
      <c r="F61" s="202">
        <v>54</v>
      </c>
      <c r="G61" s="337">
        <f t="shared" si="1"/>
        <v>54.376018259565114</v>
      </c>
      <c r="H61" s="337">
        <f t="shared" si="17"/>
        <v>54.754654847491828</v>
      </c>
      <c r="I61" s="337">
        <f t="shared" si="17"/>
        <v>55.135927995988908</v>
      </c>
      <c r="J61" s="337">
        <f t="shared" si="17"/>
        <v>55.519856064221486</v>
      </c>
      <c r="K61" s="337">
        <f t="shared" si="17"/>
        <v>55.906457539195081</v>
      </c>
      <c r="L61" s="337">
        <f t="shared" si="17"/>
        <v>56.295751036645804</v>
      </c>
      <c r="M61" s="337">
        <f t="shared" si="17"/>
        <v>56.68775530193674</v>
      </c>
      <c r="N61" s="337">
        <f t="shared" si="17"/>
        <v>57.082489210960581</v>
      </c>
      <c r="O61" s="337">
        <f t="shared" si="17"/>
        <v>57.47997177104854</v>
      </c>
      <c r="P61" s="337">
        <f t="shared" si="17"/>
        <v>57.880222121885602</v>
      </c>
      <c r="Q61" s="337">
        <f t="shared" si="17"/>
        <v>58.283259536432148</v>
      </c>
      <c r="R61" s="337">
        <f t="shared" si="17"/>
        <v>58.689103421851982</v>
      </c>
      <c r="S61" s="337">
        <f t="shared" si="17"/>
        <v>59.097773320446827</v>
      </c>
      <c r="T61" s="337">
        <f t="shared" si="17"/>
        <v>59.509288910597348</v>
      </c>
      <c r="U61" s="337">
        <f t="shared" si="17"/>
        <v>59.92367000771069</v>
      </c>
      <c r="V61" s="337">
        <f t="shared" si="17"/>
        <v>60.340936565174644</v>
      </c>
      <c r="W61" s="94"/>
      <c r="X61" s="94"/>
      <c r="Y61" s="94"/>
      <c r="Z61" s="94"/>
      <c r="AA61" s="94"/>
    </row>
    <row r="62" spans="1:27" x14ac:dyDescent="0.2">
      <c r="A62" s="1557"/>
      <c r="C62" s="64" t="s">
        <v>161</v>
      </c>
      <c r="D62" s="73" t="s">
        <v>286</v>
      </c>
      <c r="E62" s="64" t="s">
        <v>333</v>
      </c>
      <c r="F62" s="202">
        <v>137</v>
      </c>
      <c r="G62" s="337">
        <f t="shared" ref="G62:G93" si="18">+F62*(1+$H$8)</f>
        <v>137.9539722511189</v>
      </c>
      <c r="H62" s="337">
        <f t="shared" si="17"/>
        <v>138.9145872982663</v>
      </c>
      <c r="I62" s="337">
        <f t="shared" si="17"/>
        <v>139.8818913972311</v>
      </c>
      <c r="J62" s="337">
        <f t="shared" si="17"/>
        <v>140.85593112589524</v>
      </c>
      <c r="K62" s="337">
        <f t="shared" si="17"/>
        <v>141.8367533864764</v>
      </c>
      <c r="L62" s="337">
        <f t="shared" si="17"/>
        <v>142.82440540778657</v>
      </c>
      <c r="M62" s="337">
        <f t="shared" si="17"/>
        <v>143.81893474750618</v>
      </c>
      <c r="N62" s="337">
        <f t="shared" si="17"/>
        <v>144.82038929447407</v>
      </c>
      <c r="O62" s="337">
        <f t="shared" si="17"/>
        <v>145.82881727099351</v>
      </c>
      <c r="P62" s="337">
        <f t="shared" si="17"/>
        <v>146.84426723515421</v>
      </c>
      <c r="Q62" s="337">
        <f t="shared" si="17"/>
        <v>147.86678808317043</v>
      </c>
      <c r="R62" s="337">
        <f t="shared" si="17"/>
        <v>148.89642905173557</v>
      </c>
      <c r="S62" s="337">
        <f t="shared" si="17"/>
        <v>149.93323972039286</v>
      </c>
      <c r="T62" s="337">
        <f t="shared" si="17"/>
        <v>150.97727001392289</v>
      </c>
      <c r="U62" s="337">
        <f t="shared" si="17"/>
        <v>152.02857020474747</v>
      </c>
      <c r="V62" s="337">
        <f t="shared" si="17"/>
        <v>153.08719091535048</v>
      </c>
      <c r="W62" s="94"/>
      <c r="X62" s="94"/>
      <c r="Y62" s="94"/>
      <c r="Z62" s="94"/>
      <c r="AA62" s="94"/>
    </row>
    <row r="63" spans="1:27" x14ac:dyDescent="0.2">
      <c r="A63" s="1557"/>
      <c r="C63" s="64" t="s">
        <v>161</v>
      </c>
      <c r="D63" s="73" t="s">
        <v>286</v>
      </c>
      <c r="E63" s="64" t="s">
        <v>334</v>
      </c>
      <c r="F63" s="202">
        <v>83</v>
      </c>
      <c r="G63" s="337">
        <f t="shared" si="18"/>
        <v>83.577953991553784</v>
      </c>
      <c r="H63" s="337">
        <f t="shared" si="17"/>
        <v>84.159932450774477</v>
      </c>
      <c r="I63" s="337">
        <f t="shared" si="17"/>
        <v>84.745963401242207</v>
      </c>
      <c r="J63" s="337">
        <f t="shared" si="17"/>
        <v>85.336075061673753</v>
      </c>
      <c r="K63" s="337">
        <f t="shared" si="17"/>
        <v>85.930295847281315</v>
      </c>
      <c r="L63" s="337">
        <f t="shared" si="17"/>
        <v>86.52865437114076</v>
      </c>
      <c r="M63" s="337">
        <f t="shared" si="17"/>
        <v>87.131179445569416</v>
      </c>
      <c r="N63" s="337">
        <f t="shared" si="17"/>
        <v>87.737900083513466</v>
      </c>
      <c r="O63" s="337">
        <f t="shared" si="17"/>
        <v>88.348845499944957</v>
      </c>
      <c r="P63" s="337">
        <f t="shared" si="17"/>
        <v>88.964045113268597</v>
      </c>
      <c r="Q63" s="337">
        <f t="shared" si="17"/>
        <v>89.583528546738293</v>
      </c>
      <c r="R63" s="337">
        <f t="shared" si="17"/>
        <v>90.207325629883599</v>
      </c>
      <c r="S63" s="337">
        <f t="shared" si="17"/>
        <v>90.835466399946043</v>
      </c>
      <c r="T63" s="337">
        <f t="shared" si="17"/>
        <v>91.467981103325542</v>
      </c>
      <c r="U63" s="337">
        <f t="shared" si="17"/>
        <v>92.104900197036784</v>
      </c>
      <c r="V63" s="337">
        <f t="shared" si="17"/>
        <v>92.746254350175832</v>
      </c>
      <c r="W63" s="94"/>
      <c r="X63" s="94"/>
      <c r="Y63" s="94"/>
      <c r="Z63" s="94"/>
      <c r="AA63" s="94"/>
    </row>
    <row r="64" spans="1:27" x14ac:dyDescent="0.2">
      <c r="A64" s="1557"/>
      <c r="C64" s="64" t="s">
        <v>161</v>
      </c>
      <c r="D64" s="73" t="s">
        <v>286</v>
      </c>
      <c r="E64" s="64" t="s">
        <v>290</v>
      </c>
      <c r="F64" s="202">
        <v>311</v>
      </c>
      <c r="G64" s="337">
        <f t="shared" si="18"/>
        <v>313.16558664305091</v>
      </c>
      <c r="H64" s="337">
        <f t="shared" si="17"/>
        <v>315.34625291796215</v>
      </c>
      <c r="I64" s="337">
        <f t="shared" si="17"/>
        <v>317.5421038287509</v>
      </c>
      <c r="J64" s="337">
        <f t="shared" si="17"/>
        <v>319.75324511060887</v>
      </c>
      <c r="K64" s="337">
        <f t="shared" si="17"/>
        <v>321.97978323499382</v>
      </c>
      <c r="L64" s="337">
        <f t="shared" si="17"/>
        <v>324.22182541475632</v>
      </c>
      <c r="M64" s="337">
        <f t="shared" si="17"/>
        <v>326.47947960930225</v>
      </c>
      <c r="N64" s="337">
        <f t="shared" si="17"/>
        <v>328.75285452979136</v>
      </c>
      <c r="O64" s="337">
        <f t="shared" si="17"/>
        <v>331.04205964437199</v>
      </c>
      <c r="P64" s="337">
        <f t="shared" si="17"/>
        <v>333.3472051834521</v>
      </c>
      <c r="Q64" s="337">
        <f t="shared" si="17"/>
        <v>335.66840214500724</v>
      </c>
      <c r="R64" s="337">
        <f t="shared" si="17"/>
        <v>338.00576229992515</v>
      </c>
      <c r="S64" s="337">
        <f t="shared" si="17"/>
        <v>340.35939819738809</v>
      </c>
      <c r="T64" s="337">
        <f t="shared" si="17"/>
        <v>342.72942317029202</v>
      </c>
      <c r="U64" s="337">
        <f t="shared" si="17"/>
        <v>345.11595134070404</v>
      </c>
      <c r="V64" s="337">
        <f t="shared" si="17"/>
        <v>347.51909762535757</v>
      </c>
      <c r="W64" s="94"/>
      <c r="X64" s="94"/>
      <c r="Y64" s="94"/>
      <c r="Z64" s="94"/>
      <c r="AA64" s="94"/>
    </row>
    <row r="65" spans="1:27" x14ac:dyDescent="0.2">
      <c r="A65" s="1557"/>
      <c r="B65" s="52">
        <f>SUM(F60:F83)</f>
        <v>3839</v>
      </c>
      <c r="C65" s="64" t="s">
        <v>161</v>
      </c>
      <c r="D65" s="73" t="s">
        <v>286</v>
      </c>
      <c r="E65" s="64" t="s">
        <v>335</v>
      </c>
      <c r="F65" s="202">
        <v>66</v>
      </c>
      <c r="G65" s="337">
        <f t="shared" si="18"/>
        <v>66.459577872801802</v>
      </c>
      <c r="H65" s="337">
        <f t="shared" si="17"/>
        <v>66.922355924712235</v>
      </c>
      <c r="I65" s="337">
        <f t="shared" si="17"/>
        <v>67.388356439541994</v>
      </c>
      <c r="J65" s="337">
        <f t="shared" si="17"/>
        <v>67.857601856270705</v>
      </c>
      <c r="K65" s="337">
        <f t="shared" si="17"/>
        <v>68.330114770127324</v>
      </c>
      <c r="L65" s="337">
        <f t="shared" si="17"/>
        <v>68.805917933678202</v>
      </c>
      <c r="M65" s="337">
        <f t="shared" si="17"/>
        <v>69.285034257922675</v>
      </c>
      <c r="N65" s="337">
        <f t="shared" si="17"/>
        <v>69.76748681339626</v>
      </c>
      <c r="O65" s="337">
        <f t="shared" si="17"/>
        <v>70.253298831281541</v>
      </c>
      <c r="P65" s="337">
        <f t="shared" si="17"/>
        <v>70.742493704526836</v>
      </c>
      <c r="Q65" s="337">
        <f t="shared" si="17"/>
        <v>71.235094988972619</v>
      </c>
      <c r="R65" s="337">
        <f t="shared" si="17"/>
        <v>71.73112640448575</v>
      </c>
      <c r="S65" s="337">
        <f t="shared" si="17"/>
        <v>72.230611836101673</v>
      </c>
      <c r="T65" s="337">
        <f t="shared" si="17"/>
        <v>72.733575335174535</v>
      </c>
      <c r="U65" s="337">
        <f t="shared" si="17"/>
        <v>73.240041120535281</v>
      </c>
      <c r="V65" s="337">
        <f t="shared" si="17"/>
        <v>73.750033579657895</v>
      </c>
      <c r="W65" s="94"/>
      <c r="X65" s="94"/>
      <c r="Y65" s="94"/>
      <c r="Z65" s="94"/>
      <c r="AA65" s="94"/>
    </row>
    <row r="66" spans="1:27" x14ac:dyDescent="0.2">
      <c r="A66" s="1557"/>
      <c r="C66" s="64" t="s">
        <v>161</v>
      </c>
      <c r="D66" s="73" t="s">
        <v>286</v>
      </c>
      <c r="E66" s="64" t="s">
        <v>336</v>
      </c>
      <c r="F66" s="202">
        <v>59</v>
      </c>
      <c r="G66" s="337">
        <f t="shared" si="18"/>
        <v>59.410834765080402</v>
      </c>
      <c r="H66" s="337">
        <f t="shared" si="17"/>
        <v>59.824530296333663</v>
      </c>
      <c r="I66" s="337">
        <f t="shared" si="17"/>
        <v>60.241106514136028</v>
      </c>
      <c r="J66" s="337">
        <f t="shared" si="17"/>
        <v>60.660583477575322</v>
      </c>
      <c r="K66" s="337">
        <f t="shared" si="17"/>
        <v>61.082981385416844</v>
      </c>
      <c r="L66" s="337">
        <f t="shared" si="17"/>
        <v>61.508320577075963</v>
      </c>
      <c r="M66" s="337">
        <f t="shared" si="17"/>
        <v>61.936621533597538</v>
      </c>
      <c r="N66" s="337">
        <f t="shared" si="17"/>
        <v>62.367904878642101</v>
      </c>
      <c r="O66" s="337">
        <f t="shared" si="17"/>
        <v>62.802191379478941</v>
      </c>
      <c r="P66" s="337">
        <f t="shared" si="17"/>
        <v>63.239501947986106</v>
      </c>
      <c r="Q66" s="337">
        <f t="shared" si="17"/>
        <v>63.679857641657335</v>
      </c>
      <c r="R66" s="337">
        <f t="shared" si="17"/>
        <v>64.123279664616035</v>
      </c>
      <c r="S66" s="337">
        <f t="shared" si="17"/>
        <v>64.569789368636336</v>
      </c>
      <c r="T66" s="337">
        <f t="shared" si="17"/>
        <v>65.019408254171168</v>
      </c>
      <c r="U66" s="337">
        <f t="shared" si="17"/>
        <v>65.472157971387588</v>
      </c>
      <c r="V66" s="337">
        <f t="shared" si="17"/>
        <v>65.928060321209315</v>
      </c>
      <c r="W66" s="94"/>
      <c r="X66" s="94"/>
      <c r="Y66" s="94"/>
      <c r="Z66" s="94"/>
      <c r="AA66" s="94"/>
    </row>
    <row r="67" spans="1:27" x14ac:dyDescent="0.2">
      <c r="A67" s="1557"/>
      <c r="C67" s="64" t="s">
        <v>161</v>
      </c>
      <c r="D67" s="73" t="s">
        <v>286</v>
      </c>
      <c r="E67" s="64" t="s">
        <v>337</v>
      </c>
      <c r="F67" s="202">
        <v>385</v>
      </c>
      <c r="G67" s="337">
        <f t="shared" si="18"/>
        <v>387.68087092467721</v>
      </c>
      <c r="H67" s="337">
        <f t="shared" si="17"/>
        <v>390.38040956082136</v>
      </c>
      <c r="I67" s="337">
        <f t="shared" si="17"/>
        <v>393.09874589732834</v>
      </c>
      <c r="J67" s="337">
        <f t="shared" si="17"/>
        <v>395.83601082824578</v>
      </c>
      <c r="K67" s="337">
        <f t="shared" si="17"/>
        <v>398.59233615907601</v>
      </c>
      <c r="L67" s="337">
        <f t="shared" si="17"/>
        <v>401.36785461312286</v>
      </c>
      <c r="M67" s="337">
        <f t="shared" si="17"/>
        <v>404.16269983788231</v>
      </c>
      <c r="N67" s="337">
        <f t="shared" si="17"/>
        <v>406.97700641147821</v>
      </c>
      <c r="O67" s="337">
        <f t="shared" si="17"/>
        <v>409.81090984914238</v>
      </c>
      <c r="P67" s="337">
        <f t="shared" si="17"/>
        <v>412.66454660973994</v>
      </c>
      <c r="Q67" s="337">
        <f t="shared" si="17"/>
        <v>415.53805410234031</v>
      </c>
      <c r="R67" s="337">
        <f t="shared" si="17"/>
        <v>418.43157069283359</v>
      </c>
      <c r="S67" s="337">
        <f t="shared" si="17"/>
        <v>421.34523571059316</v>
      </c>
      <c r="T67" s="337">
        <f t="shared" si="17"/>
        <v>424.27918945518479</v>
      </c>
      <c r="U67" s="337">
        <f t="shared" si="17"/>
        <v>427.23357320312249</v>
      </c>
      <c r="V67" s="337">
        <f t="shared" si="17"/>
        <v>430.20852921467105</v>
      </c>
      <c r="W67" s="94"/>
      <c r="X67" s="94"/>
      <c r="Y67" s="94"/>
      <c r="Z67" s="94"/>
      <c r="AA67" s="94"/>
    </row>
    <row r="68" spans="1:27" x14ac:dyDescent="0.2">
      <c r="A68" s="1557"/>
      <c r="C68" s="64" t="s">
        <v>161</v>
      </c>
      <c r="D68" s="73" t="s">
        <v>286</v>
      </c>
      <c r="E68" s="64" t="s">
        <v>291</v>
      </c>
      <c r="F68" s="202">
        <v>79</v>
      </c>
      <c r="G68" s="337">
        <f t="shared" si="18"/>
        <v>79.55010078714156</v>
      </c>
      <c r="H68" s="337">
        <f t="shared" si="17"/>
        <v>80.104032091701015</v>
      </c>
      <c r="I68" s="337">
        <f t="shared" si="17"/>
        <v>80.661820586724517</v>
      </c>
      <c r="J68" s="337">
        <f t="shared" si="17"/>
        <v>81.22349313099069</v>
      </c>
      <c r="K68" s="337">
        <f t="shared" si="17"/>
        <v>81.789076770303907</v>
      </c>
      <c r="L68" s="337">
        <f t="shared" si="17"/>
        <v>82.35859873879663</v>
      </c>
      <c r="M68" s="337">
        <f t="shared" si="17"/>
        <v>82.932086460240768</v>
      </c>
      <c r="N68" s="337">
        <f t="shared" si="17"/>
        <v>83.509567549368242</v>
      </c>
      <c r="O68" s="337">
        <f t="shared" si="17"/>
        <v>84.091069813200619</v>
      </c>
      <c r="P68" s="337">
        <f t="shared" si="17"/>
        <v>84.676621252388173</v>
      </c>
      <c r="Q68" s="337">
        <f t="shared" si="17"/>
        <v>85.266250062558129</v>
      </c>
      <c r="R68" s="337">
        <f t="shared" si="17"/>
        <v>85.859984635672333</v>
      </c>
      <c r="S68" s="337">
        <f t="shared" si="17"/>
        <v>86.45785356139443</v>
      </c>
      <c r="T68" s="337">
        <f t="shared" si="17"/>
        <v>87.059885628466489</v>
      </c>
      <c r="U68" s="337">
        <f t="shared" si="17"/>
        <v>87.666109826095266</v>
      </c>
      <c r="V68" s="337">
        <f t="shared" si="17"/>
        <v>88.276555345348086</v>
      </c>
      <c r="W68" s="94"/>
      <c r="X68" s="94"/>
      <c r="Y68" s="94"/>
      <c r="Z68" s="94"/>
      <c r="AA68" s="94"/>
    </row>
    <row r="69" spans="1:27" x14ac:dyDescent="0.2">
      <c r="A69" s="1557"/>
      <c r="C69" s="64" t="s">
        <v>161</v>
      </c>
      <c r="D69" s="73" t="s">
        <v>286</v>
      </c>
      <c r="E69" s="64" t="s">
        <v>338</v>
      </c>
      <c r="F69" s="202">
        <v>65</v>
      </c>
      <c r="G69" s="337">
        <f t="shared" si="18"/>
        <v>65.452614571698746</v>
      </c>
      <c r="H69" s="337">
        <f t="shared" si="17"/>
        <v>65.90838083494387</v>
      </c>
      <c r="I69" s="337">
        <f t="shared" si="17"/>
        <v>66.367320735912571</v>
      </c>
      <c r="J69" s="337">
        <f t="shared" si="17"/>
        <v>66.829456373599939</v>
      </c>
      <c r="K69" s="337">
        <f t="shared" si="17"/>
        <v>67.294810000882975</v>
      </c>
      <c r="L69" s="337">
        <f t="shared" si="17"/>
        <v>67.76340402559218</v>
      </c>
      <c r="M69" s="337">
        <f t="shared" si="17"/>
        <v>68.235261011590524</v>
      </c>
      <c r="N69" s="337">
        <f t="shared" si="17"/>
        <v>68.710403679859965</v>
      </c>
      <c r="O69" s="337">
        <f t="shared" si="17"/>
        <v>69.188854909595477</v>
      </c>
      <c r="P69" s="337">
        <f t="shared" si="17"/>
        <v>69.670637739306756</v>
      </c>
      <c r="Q69" s="337">
        <f t="shared" si="17"/>
        <v>70.155775367927603</v>
      </c>
      <c r="R69" s="337">
        <f t="shared" si="17"/>
        <v>70.644291155932962</v>
      </c>
      <c r="S69" s="337">
        <f t="shared" si="17"/>
        <v>71.136208626463798</v>
      </c>
      <c r="T69" s="337">
        <f t="shared" si="17"/>
        <v>71.631551466459797</v>
      </c>
      <c r="U69" s="337">
        <f t="shared" si="17"/>
        <v>72.130343527799923</v>
      </c>
      <c r="V69" s="337">
        <f t="shared" si="17"/>
        <v>72.632608828450984</v>
      </c>
      <c r="W69" s="94"/>
      <c r="X69" s="94"/>
      <c r="Y69" s="94"/>
      <c r="Z69" s="94"/>
      <c r="AA69" s="94"/>
    </row>
    <row r="70" spans="1:27" x14ac:dyDescent="0.2">
      <c r="A70" s="1557"/>
      <c r="B70" s="52">
        <v>55</v>
      </c>
      <c r="C70" s="64" t="s">
        <v>161</v>
      </c>
      <c r="D70" s="73" t="s">
        <v>286</v>
      </c>
      <c r="E70" s="64" t="s">
        <v>339</v>
      </c>
      <c r="F70" s="202">
        <v>206</v>
      </c>
      <c r="G70" s="337">
        <f t="shared" si="18"/>
        <v>207.43444002722987</v>
      </c>
      <c r="H70" s="337">
        <f t="shared" si="17"/>
        <v>208.87886849228363</v>
      </c>
      <c r="I70" s="337">
        <f t="shared" si="17"/>
        <v>210.33335494766138</v>
      </c>
      <c r="J70" s="337">
        <f t="shared" si="17"/>
        <v>211.79796943017826</v>
      </c>
      <c r="K70" s="337">
        <f t="shared" si="17"/>
        <v>213.27278246433679</v>
      </c>
      <c r="L70" s="337">
        <f t="shared" si="17"/>
        <v>214.75786506572288</v>
      </c>
      <c r="M70" s="337">
        <f t="shared" si="17"/>
        <v>216.25328874442533</v>
      </c>
      <c r="N70" s="337">
        <f t="shared" si="17"/>
        <v>217.75912550847923</v>
      </c>
      <c r="O70" s="337">
        <f t="shared" si="17"/>
        <v>219.2754478673333</v>
      </c>
      <c r="P70" s="337">
        <f t="shared" si="17"/>
        <v>220.80232883534137</v>
      </c>
      <c r="Q70" s="337">
        <f t="shared" si="17"/>
        <v>222.3398419352782</v>
      </c>
      <c r="R70" s="337">
        <f t="shared" si="17"/>
        <v>223.88806120187979</v>
      </c>
      <c r="S70" s="337">
        <f t="shared" si="17"/>
        <v>225.44706118540827</v>
      </c>
      <c r="T70" s="337">
        <f t="shared" si="17"/>
        <v>227.01691695524173</v>
      </c>
      <c r="U70" s="337">
        <f t="shared" si="17"/>
        <v>228.59770410348889</v>
      </c>
      <c r="V70" s="337">
        <f t="shared" si="17"/>
        <v>230.18949874862918</v>
      </c>
      <c r="W70" s="94"/>
      <c r="X70" s="94"/>
      <c r="Y70" s="94"/>
      <c r="Z70" s="94"/>
      <c r="AA70" s="94"/>
    </row>
    <row r="71" spans="1:27" x14ac:dyDescent="0.2">
      <c r="A71" s="1557"/>
      <c r="B71" s="52">
        <v>56</v>
      </c>
      <c r="C71" s="64" t="s">
        <v>161</v>
      </c>
      <c r="D71" s="73" t="s">
        <v>286</v>
      </c>
      <c r="E71" s="64" t="s">
        <v>340</v>
      </c>
      <c r="F71" s="202">
        <v>155</v>
      </c>
      <c r="G71" s="337">
        <f t="shared" si="18"/>
        <v>156.07931167097394</v>
      </c>
      <c r="H71" s="337">
        <f t="shared" si="17"/>
        <v>157.1661389140969</v>
      </c>
      <c r="I71" s="337">
        <f t="shared" si="17"/>
        <v>158.26053406256074</v>
      </c>
      <c r="J71" s="337">
        <f t="shared" si="17"/>
        <v>159.36254981396905</v>
      </c>
      <c r="K71" s="337">
        <f t="shared" si="17"/>
        <v>160.47223923287476</v>
      </c>
      <c r="L71" s="337">
        <f t="shared" si="17"/>
        <v>161.58965575333517</v>
      </c>
      <c r="M71" s="337">
        <f t="shared" si="17"/>
        <v>162.71485318148507</v>
      </c>
      <c r="N71" s="337">
        <f t="shared" si="17"/>
        <v>163.84788569812756</v>
      </c>
      <c r="O71" s="337">
        <f t="shared" si="17"/>
        <v>164.98880786134299</v>
      </c>
      <c r="P71" s="337">
        <f t="shared" si="17"/>
        <v>166.13767460911606</v>
      </c>
      <c r="Q71" s="337">
        <f t="shared" si="17"/>
        <v>167.29454126198115</v>
      </c>
      <c r="R71" s="337">
        <f t="shared" si="17"/>
        <v>168.45946352568623</v>
      </c>
      <c r="S71" s="337">
        <f t="shared" si="17"/>
        <v>169.63249749387515</v>
      </c>
      <c r="T71" s="337">
        <f t="shared" si="17"/>
        <v>170.81369965078866</v>
      </c>
      <c r="U71" s="337">
        <f t="shared" si="17"/>
        <v>172.00312687398437</v>
      </c>
      <c r="V71" s="337">
        <f t="shared" si="17"/>
        <v>173.20083643707534</v>
      </c>
      <c r="W71" s="94"/>
      <c r="X71" s="94"/>
      <c r="Y71" s="94"/>
      <c r="Z71" s="94"/>
      <c r="AA71" s="94"/>
    </row>
    <row r="72" spans="1:27" x14ac:dyDescent="0.2">
      <c r="A72" s="1557"/>
      <c r="B72" s="52">
        <v>57</v>
      </c>
      <c r="C72" s="64" t="s">
        <v>161</v>
      </c>
      <c r="D72" s="73" t="s">
        <v>286</v>
      </c>
      <c r="E72" s="64" t="s">
        <v>288</v>
      </c>
      <c r="F72" s="202">
        <v>193</v>
      </c>
      <c r="G72" s="337">
        <f t="shared" si="18"/>
        <v>194.34391711289013</v>
      </c>
      <c r="H72" s="337">
        <f t="shared" si="17"/>
        <v>195.69719232529485</v>
      </c>
      <c r="I72" s="337">
        <f t="shared" si="17"/>
        <v>197.05989080047885</v>
      </c>
      <c r="J72" s="337">
        <f t="shared" si="17"/>
        <v>198.43207815545824</v>
      </c>
      <c r="K72" s="337">
        <f t="shared" si="17"/>
        <v>199.81382046416016</v>
      </c>
      <c r="L72" s="337">
        <f t="shared" si="17"/>
        <v>201.2051842606044</v>
      </c>
      <c r="M72" s="337">
        <f t="shared" si="17"/>
        <v>202.60623654210718</v>
      </c>
      <c r="N72" s="337">
        <f t="shared" si="17"/>
        <v>204.01704477250721</v>
      </c>
      <c r="O72" s="337">
        <f t="shared" si="17"/>
        <v>205.43767688541416</v>
      </c>
      <c r="P72" s="337">
        <f t="shared" si="17"/>
        <v>206.86820128747996</v>
      </c>
      <c r="Q72" s="337">
        <f t="shared" si="17"/>
        <v>208.30868686169262</v>
      </c>
      <c r="R72" s="337">
        <f t="shared" si="17"/>
        <v>209.75920297069314</v>
      </c>
      <c r="S72" s="337">
        <f t="shared" si="17"/>
        <v>211.21981946011545</v>
      </c>
      <c r="T72" s="337">
        <f t="shared" si="17"/>
        <v>212.69060666194972</v>
      </c>
      <c r="U72" s="337">
        <f t="shared" si="17"/>
        <v>214.17163539792887</v>
      </c>
      <c r="V72" s="337">
        <f t="shared" si="17"/>
        <v>215.66297698293891</v>
      </c>
      <c r="W72" s="94"/>
      <c r="X72" s="94"/>
      <c r="Y72" s="94"/>
      <c r="Z72" s="94"/>
      <c r="AA72" s="94"/>
    </row>
    <row r="73" spans="1:27" x14ac:dyDescent="0.2">
      <c r="A73" s="1557"/>
      <c r="B73" s="52">
        <v>58</v>
      </c>
      <c r="C73" s="64" t="s">
        <v>161</v>
      </c>
      <c r="D73" s="73" t="s">
        <v>286</v>
      </c>
      <c r="E73" s="64" t="s">
        <v>341</v>
      </c>
      <c r="F73" s="202">
        <v>117</v>
      </c>
      <c r="G73" s="337">
        <f t="shared" si="18"/>
        <v>117.81470622905775</v>
      </c>
      <c r="H73" s="337">
        <f t="shared" si="17"/>
        <v>118.63508550289896</v>
      </c>
      <c r="I73" s="337">
        <f t="shared" si="17"/>
        <v>119.46117732464263</v>
      </c>
      <c r="J73" s="337">
        <f t="shared" si="17"/>
        <v>120.29302147247988</v>
      </c>
      <c r="K73" s="337">
        <f t="shared" si="17"/>
        <v>121.13065800158934</v>
      </c>
      <c r="L73" s="337">
        <f t="shared" si="17"/>
        <v>121.9741272460659</v>
      </c>
      <c r="M73" s="337">
        <f t="shared" si="17"/>
        <v>122.82346982086293</v>
      </c>
      <c r="N73" s="337">
        <f t="shared" si="17"/>
        <v>123.67872662374791</v>
      </c>
      <c r="O73" s="337">
        <f t="shared" si="17"/>
        <v>124.53993883727182</v>
      </c>
      <c r="P73" s="337">
        <f t="shared" si="17"/>
        <v>125.40714793075213</v>
      </c>
      <c r="Q73" s="337">
        <f t="shared" si="17"/>
        <v>126.28039566226965</v>
      </c>
      <c r="R73" s="337">
        <f t="shared" si="17"/>
        <v>127.1597240806793</v>
      </c>
      <c r="S73" s="337">
        <f t="shared" si="17"/>
        <v>128.0451755276348</v>
      </c>
      <c r="T73" s="337">
        <f t="shared" si="17"/>
        <v>128.93679263962758</v>
      </c>
      <c r="U73" s="337">
        <f t="shared" si="17"/>
        <v>129.83461835003982</v>
      </c>
      <c r="V73" s="337">
        <f t="shared" si="17"/>
        <v>130.73869589121173</v>
      </c>
      <c r="W73" s="94"/>
      <c r="X73" s="94"/>
      <c r="Y73" s="94"/>
      <c r="Z73" s="94"/>
      <c r="AA73" s="94"/>
    </row>
    <row r="74" spans="1:27" x14ac:dyDescent="0.2">
      <c r="A74" s="1557"/>
      <c r="B74" s="52">
        <v>59</v>
      </c>
      <c r="C74" s="64" t="s">
        <v>161</v>
      </c>
      <c r="D74" s="73" t="s">
        <v>286</v>
      </c>
      <c r="E74" s="64" t="s">
        <v>287</v>
      </c>
      <c r="F74" s="202">
        <v>244</v>
      </c>
      <c r="G74" s="337">
        <f t="shared" si="18"/>
        <v>245.69904546914606</v>
      </c>
      <c r="H74" s="337">
        <f t="shared" si="17"/>
        <v>247.40992190348157</v>
      </c>
      <c r="I74" s="337">
        <f t="shared" si="17"/>
        <v>249.13271168557949</v>
      </c>
      <c r="J74" s="337">
        <f t="shared" si="17"/>
        <v>250.86749777166744</v>
      </c>
      <c r="K74" s="337">
        <f t="shared" si="17"/>
        <v>252.61436369562222</v>
      </c>
      <c r="L74" s="337">
        <f t="shared" si="17"/>
        <v>254.37339357299214</v>
      </c>
      <c r="M74" s="337">
        <f t="shared" si="17"/>
        <v>256.1446721050475</v>
      </c>
      <c r="N74" s="337">
        <f t="shared" si="17"/>
        <v>257.92828458285891</v>
      </c>
      <c r="O74" s="337">
        <f t="shared" si="17"/>
        <v>259.7243168914045</v>
      </c>
      <c r="P74" s="337">
        <f t="shared" si="17"/>
        <v>261.53285551370533</v>
      </c>
      <c r="Q74" s="337">
        <f t="shared" si="17"/>
        <v>263.35398753498976</v>
      </c>
      <c r="R74" s="337">
        <f t="shared" si="17"/>
        <v>265.18780064688679</v>
      </c>
      <c r="S74" s="337">
        <f t="shared" si="17"/>
        <v>267.03438315164868</v>
      </c>
      <c r="T74" s="337">
        <f t="shared" si="17"/>
        <v>268.89382396640286</v>
      </c>
      <c r="U74" s="337">
        <f t="shared" si="17"/>
        <v>270.7662126274335</v>
      </c>
      <c r="V74" s="337">
        <f t="shared" si="17"/>
        <v>272.65163929449284</v>
      </c>
      <c r="W74" s="94"/>
      <c r="X74" s="94"/>
      <c r="Y74" s="94"/>
      <c r="Z74" s="94"/>
      <c r="AA74" s="94"/>
    </row>
    <row r="75" spans="1:27" x14ac:dyDescent="0.2">
      <c r="A75" s="1557"/>
      <c r="B75" s="52">
        <v>60</v>
      </c>
      <c r="C75" s="64" t="s">
        <v>161</v>
      </c>
      <c r="D75" s="73" t="s">
        <v>286</v>
      </c>
      <c r="E75" s="64" t="s">
        <v>316</v>
      </c>
      <c r="F75" s="202">
        <v>51</v>
      </c>
      <c r="G75" s="337">
        <f t="shared" si="18"/>
        <v>51.355128356255939</v>
      </c>
      <c r="H75" s="337">
        <f t="shared" ref="H75:V90" si="19">+G75*(1+$H$8)</f>
        <v>51.712729578186725</v>
      </c>
      <c r="I75" s="337">
        <f t="shared" si="19"/>
        <v>52.072820885100633</v>
      </c>
      <c r="J75" s="337">
        <f t="shared" si="19"/>
        <v>52.435419616209181</v>
      </c>
      <c r="K75" s="337">
        <f t="shared" si="19"/>
        <v>52.800543231462022</v>
      </c>
      <c r="L75" s="337">
        <f t="shared" si="19"/>
        <v>53.168209312387702</v>
      </c>
      <c r="M75" s="337">
        <f t="shared" si="19"/>
        <v>53.538435562940251</v>
      </c>
      <c r="N75" s="337">
        <f t="shared" si="19"/>
        <v>53.911239810351653</v>
      </c>
      <c r="O75" s="337">
        <f t="shared" si="19"/>
        <v>54.286640005990279</v>
      </c>
      <c r="P75" s="337">
        <f t="shared" si="19"/>
        <v>54.664654226225288</v>
      </c>
      <c r="Q75" s="337">
        <f t="shared" si="19"/>
        <v>55.045300673297028</v>
      </c>
      <c r="R75" s="337">
        <f t="shared" si="19"/>
        <v>55.42859767619354</v>
      </c>
      <c r="S75" s="337">
        <f t="shared" si="19"/>
        <v>55.814563691533117</v>
      </c>
      <c r="T75" s="337">
        <f t="shared" si="19"/>
        <v>56.203217304453048</v>
      </c>
      <c r="U75" s="337">
        <f t="shared" si="19"/>
        <v>56.594577229504537</v>
      </c>
      <c r="V75" s="337">
        <f t="shared" si="19"/>
        <v>56.988662311553824</v>
      </c>
      <c r="W75" s="94"/>
      <c r="X75" s="94"/>
      <c r="Y75" s="94"/>
      <c r="Z75" s="94"/>
      <c r="AA75" s="94"/>
    </row>
    <row r="76" spans="1:27" x14ac:dyDescent="0.2">
      <c r="A76" s="1557"/>
      <c r="B76" s="52">
        <v>61</v>
      </c>
      <c r="C76" s="64" t="s">
        <v>161</v>
      </c>
      <c r="D76" s="73" t="s">
        <v>286</v>
      </c>
      <c r="E76" s="64" t="s">
        <v>315</v>
      </c>
      <c r="F76" s="201">
        <v>52</v>
      </c>
      <c r="G76" s="337">
        <f t="shared" si="18"/>
        <v>52.362091657358995</v>
      </c>
      <c r="H76" s="337">
        <f t="shared" si="19"/>
        <v>52.72670466795509</v>
      </c>
      <c r="I76" s="337">
        <f t="shared" si="19"/>
        <v>53.093856588730056</v>
      </c>
      <c r="J76" s="337">
        <f t="shared" si="19"/>
        <v>53.463565098879947</v>
      </c>
      <c r="K76" s="337">
        <f t="shared" si="19"/>
        <v>53.83584800070637</v>
      </c>
      <c r="L76" s="337">
        <f t="shared" si="19"/>
        <v>54.210723220473731</v>
      </c>
      <c r="M76" s="337">
        <f t="shared" si="19"/>
        <v>54.588208809272409</v>
      </c>
      <c r="N76" s="337">
        <f t="shared" si="19"/>
        <v>54.968322943887955</v>
      </c>
      <c r="O76" s="337">
        <f t="shared" si="19"/>
        <v>55.351083927676356</v>
      </c>
      <c r="P76" s="337">
        <f t="shared" si="19"/>
        <v>55.736510191445383</v>
      </c>
      <c r="Q76" s="337">
        <f t="shared" si="19"/>
        <v>56.124620294342058</v>
      </c>
      <c r="R76" s="337">
        <f t="shared" si="19"/>
        <v>56.515432924746342</v>
      </c>
      <c r="S76" s="337">
        <f t="shared" si="19"/>
        <v>56.908966901171006</v>
      </c>
      <c r="T76" s="337">
        <f t="shared" si="19"/>
        <v>57.305241173167801</v>
      </c>
      <c r="U76" s="337">
        <f t="shared" si="19"/>
        <v>57.704274822239903</v>
      </c>
      <c r="V76" s="337">
        <f t="shared" si="19"/>
        <v>58.10608706276075</v>
      </c>
      <c r="W76" s="94"/>
      <c r="X76" s="94"/>
      <c r="Y76" s="94"/>
      <c r="Z76" s="94"/>
      <c r="AA76" s="94"/>
    </row>
    <row r="77" spans="1:27" x14ac:dyDescent="0.2">
      <c r="A77" s="1557"/>
      <c r="B77" s="52">
        <v>62</v>
      </c>
      <c r="C77" s="64" t="s">
        <v>161</v>
      </c>
      <c r="D77" s="73" t="s">
        <v>286</v>
      </c>
      <c r="E77" s="64" t="s">
        <v>289</v>
      </c>
      <c r="F77" s="202">
        <v>147</v>
      </c>
      <c r="G77" s="337">
        <f t="shared" si="18"/>
        <v>148.02360526214949</v>
      </c>
      <c r="H77" s="337">
        <f t="shared" si="19"/>
        <v>149.05433819594998</v>
      </c>
      <c r="I77" s="337">
        <f t="shared" si="19"/>
        <v>150.09224843352536</v>
      </c>
      <c r="J77" s="337">
        <f t="shared" si="19"/>
        <v>151.13738595260293</v>
      </c>
      <c r="K77" s="337">
        <f t="shared" si="19"/>
        <v>152.18980107891994</v>
      </c>
      <c r="L77" s="337">
        <f t="shared" si="19"/>
        <v>153.2495444886469</v>
      </c>
      <c r="M77" s="337">
        <f t="shared" si="19"/>
        <v>154.31666721082777</v>
      </c>
      <c r="N77" s="337">
        <f t="shared" si="19"/>
        <v>155.39122062983711</v>
      </c>
      <c r="O77" s="337">
        <f t="shared" si="19"/>
        <v>156.47325648785431</v>
      </c>
      <c r="P77" s="337">
        <f t="shared" si="19"/>
        <v>157.56282688735521</v>
      </c>
      <c r="Q77" s="337">
        <f t="shared" si="19"/>
        <v>158.65998429362082</v>
      </c>
      <c r="R77" s="337">
        <f t="shared" si="19"/>
        <v>159.7647815372637</v>
      </c>
      <c r="S77" s="337">
        <f t="shared" si="19"/>
        <v>160.87727181677189</v>
      </c>
      <c r="T77" s="337">
        <f t="shared" si="19"/>
        <v>161.99750870107053</v>
      </c>
      <c r="U77" s="337">
        <f t="shared" si="19"/>
        <v>163.12554613210128</v>
      </c>
      <c r="V77" s="337">
        <f t="shared" si="19"/>
        <v>164.26143842741982</v>
      </c>
      <c r="W77" s="94"/>
      <c r="X77" s="94"/>
      <c r="Y77" s="94"/>
      <c r="Z77" s="94"/>
      <c r="AA77" s="94"/>
    </row>
    <row r="78" spans="1:27" x14ac:dyDescent="0.2">
      <c r="A78" s="1557"/>
      <c r="B78" s="52">
        <v>63</v>
      </c>
      <c r="C78" s="64" t="s">
        <v>161</v>
      </c>
      <c r="D78" s="73" t="s">
        <v>286</v>
      </c>
      <c r="E78" s="64" t="s">
        <v>342</v>
      </c>
      <c r="F78" s="202">
        <v>527</v>
      </c>
      <c r="G78" s="337">
        <f t="shared" si="18"/>
        <v>530.66965968131137</v>
      </c>
      <c r="H78" s="337">
        <f t="shared" si="19"/>
        <v>534.36487230792943</v>
      </c>
      <c r="I78" s="337">
        <f t="shared" si="19"/>
        <v>538.08581581270653</v>
      </c>
      <c r="J78" s="337">
        <f t="shared" si="19"/>
        <v>541.83266936749487</v>
      </c>
      <c r="K78" s="337">
        <f t="shared" si="19"/>
        <v>545.60561339177423</v>
      </c>
      <c r="L78" s="337">
        <f t="shared" si="19"/>
        <v>549.40482956133962</v>
      </c>
      <c r="M78" s="337">
        <f t="shared" si="19"/>
        <v>553.23050081704935</v>
      </c>
      <c r="N78" s="337">
        <f t="shared" si="19"/>
        <v>557.08281137363383</v>
      </c>
      <c r="O78" s="337">
        <f t="shared" si="19"/>
        <v>560.96194672856632</v>
      </c>
      <c r="P78" s="337">
        <f t="shared" si="19"/>
        <v>564.86809367099477</v>
      </c>
      <c r="Q78" s="337">
        <f t="shared" si="19"/>
        <v>568.80144029073608</v>
      </c>
      <c r="R78" s="337">
        <f t="shared" si="19"/>
        <v>572.76217598733331</v>
      </c>
      <c r="S78" s="337">
        <f t="shared" si="19"/>
        <v>576.75049147917559</v>
      </c>
      <c r="T78" s="337">
        <f t="shared" si="19"/>
        <v>580.76657881268159</v>
      </c>
      <c r="U78" s="337">
        <f t="shared" si="19"/>
        <v>584.81063137154695</v>
      </c>
      <c r="V78" s="337">
        <f t="shared" si="19"/>
        <v>588.88284388605632</v>
      </c>
      <c r="W78" s="94"/>
      <c r="X78" s="94"/>
      <c r="Y78" s="94"/>
      <c r="Z78" s="94"/>
      <c r="AA78" s="94"/>
    </row>
    <row r="79" spans="1:27" x14ac:dyDescent="0.2">
      <c r="A79" s="1557"/>
      <c r="B79" s="52">
        <v>64</v>
      </c>
      <c r="C79" s="64" t="s">
        <v>161</v>
      </c>
      <c r="D79" s="73" t="s">
        <v>286</v>
      </c>
      <c r="E79" s="64" t="s">
        <v>343</v>
      </c>
      <c r="F79" s="202">
        <v>281</v>
      </c>
      <c r="G79" s="337">
        <f t="shared" si="18"/>
        <v>282.9566876099592</v>
      </c>
      <c r="H79" s="337">
        <f t="shared" si="19"/>
        <v>284.92700022491118</v>
      </c>
      <c r="I79" s="337">
        <f t="shared" si="19"/>
        <v>286.91103271986822</v>
      </c>
      <c r="J79" s="337">
        <f t="shared" si="19"/>
        <v>288.9088806304859</v>
      </c>
      <c r="K79" s="337">
        <f t="shared" si="19"/>
        <v>290.92064015766329</v>
      </c>
      <c r="L79" s="337">
        <f t="shared" si="19"/>
        <v>292.94640817217538</v>
      </c>
      <c r="M79" s="337">
        <f t="shared" si="19"/>
        <v>294.98628221933745</v>
      </c>
      <c r="N79" s="337">
        <f t="shared" si="19"/>
        <v>297.04036052370225</v>
      </c>
      <c r="O79" s="337">
        <f t="shared" si="19"/>
        <v>299.10874199378958</v>
      </c>
      <c r="P79" s="337">
        <f t="shared" si="19"/>
        <v>301.19152622684913</v>
      </c>
      <c r="Q79" s="337">
        <f t="shared" si="19"/>
        <v>303.28881351365618</v>
      </c>
      <c r="R79" s="337">
        <f t="shared" si="19"/>
        <v>305.40070484334086</v>
      </c>
      <c r="S79" s="337">
        <f t="shared" si="19"/>
        <v>307.5273019082511</v>
      </c>
      <c r="T79" s="337">
        <f t="shared" si="19"/>
        <v>309.66870710884916</v>
      </c>
      <c r="U79" s="337">
        <f t="shared" si="19"/>
        <v>311.82502355864267</v>
      </c>
      <c r="V79" s="337">
        <f t="shared" si="19"/>
        <v>313.99635508914952</v>
      </c>
      <c r="W79" s="94"/>
      <c r="X79" s="94"/>
      <c r="Y79" s="94"/>
      <c r="Z79" s="94"/>
      <c r="AA79" s="94"/>
    </row>
    <row r="80" spans="1:27" x14ac:dyDescent="0.2">
      <c r="A80" s="1557"/>
      <c r="B80" s="52">
        <v>65</v>
      </c>
      <c r="C80" s="64" t="s">
        <v>161</v>
      </c>
      <c r="D80" s="73" t="s">
        <v>286</v>
      </c>
      <c r="E80" s="64" t="s">
        <v>344</v>
      </c>
      <c r="F80" s="202">
        <v>52</v>
      </c>
      <c r="G80" s="337">
        <f t="shared" si="18"/>
        <v>52.362091657358995</v>
      </c>
      <c r="H80" s="337">
        <f t="shared" si="19"/>
        <v>52.72670466795509</v>
      </c>
      <c r="I80" s="337">
        <f t="shared" si="19"/>
        <v>53.093856588730056</v>
      </c>
      <c r="J80" s="337">
        <f t="shared" si="19"/>
        <v>53.463565098879947</v>
      </c>
      <c r="K80" s="337">
        <f t="shared" si="19"/>
        <v>53.83584800070637</v>
      </c>
      <c r="L80" s="337">
        <f t="shared" si="19"/>
        <v>54.210723220473731</v>
      </c>
      <c r="M80" s="337">
        <f t="shared" si="19"/>
        <v>54.588208809272409</v>
      </c>
      <c r="N80" s="337">
        <f t="shared" si="19"/>
        <v>54.968322943887955</v>
      </c>
      <c r="O80" s="337">
        <f t="shared" si="19"/>
        <v>55.351083927676356</v>
      </c>
      <c r="P80" s="337">
        <f t="shared" si="19"/>
        <v>55.736510191445383</v>
      </c>
      <c r="Q80" s="337">
        <f t="shared" si="19"/>
        <v>56.124620294342058</v>
      </c>
      <c r="R80" s="337">
        <f t="shared" si="19"/>
        <v>56.515432924746342</v>
      </c>
      <c r="S80" s="337">
        <f t="shared" si="19"/>
        <v>56.908966901171006</v>
      </c>
      <c r="T80" s="337">
        <f t="shared" si="19"/>
        <v>57.305241173167801</v>
      </c>
      <c r="U80" s="337">
        <f t="shared" si="19"/>
        <v>57.704274822239903</v>
      </c>
      <c r="V80" s="337">
        <f t="shared" si="19"/>
        <v>58.10608706276075</v>
      </c>
      <c r="W80" s="94"/>
      <c r="X80" s="94"/>
      <c r="Y80" s="94"/>
      <c r="Z80" s="94"/>
      <c r="AA80" s="94"/>
    </row>
    <row r="81" spans="1:27" x14ac:dyDescent="0.2">
      <c r="A81" s="1557"/>
      <c r="B81" s="52">
        <v>66</v>
      </c>
      <c r="C81" s="64" t="s">
        <v>161</v>
      </c>
      <c r="D81" s="73" t="s">
        <v>286</v>
      </c>
      <c r="E81" s="64" t="s">
        <v>314</v>
      </c>
      <c r="F81" s="202">
        <v>178</v>
      </c>
      <c r="G81" s="337">
        <f t="shared" si="18"/>
        <v>179.23946759634427</v>
      </c>
      <c r="H81" s="337">
        <f t="shared" si="19"/>
        <v>180.48756597876937</v>
      </c>
      <c r="I81" s="337">
        <f t="shared" si="19"/>
        <v>181.74435524603751</v>
      </c>
      <c r="J81" s="337">
        <f t="shared" si="19"/>
        <v>183.00989591539675</v>
      </c>
      <c r="K81" s="337">
        <f t="shared" si="19"/>
        <v>184.28424892549489</v>
      </c>
      <c r="L81" s="337">
        <f t="shared" si="19"/>
        <v>185.56747563931395</v>
      </c>
      <c r="M81" s="337">
        <f t="shared" si="19"/>
        <v>186.85963784712482</v>
      </c>
      <c r="N81" s="337">
        <f t="shared" si="19"/>
        <v>188.16079776946265</v>
      </c>
      <c r="O81" s="337">
        <f t="shared" si="19"/>
        <v>189.47101806012296</v>
      </c>
      <c r="P81" s="337">
        <f t="shared" si="19"/>
        <v>190.79036180917848</v>
      </c>
      <c r="Q81" s="337">
        <f t="shared" si="19"/>
        <v>192.11889254601709</v>
      </c>
      <c r="R81" s="337">
        <f t="shared" si="19"/>
        <v>193.45667424240099</v>
      </c>
      <c r="S81" s="337">
        <f t="shared" si="19"/>
        <v>194.80377131554698</v>
      </c>
      <c r="T81" s="337">
        <f t="shared" si="19"/>
        <v>196.16024863122831</v>
      </c>
      <c r="U81" s="337">
        <f t="shared" si="19"/>
        <v>197.52617150689821</v>
      </c>
      <c r="V81" s="337">
        <f t="shared" si="19"/>
        <v>198.90160571483494</v>
      </c>
      <c r="W81" s="94"/>
      <c r="X81" s="94"/>
      <c r="Y81" s="94"/>
      <c r="Z81" s="94"/>
      <c r="AA81" s="94"/>
    </row>
    <row r="82" spans="1:27" x14ac:dyDescent="0.2">
      <c r="A82" s="1557"/>
      <c r="B82" s="52">
        <v>67</v>
      </c>
      <c r="C82" s="64" t="s">
        <v>161</v>
      </c>
      <c r="D82" s="73" t="s">
        <v>286</v>
      </c>
      <c r="E82" s="64" t="s">
        <v>345</v>
      </c>
      <c r="F82" s="202">
        <v>188</v>
      </c>
      <c r="G82" s="337">
        <f t="shared" si="18"/>
        <v>189.30910060737483</v>
      </c>
      <c r="H82" s="337">
        <f t="shared" si="19"/>
        <v>190.62731687645302</v>
      </c>
      <c r="I82" s="337">
        <f t="shared" si="19"/>
        <v>191.95471228233174</v>
      </c>
      <c r="J82" s="337">
        <f t="shared" si="19"/>
        <v>193.29135074210441</v>
      </c>
      <c r="K82" s="337">
        <f t="shared" si="19"/>
        <v>194.6372966179384</v>
      </c>
      <c r="L82" s="337">
        <f t="shared" si="19"/>
        <v>195.99261472017426</v>
      </c>
      <c r="M82" s="337">
        <f t="shared" si="19"/>
        <v>197.35737031044641</v>
      </c>
      <c r="N82" s="337">
        <f t="shared" si="19"/>
        <v>198.73162910482571</v>
      </c>
      <c r="O82" s="337">
        <f t="shared" si="19"/>
        <v>200.11545727698379</v>
      </c>
      <c r="P82" s="337">
        <f t="shared" si="19"/>
        <v>201.50892146137949</v>
      </c>
      <c r="Q82" s="337">
        <f t="shared" si="19"/>
        <v>202.91208875646745</v>
      </c>
      <c r="R82" s="337">
        <f t="shared" si="19"/>
        <v>204.3250267279291</v>
      </c>
      <c r="S82" s="337">
        <f t="shared" si="19"/>
        <v>205.74780341192599</v>
      </c>
      <c r="T82" s="337">
        <f t="shared" si="19"/>
        <v>207.18048731837595</v>
      </c>
      <c r="U82" s="337">
        <f t="shared" si="19"/>
        <v>208.62314743425202</v>
      </c>
      <c r="V82" s="337">
        <f t="shared" si="19"/>
        <v>210.07585322690431</v>
      </c>
      <c r="W82" s="94"/>
      <c r="X82" s="94"/>
      <c r="Y82" s="94"/>
      <c r="Z82" s="94"/>
      <c r="AA82" s="94"/>
    </row>
    <row r="83" spans="1:27" x14ac:dyDescent="0.2">
      <c r="A83" s="1557"/>
      <c r="B83" s="52">
        <v>68</v>
      </c>
      <c r="C83" s="64" t="s">
        <v>161</v>
      </c>
      <c r="D83" s="73" t="s">
        <v>286</v>
      </c>
      <c r="E83" s="64" t="s">
        <v>346</v>
      </c>
      <c r="F83" s="202">
        <v>116</v>
      </c>
      <c r="G83" s="337">
        <f t="shared" si="18"/>
        <v>116.80774292795469</v>
      </c>
      <c r="H83" s="337">
        <f t="shared" si="19"/>
        <v>117.62111041313059</v>
      </c>
      <c r="I83" s="337">
        <f t="shared" si="19"/>
        <v>118.44014162101321</v>
      </c>
      <c r="J83" s="337">
        <f t="shared" si="19"/>
        <v>119.26487598980911</v>
      </c>
      <c r="K83" s="337">
        <f t="shared" si="19"/>
        <v>120.09535323234499</v>
      </c>
      <c r="L83" s="337">
        <f t="shared" si="19"/>
        <v>120.93161333797988</v>
      </c>
      <c r="M83" s="337">
        <f t="shared" si="19"/>
        <v>121.77369657453077</v>
      </c>
      <c r="N83" s="337">
        <f t="shared" si="19"/>
        <v>122.62164349021161</v>
      </c>
      <c r="O83" s="337">
        <f t="shared" si="19"/>
        <v>123.47549491558574</v>
      </c>
      <c r="P83" s="337">
        <f t="shared" si="19"/>
        <v>124.33529196553204</v>
      </c>
      <c r="Q83" s="337">
        <f t="shared" si="19"/>
        <v>125.20107604122462</v>
      </c>
      <c r="R83" s="337">
        <f t="shared" si="19"/>
        <v>126.07288883212649</v>
      </c>
      <c r="S83" s="337">
        <f t="shared" si="19"/>
        <v>126.95077231799691</v>
      </c>
      <c r="T83" s="337">
        <f t="shared" si="19"/>
        <v>127.83476877091283</v>
      </c>
      <c r="U83" s="337">
        <f t="shared" si="19"/>
        <v>128.72492075730446</v>
      </c>
      <c r="V83" s="337">
        <f t="shared" si="19"/>
        <v>129.62127114000481</v>
      </c>
      <c r="W83" s="94"/>
      <c r="X83" s="94"/>
      <c r="Y83" s="94"/>
      <c r="Z83" s="94"/>
      <c r="AA83" s="94"/>
    </row>
    <row r="84" spans="1:27" x14ac:dyDescent="0.2">
      <c r="A84" s="1554">
        <v>7</v>
      </c>
      <c r="B84" s="214">
        <v>69</v>
      </c>
      <c r="C84" s="75" t="s">
        <v>161</v>
      </c>
      <c r="D84" s="74" t="s">
        <v>292</v>
      </c>
      <c r="E84" s="75" t="s">
        <v>292</v>
      </c>
      <c r="F84" s="202">
        <v>623</v>
      </c>
      <c r="G84" s="337">
        <f t="shared" si="18"/>
        <v>627.33813658720487</v>
      </c>
      <c r="H84" s="337">
        <f t="shared" si="19"/>
        <v>631.70648092569263</v>
      </c>
      <c r="I84" s="337">
        <f t="shared" si="19"/>
        <v>636.10524336113122</v>
      </c>
      <c r="J84" s="337">
        <f t="shared" si="19"/>
        <v>640.53463570388851</v>
      </c>
      <c r="K84" s="337">
        <f t="shared" si="19"/>
        <v>644.994871239232</v>
      </c>
      <c r="L84" s="337">
        <f t="shared" si="19"/>
        <v>649.48616473759864</v>
      </c>
      <c r="M84" s="337">
        <f t="shared" si="19"/>
        <v>654.00873246493666</v>
      </c>
      <c r="N84" s="337">
        <f t="shared" si="19"/>
        <v>658.56279219311909</v>
      </c>
      <c r="O84" s="337">
        <f t="shared" si="19"/>
        <v>663.14856321043021</v>
      </c>
      <c r="P84" s="337">
        <f t="shared" si="19"/>
        <v>667.76626633212447</v>
      </c>
      <c r="Q84" s="337">
        <f t="shared" si="19"/>
        <v>672.41612391105969</v>
      </c>
      <c r="R84" s="337">
        <f t="shared" si="19"/>
        <v>677.09835984840333</v>
      </c>
      <c r="S84" s="337">
        <f t="shared" si="19"/>
        <v>681.81319960441419</v>
      </c>
      <c r="T84" s="337">
        <f t="shared" si="19"/>
        <v>686.56087020929886</v>
      </c>
      <c r="U84" s="337">
        <f t="shared" si="19"/>
        <v>691.3416002741435</v>
      </c>
      <c r="V84" s="337">
        <f t="shared" si="19"/>
        <v>696.1556200019221</v>
      </c>
      <c r="W84" s="94"/>
      <c r="X84" s="94"/>
      <c r="Y84" s="94"/>
      <c r="Z84" s="94"/>
      <c r="AA84" s="94"/>
    </row>
    <row r="85" spans="1:27" x14ac:dyDescent="0.2">
      <c r="A85" s="1554"/>
      <c r="B85" s="52">
        <v>70</v>
      </c>
      <c r="C85" s="64" t="s">
        <v>161</v>
      </c>
      <c r="D85" s="73" t="s">
        <v>292</v>
      </c>
      <c r="E85" s="64" t="s">
        <v>294</v>
      </c>
      <c r="F85" s="202">
        <v>327</v>
      </c>
      <c r="G85" s="337">
        <f t="shared" si="18"/>
        <v>329.27699946069987</v>
      </c>
      <c r="H85" s="337">
        <f t="shared" si="19"/>
        <v>331.56985435425605</v>
      </c>
      <c r="I85" s="337">
        <f t="shared" si="19"/>
        <v>333.87867508682172</v>
      </c>
      <c r="J85" s="337">
        <f t="shared" si="19"/>
        <v>336.20357283334118</v>
      </c>
      <c r="K85" s="337">
        <f t="shared" si="19"/>
        <v>338.5446595429035</v>
      </c>
      <c r="L85" s="337">
        <f t="shared" si="19"/>
        <v>340.9020479441329</v>
      </c>
      <c r="M85" s="337">
        <f t="shared" si="19"/>
        <v>343.27585155061689</v>
      </c>
      <c r="N85" s="337">
        <f t="shared" si="19"/>
        <v>345.66618466637237</v>
      </c>
      <c r="O85" s="337">
        <f t="shared" si="19"/>
        <v>348.07316239134946</v>
      </c>
      <c r="P85" s="337">
        <f t="shared" si="19"/>
        <v>350.49690062697391</v>
      </c>
      <c r="Q85" s="337">
        <f t="shared" si="19"/>
        <v>352.93751608172801</v>
      </c>
      <c r="R85" s="337">
        <f t="shared" si="19"/>
        <v>355.39512627677033</v>
      </c>
      <c r="S85" s="337">
        <f t="shared" si="19"/>
        <v>357.86984955159465</v>
      </c>
      <c r="T85" s="337">
        <f t="shared" si="19"/>
        <v>360.36180506972835</v>
      </c>
      <c r="U85" s="337">
        <f t="shared" si="19"/>
        <v>362.87111282447023</v>
      </c>
      <c r="V85" s="337">
        <f t="shared" si="19"/>
        <v>365.39789364466861</v>
      </c>
      <c r="W85" s="94"/>
      <c r="X85" s="94"/>
      <c r="Y85" s="94"/>
      <c r="Z85" s="94"/>
      <c r="AA85" s="94"/>
    </row>
    <row r="86" spans="1:27" x14ac:dyDescent="0.2">
      <c r="A86" s="1554"/>
      <c r="B86" s="52">
        <v>71</v>
      </c>
      <c r="C86" s="64" t="s">
        <v>161</v>
      </c>
      <c r="D86" s="73" t="s">
        <v>292</v>
      </c>
      <c r="E86" s="64" t="s">
        <v>295</v>
      </c>
      <c r="F86" s="202">
        <v>85</v>
      </c>
      <c r="G86" s="337">
        <f t="shared" si="18"/>
        <v>85.591880593759896</v>
      </c>
      <c r="H86" s="337">
        <f t="shared" si="19"/>
        <v>86.187882630311208</v>
      </c>
      <c r="I86" s="337">
        <f t="shared" si="19"/>
        <v>86.788034808501052</v>
      </c>
      <c r="J86" s="337">
        <f t="shared" si="19"/>
        <v>87.392366027015299</v>
      </c>
      <c r="K86" s="337">
        <f t="shared" si="19"/>
        <v>88.000905385770039</v>
      </c>
      <c r="L86" s="337">
        <f t="shared" si="19"/>
        <v>88.613682187312847</v>
      </c>
      <c r="M86" s="337">
        <f t="shared" si="19"/>
        <v>89.230725938233761</v>
      </c>
      <c r="N86" s="337">
        <f t="shared" si="19"/>
        <v>89.852066350586099</v>
      </c>
      <c r="O86" s="337">
        <f t="shared" si="19"/>
        <v>90.477733343317141</v>
      </c>
      <c r="P86" s="337">
        <f t="shared" si="19"/>
        <v>91.107757043708816</v>
      </c>
      <c r="Q86" s="337">
        <f t="shared" si="19"/>
        <v>91.742167788828382</v>
      </c>
      <c r="R86" s="337">
        <f t="shared" si="19"/>
        <v>92.380996126989231</v>
      </c>
      <c r="S86" s="337">
        <f t="shared" si="19"/>
        <v>93.024272819221864</v>
      </c>
      <c r="T86" s="337">
        <f t="shared" si="19"/>
        <v>93.67202884075509</v>
      </c>
      <c r="U86" s="337">
        <f t="shared" si="19"/>
        <v>94.324295382507572</v>
      </c>
      <c r="V86" s="337">
        <f t="shared" si="19"/>
        <v>94.981103852589726</v>
      </c>
      <c r="W86" s="94"/>
      <c r="X86" s="94"/>
      <c r="Y86" s="94"/>
      <c r="Z86" s="94"/>
      <c r="AA86" s="94"/>
    </row>
    <row r="87" spans="1:27" x14ac:dyDescent="0.2">
      <c r="A87" s="1554"/>
      <c r="B87" s="52">
        <f>SUM(F84:F90)</f>
        <v>1451</v>
      </c>
      <c r="C87" s="64" t="s">
        <v>161</v>
      </c>
      <c r="D87" s="73" t="s">
        <v>292</v>
      </c>
      <c r="E87" s="64" t="s">
        <v>293</v>
      </c>
      <c r="F87" s="202">
        <v>139</v>
      </c>
      <c r="G87" s="337">
        <f t="shared" si="18"/>
        <v>139.96789885332501</v>
      </c>
      <c r="H87" s="337">
        <f t="shared" si="19"/>
        <v>140.94253747780303</v>
      </c>
      <c r="I87" s="337">
        <f t="shared" si="19"/>
        <v>141.92396280448995</v>
      </c>
      <c r="J87" s="337">
        <f t="shared" si="19"/>
        <v>142.91222209123677</v>
      </c>
      <c r="K87" s="337">
        <f t="shared" si="19"/>
        <v>143.9073629249651</v>
      </c>
      <c r="L87" s="337">
        <f t="shared" si="19"/>
        <v>144.90943322395862</v>
      </c>
      <c r="M87" s="337">
        <f t="shared" si="19"/>
        <v>145.91848124017048</v>
      </c>
      <c r="N87" s="337">
        <f t="shared" si="19"/>
        <v>146.93455556154666</v>
      </c>
      <c r="O87" s="337">
        <f t="shared" si="19"/>
        <v>147.95770511436567</v>
      </c>
      <c r="P87" s="337">
        <f t="shared" si="19"/>
        <v>148.9879791655944</v>
      </c>
      <c r="Q87" s="337">
        <f t="shared" si="19"/>
        <v>150.02542732526052</v>
      </c>
      <c r="R87" s="337">
        <f t="shared" si="19"/>
        <v>151.0700995488412</v>
      </c>
      <c r="S87" s="337">
        <f t="shared" si="19"/>
        <v>152.12204613966867</v>
      </c>
      <c r="T87" s="337">
        <f t="shared" si="19"/>
        <v>153.18131775135242</v>
      </c>
      <c r="U87" s="337">
        <f t="shared" si="19"/>
        <v>154.24796539021824</v>
      </c>
      <c r="V87" s="337">
        <f t="shared" si="19"/>
        <v>155.32204041776436</v>
      </c>
      <c r="W87" s="94"/>
      <c r="X87" s="94"/>
      <c r="Y87" s="94"/>
      <c r="Z87" s="94"/>
      <c r="AA87" s="94"/>
    </row>
    <row r="88" spans="1:27" x14ac:dyDescent="0.2">
      <c r="A88" s="1554"/>
      <c r="B88" s="52">
        <v>73</v>
      </c>
      <c r="C88" s="64" t="s">
        <v>161</v>
      </c>
      <c r="D88" s="73" t="s">
        <v>292</v>
      </c>
      <c r="E88" s="64" t="s">
        <v>347</v>
      </c>
      <c r="F88" s="202">
        <v>107</v>
      </c>
      <c r="G88" s="337">
        <f t="shared" si="18"/>
        <v>107.74507321802717</v>
      </c>
      <c r="H88" s="337">
        <f t="shared" si="19"/>
        <v>108.49533460521529</v>
      </c>
      <c r="I88" s="337">
        <f t="shared" si="19"/>
        <v>109.25082028834839</v>
      </c>
      <c r="J88" s="337">
        <f t="shared" si="19"/>
        <v>110.01156664577221</v>
      </c>
      <c r="K88" s="337">
        <f t="shared" si="19"/>
        <v>110.77761030914581</v>
      </c>
      <c r="L88" s="337">
        <f t="shared" si="19"/>
        <v>111.54898816520559</v>
      </c>
      <c r="M88" s="337">
        <f t="shared" si="19"/>
        <v>112.32573735754133</v>
      </c>
      <c r="N88" s="337">
        <f t="shared" si="19"/>
        <v>113.10789528838485</v>
      </c>
      <c r="O88" s="337">
        <f t="shared" si="19"/>
        <v>113.89549962041099</v>
      </c>
      <c r="P88" s="337">
        <f t="shared" si="19"/>
        <v>114.68858827855109</v>
      </c>
      <c r="Q88" s="337">
        <f t="shared" si="19"/>
        <v>115.48719945181925</v>
      </c>
      <c r="R88" s="337">
        <f t="shared" si="19"/>
        <v>116.29137159515115</v>
      </c>
      <c r="S88" s="337">
        <f t="shared" si="19"/>
        <v>117.10114343125575</v>
      </c>
      <c r="T88" s="337">
        <f t="shared" si="19"/>
        <v>117.91655395247993</v>
      </c>
      <c r="U88" s="337">
        <f t="shared" si="19"/>
        <v>118.73764242268599</v>
      </c>
      <c r="V88" s="337">
        <f t="shared" si="19"/>
        <v>119.56444837914235</v>
      </c>
      <c r="W88" s="94"/>
      <c r="X88" s="94"/>
      <c r="Y88" s="94"/>
      <c r="Z88" s="94"/>
      <c r="AA88" s="94"/>
    </row>
    <row r="89" spans="1:27" x14ac:dyDescent="0.2">
      <c r="A89" s="1554"/>
      <c r="B89" s="52">
        <v>74</v>
      </c>
      <c r="C89" s="64" t="s">
        <v>161</v>
      </c>
      <c r="D89" s="73" t="s">
        <v>292</v>
      </c>
      <c r="E89" s="64" t="s">
        <v>348</v>
      </c>
      <c r="F89" s="202">
        <v>51</v>
      </c>
      <c r="G89" s="337">
        <f t="shared" si="18"/>
        <v>51.355128356255939</v>
      </c>
      <c r="H89" s="337">
        <f t="shared" si="19"/>
        <v>51.712729578186725</v>
      </c>
      <c r="I89" s="337">
        <f t="shared" si="19"/>
        <v>52.072820885100633</v>
      </c>
      <c r="J89" s="337">
        <f t="shared" si="19"/>
        <v>52.435419616209181</v>
      </c>
      <c r="K89" s="337">
        <f t="shared" si="19"/>
        <v>52.800543231462022</v>
      </c>
      <c r="L89" s="337">
        <f t="shared" si="19"/>
        <v>53.168209312387702</v>
      </c>
      <c r="M89" s="337">
        <f t="shared" si="19"/>
        <v>53.538435562940251</v>
      </c>
      <c r="N89" s="337">
        <f t="shared" si="19"/>
        <v>53.911239810351653</v>
      </c>
      <c r="O89" s="337">
        <f t="shared" si="19"/>
        <v>54.286640005990279</v>
      </c>
      <c r="P89" s="337">
        <f t="shared" si="19"/>
        <v>54.664654226225288</v>
      </c>
      <c r="Q89" s="337">
        <f t="shared" si="19"/>
        <v>55.045300673297028</v>
      </c>
      <c r="R89" s="337">
        <f t="shared" si="19"/>
        <v>55.42859767619354</v>
      </c>
      <c r="S89" s="337">
        <f t="shared" si="19"/>
        <v>55.814563691533117</v>
      </c>
      <c r="T89" s="337">
        <f t="shared" si="19"/>
        <v>56.203217304453048</v>
      </c>
      <c r="U89" s="337">
        <f t="shared" si="19"/>
        <v>56.594577229504537</v>
      </c>
      <c r="V89" s="337">
        <f t="shared" si="19"/>
        <v>56.988662311553824</v>
      </c>
      <c r="W89" s="94"/>
      <c r="X89" s="94"/>
      <c r="Y89" s="94"/>
      <c r="Z89" s="94"/>
      <c r="AA89" s="94"/>
    </row>
    <row r="90" spans="1:27" x14ac:dyDescent="0.2">
      <c r="A90" s="1554"/>
      <c r="B90" s="52">
        <v>75</v>
      </c>
      <c r="C90" s="64" t="s">
        <v>161</v>
      </c>
      <c r="D90" s="73" t="s">
        <v>292</v>
      </c>
      <c r="E90" s="64" t="s">
        <v>349</v>
      </c>
      <c r="F90" s="202">
        <v>119</v>
      </c>
      <c r="G90" s="337">
        <f t="shared" si="18"/>
        <v>119.82863283126386</v>
      </c>
      <c r="H90" s="337">
        <f t="shared" si="19"/>
        <v>120.66303568243569</v>
      </c>
      <c r="I90" s="337">
        <f t="shared" si="19"/>
        <v>121.50324873190148</v>
      </c>
      <c r="J90" s="337">
        <f t="shared" si="19"/>
        <v>122.34931243782141</v>
      </c>
      <c r="K90" s="337">
        <f t="shared" si="19"/>
        <v>123.20126754007804</v>
      </c>
      <c r="L90" s="337">
        <f t="shared" si="19"/>
        <v>124.05915506223796</v>
      </c>
      <c r="M90" s="337">
        <f t="shared" si="19"/>
        <v>124.92301631352724</v>
      </c>
      <c r="N90" s="337">
        <f t="shared" si="19"/>
        <v>125.79289289082051</v>
      </c>
      <c r="O90" s="337">
        <f t="shared" si="19"/>
        <v>126.66882668064397</v>
      </c>
      <c r="P90" s="337">
        <f t="shared" si="19"/>
        <v>127.55085986119232</v>
      </c>
      <c r="Q90" s="337">
        <f t="shared" si="19"/>
        <v>128.43903490435972</v>
      </c>
      <c r="R90" s="337">
        <f t="shared" si="19"/>
        <v>129.3333945777849</v>
      </c>
      <c r="S90" s="337">
        <f t="shared" si="19"/>
        <v>130.23398194691057</v>
      </c>
      <c r="T90" s="337">
        <f t="shared" si="19"/>
        <v>131.14084037705709</v>
      </c>
      <c r="U90" s="337">
        <f t="shared" si="19"/>
        <v>132.05401353551056</v>
      </c>
      <c r="V90" s="337">
        <f t="shared" si="19"/>
        <v>132.97354539362559</v>
      </c>
      <c r="W90" s="94"/>
      <c r="X90" s="94"/>
      <c r="Y90" s="94"/>
      <c r="Z90" s="94"/>
      <c r="AA90" s="94"/>
    </row>
    <row r="91" spans="1:27" x14ac:dyDescent="0.2">
      <c r="A91" s="1549">
        <v>8</v>
      </c>
      <c r="B91" s="214">
        <v>76</v>
      </c>
      <c r="C91" s="75" t="s">
        <v>161</v>
      </c>
      <c r="D91" s="74" t="s">
        <v>296</v>
      </c>
      <c r="E91" s="75" t="s">
        <v>352</v>
      </c>
      <c r="F91" s="202">
        <v>60</v>
      </c>
      <c r="G91" s="337">
        <f t="shared" si="18"/>
        <v>60.417798066183458</v>
      </c>
      <c r="H91" s="337">
        <f t="shared" ref="H91:V94" si="20">+G91*(1+$H$8)</f>
        <v>60.838505386102028</v>
      </c>
      <c r="I91" s="337">
        <f t="shared" si="20"/>
        <v>61.262142217765451</v>
      </c>
      <c r="J91" s="337">
        <f t="shared" si="20"/>
        <v>61.688728960246088</v>
      </c>
      <c r="K91" s="337">
        <f t="shared" si="20"/>
        <v>62.118286154661192</v>
      </c>
      <c r="L91" s="337">
        <f t="shared" si="20"/>
        <v>62.550834485161992</v>
      </c>
      <c r="M91" s="337">
        <f t="shared" si="20"/>
        <v>62.986394779929697</v>
      </c>
      <c r="N91" s="337">
        <f t="shared" si="20"/>
        <v>63.424988012178403</v>
      </c>
      <c r="O91" s="337">
        <f t="shared" si="20"/>
        <v>63.866635301165026</v>
      </c>
      <c r="P91" s="337">
        <f t="shared" si="20"/>
        <v>64.311357913206209</v>
      </c>
      <c r="Q91" s="337">
        <f t="shared" si="20"/>
        <v>64.759177262702366</v>
      </c>
      <c r="R91" s="337">
        <f t="shared" si="20"/>
        <v>65.210114913168852</v>
      </c>
      <c r="S91" s="337">
        <f t="shared" si="20"/>
        <v>65.664192578274239</v>
      </c>
      <c r="T91" s="337">
        <f t="shared" si="20"/>
        <v>66.121432122885921</v>
      </c>
      <c r="U91" s="337">
        <f t="shared" si="20"/>
        <v>66.581855564122961</v>
      </c>
      <c r="V91" s="337">
        <f t="shared" si="20"/>
        <v>67.045485072416241</v>
      </c>
      <c r="W91" s="94"/>
      <c r="X91" s="94"/>
      <c r="Y91" s="94"/>
      <c r="Z91" s="94"/>
      <c r="AA91" s="94"/>
    </row>
    <row r="92" spans="1:27" x14ac:dyDescent="0.2">
      <c r="A92" s="1549"/>
      <c r="B92" s="52">
        <v>77</v>
      </c>
      <c r="C92" s="64" t="s">
        <v>161</v>
      </c>
      <c r="D92" s="73" t="s">
        <v>296</v>
      </c>
      <c r="E92" s="64" t="s">
        <v>301</v>
      </c>
      <c r="F92" s="202">
        <v>243</v>
      </c>
      <c r="G92" s="337">
        <f t="shared" si="18"/>
        <v>244.69208216804302</v>
      </c>
      <c r="H92" s="337">
        <f t="shared" si="20"/>
        <v>246.39594681371321</v>
      </c>
      <c r="I92" s="337">
        <f t="shared" si="20"/>
        <v>248.11167598195007</v>
      </c>
      <c r="J92" s="337">
        <f t="shared" si="20"/>
        <v>249.83935228899668</v>
      </c>
      <c r="K92" s="337">
        <f t="shared" si="20"/>
        <v>251.57905892637785</v>
      </c>
      <c r="L92" s="337">
        <f t="shared" si="20"/>
        <v>253.33087966490612</v>
      </c>
      <c r="M92" s="337">
        <f t="shared" si="20"/>
        <v>255.09489885871534</v>
      </c>
      <c r="N92" s="337">
        <f t="shared" si="20"/>
        <v>256.8712014493226</v>
      </c>
      <c r="O92" s="337">
        <f t="shared" si="20"/>
        <v>258.65987296971844</v>
      </c>
      <c r="P92" s="337">
        <f t="shared" si="20"/>
        <v>260.46099954848523</v>
      </c>
      <c r="Q92" s="337">
        <f t="shared" si="20"/>
        <v>262.27466791394471</v>
      </c>
      <c r="R92" s="337">
        <f t="shared" si="20"/>
        <v>264.10096539833398</v>
      </c>
      <c r="S92" s="337">
        <f t="shared" si="20"/>
        <v>265.93997994201078</v>
      </c>
      <c r="T92" s="337">
        <f t="shared" si="20"/>
        <v>267.79180009768811</v>
      </c>
      <c r="U92" s="337">
        <f t="shared" si="20"/>
        <v>269.65651503469815</v>
      </c>
      <c r="V92" s="337">
        <f t="shared" si="20"/>
        <v>271.53421454328594</v>
      </c>
      <c r="W92" s="94"/>
      <c r="X92" s="94"/>
      <c r="Y92" s="94"/>
      <c r="Z92" s="94"/>
      <c r="AA92" s="94"/>
    </row>
    <row r="93" spans="1:27" x14ac:dyDescent="0.2">
      <c r="A93" s="1549"/>
      <c r="B93" s="52">
        <v>78</v>
      </c>
      <c r="C93" s="64" t="s">
        <v>161</v>
      </c>
      <c r="D93" s="73" t="s">
        <v>296</v>
      </c>
      <c r="E93" s="64" t="s">
        <v>298</v>
      </c>
      <c r="F93" s="202">
        <v>161</v>
      </c>
      <c r="G93" s="337">
        <f t="shared" si="18"/>
        <v>162.12109147759227</v>
      </c>
      <c r="H93" s="337">
        <f t="shared" si="20"/>
        <v>163.2499894527071</v>
      </c>
      <c r="I93" s="337">
        <f t="shared" si="20"/>
        <v>164.38674828433727</v>
      </c>
      <c r="J93" s="337">
        <f t="shared" si="20"/>
        <v>165.53142270999365</v>
      </c>
      <c r="K93" s="337">
        <f t="shared" si="20"/>
        <v>166.68406784834085</v>
      </c>
      <c r="L93" s="337">
        <f t="shared" si="20"/>
        <v>167.84473920185133</v>
      </c>
      <c r="M93" s="337">
        <f t="shared" si="20"/>
        <v>169.013492659478</v>
      </c>
      <c r="N93" s="337">
        <f t="shared" si="20"/>
        <v>170.19038449934538</v>
      </c>
      <c r="O93" s="337">
        <f t="shared" si="20"/>
        <v>171.37547139145948</v>
      </c>
      <c r="P93" s="337">
        <f t="shared" si="20"/>
        <v>172.56881040043666</v>
      </c>
      <c r="Q93" s="337">
        <f t="shared" si="20"/>
        <v>173.77045898825136</v>
      </c>
      <c r="R93" s="337">
        <f t="shared" si="20"/>
        <v>174.9804750170031</v>
      </c>
      <c r="S93" s="337">
        <f t="shared" si="20"/>
        <v>176.19891675170254</v>
      </c>
      <c r="T93" s="337">
        <f t="shared" si="20"/>
        <v>177.42584286307724</v>
      </c>
      <c r="U93" s="337">
        <f t="shared" si="20"/>
        <v>178.66131243039663</v>
      </c>
      <c r="V93" s="337">
        <f t="shared" si="20"/>
        <v>179.90538494431695</v>
      </c>
      <c r="W93" s="94"/>
      <c r="X93" s="94"/>
      <c r="Y93" s="94"/>
      <c r="Z93" s="94"/>
      <c r="AA93" s="94"/>
    </row>
    <row r="94" spans="1:27" x14ac:dyDescent="0.2">
      <c r="A94" s="1549"/>
      <c r="B94" s="52">
        <v>79</v>
      </c>
      <c r="C94" s="64" t="s">
        <v>161</v>
      </c>
      <c r="D94" s="73" t="s">
        <v>296</v>
      </c>
      <c r="E94" s="64" t="s">
        <v>299</v>
      </c>
      <c r="F94" s="202">
        <v>174</v>
      </c>
      <c r="G94" s="337">
        <f t="shared" ref="G94" si="21">+F94*(1+$H$8)</f>
        <v>175.21161439193205</v>
      </c>
      <c r="H94" s="337">
        <f t="shared" si="20"/>
        <v>176.43166561969591</v>
      </c>
      <c r="I94" s="337">
        <f t="shared" si="20"/>
        <v>177.66021243151982</v>
      </c>
      <c r="J94" s="337">
        <f t="shared" si="20"/>
        <v>178.89731398471369</v>
      </c>
      <c r="K94" s="337">
        <f t="shared" si="20"/>
        <v>180.1430298485175</v>
      </c>
      <c r="L94" s="337">
        <f t="shared" si="20"/>
        <v>181.39742000696984</v>
      </c>
      <c r="M94" s="337">
        <f t="shared" si="20"/>
        <v>182.66054486179618</v>
      </c>
      <c r="N94" s="337">
        <f t="shared" si="20"/>
        <v>183.93246523531744</v>
      </c>
      <c r="O94" s="337">
        <f t="shared" si="20"/>
        <v>185.21324237337865</v>
      </c>
      <c r="P94" s="337">
        <f t="shared" si="20"/>
        <v>186.50293794829807</v>
      </c>
      <c r="Q94" s="337">
        <f t="shared" si="20"/>
        <v>187.80161406183694</v>
      </c>
      <c r="R94" s="337">
        <f t="shared" si="20"/>
        <v>189.10933324818973</v>
      </c>
      <c r="S94" s="337">
        <f t="shared" si="20"/>
        <v>190.42615847699534</v>
      </c>
      <c r="T94" s="337">
        <f t="shared" si="20"/>
        <v>191.75215315636925</v>
      </c>
      <c r="U94" s="337">
        <f t="shared" si="20"/>
        <v>193.08738113595666</v>
      </c>
      <c r="V94" s="337">
        <f t="shared" si="20"/>
        <v>194.43190671000718</v>
      </c>
      <c r="W94" s="94"/>
      <c r="X94" s="94"/>
      <c r="Y94" s="94"/>
      <c r="Z94" s="94"/>
      <c r="AA94" s="94"/>
    </row>
    <row r="95" spans="1:27" x14ac:dyDescent="0.2">
      <c r="A95" s="1549"/>
      <c r="B95" s="52">
        <f>SUM(F91:F98)</f>
        <v>1000</v>
      </c>
      <c r="C95" s="64" t="s">
        <v>161</v>
      </c>
      <c r="D95" s="73" t="s">
        <v>296</v>
      </c>
      <c r="E95" s="64" t="s">
        <v>353</v>
      </c>
      <c r="F95" s="202">
        <v>165</v>
      </c>
      <c r="G95" s="337">
        <f t="shared" ref="G95:V102" si="22">+F95*(1+$H$8)</f>
        <v>166.14894468200453</v>
      </c>
      <c r="H95" s="337">
        <f t="shared" si="22"/>
        <v>167.30588981178059</v>
      </c>
      <c r="I95" s="337">
        <f t="shared" si="22"/>
        <v>168.47089109885499</v>
      </c>
      <c r="J95" s="337">
        <f t="shared" si="22"/>
        <v>169.64400464067674</v>
      </c>
      <c r="K95" s="337">
        <f t="shared" si="22"/>
        <v>170.8252869253183</v>
      </c>
      <c r="L95" s="337">
        <f t="shared" si="22"/>
        <v>172.0147948341955</v>
      </c>
      <c r="M95" s="337">
        <f t="shared" si="22"/>
        <v>173.21258564480669</v>
      </c>
      <c r="N95" s="337">
        <f t="shared" si="22"/>
        <v>174.41871703349065</v>
      </c>
      <c r="O95" s="337">
        <f t="shared" si="22"/>
        <v>175.63324707820385</v>
      </c>
      <c r="P95" s="337">
        <f t="shared" si="22"/>
        <v>176.8562342613171</v>
      </c>
      <c r="Q95" s="337">
        <f t="shared" si="22"/>
        <v>178.08773747243154</v>
      </c>
      <c r="R95" s="337">
        <f t="shared" si="22"/>
        <v>179.32781601121437</v>
      </c>
      <c r="S95" s="337">
        <f t="shared" si="22"/>
        <v>180.57652959025418</v>
      </c>
      <c r="T95" s="337">
        <f t="shared" si="22"/>
        <v>181.83393833793633</v>
      </c>
      <c r="U95" s="337">
        <f t="shared" si="22"/>
        <v>183.10010280133821</v>
      </c>
      <c r="V95" s="337">
        <f t="shared" si="22"/>
        <v>184.37508394914474</v>
      </c>
      <c r="W95" s="94"/>
      <c r="X95" s="94"/>
      <c r="Y95" s="94"/>
      <c r="Z95" s="94"/>
      <c r="AA95" s="94"/>
    </row>
    <row r="96" spans="1:27" x14ac:dyDescent="0.2">
      <c r="A96" s="1549"/>
      <c r="B96" s="52">
        <v>81</v>
      </c>
      <c r="C96" s="64" t="s">
        <v>161</v>
      </c>
      <c r="D96" s="73" t="s">
        <v>296</v>
      </c>
      <c r="E96" s="64" t="s">
        <v>300</v>
      </c>
      <c r="F96" s="202">
        <v>61</v>
      </c>
      <c r="G96" s="337">
        <f t="shared" si="22"/>
        <v>61.424761367286514</v>
      </c>
      <c r="H96" s="337">
        <f t="shared" si="22"/>
        <v>61.852480475870394</v>
      </c>
      <c r="I96" s="337">
        <f t="shared" si="22"/>
        <v>62.283177921394874</v>
      </c>
      <c r="J96" s="337">
        <f t="shared" si="22"/>
        <v>62.716874442916861</v>
      </c>
      <c r="K96" s="337">
        <f t="shared" si="22"/>
        <v>63.153590923905554</v>
      </c>
      <c r="L96" s="337">
        <f t="shared" si="22"/>
        <v>63.593348393248036</v>
      </c>
      <c r="M96" s="337">
        <f t="shared" si="22"/>
        <v>64.036168026261876</v>
      </c>
      <c r="N96" s="337">
        <f t="shared" si="22"/>
        <v>64.482071145714727</v>
      </c>
      <c r="O96" s="337">
        <f t="shared" si="22"/>
        <v>64.931079222851125</v>
      </c>
      <c r="P96" s="337">
        <f t="shared" si="22"/>
        <v>65.383213878426332</v>
      </c>
      <c r="Q96" s="337">
        <f t="shared" si="22"/>
        <v>65.838496883747439</v>
      </c>
      <c r="R96" s="337">
        <f t="shared" si="22"/>
        <v>66.296950161721696</v>
      </c>
      <c r="S96" s="337">
        <f t="shared" si="22"/>
        <v>66.758595787912171</v>
      </c>
      <c r="T96" s="337">
        <f t="shared" si="22"/>
        <v>67.223455991600716</v>
      </c>
      <c r="U96" s="337">
        <f t="shared" si="22"/>
        <v>67.691553156858376</v>
      </c>
      <c r="V96" s="337">
        <f t="shared" si="22"/>
        <v>68.16290982362321</v>
      </c>
      <c r="W96" s="94"/>
      <c r="X96" s="94"/>
      <c r="Y96" s="94"/>
      <c r="Z96" s="94"/>
      <c r="AA96" s="94"/>
    </row>
    <row r="97" spans="1:27" x14ac:dyDescent="0.2">
      <c r="A97" s="1549"/>
      <c r="B97" s="52">
        <v>82</v>
      </c>
      <c r="C97" s="64" t="s">
        <v>161</v>
      </c>
      <c r="D97" s="73" t="s">
        <v>296</v>
      </c>
      <c r="E97" s="64" t="s">
        <v>302</v>
      </c>
      <c r="F97" s="202">
        <v>50</v>
      </c>
      <c r="G97" s="337">
        <f t="shared" si="22"/>
        <v>50.348165055152883</v>
      </c>
      <c r="H97" s="337">
        <f t="shared" si="22"/>
        <v>50.698754488418359</v>
      </c>
      <c r="I97" s="337">
        <f t="shared" si="22"/>
        <v>51.05178518147121</v>
      </c>
      <c r="J97" s="337">
        <f t="shared" si="22"/>
        <v>51.407274133538408</v>
      </c>
      <c r="K97" s="337">
        <f t="shared" si="22"/>
        <v>51.76523846221766</v>
      </c>
      <c r="L97" s="337">
        <f t="shared" si="22"/>
        <v>52.125695404301659</v>
      </c>
      <c r="M97" s="337">
        <f t="shared" si="22"/>
        <v>52.488662316608078</v>
      </c>
      <c r="N97" s="337">
        <f t="shared" si="22"/>
        <v>52.854156676815336</v>
      </c>
      <c r="O97" s="337">
        <f t="shared" si="22"/>
        <v>53.222196084304187</v>
      </c>
      <c r="P97" s="337">
        <f t="shared" si="22"/>
        <v>53.592798261005171</v>
      </c>
      <c r="Q97" s="337">
        <f t="shared" si="22"/>
        <v>53.965981052251976</v>
      </c>
      <c r="R97" s="337">
        <f t="shared" si="22"/>
        <v>54.34176242764071</v>
      </c>
      <c r="S97" s="337">
        <f t="shared" si="22"/>
        <v>54.720160481895199</v>
      </c>
      <c r="T97" s="337">
        <f t="shared" si="22"/>
        <v>55.101193435738274</v>
      </c>
      <c r="U97" s="337">
        <f t="shared" si="22"/>
        <v>55.484879636769143</v>
      </c>
      <c r="V97" s="337">
        <f t="shared" si="22"/>
        <v>55.871237560346877</v>
      </c>
      <c r="W97" s="94"/>
      <c r="X97" s="94"/>
      <c r="Y97" s="94"/>
      <c r="Z97" s="94"/>
      <c r="AA97" s="94"/>
    </row>
    <row r="98" spans="1:27" x14ac:dyDescent="0.2">
      <c r="A98" s="1549"/>
      <c r="B98" s="52">
        <v>83</v>
      </c>
      <c r="C98" s="64" t="s">
        <v>161</v>
      </c>
      <c r="D98" s="73" t="s">
        <v>296</v>
      </c>
      <c r="E98" s="64" t="s">
        <v>297</v>
      </c>
      <c r="F98" s="202">
        <v>86</v>
      </c>
      <c r="G98" s="337">
        <f t="shared" si="22"/>
        <v>86.598843894862952</v>
      </c>
      <c r="H98" s="337">
        <f t="shared" si="22"/>
        <v>87.201857720079573</v>
      </c>
      <c r="I98" s="337">
        <f t="shared" si="22"/>
        <v>87.809070512130475</v>
      </c>
      <c r="J98" s="337">
        <f t="shared" si="22"/>
        <v>88.420511509686065</v>
      </c>
      <c r="K98" s="337">
        <f t="shared" si="22"/>
        <v>89.036210155014388</v>
      </c>
      <c r="L98" s="337">
        <f t="shared" si="22"/>
        <v>89.656196095398869</v>
      </c>
      <c r="M98" s="337">
        <f t="shared" si="22"/>
        <v>90.280499184565912</v>
      </c>
      <c r="N98" s="337">
        <f t="shared" si="22"/>
        <v>90.909149484122395</v>
      </c>
      <c r="O98" s="337">
        <f t="shared" si="22"/>
        <v>91.542177265003218</v>
      </c>
      <c r="P98" s="337">
        <f t="shared" si="22"/>
        <v>92.179613008928911</v>
      </c>
      <c r="Q98" s="337">
        <f t="shared" si="22"/>
        <v>92.821487409873413</v>
      </c>
      <c r="R98" s="337">
        <f t="shared" si="22"/>
        <v>93.467831375542033</v>
      </c>
      <c r="S98" s="337">
        <f t="shared" si="22"/>
        <v>94.118676028859753</v>
      </c>
      <c r="T98" s="337">
        <f t="shared" si="22"/>
        <v>94.774052709469842</v>
      </c>
      <c r="U98" s="337">
        <f t="shared" si="22"/>
        <v>95.433992975242944</v>
      </c>
      <c r="V98" s="337">
        <f t="shared" si="22"/>
        <v>96.098528603796652</v>
      </c>
      <c r="W98" s="94"/>
      <c r="X98" s="94"/>
      <c r="Y98" s="94"/>
      <c r="Z98" s="94"/>
      <c r="AA98" s="94"/>
    </row>
    <row r="99" spans="1:27" x14ac:dyDescent="0.2">
      <c r="A99" s="1550">
        <v>9</v>
      </c>
      <c r="B99" s="214">
        <v>85</v>
      </c>
      <c r="C99" s="75" t="s">
        <v>161</v>
      </c>
      <c r="D99" s="74" t="s">
        <v>303</v>
      </c>
      <c r="E99" s="75" t="s">
        <v>305</v>
      </c>
      <c r="F99" s="202">
        <v>88</v>
      </c>
      <c r="G99" s="337">
        <f t="shared" si="22"/>
        <v>88.612770497069079</v>
      </c>
      <c r="H99" s="337">
        <f t="shared" si="22"/>
        <v>89.229807899616318</v>
      </c>
      <c r="I99" s="337">
        <f t="shared" si="22"/>
        <v>89.851141919389335</v>
      </c>
      <c r="J99" s="337">
        <f t="shared" si="22"/>
        <v>90.476802475027611</v>
      </c>
      <c r="K99" s="337">
        <f t="shared" si="22"/>
        <v>91.106819693503098</v>
      </c>
      <c r="L99" s="337">
        <f t="shared" si="22"/>
        <v>91.741223911570941</v>
      </c>
      <c r="M99" s="337">
        <f t="shared" si="22"/>
        <v>92.380045677230243</v>
      </c>
      <c r="N99" s="337">
        <f t="shared" si="22"/>
        <v>93.023315751195014</v>
      </c>
      <c r="O99" s="337">
        <f t="shared" si="22"/>
        <v>93.671065108375387</v>
      </c>
      <c r="P99" s="337">
        <f t="shared" si="22"/>
        <v>94.32332493936913</v>
      </c>
      <c r="Q99" s="337">
        <f t="shared" si="22"/>
        <v>94.980126651963502</v>
      </c>
      <c r="R99" s="337">
        <f t="shared" si="22"/>
        <v>95.64150187264768</v>
      </c>
      <c r="S99" s="337">
        <f t="shared" si="22"/>
        <v>96.307482448135573</v>
      </c>
      <c r="T99" s="337">
        <f t="shared" si="22"/>
        <v>96.978100446899376</v>
      </c>
      <c r="U99" s="337">
        <f t="shared" si="22"/>
        <v>97.653388160713703</v>
      </c>
      <c r="V99" s="337">
        <f t="shared" si="22"/>
        <v>98.333378106210517</v>
      </c>
      <c r="W99" s="94"/>
      <c r="X99" s="94"/>
      <c r="Y99" s="94"/>
      <c r="Z99" s="94"/>
      <c r="AA99" s="94"/>
    </row>
    <row r="100" spans="1:27" x14ac:dyDescent="0.2">
      <c r="A100" s="1550"/>
      <c r="B100" s="52">
        <v>86</v>
      </c>
      <c r="C100" s="64" t="s">
        <v>161</v>
      </c>
      <c r="D100" s="76" t="s">
        <v>303</v>
      </c>
      <c r="E100" s="64" t="s">
        <v>307</v>
      </c>
      <c r="F100" s="202">
        <v>50</v>
      </c>
      <c r="G100" s="337">
        <f t="shared" si="22"/>
        <v>50.348165055152883</v>
      </c>
      <c r="H100" s="337">
        <f t="shared" si="22"/>
        <v>50.698754488418359</v>
      </c>
      <c r="I100" s="337">
        <f t="shared" si="22"/>
        <v>51.05178518147121</v>
      </c>
      <c r="J100" s="337">
        <f t="shared" si="22"/>
        <v>51.407274133538408</v>
      </c>
      <c r="K100" s="337">
        <f t="shared" si="22"/>
        <v>51.76523846221766</v>
      </c>
      <c r="L100" s="337">
        <f t="shared" si="22"/>
        <v>52.125695404301659</v>
      </c>
      <c r="M100" s="337">
        <f t="shared" si="22"/>
        <v>52.488662316608078</v>
      </c>
      <c r="N100" s="337">
        <f t="shared" si="22"/>
        <v>52.854156676815336</v>
      </c>
      <c r="O100" s="337">
        <f t="shared" si="22"/>
        <v>53.222196084304187</v>
      </c>
      <c r="P100" s="337">
        <f t="shared" si="22"/>
        <v>53.592798261005171</v>
      </c>
      <c r="Q100" s="337">
        <f t="shared" si="22"/>
        <v>53.965981052251976</v>
      </c>
      <c r="R100" s="337">
        <f t="shared" si="22"/>
        <v>54.34176242764071</v>
      </c>
      <c r="S100" s="337">
        <f t="shared" si="22"/>
        <v>54.720160481895199</v>
      </c>
      <c r="T100" s="337">
        <f t="shared" si="22"/>
        <v>55.101193435738274</v>
      </c>
      <c r="U100" s="337">
        <f t="shared" si="22"/>
        <v>55.484879636769143</v>
      </c>
      <c r="V100" s="337">
        <f t="shared" si="22"/>
        <v>55.871237560346877</v>
      </c>
      <c r="W100" s="94"/>
      <c r="X100" s="94"/>
      <c r="Y100" s="94"/>
      <c r="Z100" s="94"/>
      <c r="AA100" s="94"/>
    </row>
    <row r="101" spans="1:27" x14ac:dyDescent="0.2">
      <c r="A101" s="1550"/>
      <c r="B101" s="52">
        <f>SUM(F99:F102)</f>
        <v>250</v>
      </c>
      <c r="C101" s="64" t="s">
        <v>161</v>
      </c>
      <c r="D101" s="76" t="s">
        <v>303</v>
      </c>
      <c r="E101" s="64" t="s">
        <v>304</v>
      </c>
      <c r="F101" s="202">
        <v>59</v>
      </c>
      <c r="G101" s="337">
        <f t="shared" si="22"/>
        <v>59.410834765080402</v>
      </c>
      <c r="H101" s="337">
        <f t="shared" si="22"/>
        <v>59.824530296333663</v>
      </c>
      <c r="I101" s="337">
        <f t="shared" si="22"/>
        <v>60.241106514136028</v>
      </c>
      <c r="J101" s="337">
        <f t="shared" si="22"/>
        <v>60.660583477575322</v>
      </c>
      <c r="K101" s="337">
        <f t="shared" si="22"/>
        <v>61.082981385416844</v>
      </c>
      <c r="L101" s="337">
        <f t="shared" si="22"/>
        <v>61.508320577075963</v>
      </c>
      <c r="M101" s="337">
        <f t="shared" si="22"/>
        <v>61.936621533597538</v>
      </c>
      <c r="N101" s="337">
        <f t="shared" si="22"/>
        <v>62.367904878642101</v>
      </c>
      <c r="O101" s="337">
        <f t="shared" si="22"/>
        <v>62.802191379478941</v>
      </c>
      <c r="P101" s="337">
        <f t="shared" si="22"/>
        <v>63.239501947986106</v>
      </c>
      <c r="Q101" s="337">
        <f t="shared" si="22"/>
        <v>63.679857641657335</v>
      </c>
      <c r="R101" s="337">
        <f t="shared" si="22"/>
        <v>64.123279664616035</v>
      </c>
      <c r="S101" s="337">
        <f t="shared" si="22"/>
        <v>64.569789368636336</v>
      </c>
      <c r="T101" s="337">
        <f t="shared" si="22"/>
        <v>65.019408254171168</v>
      </c>
      <c r="U101" s="337">
        <f t="shared" si="22"/>
        <v>65.472157971387588</v>
      </c>
      <c r="V101" s="337">
        <f t="shared" si="22"/>
        <v>65.928060321209315</v>
      </c>
      <c r="W101" s="94"/>
      <c r="X101" s="94"/>
      <c r="Y101" s="94"/>
      <c r="Z101" s="94"/>
      <c r="AA101" s="94"/>
    </row>
    <row r="102" spans="1:27" x14ac:dyDescent="0.2">
      <c r="A102" s="1550"/>
      <c r="B102" s="52">
        <v>88</v>
      </c>
      <c r="C102" s="64" t="s">
        <v>161</v>
      </c>
      <c r="D102" s="76" t="s">
        <v>303</v>
      </c>
      <c r="E102" s="64" t="s">
        <v>306</v>
      </c>
      <c r="F102" s="202">
        <v>53</v>
      </c>
      <c r="G102" s="337">
        <f t="shared" si="22"/>
        <v>53.369054958462058</v>
      </c>
      <c r="H102" s="337">
        <f t="shared" si="22"/>
        <v>53.740679757723463</v>
      </c>
      <c r="I102" s="337">
        <f t="shared" si="22"/>
        <v>54.114892292359485</v>
      </c>
      <c r="J102" s="337">
        <f t="shared" si="22"/>
        <v>54.49171058155072</v>
      </c>
      <c r="K102" s="337">
        <f t="shared" si="22"/>
        <v>54.871152769950733</v>
      </c>
      <c r="L102" s="337">
        <f t="shared" si="22"/>
        <v>55.253237128559775</v>
      </c>
      <c r="M102" s="337">
        <f t="shared" si="22"/>
        <v>55.637982055604581</v>
      </c>
      <c r="N102" s="337">
        <f t="shared" si="22"/>
        <v>56.025406077424272</v>
      </c>
      <c r="O102" s="337">
        <f t="shared" si="22"/>
        <v>56.415527849362455</v>
      </c>
      <c r="P102" s="337">
        <f t="shared" si="22"/>
        <v>56.8083661566655</v>
      </c>
      <c r="Q102" s="337">
        <f t="shared" si="22"/>
        <v>57.20393991538711</v>
      </c>
      <c r="R102" s="337">
        <f t="shared" si="22"/>
        <v>57.602268173299166</v>
      </c>
      <c r="S102" s="337">
        <f t="shared" si="22"/>
        <v>58.003370110808923</v>
      </c>
      <c r="T102" s="337">
        <f t="shared" si="22"/>
        <v>58.407265041882582</v>
      </c>
      <c r="U102" s="337">
        <f t="shared" si="22"/>
        <v>58.813972414975304</v>
      </c>
      <c r="V102" s="337">
        <f t="shared" si="22"/>
        <v>59.223511813967704</v>
      </c>
      <c r="W102" s="94"/>
      <c r="X102" s="94"/>
      <c r="Y102" s="94"/>
      <c r="Z102" s="94"/>
      <c r="AA102" s="94"/>
    </row>
    <row r="103" spans="1:27" x14ac:dyDescent="0.2">
      <c r="C103" s="1560" t="s">
        <v>258</v>
      </c>
      <c r="D103" s="1561"/>
      <c r="E103" s="1562"/>
      <c r="F103" s="77">
        <f>SUM(F30:F102)</f>
        <v>11161</v>
      </c>
      <c r="G103" s="77">
        <f t="shared" ref="G103:V103" si="23">SUM(G30:G102)</f>
        <v>11238.717403611236</v>
      </c>
      <c r="H103" s="77">
        <f t="shared" si="23"/>
        <v>11316.975976904743</v>
      </c>
      <c r="I103" s="77">
        <f t="shared" si="23"/>
        <v>11395.779488208007</v>
      </c>
      <c r="J103" s="77">
        <f t="shared" si="23"/>
        <v>11475.131732088443</v>
      </c>
      <c r="K103" s="77">
        <f t="shared" si="23"/>
        <v>11555.036529536228</v>
      </c>
      <c r="L103" s="77">
        <f t="shared" si="23"/>
        <v>11635.497728148219</v>
      </c>
      <c r="M103" s="77">
        <f t="shared" si="23"/>
        <v>11716.519202313257</v>
      </c>
      <c r="N103" s="77">
        <f t="shared" si="23"/>
        <v>11798.10485339872</v>
      </c>
      <c r="O103" s="77">
        <f t="shared" si="23"/>
        <v>11880.258609938377</v>
      </c>
      <c r="P103" s="77">
        <f t="shared" si="23"/>
        <v>11962.984427821575</v>
      </c>
      <c r="Q103" s="77">
        <f t="shared" si="23"/>
        <v>12046.286290483691</v>
      </c>
      <c r="R103" s="77">
        <f t="shared" si="23"/>
        <v>12130.168209097961</v>
      </c>
      <c r="S103" s="77">
        <f t="shared" si="23"/>
        <v>12214.634222768649</v>
      </c>
      <c r="T103" s="77">
        <f t="shared" si="23"/>
        <v>12299.688398725497</v>
      </c>
      <c r="U103" s="77">
        <f t="shared" si="23"/>
        <v>12385.334832519608</v>
      </c>
      <c r="V103" s="77">
        <f t="shared" si="23"/>
        <v>12471.577648220631</v>
      </c>
      <c r="W103" s="72"/>
      <c r="X103" s="94"/>
      <c r="Y103" s="94"/>
      <c r="Z103" s="94"/>
      <c r="AA103" s="94"/>
    </row>
    <row r="104" spans="1:27" x14ac:dyDescent="0.2">
      <c r="D104" s="52">
        <f>COUNTA(D30:D102)</f>
        <v>73</v>
      </c>
      <c r="W104" s="132">
        <f>V103/5</f>
        <v>2494.3155296441264</v>
      </c>
      <c r="X104" s="133"/>
      <c r="Y104" s="133"/>
    </row>
    <row r="105" spans="1:27" x14ac:dyDescent="0.2">
      <c r="W105" s="132">
        <f>W104/5</f>
        <v>498.86310592882529</v>
      </c>
      <c r="X105" s="133">
        <v>10000</v>
      </c>
      <c r="Y105" s="133">
        <f>W105*X105</f>
        <v>4988631.0592882531</v>
      </c>
    </row>
    <row r="107" spans="1:27" x14ac:dyDescent="0.2">
      <c r="C107" s="134"/>
      <c r="D107" s="134"/>
      <c r="E107" s="134"/>
      <c r="F107" s="134"/>
      <c r="G107" s="134"/>
      <c r="H107" s="134"/>
      <c r="J107" s="1558" t="s">
        <v>173</v>
      </c>
      <c r="K107" s="1558"/>
      <c r="L107" s="1558"/>
      <c r="M107" s="1558"/>
      <c r="N107" s="1558"/>
      <c r="O107" s="1558"/>
      <c r="P107" s="1558"/>
      <c r="Q107" s="1558"/>
      <c r="R107" s="1558"/>
      <c r="S107" s="1558"/>
      <c r="T107" s="1558"/>
      <c r="U107" s="1558"/>
      <c r="V107" s="1558"/>
      <c r="W107" s="125"/>
    </row>
    <row r="108" spans="1:27" x14ac:dyDescent="0.2">
      <c r="C108" s="134"/>
      <c r="D108" s="129"/>
      <c r="E108" s="129"/>
      <c r="F108" s="129"/>
      <c r="G108" s="129"/>
      <c r="H108" s="129"/>
      <c r="J108" s="65">
        <v>2021</v>
      </c>
      <c r="K108" s="65">
        <v>2022</v>
      </c>
      <c r="L108" s="65">
        <v>2023</v>
      </c>
      <c r="M108" s="128">
        <v>2024</v>
      </c>
      <c r="N108" s="65">
        <v>2025</v>
      </c>
      <c r="O108" s="65">
        <v>2026</v>
      </c>
      <c r="P108" s="65">
        <v>2027</v>
      </c>
      <c r="Q108" s="65">
        <v>2028</v>
      </c>
      <c r="R108" s="65">
        <v>2029</v>
      </c>
      <c r="S108" s="65">
        <v>2030</v>
      </c>
      <c r="T108" s="65">
        <v>2031</v>
      </c>
      <c r="U108" s="65">
        <v>2032</v>
      </c>
      <c r="V108" s="65">
        <v>2033</v>
      </c>
      <c r="W108" s="129"/>
    </row>
    <row r="109" spans="1:27" x14ac:dyDescent="0.2">
      <c r="C109" s="65" t="s">
        <v>189</v>
      </c>
      <c r="D109" s="65" t="s">
        <v>188</v>
      </c>
      <c r="E109" s="65" t="s">
        <v>256</v>
      </c>
      <c r="F109" s="65">
        <v>2017</v>
      </c>
      <c r="G109" s="65">
        <v>2018</v>
      </c>
      <c r="H109" s="65">
        <v>2019</v>
      </c>
      <c r="I109" s="130">
        <v>2020</v>
      </c>
      <c r="J109" s="1538" t="s">
        <v>257</v>
      </c>
      <c r="K109" s="1538"/>
      <c r="L109" s="1538"/>
      <c r="M109" s="54" t="s">
        <v>174</v>
      </c>
      <c r="N109" s="54" t="s">
        <v>175</v>
      </c>
      <c r="O109" s="54" t="s">
        <v>176</v>
      </c>
      <c r="P109" s="54" t="s">
        <v>177</v>
      </c>
      <c r="Q109" s="54" t="s">
        <v>178</v>
      </c>
      <c r="R109" s="54" t="s">
        <v>179</v>
      </c>
      <c r="S109" s="54" t="s">
        <v>180</v>
      </c>
      <c r="T109" s="54" t="s">
        <v>181</v>
      </c>
      <c r="U109" s="54" t="s">
        <v>182</v>
      </c>
      <c r="V109" s="54" t="s">
        <v>183</v>
      </c>
      <c r="W109" s="89"/>
    </row>
    <row r="110" spans="1:27" ht="165" customHeight="1" x14ac:dyDescent="0.2">
      <c r="C110" s="135" t="s">
        <v>161</v>
      </c>
      <c r="D110" s="199" t="s">
        <v>317</v>
      </c>
      <c r="E110" s="198" t="s">
        <v>354</v>
      </c>
      <c r="F110" s="136">
        <f t="shared" ref="F110:V110" si="24">+F103</f>
        <v>11161</v>
      </c>
      <c r="G110" s="136">
        <f t="shared" si="24"/>
        <v>11238.717403611236</v>
      </c>
      <c r="H110" s="136">
        <f t="shared" si="24"/>
        <v>11316.975976904743</v>
      </c>
      <c r="I110" s="137">
        <f t="shared" si="24"/>
        <v>11395.779488208007</v>
      </c>
      <c r="J110" s="136">
        <f t="shared" si="24"/>
        <v>11475.131732088443</v>
      </c>
      <c r="K110" s="136">
        <f t="shared" si="24"/>
        <v>11555.036529536228</v>
      </c>
      <c r="L110" s="136">
        <f t="shared" si="24"/>
        <v>11635.497728148219</v>
      </c>
      <c r="M110" s="136">
        <f t="shared" si="24"/>
        <v>11716.519202313257</v>
      </c>
      <c r="N110" s="136">
        <f t="shared" si="24"/>
        <v>11798.10485339872</v>
      </c>
      <c r="O110" s="136">
        <f t="shared" si="24"/>
        <v>11880.258609938377</v>
      </c>
      <c r="P110" s="136">
        <f t="shared" si="24"/>
        <v>11962.984427821575</v>
      </c>
      <c r="Q110" s="136">
        <f t="shared" si="24"/>
        <v>12046.286290483691</v>
      </c>
      <c r="R110" s="136">
        <f t="shared" si="24"/>
        <v>12130.168209097961</v>
      </c>
      <c r="S110" s="136">
        <f t="shared" si="24"/>
        <v>12214.634222768649</v>
      </c>
      <c r="T110" s="136">
        <f t="shared" si="24"/>
        <v>12299.688398725497</v>
      </c>
      <c r="U110" s="136">
        <f t="shared" si="24"/>
        <v>12385.334832519608</v>
      </c>
      <c r="V110" s="136">
        <f t="shared" si="24"/>
        <v>12471.577648220631</v>
      </c>
      <c r="W110" s="138"/>
    </row>
    <row r="111" spans="1:27" x14ac:dyDescent="0.2">
      <c r="C111" s="1559" t="s">
        <v>44</v>
      </c>
      <c r="D111" s="1559"/>
      <c r="E111" s="1559"/>
      <c r="F111" s="139">
        <f t="shared" ref="F111:V111" si="25">SUM(F110:F110)</f>
        <v>11161</v>
      </c>
      <c r="G111" s="139">
        <f t="shared" si="25"/>
        <v>11238.717403611236</v>
      </c>
      <c r="H111" s="139">
        <f t="shared" si="25"/>
        <v>11316.975976904743</v>
      </c>
      <c r="I111" s="140">
        <f t="shared" si="25"/>
        <v>11395.779488208007</v>
      </c>
      <c r="J111" s="139">
        <f t="shared" si="25"/>
        <v>11475.131732088443</v>
      </c>
      <c r="K111" s="139">
        <f t="shared" si="25"/>
        <v>11555.036529536228</v>
      </c>
      <c r="L111" s="139">
        <f t="shared" si="25"/>
        <v>11635.497728148219</v>
      </c>
      <c r="M111" s="139">
        <f t="shared" si="25"/>
        <v>11716.519202313257</v>
      </c>
      <c r="N111" s="139">
        <f t="shared" si="25"/>
        <v>11798.10485339872</v>
      </c>
      <c r="O111" s="139">
        <f t="shared" si="25"/>
        <v>11880.258609938377</v>
      </c>
      <c r="P111" s="139">
        <f t="shared" si="25"/>
        <v>11962.984427821575</v>
      </c>
      <c r="Q111" s="139">
        <f t="shared" si="25"/>
        <v>12046.286290483691</v>
      </c>
      <c r="R111" s="139">
        <f t="shared" si="25"/>
        <v>12130.168209097961</v>
      </c>
      <c r="S111" s="139">
        <f t="shared" si="25"/>
        <v>12214.634222768649</v>
      </c>
      <c r="T111" s="139">
        <f t="shared" si="25"/>
        <v>12299.688398725497</v>
      </c>
      <c r="U111" s="139">
        <f t="shared" si="25"/>
        <v>12385.334832519608</v>
      </c>
      <c r="V111" s="139">
        <f t="shared" si="25"/>
        <v>12471.577648220631</v>
      </c>
      <c r="W111" s="141"/>
    </row>
    <row r="1048350" spans="4:4" x14ac:dyDescent="0.2">
      <c r="D1048350" s="37"/>
    </row>
  </sheetData>
  <mergeCells count="19">
    <mergeCell ref="J109:L109"/>
    <mergeCell ref="J107:V107"/>
    <mergeCell ref="C111:E111"/>
    <mergeCell ref="J29:L29"/>
    <mergeCell ref="D5:H5"/>
    <mergeCell ref="D17:D18"/>
    <mergeCell ref="D16:H16"/>
    <mergeCell ref="C103:E103"/>
    <mergeCell ref="J27:V27"/>
    <mergeCell ref="A91:A98"/>
    <mergeCell ref="A99:A102"/>
    <mergeCell ref="E25:I28"/>
    <mergeCell ref="A30:A41"/>
    <mergeCell ref="A42:A44"/>
    <mergeCell ref="A45:A46"/>
    <mergeCell ref="A47:A53"/>
    <mergeCell ref="A54:A59"/>
    <mergeCell ref="A60:A83"/>
    <mergeCell ref="A84:A90"/>
  </mergeCells>
  <pageMargins left="0.7" right="0.7" top="0.75" bottom="0.75" header="0.3" footer="0.3"/>
  <pageSetup scale="3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3:AC1048351"/>
  <sheetViews>
    <sheetView view="pageBreakPreview" zoomScale="80" zoomScaleNormal="115" zoomScaleSheetLayoutView="80" workbookViewId="0">
      <selection activeCell="E25" sqref="E25"/>
    </sheetView>
  </sheetViews>
  <sheetFormatPr baseColWidth="10" defaultColWidth="11.42578125" defaultRowHeight="12.75" x14ac:dyDescent="0.2"/>
  <cols>
    <col min="1" max="1" width="4" style="52" customWidth="1"/>
    <col min="2" max="2" width="11.42578125" style="52"/>
    <col min="3" max="4" width="15" style="52" customWidth="1"/>
    <col min="5" max="5" width="35.140625" style="52" customWidth="1"/>
    <col min="6" max="6" width="16.7109375" style="52" customWidth="1"/>
    <col min="7" max="8" width="11.5703125" style="52" customWidth="1"/>
    <col min="9" max="9" width="14.140625" style="52" customWidth="1"/>
    <col min="10" max="10" width="11.5703125" style="52" customWidth="1"/>
    <col min="11" max="11" width="11.5703125" style="52" bestFit="1" customWidth="1"/>
    <col min="12" max="13" width="11.42578125" style="52" customWidth="1"/>
    <col min="14" max="14" width="12.28515625" style="52" customWidth="1"/>
    <col min="15" max="15" width="12.85546875" style="52" customWidth="1"/>
    <col min="16" max="24" width="9.5703125" style="52" customWidth="1"/>
    <col min="25" max="28" width="11.42578125" style="52"/>
    <col min="29" max="29" width="13.42578125" style="52" customWidth="1"/>
    <col min="30" max="16384" width="11.42578125" style="52"/>
  </cols>
  <sheetData>
    <row r="3" spans="2:28" x14ac:dyDescent="0.2">
      <c r="B3" s="79" t="s">
        <v>167</v>
      </c>
      <c r="C3" s="80"/>
      <c r="D3" s="80"/>
    </row>
    <row r="5" spans="2:28" x14ac:dyDescent="0.2">
      <c r="D5" s="1539" t="s">
        <v>168</v>
      </c>
      <c r="E5" s="1539"/>
      <c r="F5" s="1539"/>
      <c r="G5" s="1539"/>
      <c r="H5" s="1539"/>
      <c r="I5" s="1539"/>
      <c r="J5" s="1539"/>
    </row>
    <row r="6" spans="2:28" x14ac:dyDescent="0.2">
      <c r="D6" s="81" t="s">
        <v>169</v>
      </c>
      <c r="E6" s="81">
        <v>2007</v>
      </c>
      <c r="F6" s="81">
        <v>2017</v>
      </c>
      <c r="G6" s="81"/>
      <c r="H6" s="81"/>
      <c r="I6" s="81" t="s">
        <v>170</v>
      </c>
      <c r="J6" s="81" t="s">
        <v>171</v>
      </c>
    </row>
    <row r="7" spans="2:28" ht="28.5" customHeight="1" x14ac:dyDescent="0.2">
      <c r="D7" s="82" t="s">
        <v>163</v>
      </c>
      <c r="E7" s="83">
        <v>404190</v>
      </c>
      <c r="F7" s="83">
        <v>405759</v>
      </c>
      <c r="G7" s="83"/>
      <c r="H7" s="83"/>
      <c r="I7" s="84">
        <f>(F7/E7)^(1/(2017-2007))-1</f>
        <v>3.8750734746773041E-4</v>
      </c>
      <c r="J7" s="85">
        <f>I7</f>
        <v>3.8750734746773041E-4</v>
      </c>
    </row>
    <row r="8" spans="2:28" ht="29.25" customHeight="1" x14ac:dyDescent="0.2">
      <c r="D8" s="82" t="s">
        <v>164</v>
      </c>
      <c r="E8" s="83">
        <v>27412157</v>
      </c>
      <c r="F8" s="83">
        <v>29381884</v>
      </c>
      <c r="G8" s="83"/>
      <c r="H8" s="83"/>
      <c r="I8" s="84">
        <f>(F8/E8)^(1/(2017-2007))-1</f>
        <v>6.9633011030576508E-3</v>
      </c>
      <c r="J8" s="85">
        <f>I8</f>
        <v>6.9633011030576508E-3</v>
      </c>
    </row>
    <row r="11" spans="2:28" x14ac:dyDescent="0.2">
      <c r="B11" s="86"/>
      <c r="C11" s="86"/>
      <c r="D11" s="86"/>
      <c r="E11" s="86"/>
      <c r="F11" s="86"/>
      <c r="G11" s="86"/>
      <c r="H11" s="86"/>
      <c r="I11" s="86"/>
      <c r="J11" s="86"/>
      <c r="K11" s="86"/>
      <c r="L11" s="86"/>
      <c r="M11" s="86"/>
      <c r="N11" s="86"/>
      <c r="O11" s="86"/>
      <c r="P11" s="86"/>
      <c r="Q11" s="86"/>
      <c r="R11" s="86"/>
      <c r="S11" s="86"/>
      <c r="T11" s="86"/>
      <c r="U11" s="86"/>
      <c r="V11" s="86"/>
      <c r="W11" s="86"/>
      <c r="X11" s="86"/>
    </row>
    <row r="13" spans="2:28" x14ac:dyDescent="0.2">
      <c r="B13" s="79" t="s">
        <v>172</v>
      </c>
      <c r="C13" s="80"/>
      <c r="D13" s="80"/>
    </row>
    <row r="14" spans="2:28" x14ac:dyDescent="0.2">
      <c r="K14" s="89"/>
      <c r="L14" s="89"/>
      <c r="M14" s="89"/>
      <c r="N14" s="89"/>
      <c r="O14" s="89"/>
      <c r="P14" s="89"/>
      <c r="Q14" s="89"/>
      <c r="R14" s="89"/>
      <c r="S14" s="89"/>
      <c r="T14" s="89"/>
      <c r="U14" s="89"/>
      <c r="V14" s="89"/>
      <c r="W14" s="89"/>
      <c r="X14" s="89"/>
      <c r="Y14" s="89"/>
      <c r="Z14" s="89"/>
      <c r="AA14" s="89"/>
      <c r="AB14" s="89"/>
    </row>
    <row r="15" spans="2:28" x14ac:dyDescent="0.2">
      <c r="K15" s="125"/>
      <c r="L15" s="125"/>
      <c r="M15" s="125"/>
      <c r="N15" s="125"/>
      <c r="O15" s="125"/>
      <c r="P15" s="125"/>
      <c r="Q15" s="125"/>
      <c r="R15" s="125"/>
      <c r="S15" s="125"/>
      <c r="T15" s="125"/>
      <c r="U15" s="125"/>
      <c r="V15" s="125"/>
      <c r="W15" s="125"/>
      <c r="X15" s="125"/>
      <c r="Y15" s="125"/>
      <c r="Z15" s="125"/>
      <c r="AA15" s="125"/>
      <c r="AB15" s="125"/>
    </row>
    <row r="16" spans="2:28" ht="15" customHeight="1" x14ac:dyDescent="0.2">
      <c r="D16" s="1540" t="s">
        <v>168</v>
      </c>
      <c r="E16" s="1540"/>
      <c r="F16" s="1540"/>
      <c r="G16" s="1540"/>
      <c r="H16" s="1540"/>
      <c r="I16" s="1540"/>
      <c r="J16" s="1540"/>
      <c r="K16" s="53"/>
      <c r="L16" s="53"/>
      <c r="M16" s="53"/>
      <c r="N16" s="53"/>
      <c r="O16" s="89"/>
      <c r="P16" s="89"/>
      <c r="Q16" s="89"/>
      <c r="R16" s="89"/>
      <c r="S16" s="89"/>
      <c r="T16" s="89"/>
      <c r="U16" s="89"/>
      <c r="V16" s="89"/>
      <c r="W16" s="89"/>
      <c r="X16" s="89"/>
      <c r="Y16" s="89"/>
      <c r="Z16" s="89"/>
      <c r="AA16" s="89"/>
      <c r="AB16" s="89"/>
    </row>
    <row r="17" spans="1:29" ht="21" customHeight="1" x14ac:dyDescent="0.2">
      <c r="D17" s="1541" t="s">
        <v>155</v>
      </c>
      <c r="E17" s="65">
        <f>+E6</f>
        <v>2007</v>
      </c>
      <c r="F17" s="65">
        <f>+F6</f>
        <v>2017</v>
      </c>
      <c r="G17" s="65"/>
      <c r="H17" s="65"/>
      <c r="I17" s="65" t="s">
        <v>170</v>
      </c>
      <c r="J17" s="65" t="s">
        <v>171</v>
      </c>
      <c r="K17" s="53"/>
      <c r="L17" s="53"/>
      <c r="M17" s="53"/>
      <c r="N17" s="53"/>
      <c r="O17" s="126"/>
      <c r="P17" s="126"/>
      <c r="Q17" s="126"/>
      <c r="R17" s="126"/>
      <c r="S17" s="126"/>
      <c r="T17" s="126"/>
      <c r="U17" s="126"/>
      <c r="V17" s="126"/>
      <c r="W17" s="126"/>
      <c r="X17" s="126"/>
      <c r="Y17" s="126"/>
      <c r="Z17" s="126"/>
      <c r="AA17" s="126"/>
      <c r="AB17" s="126"/>
    </row>
    <row r="18" spans="1:29" ht="29.25" customHeight="1" x14ac:dyDescent="0.2">
      <c r="D18" s="1541"/>
      <c r="E18" s="90">
        <f>+E7</f>
        <v>404190</v>
      </c>
      <c r="F18" s="90">
        <f>+F7</f>
        <v>405759</v>
      </c>
      <c r="G18" s="90"/>
      <c r="H18" s="90"/>
      <c r="I18" s="91">
        <f>+$I$7</f>
        <v>3.8750734746773041E-4</v>
      </c>
      <c r="J18" s="142">
        <f>J7</f>
        <v>3.8750734746773041E-4</v>
      </c>
      <c r="K18" s="94"/>
      <c r="L18" s="94"/>
      <c r="M18" s="94"/>
      <c r="N18" s="94"/>
      <c r="O18" s="94"/>
      <c r="P18" s="94"/>
      <c r="Q18" s="94"/>
      <c r="R18" s="94"/>
      <c r="S18" s="94"/>
      <c r="T18" s="94"/>
      <c r="U18" s="94"/>
      <c r="V18" s="94"/>
      <c r="W18" s="94"/>
      <c r="X18" s="94"/>
      <c r="Y18" s="94"/>
      <c r="Z18" s="94"/>
      <c r="AA18" s="94"/>
      <c r="AB18" s="94"/>
    </row>
    <row r="19" spans="1:29" x14ac:dyDescent="0.2">
      <c r="D19" s="37" t="s">
        <v>162</v>
      </c>
      <c r="E19" s="41">
        <v>96064</v>
      </c>
      <c r="F19" s="41">
        <v>110520</v>
      </c>
      <c r="G19" s="41"/>
      <c r="H19" s="41"/>
      <c r="I19" s="95">
        <f>(F19/E19)^(1/(2017-2007))-1</f>
        <v>1.4116901910895319E-2</v>
      </c>
      <c r="J19" s="96">
        <f>I19</f>
        <v>1.4116901910895319E-2</v>
      </c>
      <c r="K19" s="94"/>
      <c r="L19" s="94"/>
      <c r="M19" s="94"/>
      <c r="N19" s="94"/>
      <c r="O19" s="94"/>
      <c r="P19" s="94"/>
      <c r="Q19" s="94"/>
      <c r="R19" s="94"/>
      <c r="S19" s="94"/>
      <c r="T19" s="94"/>
      <c r="U19" s="94"/>
      <c r="V19" s="94"/>
      <c r="W19" s="94"/>
      <c r="X19" s="94"/>
      <c r="Y19" s="94"/>
      <c r="Z19" s="94"/>
      <c r="AA19" s="94"/>
      <c r="AB19" s="94"/>
    </row>
    <row r="20" spans="1:29" x14ac:dyDescent="0.2">
      <c r="K20" s="89"/>
      <c r="L20" s="89"/>
      <c r="M20" s="89"/>
      <c r="N20" s="89"/>
      <c r="O20" s="89"/>
      <c r="P20" s="89"/>
      <c r="Q20" s="89"/>
      <c r="R20" s="89"/>
      <c r="S20" s="89"/>
      <c r="T20" s="89"/>
      <c r="U20" s="89"/>
      <c r="V20" s="89"/>
      <c r="W20" s="89"/>
      <c r="X20" s="89"/>
      <c r="Y20" s="89"/>
      <c r="Z20" s="89"/>
      <c r="AA20" s="89"/>
      <c r="AB20" s="89"/>
    </row>
    <row r="21" spans="1:29" x14ac:dyDescent="0.2">
      <c r="K21" s="127"/>
      <c r="L21" s="127"/>
      <c r="M21" s="127"/>
      <c r="N21" s="127"/>
      <c r="O21" s="127"/>
      <c r="P21" s="127"/>
      <c r="Q21" s="127"/>
      <c r="R21" s="127"/>
      <c r="S21" s="127"/>
      <c r="T21" s="127"/>
      <c r="U21" s="127"/>
      <c r="V21" s="127"/>
      <c r="W21" s="127"/>
      <c r="X21" s="127"/>
      <c r="Y21" s="127"/>
      <c r="Z21" s="127"/>
      <c r="AA21" s="127"/>
      <c r="AB21" s="127"/>
    </row>
    <row r="22" spans="1:29" x14ac:dyDescent="0.2">
      <c r="K22" s="89"/>
      <c r="L22" s="89"/>
      <c r="M22" s="89"/>
      <c r="N22" s="89"/>
      <c r="O22" s="89"/>
      <c r="P22" s="89"/>
      <c r="Q22" s="89"/>
      <c r="R22" s="89"/>
      <c r="S22" s="89"/>
      <c r="T22" s="89"/>
      <c r="U22" s="89"/>
      <c r="V22" s="89"/>
      <c r="W22" s="89"/>
      <c r="X22" s="89"/>
      <c r="Y22" s="89"/>
      <c r="Z22" s="89"/>
      <c r="AA22" s="89"/>
      <c r="AB22" s="89"/>
    </row>
    <row r="23" spans="1:29" x14ac:dyDescent="0.2">
      <c r="K23" s="89"/>
      <c r="L23" s="89"/>
      <c r="M23" s="89"/>
      <c r="N23" s="89"/>
      <c r="O23" s="89"/>
      <c r="P23" s="89"/>
      <c r="Q23" s="89"/>
      <c r="R23" s="89"/>
      <c r="S23" s="89"/>
      <c r="T23" s="89"/>
      <c r="U23" s="89"/>
      <c r="V23" s="89"/>
      <c r="W23" s="89"/>
      <c r="X23" s="89"/>
      <c r="Y23" s="89"/>
      <c r="Z23" s="89"/>
      <c r="AA23" s="89"/>
      <c r="AB23" s="89"/>
    </row>
    <row r="25" spans="1:29" x14ac:dyDescent="0.2">
      <c r="B25" s="79" t="s">
        <v>172</v>
      </c>
      <c r="C25" s="80"/>
      <c r="D25" s="80"/>
    </row>
    <row r="27" spans="1:29" x14ac:dyDescent="0.2">
      <c r="L27" s="1558" t="s">
        <v>173</v>
      </c>
      <c r="M27" s="1558"/>
      <c r="N27" s="1558"/>
      <c r="O27" s="1558"/>
      <c r="P27" s="1558"/>
      <c r="Q27" s="1558"/>
      <c r="R27" s="1558"/>
      <c r="S27" s="1558"/>
      <c r="T27" s="1558"/>
      <c r="U27" s="1558"/>
      <c r="V27" s="1558"/>
      <c r="W27" s="1558"/>
      <c r="X27" s="1558"/>
      <c r="Y27" s="125"/>
      <c r="Z27" s="125"/>
      <c r="AA27" s="125"/>
      <c r="AB27" s="125"/>
      <c r="AC27" s="125"/>
    </row>
    <row r="28" spans="1:29" ht="15" customHeight="1" x14ac:dyDescent="0.2">
      <c r="D28" s="53"/>
      <c r="E28" s="53"/>
      <c r="F28" s="53"/>
      <c r="G28" s="53"/>
      <c r="H28" s="53"/>
      <c r="I28" s="53"/>
      <c r="J28" s="53"/>
      <c r="L28" s="65">
        <v>2021</v>
      </c>
      <c r="M28" s="65">
        <v>2022</v>
      </c>
      <c r="N28" s="65">
        <v>2023</v>
      </c>
      <c r="O28" s="128">
        <v>2024</v>
      </c>
      <c r="P28" s="65">
        <v>2025</v>
      </c>
      <c r="Q28" s="65">
        <v>2026</v>
      </c>
      <c r="R28" s="65">
        <v>2027</v>
      </c>
      <c r="S28" s="65">
        <v>2028</v>
      </c>
      <c r="T28" s="65">
        <v>2029</v>
      </c>
      <c r="U28" s="65">
        <v>2030</v>
      </c>
      <c r="V28" s="65">
        <v>2031</v>
      </c>
      <c r="W28" s="65">
        <v>2032</v>
      </c>
      <c r="X28" s="65">
        <v>2033</v>
      </c>
      <c r="Y28" s="129"/>
      <c r="Z28" s="89"/>
      <c r="AA28" s="89"/>
      <c r="AB28" s="89"/>
      <c r="AC28" s="89"/>
    </row>
    <row r="29" spans="1:29" ht="21" customHeight="1" x14ac:dyDescent="0.2">
      <c r="C29" s="65" t="s">
        <v>189</v>
      </c>
      <c r="D29" s="65" t="s">
        <v>188</v>
      </c>
      <c r="E29" s="65" t="s">
        <v>256</v>
      </c>
      <c r="F29" s="65">
        <f>+F17</f>
        <v>2017</v>
      </c>
      <c r="G29" s="65" t="s">
        <v>250</v>
      </c>
      <c r="H29" s="65">
        <v>2017</v>
      </c>
      <c r="I29" s="65">
        <v>2018</v>
      </c>
      <c r="J29" s="65">
        <v>2019</v>
      </c>
      <c r="K29" s="65">
        <v>2020</v>
      </c>
      <c r="L29" s="1538" t="s">
        <v>257</v>
      </c>
      <c r="M29" s="1538"/>
      <c r="N29" s="1538"/>
      <c r="O29" s="54" t="s">
        <v>174</v>
      </c>
      <c r="P29" s="54" t="s">
        <v>175</v>
      </c>
      <c r="Q29" s="54" t="s">
        <v>176</v>
      </c>
      <c r="R29" s="54" t="s">
        <v>177</v>
      </c>
      <c r="S29" s="54" t="s">
        <v>178</v>
      </c>
      <c r="T29" s="54" t="s">
        <v>179</v>
      </c>
      <c r="U29" s="54" t="s">
        <v>180</v>
      </c>
      <c r="V29" s="54" t="s">
        <v>181</v>
      </c>
      <c r="W29" s="54" t="s">
        <v>182</v>
      </c>
      <c r="X29" s="54" t="s">
        <v>183</v>
      </c>
      <c r="Y29" s="89"/>
      <c r="Z29" s="126"/>
      <c r="AA29" s="126"/>
      <c r="AB29" s="126"/>
      <c r="AC29" s="126"/>
    </row>
    <row r="30" spans="1:29" x14ac:dyDescent="0.2">
      <c r="A30" s="1553">
        <f>'DEM REFER'!A30:A41</f>
        <v>1</v>
      </c>
      <c r="B30" s="52">
        <v>1</v>
      </c>
      <c r="C30" s="49" t="str">
        <f>'DEM REFER'!C30</f>
        <v>ABANCAY</v>
      </c>
      <c r="D30" s="49" t="str">
        <f>'DEM REFER'!D30</f>
        <v>ABANCAY</v>
      </c>
      <c r="E30" s="49" t="str">
        <f>'DEM REFER'!E30</f>
        <v>PACCHACCPATA</v>
      </c>
      <c r="F30" s="201">
        <f>'DEM REFER'!F30</f>
        <v>55</v>
      </c>
      <c r="G30" s="50">
        <f>'ACT ECON'!$Q$16</f>
        <v>0.17699999999999999</v>
      </c>
      <c r="H30" s="58">
        <f t="shared" ref="H30:H37" si="0">F30*G30</f>
        <v>9.7349999999999994</v>
      </c>
      <c r="I30" s="131">
        <f t="shared" ref="I30:I61" si="1">+H30*(1+$J$19)</f>
        <v>9.8724280401025659</v>
      </c>
      <c r="J30" s="131">
        <f t="shared" ref="J30:X30" si="2">+I30*(1+$J$19)</f>
        <v>10.011796138367066</v>
      </c>
      <c r="K30" s="131">
        <f t="shared" si="2"/>
        <v>10.153131682404274</v>
      </c>
      <c r="L30" s="131">
        <f t="shared" si="2"/>
        <v>10.296462446453178</v>
      </c>
      <c r="M30" s="131">
        <f t="shared" si="2"/>
        <v>10.441816596838976</v>
      </c>
      <c r="N30" s="131">
        <f t="shared" si="2"/>
        <v>10.589222697508111</v>
      </c>
      <c r="O30" s="131">
        <f t="shared" si="2"/>
        <v>10.738709715641459</v>
      </c>
      <c r="P30" s="131">
        <f t="shared" si="2"/>
        <v>10.890307027346749</v>
      </c>
      <c r="Q30" s="131">
        <f t="shared" si="2"/>
        <v>11.044044423431338</v>
      </c>
      <c r="R30" s="131">
        <f t="shared" si="2"/>
        <v>11.199952115256488</v>
      </c>
      <c r="S30" s="131">
        <f t="shared" si="2"/>
        <v>11.358060740674288</v>
      </c>
      <c r="T30" s="131">
        <f t="shared" si="2"/>
        <v>11.518401370048378</v>
      </c>
      <c r="U30" s="131">
        <f t="shared" si="2"/>
        <v>11.681005512359674</v>
      </c>
      <c r="V30" s="131">
        <f t="shared" si="2"/>
        <v>11.845905121398284</v>
      </c>
      <c r="W30" s="131">
        <f t="shared" si="2"/>
        <v>12.013132602042836</v>
      </c>
      <c r="X30" s="131">
        <f t="shared" si="2"/>
        <v>12.182720816628454</v>
      </c>
      <c r="Y30" s="94">
        <f>X30*'ACT ECON'!$Q$6</f>
        <v>2.8873048335409432</v>
      </c>
      <c r="Z30" s="94"/>
      <c r="AA30" s="94"/>
      <c r="AB30" s="94"/>
      <c r="AC30" s="89"/>
    </row>
    <row r="31" spans="1:29" x14ac:dyDescent="0.2">
      <c r="A31" s="1553"/>
      <c r="B31" s="52">
        <v>2</v>
      </c>
      <c r="C31" s="49" t="str">
        <f>'DEM REFER'!C31</f>
        <v>ABANCAY</v>
      </c>
      <c r="D31" s="49" t="str">
        <f>'DEM REFER'!D31</f>
        <v>ABANCAY</v>
      </c>
      <c r="E31" s="49" t="str">
        <f>'DEM REFER'!E31</f>
        <v>LLAÑUCANCHA</v>
      </c>
      <c r="F31" s="201">
        <f>'DEM REFER'!F31</f>
        <v>192</v>
      </c>
      <c r="G31" s="50">
        <f>'ACT ECON'!$Q$16</f>
        <v>0.17699999999999999</v>
      </c>
      <c r="H31" s="58">
        <f t="shared" si="0"/>
        <v>33.983999999999995</v>
      </c>
      <c r="I31" s="131">
        <f t="shared" si="1"/>
        <v>34.46374879453986</v>
      </c>
      <c r="J31" s="131">
        <f t="shared" ref="J31:X31" si="3">+I31*(1+$J$19)</f>
        <v>34.950270155754119</v>
      </c>
      <c r="K31" s="131">
        <f t="shared" si="3"/>
        <v>35.443659691302194</v>
      </c>
      <c r="L31" s="131">
        <f t="shared" si="3"/>
        <v>35.944014358527461</v>
      </c>
      <c r="M31" s="131">
        <f t="shared" si="3"/>
        <v>36.451432483510608</v>
      </c>
      <c r="N31" s="131">
        <f t="shared" si="3"/>
        <v>36.966013780391954</v>
      </c>
      <c r="O31" s="131">
        <f t="shared" si="3"/>
        <v>37.487859370966554</v>
      </c>
      <c r="P31" s="131">
        <f t="shared" si="3"/>
        <v>38.017071804555925</v>
      </c>
      <c r="Q31" s="131">
        <f t="shared" si="3"/>
        <v>38.553755078160307</v>
      </c>
      <c r="R31" s="131">
        <f t="shared" si="3"/>
        <v>39.09801465689538</v>
      </c>
      <c r="S31" s="131">
        <f t="shared" si="3"/>
        <v>39.649957494717519</v>
      </c>
      <c r="T31" s="131">
        <f t="shared" si="3"/>
        <v>40.209692055441614</v>
      </c>
      <c r="U31" s="131">
        <f t="shared" si="3"/>
        <v>40.777328334055589</v>
      </c>
      <c r="V31" s="131">
        <f t="shared" si="3"/>
        <v>41.352977878335821</v>
      </c>
      <c r="W31" s="131">
        <f t="shared" si="3"/>
        <v>41.936753810767712</v>
      </c>
      <c r="X31" s="131">
        <f t="shared" si="3"/>
        <v>42.528770850775686</v>
      </c>
      <c r="Y31" s="94">
        <f>X31*'ACT ECON'!$Q$6</f>
        <v>10.079318691633837</v>
      </c>
      <c r="Z31" s="94"/>
      <c r="AA31" s="94"/>
      <c r="AB31" s="94"/>
      <c r="AC31" s="89"/>
    </row>
    <row r="32" spans="1:29" x14ac:dyDescent="0.2">
      <c r="A32" s="1553"/>
      <c r="B32" s="52">
        <v>3</v>
      </c>
      <c r="C32" s="49" t="str">
        <f>'DEM REFER'!C32</f>
        <v>ABANCAY</v>
      </c>
      <c r="D32" s="49" t="str">
        <f>'DEM REFER'!D32</f>
        <v>ABANCAY</v>
      </c>
      <c r="E32" s="49" t="str">
        <f>'DEM REFER'!E32</f>
        <v>CCARCCATERA</v>
      </c>
      <c r="F32" s="201">
        <f>'DEM REFER'!F32</f>
        <v>108</v>
      </c>
      <c r="G32" s="50">
        <f>'ACT ECON'!$Q$16</f>
        <v>0.17699999999999999</v>
      </c>
      <c r="H32" s="58">
        <f t="shared" si="0"/>
        <v>19.116</v>
      </c>
      <c r="I32" s="131">
        <f t="shared" si="1"/>
        <v>19.385858696928675</v>
      </c>
      <c r="J32" s="131">
        <f t="shared" ref="J32:X32" si="4">+I32*(1+$J$19)</f>
        <v>19.659526962611693</v>
      </c>
      <c r="K32" s="131">
        <f t="shared" si="4"/>
        <v>19.937058576357483</v>
      </c>
      <c r="L32" s="131">
        <f t="shared" si="4"/>
        <v>20.218508076671696</v>
      </c>
      <c r="M32" s="131">
        <f t="shared" si="4"/>
        <v>20.503930771974716</v>
      </c>
      <c r="N32" s="131">
        <f t="shared" si="4"/>
        <v>20.793382751470471</v>
      </c>
      <c r="O32" s="131">
        <f t="shared" si="4"/>
        <v>21.086920896168682</v>
      </c>
      <c r="P32" s="131">
        <f t="shared" si="4"/>
        <v>21.384602890062705</v>
      </c>
      <c r="Q32" s="131">
        <f t="shared" si="4"/>
        <v>21.686487231465168</v>
      </c>
      <c r="R32" s="131">
        <f t="shared" si="4"/>
        <v>21.992633244503647</v>
      </c>
      <c r="S32" s="131">
        <f t="shared" si="4"/>
        <v>22.3031010907786</v>
      </c>
      <c r="T32" s="131">
        <f t="shared" si="4"/>
        <v>22.617951781185905</v>
      </c>
      <c r="U32" s="131">
        <f t="shared" si="4"/>
        <v>22.937247187906266</v>
      </c>
      <c r="V32" s="131">
        <f t="shared" si="4"/>
        <v>23.261050056563899</v>
      </c>
      <c r="W32" s="131">
        <f t="shared" si="4"/>
        <v>23.589424018556837</v>
      </c>
      <c r="X32" s="131">
        <f t="shared" si="4"/>
        <v>23.922433603561323</v>
      </c>
      <c r="Y32" s="94">
        <f>X32*'ACT ECON'!$Q$6</f>
        <v>5.6696167640440338</v>
      </c>
      <c r="Z32" s="94"/>
      <c r="AA32" s="94"/>
      <c r="AB32" s="94"/>
      <c r="AC32" s="89"/>
    </row>
    <row r="33" spans="1:29" x14ac:dyDescent="0.2">
      <c r="A33" s="1553"/>
      <c r="B33" s="52">
        <v>4</v>
      </c>
      <c r="C33" s="49" t="str">
        <f>'DEM REFER'!C33</f>
        <v>ABANCAY</v>
      </c>
      <c r="D33" s="49" t="str">
        <f>'DEM REFER'!D33</f>
        <v>ABANCAY</v>
      </c>
      <c r="E33" s="49" t="str">
        <f>'DEM REFER'!E33</f>
        <v>ASILLO</v>
      </c>
      <c r="F33" s="201">
        <f>'DEM REFER'!F33</f>
        <v>153</v>
      </c>
      <c r="G33" s="50">
        <f>'ACT ECON'!$Q$16</f>
        <v>0.17699999999999999</v>
      </c>
      <c r="H33" s="58">
        <f t="shared" si="0"/>
        <v>27.081</v>
      </c>
      <c r="I33" s="131">
        <f t="shared" si="1"/>
        <v>27.463299820648956</v>
      </c>
      <c r="J33" s="131">
        <f t="shared" ref="J33:X33" si="5">+I33*(1+$J$19)</f>
        <v>27.850996530366565</v>
      </c>
      <c r="K33" s="131">
        <f t="shared" si="5"/>
        <v>28.244166316506437</v>
      </c>
      <c r="L33" s="131">
        <f t="shared" si="5"/>
        <v>28.642886441951571</v>
      </c>
      <c r="M33" s="131">
        <f t="shared" si="5"/>
        <v>29.047235260297516</v>
      </c>
      <c r="N33" s="131">
        <f t="shared" si="5"/>
        <v>29.457292231249834</v>
      </c>
      <c r="O33" s="131">
        <f t="shared" si="5"/>
        <v>29.873137936238965</v>
      </c>
      <c r="P33" s="131">
        <f t="shared" si="5"/>
        <v>30.294854094255495</v>
      </c>
      <c r="Q33" s="131">
        <f t="shared" si="5"/>
        <v>30.722523577908984</v>
      </c>
      <c r="R33" s="131">
        <f t="shared" si="5"/>
        <v>31.156230429713492</v>
      </c>
      <c r="S33" s="131">
        <f t="shared" si="5"/>
        <v>31.596059878603011</v>
      </c>
      <c r="T33" s="131">
        <f t="shared" si="5"/>
        <v>32.042098356680022</v>
      </c>
      <c r="U33" s="131">
        <f t="shared" si="5"/>
        <v>32.49443351620053</v>
      </c>
      <c r="V33" s="131">
        <f t="shared" si="5"/>
        <v>32.953154246798846</v>
      </c>
      <c r="W33" s="131">
        <f t="shared" si="5"/>
        <v>33.418350692955507</v>
      </c>
      <c r="X33" s="131">
        <f t="shared" si="5"/>
        <v>33.890114271711859</v>
      </c>
      <c r="Y33" s="94">
        <f>X33*'ACT ECON'!$Q$6</f>
        <v>8.03195708239571</v>
      </c>
      <c r="Z33" s="94"/>
      <c r="AA33" s="94"/>
      <c r="AB33" s="94"/>
      <c r="AC33" s="94"/>
    </row>
    <row r="34" spans="1:29" x14ac:dyDescent="0.2">
      <c r="A34" s="1553"/>
      <c r="B34" s="52">
        <v>5</v>
      </c>
      <c r="C34" s="49" t="str">
        <f>'DEM REFER'!C34</f>
        <v>ABANCAY</v>
      </c>
      <c r="D34" s="49" t="str">
        <f>'DEM REFER'!D34</f>
        <v>ABANCAY</v>
      </c>
      <c r="E34" s="49" t="str">
        <f>'DEM REFER'!E34</f>
        <v>HUAYLLABAMBA</v>
      </c>
      <c r="F34" s="201">
        <f>'DEM REFER'!F34</f>
        <v>196</v>
      </c>
      <c r="G34" s="50">
        <f>'ACT ECON'!$Q$16</f>
        <v>0.17699999999999999</v>
      </c>
      <c r="H34" s="58">
        <f t="shared" si="0"/>
        <v>34.692</v>
      </c>
      <c r="I34" s="131">
        <f t="shared" si="1"/>
        <v>35.18174356109278</v>
      </c>
      <c r="J34" s="131">
        <f t="shared" ref="J34:X34" si="6">+I34*(1+$J$19)</f>
        <v>35.678400783999002</v>
      </c>
      <c r="K34" s="131">
        <f t="shared" si="6"/>
        <v>36.18206926820433</v>
      </c>
      <c r="L34" s="131">
        <f t="shared" si="6"/>
        <v>36.692847990996789</v>
      </c>
      <c r="M34" s="131">
        <f t="shared" si="6"/>
        <v>37.21083732691708</v>
      </c>
      <c r="N34" s="131">
        <f t="shared" si="6"/>
        <v>37.73613906748345</v>
      </c>
      <c r="O34" s="131">
        <f t="shared" si="6"/>
        <v>38.26885644119502</v>
      </c>
      <c r="P34" s="131">
        <f t="shared" si="6"/>
        <v>38.809094133817503</v>
      </c>
      <c r="Q34" s="131">
        <f t="shared" si="6"/>
        <v>39.356958308955306</v>
      </c>
      <c r="R34" s="131">
        <f t="shared" si="6"/>
        <v>39.912556628914025</v>
      </c>
      <c r="S34" s="131">
        <f t="shared" si="6"/>
        <v>40.475998275857457</v>
      </c>
      <c r="T34" s="131">
        <f t="shared" si="6"/>
        <v>41.047393973263304</v>
      </c>
      <c r="U34" s="131">
        <f t="shared" si="6"/>
        <v>41.626856007681738</v>
      </c>
      <c r="V34" s="131">
        <f t="shared" si="6"/>
        <v>42.214498250801142</v>
      </c>
      <c r="W34" s="131">
        <f t="shared" si="6"/>
        <v>42.810436181825366</v>
      </c>
      <c r="X34" s="131">
        <f t="shared" si="6"/>
        <v>43.414786910166839</v>
      </c>
      <c r="Y34" s="94">
        <f>X34*'ACT ECON'!$Q$6</f>
        <v>10.289304497709541</v>
      </c>
      <c r="Z34" s="94"/>
      <c r="AA34" s="94"/>
      <c r="AB34" s="94"/>
      <c r="AC34" s="94"/>
    </row>
    <row r="35" spans="1:29" x14ac:dyDescent="0.2">
      <c r="A35" s="1553"/>
      <c r="B35" s="52">
        <v>6</v>
      </c>
      <c r="C35" s="49" t="str">
        <f>'DEM REFER'!C35</f>
        <v>ABANCAY</v>
      </c>
      <c r="D35" s="49" t="str">
        <f>'DEM REFER'!D35</f>
        <v>ABANCAY</v>
      </c>
      <c r="E35" s="49" t="str">
        <f>'DEM REFER'!E35</f>
        <v>CHILLCAPAMPA</v>
      </c>
      <c r="F35" s="201">
        <f>'DEM REFER'!F35</f>
        <v>90</v>
      </c>
      <c r="G35" s="50">
        <f>'ACT ECON'!$Q$16</f>
        <v>0.17699999999999999</v>
      </c>
      <c r="H35" s="58">
        <f t="shared" si="0"/>
        <v>15.93</v>
      </c>
      <c r="I35" s="131">
        <f t="shared" si="1"/>
        <v>16.154882247440561</v>
      </c>
      <c r="J35" s="131">
        <f t="shared" ref="J35:X35" si="7">+I35*(1+$J$19)</f>
        <v>16.382939135509744</v>
      </c>
      <c r="K35" s="131">
        <f t="shared" si="7"/>
        <v>16.614215480297904</v>
      </c>
      <c r="L35" s="131">
        <f t="shared" si="7"/>
        <v>16.848756730559749</v>
      </c>
      <c r="M35" s="131">
        <f t="shared" si="7"/>
        <v>17.0866089766456</v>
      </c>
      <c r="N35" s="131">
        <f t="shared" si="7"/>
        <v>17.32781895955873</v>
      </c>
      <c r="O35" s="131">
        <f t="shared" si="7"/>
        <v>17.572434080140575</v>
      </c>
      <c r="P35" s="131">
        <f t="shared" si="7"/>
        <v>17.820502408385593</v>
      </c>
      <c r="Q35" s="131">
        <f t="shared" si="7"/>
        <v>18.072072692887648</v>
      </c>
      <c r="R35" s="131">
        <f t="shared" si="7"/>
        <v>18.327194370419711</v>
      </c>
      <c r="S35" s="131">
        <f t="shared" si="7"/>
        <v>18.585917575648839</v>
      </c>
      <c r="T35" s="131">
        <f t="shared" si="7"/>
        <v>18.848293150988258</v>
      </c>
      <c r="U35" s="131">
        <f t="shared" si="7"/>
        <v>19.114372656588561</v>
      </c>
      <c r="V35" s="131">
        <f t="shared" si="7"/>
        <v>19.384208380469921</v>
      </c>
      <c r="W35" s="131">
        <f t="shared" si="7"/>
        <v>19.657853348797371</v>
      </c>
      <c r="X35" s="131">
        <f t="shared" si="7"/>
        <v>19.93536133630111</v>
      </c>
      <c r="Y35" s="94">
        <f>X35*'ACT ECON'!$Q$6</f>
        <v>4.7246806367033631</v>
      </c>
      <c r="Z35" s="94"/>
      <c r="AA35" s="94"/>
      <c r="AB35" s="94"/>
      <c r="AC35" s="94"/>
    </row>
    <row r="36" spans="1:29" x14ac:dyDescent="0.2">
      <c r="A36" s="1553"/>
      <c r="B36" s="52">
        <v>7</v>
      </c>
      <c r="C36" s="49" t="str">
        <f>'DEM REFER'!C36</f>
        <v>ABANCAY</v>
      </c>
      <c r="D36" s="49" t="str">
        <f>'DEM REFER'!D36</f>
        <v>ABANCAY</v>
      </c>
      <c r="E36" s="49" t="str">
        <f>'DEM REFER'!E36</f>
        <v>AYAORCCO</v>
      </c>
      <c r="F36" s="201">
        <f>'DEM REFER'!F36</f>
        <v>83</v>
      </c>
      <c r="G36" s="50">
        <f>'ACT ECON'!$Q$16</f>
        <v>0.17699999999999999</v>
      </c>
      <c r="H36" s="58">
        <f t="shared" si="0"/>
        <v>14.690999999999999</v>
      </c>
      <c r="I36" s="131">
        <f t="shared" si="1"/>
        <v>14.898391405972962</v>
      </c>
      <c r="J36" s="131">
        <f t="shared" ref="J36:X36" si="8">+I36*(1+$J$19)</f>
        <v>15.108710536081208</v>
      </c>
      <c r="K36" s="131">
        <f t="shared" si="8"/>
        <v>15.321998720719177</v>
      </c>
      <c r="L36" s="131">
        <f t="shared" si="8"/>
        <v>15.538297873738435</v>
      </c>
      <c r="M36" s="131">
        <f t="shared" si="8"/>
        <v>15.757650500684273</v>
      </c>
      <c r="N36" s="131">
        <f t="shared" si="8"/>
        <v>15.980099707148604</v>
      </c>
      <c r="O36" s="131">
        <f t="shared" si="8"/>
        <v>16.205689207240749</v>
      </c>
      <c r="P36" s="131">
        <f t="shared" si="8"/>
        <v>16.43446333217782</v>
      </c>
      <c r="Q36" s="131">
        <f t="shared" si="8"/>
        <v>16.66646703899638</v>
      </c>
      <c r="R36" s="131">
        <f t="shared" si="8"/>
        <v>16.901745919387061</v>
      </c>
      <c r="S36" s="131">
        <f t="shared" si="8"/>
        <v>17.140346208653924</v>
      </c>
      <c r="T36" s="131">
        <f t="shared" si="8"/>
        <v>17.382314794800276</v>
      </c>
      <c r="U36" s="131">
        <f t="shared" si="8"/>
        <v>17.627699227742777</v>
      </c>
      <c r="V36" s="131">
        <f t="shared" si="8"/>
        <v>17.876547728655588</v>
      </c>
      <c r="W36" s="131">
        <f t="shared" si="8"/>
        <v>18.128909199446458</v>
      </c>
      <c r="X36" s="131">
        <f t="shared" si="8"/>
        <v>18.384833232366571</v>
      </c>
      <c r="Y36" s="94">
        <f>X36*'ACT ECON'!$Q$6</f>
        <v>4.3572054760708774</v>
      </c>
      <c r="Z36" s="94"/>
      <c r="AA36" s="94"/>
      <c r="AB36" s="94"/>
      <c r="AC36" s="94"/>
    </row>
    <row r="37" spans="1:29" x14ac:dyDescent="0.2">
      <c r="A37" s="1553"/>
      <c r="B37" s="52">
        <v>8</v>
      </c>
      <c r="C37" s="49" t="str">
        <f>'DEM REFER'!C37</f>
        <v>ABANCAY</v>
      </c>
      <c r="D37" s="49" t="str">
        <f>'DEM REFER'!D37</f>
        <v>ABANCAY</v>
      </c>
      <c r="E37" s="49" t="str">
        <f>'DEM REFER'!E37</f>
        <v>WIRACOCHA VIRACOCHAPATA</v>
      </c>
      <c r="F37" s="201">
        <f>'DEM REFER'!F37</f>
        <v>83</v>
      </c>
      <c r="G37" s="50">
        <f>'ACT ECON'!$Q$16</f>
        <v>0.17699999999999999</v>
      </c>
      <c r="H37" s="58">
        <f t="shared" si="0"/>
        <v>14.690999999999999</v>
      </c>
      <c r="I37" s="131">
        <f t="shared" si="1"/>
        <v>14.898391405972962</v>
      </c>
      <c r="J37" s="131">
        <f t="shared" ref="J37:X37" si="9">+I37*(1+$J$19)</f>
        <v>15.108710536081208</v>
      </c>
      <c r="K37" s="131">
        <f t="shared" si="9"/>
        <v>15.321998720719177</v>
      </c>
      <c r="L37" s="131">
        <f t="shared" si="9"/>
        <v>15.538297873738435</v>
      </c>
      <c r="M37" s="131">
        <f t="shared" si="9"/>
        <v>15.757650500684273</v>
      </c>
      <c r="N37" s="131">
        <f t="shared" si="9"/>
        <v>15.980099707148604</v>
      </c>
      <c r="O37" s="131">
        <f t="shared" si="9"/>
        <v>16.205689207240749</v>
      </c>
      <c r="P37" s="131">
        <f t="shared" si="9"/>
        <v>16.43446333217782</v>
      </c>
      <c r="Q37" s="131">
        <f t="shared" si="9"/>
        <v>16.66646703899638</v>
      </c>
      <c r="R37" s="131">
        <f t="shared" si="9"/>
        <v>16.901745919387061</v>
      </c>
      <c r="S37" s="131">
        <f t="shared" si="9"/>
        <v>17.140346208653924</v>
      </c>
      <c r="T37" s="131">
        <f t="shared" si="9"/>
        <v>17.382314794800276</v>
      </c>
      <c r="U37" s="131">
        <f t="shared" si="9"/>
        <v>17.627699227742777</v>
      </c>
      <c r="V37" s="131">
        <f t="shared" si="9"/>
        <v>17.876547728655588</v>
      </c>
      <c r="W37" s="131">
        <f t="shared" si="9"/>
        <v>18.128909199446458</v>
      </c>
      <c r="X37" s="131">
        <f t="shared" si="9"/>
        <v>18.384833232366571</v>
      </c>
      <c r="Y37" s="94">
        <f>X37*'ACT ECON'!$Q$6</f>
        <v>4.3572054760708774</v>
      </c>
      <c r="Z37" s="94"/>
      <c r="AA37" s="94"/>
      <c r="AB37" s="94"/>
      <c r="AC37" s="94"/>
    </row>
    <row r="38" spans="1:29" x14ac:dyDescent="0.2">
      <c r="A38" s="1553"/>
      <c r="B38" s="52">
        <v>9</v>
      </c>
      <c r="C38" s="49" t="str">
        <f>'DEM REFER'!C38</f>
        <v>ABANCAY</v>
      </c>
      <c r="D38" s="49" t="str">
        <f>'DEM REFER'!D38</f>
        <v>ABANCAY</v>
      </c>
      <c r="E38" s="49" t="str">
        <f>'DEM REFER'!E38</f>
        <v>QUISAPATA ALTA</v>
      </c>
      <c r="F38" s="201">
        <f>'DEM REFER'!F38</f>
        <v>101</v>
      </c>
      <c r="G38" s="50">
        <f>'ACT ECON'!$Q$16</f>
        <v>0.17699999999999999</v>
      </c>
      <c r="H38" s="58">
        <f t="shared" ref="H38:H68" si="10">F38*G38</f>
        <v>17.876999999999999</v>
      </c>
      <c r="I38" s="131">
        <f t="shared" si="1"/>
        <v>18.129367855461073</v>
      </c>
      <c r="J38" s="131">
        <f t="shared" ref="J38:X38" si="11">+I38*(1+$J$19)</f>
        <v>18.385298363183157</v>
      </c>
      <c r="K38" s="131">
        <f t="shared" si="11"/>
        <v>18.644841816778758</v>
      </c>
      <c r="L38" s="131">
        <f t="shared" si="11"/>
        <v>18.908049219850383</v>
      </c>
      <c r="M38" s="131">
        <f t="shared" si="11"/>
        <v>19.174972296013394</v>
      </c>
      <c r="N38" s="131">
        <f t="shared" si="11"/>
        <v>19.445663499060348</v>
      </c>
      <c r="O38" s="131">
        <f t="shared" si="11"/>
        <v>19.720176023268859</v>
      </c>
      <c r="P38" s="131">
        <f t="shared" si="11"/>
        <v>19.998563813854936</v>
      </c>
      <c r="Q38" s="131">
        <f t="shared" si="11"/>
        <v>20.280881577573908</v>
      </c>
      <c r="R38" s="131">
        <f t="shared" si="11"/>
        <v>20.567184793471004</v>
      </c>
      <c r="S38" s="131">
        <f t="shared" si="11"/>
        <v>20.857529723783692</v>
      </c>
      <c r="T38" s="131">
        <f t="shared" si="11"/>
        <v>21.15197342499793</v>
      </c>
      <c r="U38" s="131">
        <f t="shared" si="11"/>
        <v>21.450573759060489</v>
      </c>
      <c r="V38" s="131">
        <f t="shared" si="11"/>
        <v>21.753389404749573</v>
      </c>
      <c r="W38" s="131">
        <f t="shared" si="11"/>
        <v>22.060479869205931</v>
      </c>
      <c r="X38" s="131">
        <f t="shared" si="11"/>
        <v>22.371905499626791</v>
      </c>
      <c r="Y38" s="94">
        <f>X38*'ACT ECON'!$Q$6</f>
        <v>5.3021416034115489</v>
      </c>
      <c r="Z38" s="94"/>
      <c r="AA38" s="94"/>
      <c r="AB38" s="94"/>
      <c r="AC38" s="94"/>
    </row>
    <row r="39" spans="1:29" x14ac:dyDescent="0.2">
      <c r="A39" s="1553"/>
      <c r="B39" s="52">
        <v>10</v>
      </c>
      <c r="C39" s="49" t="str">
        <f>'DEM REFER'!C39</f>
        <v>ABANCAY</v>
      </c>
      <c r="D39" s="49" t="str">
        <f>'DEM REFER'!D39</f>
        <v>ABANCAY</v>
      </c>
      <c r="E39" s="49" t="str">
        <f>'DEM REFER'!E39</f>
        <v>TANCARPATA</v>
      </c>
      <c r="F39" s="201">
        <f>'DEM REFER'!F39</f>
        <v>109</v>
      </c>
      <c r="G39" s="50">
        <f>'ACT ECON'!$Q$16</f>
        <v>0.17699999999999999</v>
      </c>
      <c r="H39" s="58">
        <f t="shared" si="10"/>
        <v>19.292999999999999</v>
      </c>
      <c r="I39" s="131">
        <f t="shared" si="1"/>
        <v>19.565357388566902</v>
      </c>
      <c r="J39" s="131">
        <f t="shared" ref="J39:X39" si="12">+I39*(1+$J$19)</f>
        <v>19.84155961967291</v>
      </c>
      <c r="K39" s="131">
        <f t="shared" si="12"/>
        <v>20.121660970583015</v>
      </c>
      <c r="L39" s="131">
        <f t="shared" si="12"/>
        <v>20.405716484789025</v>
      </c>
      <c r="M39" s="131">
        <f t="shared" si="12"/>
        <v>20.69378198282633</v>
      </c>
      <c r="N39" s="131">
        <f t="shared" si="12"/>
        <v>20.985914073243343</v>
      </c>
      <c r="O39" s="131">
        <f t="shared" si="12"/>
        <v>21.282170163725798</v>
      </c>
      <c r="P39" s="131">
        <f t="shared" si="12"/>
        <v>21.582608472378098</v>
      </c>
      <c r="Q39" s="131">
        <f t="shared" si="12"/>
        <v>21.887288039163916</v>
      </c>
      <c r="R39" s="131">
        <f t="shared" si="12"/>
        <v>22.196268737508305</v>
      </c>
      <c r="S39" s="131">
        <f t="shared" si="12"/>
        <v>22.509611286063581</v>
      </c>
      <c r="T39" s="131">
        <f t="shared" si="12"/>
        <v>22.827377260641324</v>
      </c>
      <c r="U39" s="131">
        <f t="shared" si="12"/>
        <v>23.149629106312801</v>
      </c>
      <c r="V39" s="131">
        <f t="shared" si="12"/>
        <v>23.476430149680226</v>
      </c>
      <c r="W39" s="131">
        <f t="shared" si="12"/>
        <v>23.807844611321247</v>
      </c>
      <c r="X39" s="131">
        <f t="shared" si="12"/>
        <v>24.143937618409108</v>
      </c>
      <c r="Y39" s="94">
        <f>X39*'ACT ECON'!$Q$6</f>
        <v>5.7221132155629579</v>
      </c>
      <c r="Z39" s="94"/>
      <c r="AA39" s="94"/>
      <c r="AB39" s="94"/>
      <c r="AC39" s="94"/>
    </row>
    <row r="40" spans="1:29" x14ac:dyDescent="0.2">
      <c r="A40" s="1553"/>
      <c r="B40" s="52">
        <v>11</v>
      </c>
      <c r="C40" s="49" t="str">
        <f>'DEM REFER'!C40</f>
        <v>ABANCAY</v>
      </c>
      <c r="D40" s="49" t="str">
        <f>'DEM REFER'!D40</f>
        <v>ABANCAY</v>
      </c>
      <c r="E40" s="49" t="str">
        <f>'DEM REFER'!E40</f>
        <v>QUISAPATA BAJA</v>
      </c>
      <c r="F40" s="201">
        <f>'DEM REFER'!F40</f>
        <v>67</v>
      </c>
      <c r="G40" s="50">
        <f>'ACT ECON'!$Q$16</f>
        <v>0.17699999999999999</v>
      </c>
      <c r="H40" s="58">
        <f t="shared" si="10"/>
        <v>11.859</v>
      </c>
      <c r="I40" s="131">
        <f t="shared" si="1"/>
        <v>12.026412339761308</v>
      </c>
      <c r="J40" s="131">
        <f t="shared" ref="J40:X40" si="13">+I40*(1+$J$19)</f>
        <v>12.196188023101699</v>
      </c>
      <c r="K40" s="131">
        <f t="shared" si="13"/>
        <v>12.368360413110663</v>
      </c>
      <c r="L40" s="131">
        <f t="shared" si="13"/>
        <v>12.542963343861146</v>
      </c>
      <c r="M40" s="131">
        <f t="shared" si="13"/>
        <v>12.720031127058389</v>
      </c>
      <c r="N40" s="131">
        <f t="shared" si="13"/>
        <v>12.899598558782607</v>
      </c>
      <c r="O40" s="131">
        <f t="shared" si="13"/>
        <v>13.081700926326867</v>
      </c>
      <c r="P40" s="131">
        <f t="shared" si="13"/>
        <v>13.266374015131492</v>
      </c>
      <c r="Q40" s="131">
        <f t="shared" si="13"/>
        <v>13.453654115816354</v>
      </c>
      <c r="R40" s="131">
        <f t="shared" si="13"/>
        <v>13.643578031312448</v>
      </c>
      <c r="S40" s="131">
        <f t="shared" si="13"/>
        <v>13.836183084094131</v>
      </c>
      <c r="T40" s="131">
        <f t="shared" si="13"/>
        <v>14.031507123513476</v>
      </c>
      <c r="U40" s="131">
        <f t="shared" si="13"/>
        <v>14.229588533238145</v>
      </c>
      <c r="V40" s="131">
        <f t="shared" si="13"/>
        <v>14.430466238794269</v>
      </c>
      <c r="W40" s="131">
        <f t="shared" si="13"/>
        <v>14.634179715215813</v>
      </c>
      <c r="X40" s="131">
        <f t="shared" si="13"/>
        <v>14.840768994801929</v>
      </c>
      <c r="Y40" s="94">
        <f>X40*'ACT ECON'!$Q$6</f>
        <v>3.5172622517680567</v>
      </c>
      <c r="Z40" s="94"/>
      <c r="AA40" s="94"/>
      <c r="AB40" s="94"/>
      <c r="AC40" s="94"/>
    </row>
    <row r="41" spans="1:29" x14ac:dyDescent="0.2">
      <c r="A41" s="1553"/>
      <c r="B41" s="52">
        <v>12</v>
      </c>
      <c r="C41" s="49" t="str">
        <f>'DEM REFER'!C41</f>
        <v>ABANCAY</v>
      </c>
      <c r="D41" s="49" t="str">
        <f>'DEM REFER'!D41</f>
        <v>ABANCAY</v>
      </c>
      <c r="E41" s="49" t="str">
        <f>'DEM REFER'!E41</f>
        <v>SAN GABRIEL</v>
      </c>
      <c r="F41" s="201">
        <f>'DEM REFER'!F41</f>
        <v>323</v>
      </c>
      <c r="G41" s="50">
        <f>'ACT ECON'!$Q$16</f>
        <v>0.17699999999999999</v>
      </c>
      <c r="H41" s="58">
        <f t="shared" si="10"/>
        <v>57.170999999999999</v>
      </c>
      <c r="I41" s="131">
        <f t="shared" si="1"/>
        <v>57.978077399147793</v>
      </c>
      <c r="J41" s="131">
        <f t="shared" ref="J41:X41" si="14">+I41*(1+$J$19)</f>
        <v>58.796548230773858</v>
      </c>
      <c r="K41" s="131">
        <f t="shared" si="14"/>
        <v>59.626573334846917</v>
      </c>
      <c r="L41" s="131">
        <f t="shared" si="14"/>
        <v>60.468315821897754</v>
      </c>
      <c r="M41" s="131">
        <f t="shared" si="14"/>
        <v>61.321941105072526</v>
      </c>
      <c r="N41" s="131">
        <f t="shared" si="14"/>
        <v>62.187616932638534</v>
      </c>
      <c r="O41" s="131">
        <f t="shared" si="14"/>
        <v>63.065513420948925</v>
      </c>
      <c r="P41" s="131">
        <f t="shared" si="14"/>
        <v>63.95580308787271</v>
      </c>
      <c r="Q41" s="131">
        <f t="shared" si="14"/>
        <v>64.85866088669674</v>
      </c>
      <c r="R41" s="131">
        <f t="shared" si="14"/>
        <v>65.774264240506255</v>
      </c>
      <c r="S41" s="131">
        <f t="shared" si="14"/>
        <v>66.702793077050785</v>
      </c>
      <c r="T41" s="131">
        <f t="shared" si="14"/>
        <v>67.644429864102264</v>
      </c>
      <c r="U41" s="131">
        <f t="shared" si="14"/>
        <v>68.599359645312234</v>
      </c>
      <c r="V41" s="131">
        <f t="shared" si="14"/>
        <v>69.567770076575343</v>
      </c>
      <c r="W41" s="131">
        <f t="shared" si="14"/>
        <v>70.549851462906076</v>
      </c>
      <c r="X41" s="131">
        <f t="shared" si="14"/>
        <v>71.545796795836154</v>
      </c>
      <c r="Y41" s="94">
        <f>X41*'ACT ECON'!$Q$6</f>
        <v>16.956353840613168</v>
      </c>
      <c r="Z41" s="94">
        <f>SUM(Y30:Y41)</f>
        <v>81.894464369524911</v>
      </c>
      <c r="AA41" s="94"/>
      <c r="AB41" s="94"/>
      <c r="AC41" s="94"/>
    </row>
    <row r="42" spans="1:29" x14ac:dyDescent="0.2">
      <c r="A42" s="1554">
        <f>'DEM REFER'!A42:A44</f>
        <v>2</v>
      </c>
      <c r="B42" s="52">
        <v>15</v>
      </c>
      <c r="C42" s="49" t="str">
        <f>'DEM REFER'!C42</f>
        <v>ABANCAY</v>
      </c>
      <c r="D42" s="49" t="str">
        <f>'DEM REFER'!D42</f>
        <v>PICHIRHUA</v>
      </c>
      <c r="E42" s="49" t="str">
        <f>'DEM REFER'!E42</f>
        <v>CUITAPE</v>
      </c>
      <c r="F42" s="201">
        <f>'DEM REFER'!F42</f>
        <v>80</v>
      </c>
      <c r="G42" s="50">
        <f>'ACT ECON'!$Q$16</f>
        <v>0.17699999999999999</v>
      </c>
      <c r="H42" s="58">
        <f t="shared" si="10"/>
        <v>14.16</v>
      </c>
      <c r="I42" s="131">
        <f t="shared" si="1"/>
        <v>14.359895331058278</v>
      </c>
      <c r="J42" s="131">
        <f t="shared" ref="J42:X42" si="15">+I42*(1+$J$19)</f>
        <v>14.562612564897551</v>
      </c>
      <c r="K42" s="131">
        <f t="shared" si="15"/>
        <v>14.768191538042581</v>
      </c>
      <c r="L42" s="131">
        <f t="shared" si="15"/>
        <v>14.976672649386442</v>
      </c>
      <c r="M42" s="131">
        <f t="shared" si="15"/>
        <v>15.188096868129419</v>
      </c>
      <c r="N42" s="131">
        <f t="shared" si="15"/>
        <v>15.402505741829978</v>
      </c>
      <c r="O42" s="131">
        <f t="shared" si="15"/>
        <v>15.619941404569394</v>
      </c>
      <c r="P42" s="131">
        <f t="shared" si="15"/>
        <v>15.840446585231632</v>
      </c>
      <c r="Q42" s="131">
        <f t="shared" si="15"/>
        <v>16.064064615900122</v>
      </c>
      <c r="R42" s="131">
        <f t="shared" si="15"/>
        <v>16.29083944037307</v>
      </c>
      <c r="S42" s="131">
        <f t="shared" si="15"/>
        <v>16.52081562279896</v>
      </c>
      <c r="T42" s="131">
        <f t="shared" si="15"/>
        <v>16.754038356433998</v>
      </c>
      <c r="U42" s="131">
        <f t="shared" si="15"/>
        <v>16.990553472523153</v>
      </c>
      <c r="V42" s="131">
        <f t="shared" si="15"/>
        <v>17.230407449306586</v>
      </c>
      <c r="W42" s="131">
        <f t="shared" si="15"/>
        <v>17.473647421153206</v>
      </c>
      <c r="X42" s="131">
        <f t="shared" si="15"/>
        <v>17.720321187823195</v>
      </c>
      <c r="Y42" s="94">
        <f>X42*'ACT ECON'!$Q$6</f>
        <v>4.199716121514097</v>
      </c>
      <c r="Z42" s="94"/>
      <c r="AA42" s="94"/>
      <c r="AB42" s="94"/>
      <c r="AC42" s="94"/>
    </row>
    <row r="43" spans="1:29" x14ac:dyDescent="0.2">
      <c r="A43" s="1554"/>
      <c r="B43" s="52">
        <v>16</v>
      </c>
      <c r="C43" s="49" t="str">
        <f>'DEM REFER'!C43</f>
        <v>ABANCAY</v>
      </c>
      <c r="D43" s="49" t="str">
        <f>'DEM REFER'!D43</f>
        <v>PICHIRHUA</v>
      </c>
      <c r="E43" s="49" t="str">
        <f>'DEM REFER'!E43</f>
        <v>COMUNPATA</v>
      </c>
      <c r="F43" s="201">
        <f>'DEM REFER'!F43</f>
        <v>56</v>
      </c>
      <c r="G43" s="50">
        <f>'ACT ECON'!$Q$16</f>
        <v>0.17699999999999999</v>
      </c>
      <c r="H43" s="58">
        <f t="shared" si="10"/>
        <v>9.911999999999999</v>
      </c>
      <c r="I43" s="131">
        <f t="shared" si="1"/>
        <v>10.051926731740794</v>
      </c>
      <c r="J43" s="131">
        <f t="shared" ref="J43:T43" si="16">+I43*(1+$J$19)</f>
        <v>10.193828795428285</v>
      </c>
      <c r="K43" s="131">
        <f t="shared" si="16"/>
        <v>10.337734076629806</v>
      </c>
      <c r="L43" s="131">
        <f t="shared" si="16"/>
        <v>10.483670854570509</v>
      </c>
      <c r="M43" s="131">
        <f t="shared" si="16"/>
        <v>10.631667807690592</v>
      </c>
      <c r="N43" s="131">
        <f t="shared" si="16"/>
        <v>10.781754019280983</v>
      </c>
      <c r="O43" s="131">
        <f t="shared" si="16"/>
        <v>10.933958983198574</v>
      </c>
      <c r="P43" s="131">
        <f t="shared" si="16"/>
        <v>11.088312609662141</v>
      </c>
      <c r="Q43" s="131">
        <f t="shared" si="16"/>
        <v>11.244845231130085</v>
      </c>
      <c r="R43" s="131">
        <f t="shared" si="16"/>
        <v>11.403587608261148</v>
      </c>
      <c r="S43" s="131">
        <f t="shared" si="16"/>
        <v>11.564570935959273</v>
      </c>
      <c r="T43" s="131">
        <f t="shared" si="16"/>
        <v>11.727826849503801</v>
      </c>
      <c r="U43" s="131">
        <f t="shared" ref="J43:X58" si="17">+T43*(1+$J$19)</f>
        <v>11.893387430766211</v>
      </c>
      <c r="V43" s="131">
        <f t="shared" si="17"/>
        <v>12.061285214514612</v>
      </c>
      <c r="W43" s="131">
        <f t="shared" si="17"/>
        <v>12.231553194807248</v>
      </c>
      <c r="X43" s="131">
        <f t="shared" si="17"/>
        <v>12.40422483147624</v>
      </c>
      <c r="Y43" s="94">
        <f>X43*'ACT ECON'!$Q$6</f>
        <v>2.9398012850598687</v>
      </c>
      <c r="Z43" s="94"/>
      <c r="AA43" s="94"/>
      <c r="AB43" s="94"/>
      <c r="AC43" s="94"/>
    </row>
    <row r="44" spans="1:29" x14ac:dyDescent="0.2">
      <c r="A44" s="1554"/>
      <c r="B44" s="52">
        <v>17</v>
      </c>
      <c r="C44" s="49" t="str">
        <f>'DEM REFER'!C44</f>
        <v>ABANCAY</v>
      </c>
      <c r="D44" s="49" t="str">
        <f>'DEM REFER'!D44</f>
        <v>PICHIRHUA</v>
      </c>
      <c r="E44" s="49" t="str">
        <f>'DEM REFER'!E44</f>
        <v>COTARMA</v>
      </c>
      <c r="F44" s="201">
        <f>'DEM REFER'!F44</f>
        <v>71</v>
      </c>
      <c r="G44" s="50">
        <f>'ACT ECON'!$Q$16</f>
        <v>0.17699999999999999</v>
      </c>
      <c r="H44" s="58">
        <f t="shared" si="10"/>
        <v>12.567</v>
      </c>
      <c r="I44" s="131">
        <f t="shared" si="1"/>
        <v>12.744407106314222</v>
      </c>
      <c r="J44" s="131">
        <f t="shared" si="17"/>
        <v>12.924318651346578</v>
      </c>
      <c r="K44" s="131">
        <f t="shared" si="17"/>
        <v>13.106769990012792</v>
      </c>
      <c r="L44" s="131">
        <f t="shared" si="17"/>
        <v>13.291796976330469</v>
      </c>
      <c r="M44" s="131">
        <f t="shared" si="17"/>
        <v>13.479435970464861</v>
      </c>
      <c r="N44" s="131">
        <f t="shared" si="17"/>
        <v>13.669723845874108</v>
      </c>
      <c r="O44" s="131">
        <f t="shared" si="17"/>
        <v>13.86269799655534</v>
      </c>
      <c r="P44" s="131">
        <f t="shared" si="17"/>
        <v>14.058396344393078</v>
      </c>
      <c r="Q44" s="131">
        <f t="shared" si="17"/>
        <v>14.256857346611364</v>
      </c>
      <c r="R44" s="131">
        <f t="shared" si="17"/>
        <v>14.458120003331103</v>
      </c>
      <c r="S44" s="131">
        <f t="shared" si="17"/>
        <v>14.662223865234083</v>
      </c>
      <c r="T44" s="131">
        <f t="shared" si="17"/>
        <v>14.86920904133518</v>
      </c>
      <c r="U44" s="131">
        <f t="shared" si="17"/>
        <v>15.079116206864306</v>
      </c>
      <c r="V44" s="131">
        <f t="shared" si="17"/>
        <v>15.291986611259601</v>
      </c>
      <c r="W44" s="131">
        <f t="shared" si="17"/>
        <v>15.507862086273477</v>
      </c>
      <c r="X44" s="131">
        <f t="shared" si="17"/>
        <v>15.726785054193092</v>
      </c>
      <c r="Y44" s="94">
        <f>X44*'ACT ECON'!$Q$6</f>
        <v>3.7272480578437626</v>
      </c>
      <c r="Z44" s="94"/>
      <c r="AA44" s="94"/>
      <c r="AB44" s="94"/>
      <c r="AC44" s="94"/>
    </row>
    <row r="45" spans="1:29" x14ac:dyDescent="0.2">
      <c r="A45" s="1549">
        <f>'DEM REFER'!A45:A53</f>
        <v>3</v>
      </c>
      <c r="B45" s="52">
        <v>28</v>
      </c>
      <c r="C45" s="49" t="str">
        <f>'DEM REFER'!C45</f>
        <v>ABANCAY</v>
      </c>
      <c r="D45" s="49" t="str">
        <f>'DEM REFER'!D45</f>
        <v>CHACOCHE</v>
      </c>
      <c r="E45" s="49" t="str">
        <f>'DEM REFER'!E45</f>
        <v>CHACOCHE</v>
      </c>
      <c r="F45" s="201">
        <f>'DEM REFER'!F45</f>
        <v>199</v>
      </c>
      <c r="G45" s="50">
        <f>'ACT ECON'!$Q$16</f>
        <v>0.17699999999999999</v>
      </c>
      <c r="H45" s="58">
        <f t="shared" si="10"/>
        <v>35.222999999999999</v>
      </c>
      <c r="I45" s="131">
        <f t="shared" si="1"/>
        <v>35.720239636007463</v>
      </c>
      <c r="J45" s="131">
        <f t="shared" si="17"/>
        <v>36.224498755182658</v>
      </c>
      <c r="K45" s="131">
        <f t="shared" si="17"/>
        <v>36.735876450880923</v>
      </c>
      <c r="L45" s="131">
        <f t="shared" si="17"/>
        <v>37.254473215348781</v>
      </c>
      <c r="M45" s="131">
        <f t="shared" si="17"/>
        <v>37.780390959471937</v>
      </c>
      <c r="N45" s="131">
        <f t="shared" si="17"/>
        <v>38.313733032802077</v>
      </c>
      <c r="O45" s="131">
        <f t="shared" si="17"/>
        <v>38.854604243866376</v>
      </c>
      <c r="P45" s="131">
        <f t="shared" si="17"/>
        <v>39.403110880763698</v>
      </c>
      <c r="Q45" s="131">
        <f t="shared" si="17"/>
        <v>39.959360732051572</v>
      </c>
      <c r="R45" s="131">
        <f t="shared" si="17"/>
        <v>40.523463107928023</v>
      </c>
      <c r="S45" s="131">
        <f t="shared" si="17"/>
        <v>41.095528861712431</v>
      </c>
      <c r="T45" s="131">
        <f t="shared" si="17"/>
        <v>41.675670411629596</v>
      </c>
      <c r="U45" s="131">
        <f t="shared" si="17"/>
        <v>42.264001762901373</v>
      </c>
      <c r="V45" s="131">
        <f t="shared" si="17"/>
        <v>42.860638530150155</v>
      </c>
      <c r="W45" s="131">
        <f t="shared" si="17"/>
        <v>43.465697960118625</v>
      </c>
      <c r="X45" s="131">
        <f t="shared" si="17"/>
        <v>44.079298954710225</v>
      </c>
      <c r="Y45" s="94">
        <f>X45*'ACT ECON'!$Q$6</f>
        <v>10.446793852266323</v>
      </c>
      <c r="Z45" s="94"/>
      <c r="AA45" s="94"/>
      <c r="AB45" s="94"/>
      <c r="AC45" s="94"/>
    </row>
    <row r="46" spans="1:29" x14ac:dyDescent="0.2">
      <c r="A46" s="1549"/>
      <c r="B46" s="52">
        <v>29</v>
      </c>
      <c r="C46" s="49" t="str">
        <f>'DEM REFER'!C46</f>
        <v>ABANCAY</v>
      </c>
      <c r="D46" s="49" t="str">
        <f>'DEM REFER'!D46</f>
        <v>CHACOCHE</v>
      </c>
      <c r="E46" s="49" t="str">
        <f>'DEM REFER'!E46</f>
        <v>ANCHICHA</v>
      </c>
      <c r="F46" s="201">
        <f>'DEM REFER'!F46</f>
        <v>186</v>
      </c>
      <c r="G46" s="50">
        <f>'ACT ECON'!$Q$16</f>
        <v>0.17699999999999999</v>
      </c>
      <c r="H46" s="58">
        <f t="shared" si="10"/>
        <v>32.921999999999997</v>
      </c>
      <c r="I46" s="131">
        <f t="shared" si="1"/>
        <v>33.386756644710495</v>
      </c>
      <c r="J46" s="131">
        <f t="shared" si="17"/>
        <v>33.858074213386807</v>
      </c>
      <c r="K46" s="131">
        <f t="shared" si="17"/>
        <v>34.336045325949001</v>
      </c>
      <c r="L46" s="131">
        <f t="shared" si="17"/>
        <v>34.820763909823476</v>
      </c>
      <c r="M46" s="131">
        <f t="shared" si="17"/>
        <v>35.3123252184009</v>
      </c>
      <c r="N46" s="131">
        <f t="shared" si="17"/>
        <v>35.8108258497547</v>
      </c>
      <c r="O46" s="131">
        <f t="shared" si="17"/>
        <v>36.316363765623841</v>
      </c>
      <c r="P46" s="131">
        <f t="shared" si="17"/>
        <v>36.829038310663549</v>
      </c>
      <c r="Q46" s="131">
        <f t="shared" si="17"/>
        <v>37.348950231967791</v>
      </c>
      <c r="R46" s="131">
        <f t="shared" si="17"/>
        <v>37.876201698867391</v>
      </c>
      <c r="S46" s="131">
        <f t="shared" si="17"/>
        <v>38.410896323007591</v>
      </c>
      <c r="T46" s="131">
        <f t="shared" si="17"/>
        <v>38.953139178709058</v>
      </c>
      <c r="U46" s="131">
        <f t="shared" si="17"/>
        <v>39.503036823616348</v>
      </c>
      <c r="V46" s="131">
        <f t="shared" si="17"/>
        <v>40.060697319637825</v>
      </c>
      <c r="W46" s="131">
        <f t="shared" si="17"/>
        <v>40.626230254181216</v>
      </c>
      <c r="X46" s="131">
        <f t="shared" si="17"/>
        <v>41.199746761688942</v>
      </c>
      <c r="Y46" s="94">
        <f>X46*'ACT ECON'!$Q$6</f>
        <v>9.7643399825202781</v>
      </c>
      <c r="Z46" s="94"/>
      <c r="AA46" s="94"/>
      <c r="AB46" s="94"/>
      <c r="AC46" s="94"/>
    </row>
    <row r="47" spans="1:29" x14ac:dyDescent="0.2">
      <c r="A47" s="1555">
        <v>4</v>
      </c>
      <c r="B47" s="52">
        <v>33</v>
      </c>
      <c r="C47" s="49" t="str">
        <f>'DEM REFER'!C47</f>
        <v>ABANCAY</v>
      </c>
      <c r="D47" s="49" t="str">
        <f>'DEM REFER'!D47</f>
        <v>LAMBRAMA</v>
      </c>
      <c r="E47" s="49" t="str">
        <f>'DEM REFER'!E47</f>
        <v>LAMBRAMA</v>
      </c>
      <c r="F47" s="201">
        <f>'DEM REFER'!F47</f>
        <v>579</v>
      </c>
      <c r="G47" s="50">
        <f>'ACT ECON'!$Q$16</f>
        <v>0.17699999999999999</v>
      </c>
      <c r="H47" s="58">
        <f t="shared" si="10"/>
        <v>102.48299999999999</v>
      </c>
      <c r="I47" s="131">
        <f t="shared" si="1"/>
        <v>103.92974245853428</v>
      </c>
      <c r="J47" s="131">
        <f t="shared" si="17"/>
        <v>105.39690843844602</v>
      </c>
      <c r="K47" s="131">
        <f t="shared" si="17"/>
        <v>106.88478625658318</v>
      </c>
      <c r="L47" s="131">
        <f t="shared" si="17"/>
        <v>108.39366829993438</v>
      </c>
      <c r="M47" s="131">
        <f t="shared" si="17"/>
        <v>109.92385108308667</v>
      </c>
      <c r="N47" s="131">
        <f t="shared" si="17"/>
        <v>111.47563530649447</v>
      </c>
      <c r="O47" s="131">
        <f t="shared" si="17"/>
        <v>113.04932591557099</v>
      </c>
      <c r="P47" s="131">
        <f t="shared" si="17"/>
        <v>114.64523216061394</v>
      </c>
      <c r="Q47" s="131">
        <f t="shared" si="17"/>
        <v>116.26366765757716</v>
      </c>
      <c r="R47" s="131">
        <f t="shared" si="17"/>
        <v>117.90495044970011</v>
      </c>
      <c r="S47" s="131">
        <f t="shared" si="17"/>
        <v>119.5694030700075</v>
      </c>
      <c r="T47" s="131">
        <f t="shared" si="17"/>
        <v>121.25735260469109</v>
      </c>
      <c r="U47" s="131">
        <f t="shared" si="17"/>
        <v>122.96913075738637</v>
      </c>
      <c r="V47" s="131">
        <f t="shared" si="17"/>
        <v>124.70507391435645</v>
      </c>
      <c r="W47" s="131">
        <f t="shared" si="17"/>
        <v>126.46552321059637</v>
      </c>
      <c r="X47" s="131">
        <f t="shared" si="17"/>
        <v>128.25082459687042</v>
      </c>
      <c r="Y47" s="94">
        <f>X47*'ACT ECON'!$Q$6</f>
        <v>30.395445429458288</v>
      </c>
      <c r="Z47" s="94"/>
      <c r="AA47" s="94"/>
      <c r="AB47" s="94"/>
      <c r="AC47" s="94"/>
    </row>
    <row r="48" spans="1:29" x14ac:dyDescent="0.2">
      <c r="A48" s="1555"/>
      <c r="B48" s="52">
        <v>34</v>
      </c>
      <c r="C48" s="49" t="str">
        <f>'DEM REFER'!C48</f>
        <v>ABANCAY</v>
      </c>
      <c r="D48" s="49" t="str">
        <f>'DEM REFER'!D48</f>
        <v>LAMBRAMA</v>
      </c>
      <c r="E48" s="49" t="str">
        <f>'DEM REFER'!E48</f>
        <v>SECCEBAMBA</v>
      </c>
      <c r="F48" s="201">
        <f>'DEM REFER'!F48</f>
        <v>248</v>
      </c>
      <c r="G48" s="50">
        <f>'ACT ECON'!$Q$16</f>
        <v>0.17699999999999999</v>
      </c>
      <c r="H48" s="58">
        <f t="shared" si="10"/>
        <v>43.896000000000001</v>
      </c>
      <c r="I48" s="131">
        <f t="shared" si="1"/>
        <v>44.51567552628066</v>
      </c>
      <c r="J48" s="131">
        <f t="shared" si="17"/>
        <v>45.144098951182407</v>
      </c>
      <c r="K48" s="131">
        <f t="shared" si="17"/>
        <v>45.781393767932002</v>
      </c>
      <c r="L48" s="131">
        <f t="shared" si="17"/>
        <v>46.427685213097973</v>
      </c>
      <c r="M48" s="131">
        <f t="shared" si="17"/>
        <v>47.083100291201205</v>
      </c>
      <c r="N48" s="131">
        <f t="shared" si="17"/>
        <v>47.747767799672943</v>
      </c>
      <c r="O48" s="131">
        <f t="shared" si="17"/>
        <v>48.421818354165133</v>
      </c>
      <c r="P48" s="131">
        <f t="shared" si="17"/>
        <v>49.105384414218072</v>
      </c>
      <c r="Q48" s="131">
        <f t="shared" si="17"/>
        <v>49.7986003092904</v>
      </c>
      <c r="R48" s="131">
        <f t="shared" si="17"/>
        <v>50.501602265156535</v>
      </c>
      <c r="S48" s="131">
        <f t="shared" si="17"/>
        <v>51.2145284306768</v>
      </c>
      <c r="T48" s="131">
        <f t="shared" si="17"/>
        <v>51.937518904945428</v>
      </c>
      <c r="U48" s="131">
        <f t="shared" si="17"/>
        <v>52.670715764821814</v>
      </c>
      <c r="V48" s="131">
        <f t="shared" si="17"/>
        <v>53.414263092850454</v>
      </c>
      <c r="W48" s="131">
        <f t="shared" si="17"/>
        <v>54.168307005574981</v>
      </c>
      <c r="X48" s="131">
        <f t="shared" si="17"/>
        <v>54.932995682251949</v>
      </c>
      <c r="Y48" s="94">
        <f>X48*'ACT ECON'!$Q$6</f>
        <v>13.019119976693711</v>
      </c>
      <c r="Z48" s="94"/>
      <c r="AA48" s="94"/>
      <c r="AB48" s="94"/>
      <c r="AC48" s="94"/>
    </row>
    <row r="49" spans="1:29" x14ac:dyDescent="0.2">
      <c r="A49" s="1555"/>
      <c r="B49" s="52">
        <v>35</v>
      </c>
      <c r="C49" s="49" t="str">
        <f>'DEM REFER'!C49</f>
        <v>ABANCAY</v>
      </c>
      <c r="D49" s="49" t="str">
        <f>'DEM REFER'!D49</f>
        <v>LAMBRAMA</v>
      </c>
      <c r="E49" s="49" t="str">
        <f>'DEM REFER'!E49</f>
        <v>SANTA ISABEL DE CAYPE</v>
      </c>
      <c r="F49" s="201">
        <f>'DEM REFER'!F49</f>
        <v>306</v>
      </c>
      <c r="G49" s="50">
        <f>'ACT ECON'!$Q$16</f>
        <v>0.17699999999999999</v>
      </c>
      <c r="H49" s="58">
        <f t="shared" si="10"/>
        <v>54.161999999999999</v>
      </c>
      <c r="I49" s="131">
        <f t="shared" si="1"/>
        <v>54.926599641297912</v>
      </c>
      <c r="J49" s="131">
        <f t="shared" si="17"/>
        <v>55.70199306073313</v>
      </c>
      <c r="K49" s="131">
        <f t="shared" si="17"/>
        <v>56.488332633012874</v>
      </c>
      <c r="L49" s="131">
        <f t="shared" si="17"/>
        <v>57.285772883903142</v>
      </c>
      <c r="M49" s="131">
        <f t="shared" si="17"/>
        <v>58.094470520595031</v>
      </c>
      <c r="N49" s="131">
        <f t="shared" si="17"/>
        <v>58.914584462499668</v>
      </c>
      <c r="O49" s="131">
        <f t="shared" si="17"/>
        <v>59.746275872477931</v>
      </c>
      <c r="P49" s="131">
        <f t="shared" si="17"/>
        <v>60.58970818851099</v>
      </c>
      <c r="Q49" s="131">
        <f t="shared" si="17"/>
        <v>61.445047155817967</v>
      </c>
      <c r="R49" s="131">
        <f t="shared" si="17"/>
        <v>62.312460859426984</v>
      </c>
      <c r="S49" s="131">
        <f t="shared" si="17"/>
        <v>63.192119757206022</v>
      </c>
      <c r="T49" s="131">
        <f t="shared" si="17"/>
        <v>64.084196713360043</v>
      </c>
      <c r="U49" s="131">
        <f t="shared" si="17"/>
        <v>64.98886703240106</v>
      </c>
      <c r="V49" s="131">
        <f t="shared" si="17"/>
        <v>65.906308493597692</v>
      </c>
      <c r="W49" s="131">
        <f t="shared" si="17"/>
        <v>66.836701385911013</v>
      </c>
      <c r="X49" s="131">
        <f t="shared" si="17"/>
        <v>67.780228543423718</v>
      </c>
      <c r="Y49" s="94">
        <f>X49*'ACT ECON'!$Q$6</f>
        <v>16.06391416479142</v>
      </c>
      <c r="Z49" s="94"/>
      <c r="AA49" s="94"/>
      <c r="AB49" s="94"/>
      <c r="AC49" s="94"/>
    </row>
    <row r="50" spans="1:29" x14ac:dyDescent="0.2">
      <c r="A50" s="1555"/>
      <c r="B50" s="52">
        <v>36</v>
      </c>
      <c r="C50" s="49" t="str">
        <f>'DEM REFER'!C50</f>
        <v>ABANCAY</v>
      </c>
      <c r="D50" s="49" t="str">
        <f>'DEM REFER'!D50</f>
        <v>LAMBRAMA</v>
      </c>
      <c r="E50" s="49" t="str">
        <f>'DEM REFER'!E50</f>
        <v>HUAYRAPAMPA</v>
      </c>
      <c r="F50" s="201">
        <f>'DEM REFER'!F50</f>
        <v>54</v>
      </c>
      <c r="G50" s="50">
        <f>'ACT ECON'!$Q$16</f>
        <v>0.17699999999999999</v>
      </c>
      <c r="H50" s="58">
        <f t="shared" si="10"/>
        <v>9.5579999999999998</v>
      </c>
      <c r="I50" s="131">
        <f t="shared" si="1"/>
        <v>9.6929293484643377</v>
      </c>
      <c r="J50" s="131">
        <f t="shared" si="17"/>
        <v>9.8297634813058465</v>
      </c>
      <c r="K50" s="131">
        <f t="shared" si="17"/>
        <v>9.9685292881787415</v>
      </c>
      <c r="L50" s="131">
        <f t="shared" si="17"/>
        <v>10.109254038335848</v>
      </c>
      <c r="M50" s="131">
        <f t="shared" si="17"/>
        <v>10.251965385987358</v>
      </c>
      <c r="N50" s="131">
        <f t="shared" si="17"/>
        <v>10.396691375735235</v>
      </c>
      <c r="O50" s="131">
        <f t="shared" si="17"/>
        <v>10.543460448084341</v>
      </c>
      <c r="P50" s="131">
        <f t="shared" si="17"/>
        <v>10.692301445031353</v>
      </c>
      <c r="Q50" s="131">
        <f t="shared" si="17"/>
        <v>10.843243615732584</v>
      </c>
      <c r="R50" s="131">
        <f t="shared" si="17"/>
        <v>10.996316622251824</v>
      </c>
      <c r="S50" s="131">
        <f t="shared" si="17"/>
        <v>11.1515505453893</v>
      </c>
      <c r="T50" s="131">
        <f t="shared" si="17"/>
        <v>11.308975890592952</v>
      </c>
      <c r="U50" s="131">
        <f t="shared" si="17"/>
        <v>11.468623593953133</v>
      </c>
      <c r="V50" s="131">
        <f t="shared" si="17"/>
        <v>11.63052502828195</v>
      </c>
      <c r="W50" s="131">
        <f t="shared" si="17"/>
        <v>11.794712009278419</v>
      </c>
      <c r="X50" s="131">
        <f t="shared" si="17"/>
        <v>11.961216801780662</v>
      </c>
      <c r="Y50" s="94">
        <f>X50*'ACT ECON'!$Q$6</f>
        <v>2.8348083820220169</v>
      </c>
      <c r="Z50" s="94"/>
      <c r="AA50" s="94"/>
      <c r="AB50" s="94"/>
      <c r="AC50" s="94"/>
    </row>
    <row r="51" spans="1:29" x14ac:dyDescent="0.2">
      <c r="A51" s="1555"/>
      <c r="B51" s="52">
        <v>37</v>
      </c>
      <c r="C51" s="49" t="str">
        <f>'DEM REFER'!C51</f>
        <v>ABANCAY</v>
      </c>
      <c r="D51" s="49" t="str">
        <f>'DEM REFER'!D51</f>
        <v>LAMBRAMA</v>
      </c>
      <c r="E51" s="49" t="str">
        <f>'DEM REFER'!E51</f>
        <v>PICHIUCA</v>
      </c>
      <c r="F51" s="201">
        <f>'DEM REFER'!F51</f>
        <v>86</v>
      </c>
      <c r="G51" s="50">
        <f>'ACT ECON'!$Q$16</f>
        <v>0.17699999999999999</v>
      </c>
      <c r="H51" s="58">
        <f t="shared" si="10"/>
        <v>15.222</v>
      </c>
      <c r="I51" s="131">
        <f t="shared" si="1"/>
        <v>15.436887480887648</v>
      </c>
      <c r="J51" s="131">
        <f t="shared" si="17"/>
        <v>15.654808507264868</v>
      </c>
      <c r="K51" s="131">
        <f t="shared" si="17"/>
        <v>15.875805903395776</v>
      </c>
      <c r="L51" s="131">
        <f t="shared" si="17"/>
        <v>16.099923098090425</v>
      </c>
      <c r="M51" s="131">
        <f t="shared" si="17"/>
        <v>16.327204133239125</v>
      </c>
      <c r="N51" s="131">
        <f t="shared" si="17"/>
        <v>16.557693672467227</v>
      </c>
      <c r="O51" s="131">
        <f t="shared" si="17"/>
        <v>16.791437009912098</v>
      </c>
      <c r="P51" s="131">
        <f t="shared" si="17"/>
        <v>17.028480079124005</v>
      </c>
      <c r="Q51" s="131">
        <f t="shared" si="17"/>
        <v>17.268869462092635</v>
      </c>
      <c r="R51" s="131">
        <f t="shared" si="17"/>
        <v>17.512652398401052</v>
      </c>
      <c r="S51" s="131">
        <f t="shared" si="17"/>
        <v>17.759876794508884</v>
      </c>
      <c r="T51" s="131">
        <f t="shared" si="17"/>
        <v>18.010591233166551</v>
      </c>
      <c r="U51" s="131">
        <f t="shared" si="17"/>
        <v>18.264844982962394</v>
      </c>
      <c r="V51" s="131">
        <f t="shared" si="17"/>
        <v>18.522688008004582</v>
      </c>
      <c r="W51" s="131">
        <f t="shared" si="17"/>
        <v>18.784170977739699</v>
      </c>
      <c r="X51" s="131">
        <f t="shared" si="17"/>
        <v>19.049345276909936</v>
      </c>
      <c r="Y51" s="94">
        <f>X51*'ACT ECON'!$Q$6</f>
        <v>4.5146948306276542</v>
      </c>
      <c r="Z51" s="94"/>
      <c r="AA51" s="94"/>
      <c r="AB51" s="94"/>
      <c r="AC51" s="94"/>
    </row>
    <row r="52" spans="1:29" x14ac:dyDescent="0.2">
      <c r="A52" s="1555"/>
      <c r="B52" s="52">
        <v>38</v>
      </c>
      <c r="C52" s="49" t="str">
        <f>'DEM REFER'!C52</f>
        <v>ABANCAY</v>
      </c>
      <c r="D52" s="49" t="str">
        <f>'DEM REFER'!D52</f>
        <v>LAMBRAMA</v>
      </c>
      <c r="E52" s="49" t="str">
        <f>'DEM REFER'!E52</f>
        <v>MARJUNI</v>
      </c>
      <c r="F52" s="201">
        <f>'DEM REFER'!F52</f>
        <v>173</v>
      </c>
      <c r="G52" s="50">
        <f>'ACT ECON'!$Q$16</f>
        <v>0.17699999999999999</v>
      </c>
      <c r="H52" s="58">
        <f t="shared" si="10"/>
        <v>30.620999999999999</v>
      </c>
      <c r="I52" s="131">
        <f t="shared" si="1"/>
        <v>31.053273653413523</v>
      </c>
      <c r="J52" s="131">
        <f t="shared" si="17"/>
        <v>31.491649671590952</v>
      </c>
      <c r="K52" s="131">
        <f t="shared" si="17"/>
        <v>31.93621420101708</v>
      </c>
      <c r="L52" s="131">
        <f t="shared" si="17"/>
        <v>32.387054604298179</v>
      </c>
      <c r="M52" s="131">
        <f t="shared" si="17"/>
        <v>32.844259477329864</v>
      </c>
      <c r="N52" s="131">
        <f t="shared" si="17"/>
        <v>33.307918666707323</v>
      </c>
      <c r="O52" s="131">
        <f t="shared" si="17"/>
        <v>33.778123287381312</v>
      </c>
      <c r="P52" s="131">
        <f t="shared" si="17"/>
        <v>34.254965740563406</v>
      </c>
      <c r="Q52" s="131">
        <f t="shared" si="17"/>
        <v>34.738539731884018</v>
      </c>
      <c r="R52" s="131">
        <f t="shared" si="17"/>
        <v>35.228940289806765</v>
      </c>
      <c r="S52" s="131">
        <f t="shared" si="17"/>
        <v>35.726263784302752</v>
      </c>
      <c r="T52" s="131">
        <f t="shared" si="17"/>
        <v>36.230607945788528</v>
      </c>
      <c r="U52" s="131">
        <f t="shared" si="17"/>
        <v>36.742071884331331</v>
      </c>
      <c r="V52" s="131">
        <f t="shared" si="17"/>
        <v>37.260756109125502</v>
      </c>
      <c r="W52" s="131">
        <f t="shared" si="17"/>
        <v>37.786762548243821</v>
      </c>
      <c r="X52" s="131">
        <f t="shared" si="17"/>
        <v>38.320194568667674</v>
      </c>
      <c r="Y52" s="94">
        <f>X52*'ACT ECON'!$Q$6</f>
        <v>9.0818861127742387</v>
      </c>
      <c r="Z52" s="94"/>
      <c r="AA52" s="94"/>
      <c r="AB52" s="94"/>
      <c r="AC52" s="94"/>
    </row>
    <row r="53" spans="1:29" x14ac:dyDescent="0.2">
      <c r="A53" s="1555"/>
      <c r="B53" s="52">
        <v>39</v>
      </c>
      <c r="C53" s="49" t="str">
        <f>'DEM REFER'!C53</f>
        <v>ABANCAY</v>
      </c>
      <c r="D53" s="49" t="str">
        <f>'DEM REFER'!D53</f>
        <v>LAMBRAMA</v>
      </c>
      <c r="E53" s="49" t="str">
        <f>'DEM REFER'!E53</f>
        <v>ATANCAMA</v>
      </c>
      <c r="F53" s="201">
        <f>'DEM REFER'!F53</f>
        <v>256</v>
      </c>
      <c r="G53" s="50">
        <f>'ACT ECON'!$Q$16</f>
        <v>0.17699999999999999</v>
      </c>
      <c r="H53" s="58">
        <f t="shared" si="10"/>
        <v>45.311999999999998</v>
      </c>
      <c r="I53" s="131">
        <f t="shared" si="1"/>
        <v>45.951665059386485</v>
      </c>
      <c r="J53" s="131">
        <f t="shared" si="17"/>
        <v>46.600360207672161</v>
      </c>
      <c r="K53" s="131">
        <f t="shared" si="17"/>
        <v>47.258212921736259</v>
      </c>
      <c r="L53" s="131">
        <f t="shared" si="17"/>
        <v>47.925352478036615</v>
      </c>
      <c r="M53" s="131">
        <f t="shared" si="17"/>
        <v>48.601909978014142</v>
      </c>
      <c r="N53" s="131">
        <f t="shared" si="17"/>
        <v>49.288018373855934</v>
      </c>
      <c r="O53" s="131">
        <f t="shared" si="17"/>
        <v>49.983812494622065</v>
      </c>
      <c r="P53" s="131">
        <f t="shared" si="17"/>
        <v>50.689429072741227</v>
      </c>
      <c r="Q53" s="131">
        <f t="shared" si="17"/>
        <v>51.405006770880398</v>
      </c>
      <c r="R53" s="131">
        <f t="shared" si="17"/>
        <v>52.130686209193826</v>
      </c>
      <c r="S53" s="131">
        <f t="shared" si="17"/>
        <v>52.866609992956676</v>
      </c>
      <c r="T53" s="131">
        <f t="shared" si="17"/>
        <v>53.6129227405888</v>
      </c>
      <c r="U53" s="131">
        <f t="shared" si="17"/>
        <v>54.369771112074105</v>
      </c>
      <c r="V53" s="131">
        <f t="shared" si="17"/>
        <v>55.137303837781083</v>
      </c>
      <c r="W53" s="131">
        <f t="shared" si="17"/>
        <v>55.915671747690268</v>
      </c>
      <c r="X53" s="131">
        <f t="shared" si="17"/>
        <v>56.705027801034234</v>
      </c>
      <c r="Y53" s="94">
        <f>X53*'ACT ECON'!$Q$6</f>
        <v>13.439091588845113</v>
      </c>
      <c r="Z53" s="94"/>
      <c r="AA53" s="94"/>
      <c r="AB53" s="94"/>
      <c r="AC53" s="94"/>
    </row>
    <row r="54" spans="1:29" x14ac:dyDescent="0.2">
      <c r="A54" s="1556">
        <f>'DEM REFER'!A54:A74</f>
        <v>5</v>
      </c>
      <c r="B54" s="52">
        <v>46</v>
      </c>
      <c r="C54" s="49" t="str">
        <f>'DEM REFER'!C54</f>
        <v>ABANCAY</v>
      </c>
      <c r="D54" s="49" t="str">
        <f>'DEM REFER'!D54</f>
        <v>CIRCA</v>
      </c>
      <c r="E54" s="49" t="str">
        <f>'DEM REFER'!E54</f>
        <v>CIRCA</v>
      </c>
      <c r="F54" s="201">
        <f>'DEM REFER'!F54</f>
        <v>301</v>
      </c>
      <c r="G54" s="50">
        <f>'ACT ECON'!$Q$16</f>
        <v>0.17699999999999999</v>
      </c>
      <c r="H54" s="58">
        <f t="shared" si="10"/>
        <v>53.276999999999994</v>
      </c>
      <c r="I54" s="131">
        <f t="shared" si="1"/>
        <v>54.029106183106762</v>
      </c>
      <c r="J54" s="131">
        <f t="shared" si="17"/>
        <v>54.791829775427026</v>
      </c>
      <c r="K54" s="131">
        <f t="shared" si="17"/>
        <v>55.565320661885202</v>
      </c>
      <c r="L54" s="131">
        <f t="shared" si="17"/>
        <v>56.349730843316479</v>
      </c>
      <c r="M54" s="131">
        <f t="shared" si="17"/>
        <v>57.145214466336931</v>
      </c>
      <c r="N54" s="131">
        <f t="shared" si="17"/>
        <v>57.951927853635283</v>
      </c>
      <c r="O54" s="131">
        <f t="shared" si="17"/>
        <v>58.770029534692334</v>
      </c>
      <c r="P54" s="131">
        <f t="shared" si="17"/>
        <v>59.599680276934009</v>
      </c>
      <c r="Q54" s="131">
        <f t="shared" si="17"/>
        <v>60.441043117324206</v>
      </c>
      <c r="R54" s="131">
        <f t="shared" si="17"/>
        <v>61.294283394403664</v>
      </c>
      <c r="S54" s="131">
        <f t="shared" si="17"/>
        <v>62.159568780781079</v>
      </c>
      <c r="T54" s="131">
        <f t="shared" si="17"/>
        <v>63.037069316082913</v>
      </c>
      <c r="U54" s="131">
        <f t="shared" si="17"/>
        <v>63.926957440368362</v>
      </c>
      <c r="V54" s="131">
        <f t="shared" si="17"/>
        <v>64.829408028016019</v>
      </c>
      <c r="W54" s="131">
        <f t="shared" si="17"/>
        <v>65.744598422088927</v>
      </c>
      <c r="X54" s="131">
        <f t="shared" si="17"/>
        <v>66.672708469184755</v>
      </c>
      <c r="Y54" s="94">
        <f>X54*'ACT ECON'!$Q$6</f>
        <v>15.801431907196786</v>
      </c>
      <c r="Z54" s="94"/>
      <c r="AA54" s="94"/>
      <c r="AB54" s="94"/>
      <c r="AC54" s="94"/>
    </row>
    <row r="55" spans="1:29" x14ac:dyDescent="0.2">
      <c r="A55" s="1556"/>
      <c r="B55" s="52">
        <v>47</v>
      </c>
      <c r="C55" s="49" t="str">
        <f>'DEM REFER'!C55</f>
        <v>ABANCAY</v>
      </c>
      <c r="D55" s="49" t="str">
        <f>'DEM REFER'!D55</f>
        <v>CIRCA</v>
      </c>
      <c r="E55" s="49" t="str">
        <f>'DEM REFER'!E55</f>
        <v>AHUANCCOY</v>
      </c>
      <c r="F55" s="201">
        <f>'DEM REFER'!F55</f>
        <v>96</v>
      </c>
      <c r="G55" s="50">
        <f>'ACT ECON'!$Q$16</f>
        <v>0.17699999999999999</v>
      </c>
      <c r="H55" s="58">
        <f t="shared" si="10"/>
        <v>16.991999999999997</v>
      </c>
      <c r="I55" s="131">
        <f t="shared" si="1"/>
        <v>17.23187439726993</v>
      </c>
      <c r="J55" s="131">
        <f t="shared" si="17"/>
        <v>17.475135077877059</v>
      </c>
      <c r="K55" s="131">
        <f t="shared" si="17"/>
        <v>17.721829845651097</v>
      </c>
      <c r="L55" s="131">
        <f t="shared" si="17"/>
        <v>17.972007179263731</v>
      </c>
      <c r="M55" s="131">
        <f t="shared" si="17"/>
        <v>18.225716241755304</v>
      </c>
      <c r="N55" s="131">
        <f t="shared" si="17"/>
        <v>18.483006890195977</v>
      </c>
      <c r="O55" s="131">
        <f t="shared" si="17"/>
        <v>18.743929685483277</v>
      </c>
      <c r="P55" s="131">
        <f t="shared" si="17"/>
        <v>19.008535902277963</v>
      </c>
      <c r="Q55" s="131">
        <f t="shared" si="17"/>
        <v>19.276877539080154</v>
      </c>
      <c r="R55" s="131">
        <f t="shared" si="17"/>
        <v>19.54900732844769</v>
      </c>
      <c r="S55" s="131">
        <f t="shared" si="17"/>
        <v>19.82497874735876</v>
      </c>
      <c r="T55" s="131">
        <f t="shared" si="17"/>
        <v>20.104846027720807</v>
      </c>
      <c r="U55" s="131">
        <f t="shared" si="17"/>
        <v>20.388664167027795</v>
      </c>
      <c r="V55" s="131">
        <f t="shared" si="17"/>
        <v>20.676488939167911</v>
      </c>
      <c r="W55" s="131">
        <f t="shared" si="17"/>
        <v>20.968376905383856</v>
      </c>
      <c r="X55" s="131">
        <f t="shared" si="17"/>
        <v>21.264385425387843</v>
      </c>
      <c r="Y55" s="94">
        <f>X55*'ACT ECON'!$Q$6</f>
        <v>5.0396593458169185</v>
      </c>
      <c r="Z55" s="94"/>
      <c r="AA55" s="94"/>
      <c r="AB55" s="94"/>
      <c r="AC55" s="94"/>
    </row>
    <row r="56" spans="1:29" x14ac:dyDescent="0.2">
      <c r="A56" s="1556"/>
      <c r="B56" s="52">
        <v>48</v>
      </c>
      <c r="C56" s="49" t="str">
        <f>'DEM REFER'!C56</f>
        <v>ABANCAY</v>
      </c>
      <c r="D56" s="49" t="str">
        <f>'DEM REFER'!D56</f>
        <v>CIRCA</v>
      </c>
      <c r="E56" s="49" t="str">
        <f>'DEM REFER'!E56</f>
        <v>HUIRAHUACHO (HUIRAHACHO)</v>
      </c>
      <c r="F56" s="201">
        <f>'DEM REFER'!F56</f>
        <v>67</v>
      </c>
      <c r="G56" s="50">
        <f>'ACT ECON'!$Q$16</f>
        <v>0.17699999999999999</v>
      </c>
      <c r="H56" s="58">
        <f t="shared" si="10"/>
        <v>11.859</v>
      </c>
      <c r="I56" s="131">
        <f t="shared" si="1"/>
        <v>12.026412339761308</v>
      </c>
      <c r="J56" s="131">
        <f t="shared" si="17"/>
        <v>12.196188023101699</v>
      </c>
      <c r="K56" s="131">
        <f t="shared" si="17"/>
        <v>12.368360413110663</v>
      </c>
      <c r="L56" s="131">
        <f t="shared" si="17"/>
        <v>12.542963343861146</v>
      </c>
      <c r="M56" s="131">
        <f t="shared" si="17"/>
        <v>12.720031127058389</v>
      </c>
      <c r="N56" s="131">
        <f t="shared" si="17"/>
        <v>12.899598558782607</v>
      </c>
      <c r="O56" s="131">
        <f t="shared" si="17"/>
        <v>13.081700926326867</v>
      </c>
      <c r="P56" s="131">
        <f t="shared" si="17"/>
        <v>13.266374015131492</v>
      </c>
      <c r="Q56" s="131">
        <f t="shared" si="17"/>
        <v>13.453654115816354</v>
      </c>
      <c r="R56" s="131">
        <f t="shared" si="17"/>
        <v>13.643578031312448</v>
      </c>
      <c r="S56" s="131">
        <f t="shared" si="17"/>
        <v>13.836183084094131</v>
      </c>
      <c r="T56" s="131">
        <f t="shared" si="17"/>
        <v>14.031507123513476</v>
      </c>
      <c r="U56" s="131">
        <f t="shared" si="17"/>
        <v>14.229588533238145</v>
      </c>
      <c r="V56" s="131">
        <f t="shared" si="17"/>
        <v>14.430466238794269</v>
      </c>
      <c r="W56" s="131">
        <f t="shared" si="17"/>
        <v>14.634179715215813</v>
      </c>
      <c r="X56" s="131">
        <f t="shared" si="17"/>
        <v>14.840768994801929</v>
      </c>
      <c r="Y56" s="94">
        <f>X56*'ACT ECON'!$Q$6</f>
        <v>3.5172622517680567</v>
      </c>
      <c r="Z56" s="94"/>
      <c r="AA56" s="94"/>
      <c r="AB56" s="94"/>
      <c r="AC56" s="94"/>
    </row>
    <row r="57" spans="1:29" x14ac:dyDescent="0.2">
      <c r="A57" s="1556"/>
      <c r="B57" s="52">
        <v>49</v>
      </c>
      <c r="C57" s="49" t="str">
        <f>'DEM REFER'!C57</f>
        <v>ABANCAY</v>
      </c>
      <c r="D57" s="49" t="str">
        <f>'DEM REFER'!D57</f>
        <v>CIRCA</v>
      </c>
      <c r="E57" s="49" t="str">
        <f>'DEM REFER'!E57</f>
        <v>TACCACCA</v>
      </c>
      <c r="F57" s="201">
        <f>'DEM REFER'!F57</f>
        <v>125</v>
      </c>
      <c r="G57" s="50">
        <f>'ACT ECON'!$Q$16</f>
        <v>0.17699999999999999</v>
      </c>
      <c r="H57" s="58">
        <f t="shared" si="10"/>
        <v>22.125</v>
      </c>
      <c r="I57" s="131">
        <f t="shared" si="1"/>
        <v>22.43733645477856</v>
      </c>
      <c r="J57" s="131">
        <f t="shared" si="17"/>
        <v>22.754082132652425</v>
      </c>
      <c r="K57" s="131">
        <f t="shared" si="17"/>
        <v>23.075299278191533</v>
      </c>
      <c r="L57" s="131">
        <f t="shared" si="17"/>
        <v>23.401051014666315</v>
      </c>
      <c r="M57" s="131">
        <f t="shared" si="17"/>
        <v>23.731401356452217</v>
      </c>
      <c r="N57" s="131">
        <f t="shared" si="17"/>
        <v>24.06641522160934</v>
      </c>
      <c r="O57" s="131">
        <f t="shared" si="17"/>
        <v>24.406158444639676</v>
      </c>
      <c r="P57" s="131">
        <f t="shared" si="17"/>
        <v>24.750697789424425</v>
      </c>
      <c r="Q57" s="131">
        <f t="shared" si="17"/>
        <v>25.100100962343944</v>
      </c>
      <c r="R57" s="131">
        <f t="shared" si="17"/>
        <v>25.454436625582922</v>
      </c>
      <c r="S57" s="131">
        <f t="shared" si="17"/>
        <v>25.813774410623378</v>
      </c>
      <c r="T57" s="131">
        <f t="shared" si="17"/>
        <v>26.178184931928126</v>
      </c>
      <c r="U57" s="131">
        <f t="shared" si="17"/>
        <v>26.547739800817432</v>
      </c>
      <c r="V57" s="131">
        <f t="shared" si="17"/>
        <v>26.922511639541543</v>
      </c>
      <c r="W57" s="131">
        <f t="shared" si="17"/>
        <v>27.30257409555189</v>
      </c>
      <c r="X57" s="131">
        <f t="shared" si="17"/>
        <v>27.688001855973749</v>
      </c>
      <c r="Y57" s="94">
        <f>X57*'ACT ECON'!$Q$6</f>
        <v>6.5620564398657777</v>
      </c>
      <c r="Z57" s="94"/>
      <c r="AA57" s="94"/>
      <c r="AB57" s="94"/>
      <c r="AC57" s="94"/>
    </row>
    <row r="58" spans="1:29" x14ac:dyDescent="0.2">
      <c r="A58" s="1556"/>
      <c r="B58" s="52">
        <v>50</v>
      </c>
      <c r="C58" s="49" t="str">
        <f>'DEM REFER'!C58</f>
        <v>ABANCAY</v>
      </c>
      <c r="D58" s="49" t="str">
        <f>'DEM REFER'!D58</f>
        <v>CIRCA</v>
      </c>
      <c r="E58" s="49" t="str">
        <f>'DEM REFER'!E58</f>
        <v>TAMBURQUI</v>
      </c>
      <c r="F58" s="201">
        <f>'DEM REFER'!F58</f>
        <v>98</v>
      </c>
      <c r="G58" s="50">
        <f>'ACT ECON'!$Q$16</f>
        <v>0.17699999999999999</v>
      </c>
      <c r="H58" s="58">
        <f t="shared" si="10"/>
        <v>17.346</v>
      </c>
      <c r="I58" s="131">
        <f t="shared" si="1"/>
        <v>17.59087178054639</v>
      </c>
      <c r="J58" s="131">
        <f t="shared" si="17"/>
        <v>17.839200391999501</v>
      </c>
      <c r="K58" s="131">
        <f t="shared" si="17"/>
        <v>18.091034634102165</v>
      </c>
      <c r="L58" s="131">
        <f t="shared" si="17"/>
        <v>18.346423995498395</v>
      </c>
      <c r="M58" s="131">
        <f t="shared" si="17"/>
        <v>18.60541866345854</v>
      </c>
      <c r="N58" s="131">
        <f t="shared" si="17"/>
        <v>18.868069533741725</v>
      </c>
      <c r="O58" s="131">
        <f t="shared" si="17"/>
        <v>19.13442822059751</v>
      </c>
      <c r="P58" s="131">
        <f t="shared" si="17"/>
        <v>19.404547066908751</v>
      </c>
      <c r="Q58" s="131">
        <f t="shared" si="17"/>
        <v>19.678479154477653</v>
      </c>
      <c r="R58" s="131">
        <f t="shared" si="17"/>
        <v>19.956278314457013</v>
      </c>
      <c r="S58" s="131">
        <f t="shared" si="17"/>
        <v>20.237999137928728</v>
      </c>
      <c r="T58" s="131">
        <f t="shared" si="17"/>
        <v>20.523696986631652</v>
      </c>
      <c r="U58" s="131">
        <f t="shared" si="17"/>
        <v>20.813428003840869</v>
      </c>
      <c r="V58" s="131">
        <f t="shared" si="17"/>
        <v>21.107249125400571</v>
      </c>
      <c r="W58" s="131">
        <f t="shared" si="17"/>
        <v>21.405218090912683</v>
      </c>
      <c r="X58" s="131">
        <f t="shared" si="17"/>
        <v>21.70739345508342</v>
      </c>
      <c r="Y58" s="94">
        <f>X58*'ACT ECON'!$Q$6</f>
        <v>5.1446522488547703</v>
      </c>
      <c r="Z58" s="94"/>
      <c r="AA58" s="94"/>
      <c r="AB58" s="94"/>
      <c r="AC58" s="94"/>
    </row>
    <row r="59" spans="1:29" x14ac:dyDescent="0.2">
      <c r="A59" s="1556"/>
      <c r="B59" s="52">
        <v>51</v>
      </c>
      <c r="C59" s="49" t="str">
        <f>'DEM REFER'!C59</f>
        <v>ABANCAY</v>
      </c>
      <c r="D59" s="49" t="str">
        <f>'DEM REFER'!D59</f>
        <v>CIRCA</v>
      </c>
      <c r="E59" s="49" t="str">
        <f>'DEM REFER'!E59</f>
        <v>APINUHUAYLLA</v>
      </c>
      <c r="F59" s="201">
        <f>'DEM REFER'!F59</f>
        <v>80</v>
      </c>
      <c r="G59" s="50">
        <f>'ACT ECON'!$Q$16</f>
        <v>0.17699999999999999</v>
      </c>
      <c r="H59" s="58">
        <f t="shared" si="10"/>
        <v>14.16</v>
      </c>
      <c r="I59" s="131">
        <f t="shared" si="1"/>
        <v>14.359895331058278</v>
      </c>
      <c r="J59" s="131">
        <f t="shared" ref="J59:X74" si="18">+I59*(1+$J$19)</f>
        <v>14.562612564897551</v>
      </c>
      <c r="K59" s="131">
        <f t="shared" si="18"/>
        <v>14.768191538042581</v>
      </c>
      <c r="L59" s="131">
        <f t="shared" si="18"/>
        <v>14.976672649386442</v>
      </c>
      <c r="M59" s="131">
        <f t="shared" si="18"/>
        <v>15.188096868129419</v>
      </c>
      <c r="N59" s="131">
        <f t="shared" si="18"/>
        <v>15.402505741829978</v>
      </c>
      <c r="O59" s="131">
        <f t="shared" si="18"/>
        <v>15.619941404569394</v>
      </c>
      <c r="P59" s="131">
        <f t="shared" si="18"/>
        <v>15.840446585231632</v>
      </c>
      <c r="Q59" s="131">
        <f t="shared" si="18"/>
        <v>16.064064615900122</v>
      </c>
      <c r="R59" s="131">
        <f t="shared" si="18"/>
        <v>16.29083944037307</v>
      </c>
      <c r="S59" s="131">
        <f t="shared" si="18"/>
        <v>16.52081562279896</v>
      </c>
      <c r="T59" s="131">
        <f t="shared" si="18"/>
        <v>16.754038356433998</v>
      </c>
      <c r="U59" s="131">
        <f t="shared" si="18"/>
        <v>16.990553472523153</v>
      </c>
      <c r="V59" s="131">
        <f t="shared" si="18"/>
        <v>17.230407449306586</v>
      </c>
      <c r="W59" s="131">
        <f t="shared" si="18"/>
        <v>17.473647421153206</v>
      </c>
      <c r="X59" s="131">
        <f t="shared" si="18"/>
        <v>17.720321187823195</v>
      </c>
      <c r="Y59" s="94">
        <f>X59*'ACT ECON'!$Q$6</f>
        <v>4.199716121514097</v>
      </c>
      <c r="Z59" s="94"/>
      <c r="AA59" s="94"/>
      <c r="AB59" s="94"/>
      <c r="AC59" s="94"/>
    </row>
    <row r="60" spans="1:29" x14ac:dyDescent="0.2">
      <c r="A60" s="1557">
        <f>'DEM REFER'!A60:A81</f>
        <v>6</v>
      </c>
      <c r="B60" s="52">
        <v>53</v>
      </c>
      <c r="C60" s="49" t="str">
        <f>'DEM REFER'!C60</f>
        <v>ABANCAY</v>
      </c>
      <c r="D60" s="49" t="str">
        <f>'DEM REFER'!D60</f>
        <v>CURAHUASI</v>
      </c>
      <c r="E60" s="49" t="str">
        <f>'DEM REFER'!E60</f>
        <v>CCORIPAMPA</v>
      </c>
      <c r="F60" s="201">
        <f>'DEM REFER'!F60</f>
        <v>93</v>
      </c>
      <c r="G60" s="50">
        <f>'ACT ECON'!$Q$16</f>
        <v>0.17699999999999999</v>
      </c>
      <c r="H60" s="58">
        <f t="shared" si="10"/>
        <v>16.460999999999999</v>
      </c>
      <c r="I60" s="131">
        <f t="shared" si="1"/>
        <v>16.693378322355247</v>
      </c>
      <c r="J60" s="131">
        <f t="shared" si="18"/>
        <v>16.929037106693404</v>
      </c>
      <c r="K60" s="131">
        <f t="shared" si="18"/>
        <v>17.168022662974501</v>
      </c>
      <c r="L60" s="131">
        <f t="shared" si="18"/>
        <v>17.410381954911738</v>
      </c>
      <c r="M60" s="131">
        <f t="shared" si="18"/>
        <v>17.65616260920045</v>
      </c>
      <c r="N60" s="131">
        <f t="shared" si="18"/>
        <v>17.90541292487735</v>
      </c>
      <c r="O60" s="131">
        <f t="shared" si="18"/>
        <v>18.15818188281192</v>
      </c>
      <c r="P60" s="131">
        <f t="shared" si="18"/>
        <v>18.414519155331774</v>
      </c>
      <c r="Q60" s="131">
        <f t="shared" si="18"/>
        <v>18.674475115983896</v>
      </c>
      <c r="R60" s="131">
        <f t="shared" si="18"/>
        <v>18.938100849433695</v>
      </c>
      <c r="S60" s="131">
        <f t="shared" si="18"/>
        <v>19.205448161503796</v>
      </c>
      <c r="T60" s="131">
        <f t="shared" si="18"/>
        <v>19.476569589354529</v>
      </c>
      <c r="U60" s="131">
        <f t="shared" si="18"/>
        <v>19.751518411808174</v>
      </c>
      <c r="V60" s="131">
        <f t="shared" si="18"/>
        <v>20.030348659818912</v>
      </c>
      <c r="W60" s="131">
        <f t="shared" si="18"/>
        <v>20.313115127090608</v>
      </c>
      <c r="X60" s="131">
        <f t="shared" si="18"/>
        <v>20.599873380844471</v>
      </c>
      <c r="Y60" s="94">
        <f>X60*'ACT ECON'!$Q$6</f>
        <v>4.8821699912601391</v>
      </c>
      <c r="Z60" s="94">
        <f>SUM(Y60:Y83)</f>
        <v>201.53387738115777</v>
      </c>
      <c r="AA60" s="94"/>
      <c r="AB60" s="94"/>
      <c r="AC60" s="94"/>
    </row>
    <row r="61" spans="1:29" x14ac:dyDescent="0.2">
      <c r="A61" s="1557"/>
      <c r="B61" s="52">
        <v>54</v>
      </c>
      <c r="C61" s="49" t="str">
        <f>'DEM REFER'!C61</f>
        <v>ABANCAY</v>
      </c>
      <c r="D61" s="49" t="str">
        <f>'DEM REFER'!D61</f>
        <v>CURAHUASI</v>
      </c>
      <c r="E61" s="49" t="str">
        <f>'DEM REFER'!E61</f>
        <v>LLAULLIPATA</v>
      </c>
      <c r="F61" s="201">
        <f>'DEM REFER'!F61</f>
        <v>54</v>
      </c>
      <c r="G61" s="50">
        <f>'ACT ECON'!$Q$16</f>
        <v>0.17699999999999999</v>
      </c>
      <c r="H61" s="58">
        <f t="shared" si="10"/>
        <v>9.5579999999999998</v>
      </c>
      <c r="I61" s="131">
        <f t="shared" si="1"/>
        <v>9.6929293484643377</v>
      </c>
      <c r="J61" s="131">
        <f t="shared" si="18"/>
        <v>9.8297634813058465</v>
      </c>
      <c r="K61" s="131">
        <f t="shared" si="18"/>
        <v>9.9685292881787415</v>
      </c>
      <c r="L61" s="131">
        <f t="shared" si="18"/>
        <v>10.109254038335848</v>
      </c>
      <c r="M61" s="131">
        <f t="shared" si="18"/>
        <v>10.251965385987358</v>
      </c>
      <c r="N61" s="131">
        <f t="shared" si="18"/>
        <v>10.396691375735235</v>
      </c>
      <c r="O61" s="131">
        <f t="shared" si="18"/>
        <v>10.543460448084341</v>
      </c>
      <c r="P61" s="131">
        <f t="shared" si="18"/>
        <v>10.692301445031353</v>
      </c>
      <c r="Q61" s="131">
        <f t="shared" si="18"/>
        <v>10.843243615732584</v>
      </c>
      <c r="R61" s="131">
        <f t="shared" si="18"/>
        <v>10.996316622251824</v>
      </c>
      <c r="S61" s="131">
        <f t="shared" si="18"/>
        <v>11.1515505453893</v>
      </c>
      <c r="T61" s="131">
        <f t="shared" si="18"/>
        <v>11.308975890592952</v>
      </c>
      <c r="U61" s="131">
        <f t="shared" si="18"/>
        <v>11.468623593953133</v>
      </c>
      <c r="V61" s="131">
        <f t="shared" si="18"/>
        <v>11.63052502828195</v>
      </c>
      <c r="W61" s="131">
        <f t="shared" si="18"/>
        <v>11.794712009278419</v>
      </c>
      <c r="X61" s="131">
        <f t="shared" si="18"/>
        <v>11.961216801780662</v>
      </c>
      <c r="Y61" s="94">
        <f>X61*'ACT ECON'!$Q$6</f>
        <v>2.8348083820220169</v>
      </c>
      <c r="Z61" s="94"/>
      <c r="AA61" s="94"/>
      <c r="AB61" s="94"/>
      <c r="AC61" s="94"/>
    </row>
    <row r="62" spans="1:29" x14ac:dyDescent="0.2">
      <c r="A62" s="1557"/>
      <c r="B62" s="52">
        <v>55</v>
      </c>
      <c r="C62" s="49" t="str">
        <f>'DEM REFER'!C62</f>
        <v>ABANCAY</v>
      </c>
      <c r="D62" s="49" t="str">
        <f>'DEM REFER'!D62</f>
        <v>CURAHUASI</v>
      </c>
      <c r="E62" s="49" t="str">
        <f>'DEM REFER'!E62</f>
        <v>ACCORAN</v>
      </c>
      <c r="F62" s="201">
        <f>'DEM REFER'!F62</f>
        <v>137</v>
      </c>
      <c r="G62" s="50">
        <f>'ACT ECON'!$Q$16</f>
        <v>0.17699999999999999</v>
      </c>
      <c r="H62" s="58">
        <f t="shared" si="10"/>
        <v>24.248999999999999</v>
      </c>
      <c r="I62" s="131">
        <f t="shared" ref="I62:I93" si="19">+H62*(1+$J$19)</f>
        <v>24.591320754437298</v>
      </c>
      <c r="J62" s="131">
        <f t="shared" si="18"/>
        <v>24.938474017387055</v>
      </c>
      <c r="K62" s="131">
        <f t="shared" si="18"/>
        <v>25.290528008897919</v>
      </c>
      <c r="L62" s="131">
        <f t="shared" si="18"/>
        <v>25.647551912074281</v>
      </c>
      <c r="M62" s="131">
        <f t="shared" si="18"/>
        <v>26.009615886671629</v>
      </c>
      <c r="N62" s="131">
        <f t="shared" si="18"/>
        <v>26.376791082883837</v>
      </c>
      <c r="O62" s="131">
        <f t="shared" si="18"/>
        <v>26.749149655325088</v>
      </c>
      <c r="P62" s="131">
        <f t="shared" si="18"/>
        <v>27.126764777209171</v>
      </c>
      <c r="Q62" s="131">
        <f t="shared" si="18"/>
        <v>27.509710654728963</v>
      </c>
      <c r="R62" s="131">
        <f t="shared" si="18"/>
        <v>27.898062541638883</v>
      </c>
      <c r="S62" s="131">
        <f t="shared" si="18"/>
        <v>28.291896754043222</v>
      </c>
      <c r="T62" s="131">
        <f t="shared" si="18"/>
        <v>28.691290685393227</v>
      </c>
      <c r="U62" s="131">
        <f t="shared" si="18"/>
        <v>29.096322821695907</v>
      </c>
      <c r="V62" s="131">
        <f t="shared" si="18"/>
        <v>29.507072756937532</v>
      </c>
      <c r="W62" s="131">
        <f t="shared" si="18"/>
        <v>29.923621208724871</v>
      </c>
      <c r="X62" s="131">
        <f t="shared" si="18"/>
        <v>30.346050034147225</v>
      </c>
      <c r="Y62" s="94">
        <f>X62*'ACT ECON'!$Q$6</f>
        <v>7.1920138580928921</v>
      </c>
      <c r="Z62" s="94"/>
      <c r="AA62" s="94"/>
      <c r="AB62" s="94"/>
      <c r="AC62" s="94"/>
    </row>
    <row r="63" spans="1:29" x14ac:dyDescent="0.2">
      <c r="A63" s="1557"/>
      <c r="B63" s="52">
        <v>56</v>
      </c>
      <c r="C63" s="49" t="str">
        <f>'DEM REFER'!C63</f>
        <v>ABANCAY</v>
      </c>
      <c r="D63" s="49" t="str">
        <f>'DEM REFER'!D63</f>
        <v>CURAHUASI</v>
      </c>
      <c r="E63" s="49" t="str">
        <f>'DEM REFER'!E63</f>
        <v>NISPEROCNIYOC</v>
      </c>
      <c r="F63" s="201">
        <f>'DEM REFER'!F63</f>
        <v>83</v>
      </c>
      <c r="G63" s="50">
        <f>'ACT ECON'!$Q$16</f>
        <v>0.17699999999999999</v>
      </c>
      <c r="H63" s="58">
        <f t="shared" si="10"/>
        <v>14.690999999999999</v>
      </c>
      <c r="I63" s="131">
        <f t="shared" si="19"/>
        <v>14.898391405972962</v>
      </c>
      <c r="J63" s="131">
        <f t="shared" si="18"/>
        <v>15.108710536081208</v>
      </c>
      <c r="K63" s="131">
        <f t="shared" si="18"/>
        <v>15.321998720719177</v>
      </c>
      <c r="L63" s="131">
        <f t="shared" si="18"/>
        <v>15.538297873738435</v>
      </c>
      <c r="M63" s="131">
        <f t="shared" si="18"/>
        <v>15.757650500684273</v>
      </c>
      <c r="N63" s="131">
        <f t="shared" si="18"/>
        <v>15.980099707148604</v>
      </c>
      <c r="O63" s="131">
        <f t="shared" si="18"/>
        <v>16.205689207240749</v>
      </c>
      <c r="P63" s="131">
        <f t="shared" si="18"/>
        <v>16.43446333217782</v>
      </c>
      <c r="Q63" s="131">
        <f t="shared" si="18"/>
        <v>16.66646703899638</v>
      </c>
      <c r="R63" s="131">
        <f t="shared" si="18"/>
        <v>16.901745919387061</v>
      </c>
      <c r="S63" s="131">
        <f t="shared" si="18"/>
        <v>17.140346208653924</v>
      </c>
      <c r="T63" s="131">
        <f t="shared" si="18"/>
        <v>17.382314794800276</v>
      </c>
      <c r="U63" s="131">
        <f t="shared" si="18"/>
        <v>17.627699227742777</v>
      </c>
      <c r="V63" s="131">
        <f t="shared" si="18"/>
        <v>17.876547728655588</v>
      </c>
      <c r="W63" s="131">
        <f t="shared" si="18"/>
        <v>18.128909199446458</v>
      </c>
      <c r="X63" s="131">
        <f t="shared" si="18"/>
        <v>18.384833232366571</v>
      </c>
      <c r="Y63" s="94">
        <f>X63*'ACT ECON'!$Q$6</f>
        <v>4.3572054760708774</v>
      </c>
      <c r="Z63" s="94"/>
      <c r="AA63" s="94"/>
      <c r="AB63" s="94"/>
      <c r="AC63" s="94"/>
    </row>
    <row r="64" spans="1:29" x14ac:dyDescent="0.2">
      <c r="A64" s="1557"/>
      <c r="B64" s="52">
        <v>57</v>
      </c>
      <c r="C64" s="49" t="str">
        <f>'DEM REFER'!C64</f>
        <v>ABANCAY</v>
      </c>
      <c r="D64" s="49" t="str">
        <f>'DEM REFER'!D64</f>
        <v>CURAHUASI</v>
      </c>
      <c r="E64" s="49" t="str">
        <f>'DEM REFER'!E64</f>
        <v>OCCORURO</v>
      </c>
      <c r="F64" s="201">
        <f>'DEM REFER'!F64</f>
        <v>311</v>
      </c>
      <c r="G64" s="50">
        <f>'ACT ECON'!$Q$16</f>
        <v>0.17699999999999999</v>
      </c>
      <c r="H64" s="58">
        <f t="shared" si="10"/>
        <v>55.046999999999997</v>
      </c>
      <c r="I64" s="131">
        <f t="shared" si="19"/>
        <v>55.824093099489055</v>
      </c>
      <c r="J64" s="131">
        <f t="shared" si="18"/>
        <v>56.612156346039228</v>
      </c>
      <c r="K64" s="131">
        <f t="shared" si="18"/>
        <v>57.411344604140531</v>
      </c>
      <c r="L64" s="131">
        <f t="shared" si="18"/>
        <v>58.221814924489792</v>
      </c>
      <c r="M64" s="131">
        <f t="shared" si="18"/>
        <v>59.043726574853117</v>
      </c>
      <c r="N64" s="131">
        <f t="shared" si="18"/>
        <v>59.87724107136404</v>
      </c>
      <c r="O64" s="131">
        <f t="shared" si="18"/>
        <v>60.72252221026352</v>
      </c>
      <c r="P64" s="131">
        <f t="shared" si="18"/>
        <v>61.57973610008797</v>
      </c>
      <c r="Q64" s="131">
        <f t="shared" si="18"/>
        <v>62.449051194311728</v>
      </c>
      <c r="R64" s="131">
        <f t="shared" si="18"/>
        <v>63.330638324450305</v>
      </c>
      <c r="S64" s="131">
        <f t="shared" si="18"/>
        <v>64.224670733630958</v>
      </c>
      <c r="T64" s="131">
        <f t="shared" si="18"/>
        <v>65.131324110637181</v>
      </c>
      <c r="U64" s="131">
        <f t="shared" si="18"/>
        <v>66.05077662443378</v>
      </c>
      <c r="V64" s="131">
        <f t="shared" si="18"/>
        <v>66.983208959179365</v>
      </c>
      <c r="W64" s="131">
        <f t="shared" si="18"/>
        <v>67.928804349733099</v>
      </c>
      <c r="X64" s="131">
        <f t="shared" si="18"/>
        <v>68.88774861766268</v>
      </c>
      <c r="Y64" s="94">
        <f>X64*'ACT ECON'!$Q$6</f>
        <v>16.326396422386054</v>
      </c>
      <c r="Z64" s="94"/>
      <c r="AA64" s="94"/>
      <c r="AB64" s="94"/>
      <c r="AC64" s="94"/>
    </row>
    <row r="65" spans="1:29" x14ac:dyDescent="0.2">
      <c r="A65" s="1557"/>
      <c r="B65" s="52">
        <v>58</v>
      </c>
      <c r="C65" s="49" t="str">
        <f>'DEM REFER'!C65</f>
        <v>ABANCAY</v>
      </c>
      <c r="D65" s="49" t="str">
        <f>'DEM REFER'!D65</f>
        <v>CURAHUASI</v>
      </c>
      <c r="E65" s="49" t="str">
        <f>'DEM REFER'!E65</f>
        <v>SERRANA</v>
      </c>
      <c r="F65" s="201">
        <f>'DEM REFER'!F65</f>
        <v>66</v>
      </c>
      <c r="G65" s="50">
        <f>'ACT ECON'!$Q$16</f>
        <v>0.17699999999999999</v>
      </c>
      <c r="H65" s="58">
        <f t="shared" si="10"/>
        <v>11.681999999999999</v>
      </c>
      <c r="I65" s="131">
        <f t="shared" si="19"/>
        <v>11.846913648123078</v>
      </c>
      <c r="J65" s="131">
        <f t="shared" si="18"/>
        <v>12.014155366040479</v>
      </c>
      <c r="K65" s="131">
        <f t="shared" si="18"/>
        <v>12.183758018885129</v>
      </c>
      <c r="L65" s="131">
        <f t="shared" si="18"/>
        <v>12.355754935743814</v>
      </c>
      <c r="M65" s="131">
        <f t="shared" si="18"/>
        <v>12.53017991620677</v>
      </c>
      <c r="N65" s="131">
        <f t="shared" si="18"/>
        <v>12.707067237009731</v>
      </c>
      <c r="O65" s="131">
        <f t="shared" si="18"/>
        <v>12.886451658769749</v>
      </c>
      <c r="P65" s="131">
        <f t="shared" si="18"/>
        <v>13.068368432816095</v>
      </c>
      <c r="Q65" s="131">
        <f t="shared" si="18"/>
        <v>13.252853308117601</v>
      </c>
      <c r="R65" s="131">
        <f t="shared" si="18"/>
        <v>13.439942538307781</v>
      </c>
      <c r="S65" s="131">
        <f t="shared" si="18"/>
        <v>13.629672888809141</v>
      </c>
      <c r="T65" s="131">
        <f t="shared" si="18"/>
        <v>13.822081644058049</v>
      </c>
      <c r="U65" s="131">
        <f t="shared" si="18"/>
        <v>14.017206614831602</v>
      </c>
      <c r="V65" s="131">
        <f t="shared" si="18"/>
        <v>14.215086145677933</v>
      </c>
      <c r="W65" s="131">
        <f t="shared" si="18"/>
        <v>14.415759122451396</v>
      </c>
      <c r="X65" s="131">
        <f t="shared" si="18"/>
        <v>14.619264979954137</v>
      </c>
      <c r="Y65" s="94">
        <f>X65*'ACT ECON'!$Q$6</f>
        <v>3.4647658002491304</v>
      </c>
      <c r="Z65" s="94"/>
      <c r="AA65" s="94"/>
      <c r="AB65" s="94"/>
      <c r="AC65" s="94"/>
    </row>
    <row r="66" spans="1:29" x14ac:dyDescent="0.2">
      <c r="A66" s="1557"/>
      <c r="B66" s="52">
        <v>59</v>
      </c>
      <c r="C66" s="49" t="str">
        <f>'DEM REFER'!C66</f>
        <v>ABANCAY</v>
      </c>
      <c r="D66" s="49" t="str">
        <f>'DEM REFER'!D66</f>
        <v>CURAHUASI</v>
      </c>
      <c r="E66" s="49" t="str">
        <f>'DEM REFER'!E66</f>
        <v>CHALLHUAHUACHO</v>
      </c>
      <c r="F66" s="201">
        <f>'DEM REFER'!F66</f>
        <v>59</v>
      </c>
      <c r="G66" s="50">
        <f>'ACT ECON'!$Q$16</f>
        <v>0.17699999999999999</v>
      </c>
      <c r="H66" s="58">
        <f t="shared" si="10"/>
        <v>10.443</v>
      </c>
      <c r="I66" s="131">
        <f t="shared" si="19"/>
        <v>10.590422806655479</v>
      </c>
      <c r="J66" s="131">
        <f t="shared" si="18"/>
        <v>10.739926766611942</v>
      </c>
      <c r="K66" s="131">
        <f t="shared" si="18"/>
        <v>10.891541259306402</v>
      </c>
      <c r="L66" s="131">
        <f t="shared" si="18"/>
        <v>11.045296078922499</v>
      </c>
      <c r="M66" s="131">
        <f t="shared" si="18"/>
        <v>11.201221440245444</v>
      </c>
      <c r="N66" s="131">
        <f t="shared" si="18"/>
        <v>11.359347984599607</v>
      </c>
      <c r="O66" s="131">
        <f t="shared" si="18"/>
        <v>11.519706785869927</v>
      </c>
      <c r="P66" s="131">
        <f t="shared" si="18"/>
        <v>11.682329356608328</v>
      </c>
      <c r="Q66" s="131">
        <f t="shared" si="18"/>
        <v>11.84724765422634</v>
      </c>
      <c r="R66" s="131">
        <f t="shared" si="18"/>
        <v>12.014494087275137</v>
      </c>
      <c r="S66" s="131">
        <f t="shared" si="18"/>
        <v>12.184101521814233</v>
      </c>
      <c r="T66" s="131">
        <f t="shared" si="18"/>
        <v>12.356103287870075</v>
      </c>
      <c r="U66" s="131">
        <f t="shared" si="18"/>
        <v>12.530533185985828</v>
      </c>
      <c r="V66" s="131">
        <f t="shared" si="18"/>
        <v>12.707425493863608</v>
      </c>
      <c r="W66" s="131">
        <f t="shared" si="18"/>
        <v>12.886814973100492</v>
      </c>
      <c r="X66" s="131">
        <f t="shared" si="18"/>
        <v>13.068736876019608</v>
      </c>
      <c r="Y66" s="94">
        <f>X66*'ACT ECON'!$Q$6</f>
        <v>3.0972906396166469</v>
      </c>
      <c r="Z66" s="94"/>
      <c r="AA66" s="94"/>
      <c r="AB66" s="94"/>
      <c r="AC66" s="94"/>
    </row>
    <row r="67" spans="1:29" x14ac:dyDescent="0.2">
      <c r="A67" s="1557"/>
      <c r="B67" s="52">
        <v>60</v>
      </c>
      <c r="C67" s="49" t="str">
        <f>'DEM REFER'!C67</f>
        <v>ABANCAY</v>
      </c>
      <c r="D67" s="49" t="str">
        <f>'DEM REFER'!D67</f>
        <v>CURAHUASI</v>
      </c>
      <c r="E67" s="49" t="str">
        <f>'DEM REFER'!E67</f>
        <v>SAN JUAN DE DIOS</v>
      </c>
      <c r="F67" s="201">
        <f>'DEM REFER'!F67</f>
        <v>385</v>
      </c>
      <c r="G67" s="50">
        <f>'ACT ECON'!$Q$16</f>
        <v>0.17699999999999999</v>
      </c>
      <c r="H67" s="58">
        <f t="shared" si="10"/>
        <v>68.144999999999996</v>
      </c>
      <c r="I67" s="131">
        <f t="shared" si="19"/>
        <v>69.106996280717951</v>
      </c>
      <c r="J67" s="131">
        <f t="shared" si="18"/>
        <v>70.082572968569451</v>
      </c>
      <c r="K67" s="131">
        <f t="shared" si="18"/>
        <v>71.07192177682991</v>
      </c>
      <c r="L67" s="131">
        <f t="shared" si="18"/>
        <v>72.075237125172237</v>
      </c>
      <c r="M67" s="131">
        <f t="shared" si="18"/>
        <v>73.092716177872816</v>
      </c>
      <c r="N67" s="131">
        <f t="shared" si="18"/>
        <v>74.124558882556755</v>
      </c>
      <c r="O67" s="131">
        <f t="shared" si="18"/>
        <v>75.170968009490196</v>
      </c>
      <c r="P67" s="131">
        <f t="shared" si="18"/>
        <v>76.232149191427212</v>
      </c>
      <c r="Q67" s="131">
        <f t="shared" si="18"/>
        <v>77.308310964019327</v>
      </c>
      <c r="R67" s="131">
        <f t="shared" si="18"/>
        <v>78.399664806795386</v>
      </c>
      <c r="S67" s="131">
        <f t="shared" si="18"/>
        <v>79.506425184719987</v>
      </c>
      <c r="T67" s="131">
        <f t="shared" si="18"/>
        <v>80.628809590338619</v>
      </c>
      <c r="U67" s="131">
        <f t="shared" si="18"/>
        <v>81.767038586517685</v>
      </c>
      <c r="V67" s="131">
        <f t="shared" si="18"/>
        <v>82.921335849787951</v>
      </c>
      <c r="W67" s="131">
        <f t="shared" si="18"/>
        <v>84.091928214299813</v>
      </c>
      <c r="X67" s="131">
        <f t="shared" si="18"/>
        <v>85.279045716399139</v>
      </c>
      <c r="Y67" s="94">
        <f>X67*'ACT ECON'!$Q$6</f>
        <v>20.211133834786594</v>
      </c>
      <c r="Z67" s="94"/>
      <c r="AA67" s="94"/>
      <c r="AB67" s="94"/>
      <c r="AC67" s="94"/>
    </row>
    <row r="68" spans="1:29" x14ac:dyDescent="0.2">
      <c r="A68" s="1557"/>
      <c r="B68" s="52">
        <v>61</v>
      </c>
      <c r="C68" s="49" t="str">
        <f>'DEM REFER'!C68</f>
        <v>ABANCAY</v>
      </c>
      <c r="D68" s="49" t="str">
        <f>'DEM REFER'!D68</f>
        <v>CURAHUASI</v>
      </c>
      <c r="E68" s="49" t="str">
        <f>'DEM REFER'!E68</f>
        <v>PUCA PUCA</v>
      </c>
      <c r="F68" s="201">
        <f>'DEM REFER'!F68</f>
        <v>79</v>
      </c>
      <c r="G68" s="50">
        <f>'ACT ECON'!$Q$16</f>
        <v>0.17699999999999999</v>
      </c>
      <c r="H68" s="58">
        <f t="shared" si="10"/>
        <v>13.982999999999999</v>
      </c>
      <c r="I68" s="131">
        <f t="shared" si="19"/>
        <v>14.180396639420048</v>
      </c>
      <c r="J68" s="131">
        <f t="shared" si="18"/>
        <v>14.38057990783633</v>
      </c>
      <c r="K68" s="131">
        <f t="shared" si="18"/>
        <v>14.583589143817047</v>
      </c>
      <c r="L68" s="131">
        <f t="shared" si="18"/>
        <v>14.78946424126911</v>
      </c>
      <c r="M68" s="131">
        <f t="shared" si="18"/>
        <v>14.998245657277801</v>
      </c>
      <c r="N68" s="131">
        <f t="shared" si="18"/>
        <v>15.209974420057103</v>
      </c>
      <c r="O68" s="131">
        <f t="shared" si="18"/>
        <v>15.424692137012276</v>
      </c>
      <c r="P68" s="131">
        <f t="shared" si="18"/>
        <v>15.642441002916236</v>
      </c>
      <c r="Q68" s="131">
        <f t="shared" si="18"/>
        <v>15.863263808201371</v>
      </c>
      <c r="R68" s="131">
        <f t="shared" si="18"/>
        <v>16.087203947368405</v>
      </c>
      <c r="S68" s="131">
        <f t="shared" si="18"/>
        <v>16.314305427513972</v>
      </c>
      <c r="T68" s="131">
        <f t="shared" si="18"/>
        <v>16.544612876978572</v>
      </c>
      <c r="U68" s="131">
        <f t="shared" si="18"/>
        <v>16.778171554116614</v>
      </c>
      <c r="V68" s="131">
        <f t="shared" si="18"/>
        <v>17.015027356190252</v>
      </c>
      <c r="W68" s="131">
        <f t="shared" si="18"/>
        <v>17.255226828388789</v>
      </c>
      <c r="X68" s="131">
        <f t="shared" si="18"/>
        <v>17.498817172975404</v>
      </c>
      <c r="Y68" s="94">
        <f>X68*'ACT ECON'!$Q$6</f>
        <v>4.1472196699951702</v>
      </c>
      <c r="Z68" s="94"/>
      <c r="AA68" s="94"/>
      <c r="AB68" s="94"/>
      <c r="AC68" s="94"/>
    </row>
    <row r="69" spans="1:29" x14ac:dyDescent="0.2">
      <c r="A69" s="1557"/>
      <c r="B69" s="52">
        <v>62</v>
      </c>
      <c r="C69" s="49" t="str">
        <f>'DEM REFER'!C69</f>
        <v>ABANCAY</v>
      </c>
      <c r="D69" s="49" t="str">
        <f>'DEM REFER'!D69</f>
        <v>CURAHUASI</v>
      </c>
      <c r="E69" s="49" t="str">
        <f>'DEM REFER'!E69</f>
        <v>PALMIRA</v>
      </c>
      <c r="F69" s="201">
        <f>'DEM REFER'!F69</f>
        <v>65</v>
      </c>
      <c r="G69" s="50">
        <f>'ACT ECON'!$Q$16</f>
        <v>0.17699999999999999</v>
      </c>
      <c r="H69" s="58">
        <f t="shared" ref="H69:H90" si="20">F69*G69</f>
        <v>11.504999999999999</v>
      </c>
      <c r="I69" s="131">
        <f t="shared" si="19"/>
        <v>11.667414956484849</v>
      </c>
      <c r="J69" s="131">
        <f t="shared" si="18"/>
        <v>11.832122708979259</v>
      </c>
      <c r="K69" s="131">
        <f t="shared" si="18"/>
        <v>11.999155624659597</v>
      </c>
      <c r="L69" s="131">
        <f t="shared" si="18"/>
        <v>12.168546527626484</v>
      </c>
      <c r="M69" s="131">
        <f t="shared" si="18"/>
        <v>12.340328705355153</v>
      </c>
      <c r="N69" s="131">
        <f t="shared" si="18"/>
        <v>12.514535915236857</v>
      </c>
      <c r="O69" s="131">
        <f t="shared" si="18"/>
        <v>12.691202391212633</v>
      </c>
      <c r="P69" s="131">
        <f t="shared" si="18"/>
        <v>12.870362850500701</v>
      </c>
      <c r="Q69" s="131">
        <f t="shared" si="18"/>
        <v>13.052052500418851</v>
      </c>
      <c r="R69" s="131">
        <f t="shared" si="18"/>
        <v>13.23630704530312</v>
      </c>
      <c r="S69" s="131">
        <f t="shared" si="18"/>
        <v>13.423162693524157</v>
      </c>
      <c r="T69" s="131">
        <f t="shared" si="18"/>
        <v>13.612656164602626</v>
      </c>
      <c r="U69" s="131">
        <f t="shared" si="18"/>
        <v>13.804824696425065</v>
      </c>
      <c r="V69" s="131">
        <f t="shared" si="18"/>
        <v>13.999706052561603</v>
      </c>
      <c r="W69" s="131">
        <f t="shared" si="18"/>
        <v>14.197338529686983</v>
      </c>
      <c r="X69" s="131">
        <f t="shared" si="18"/>
        <v>14.397760965106349</v>
      </c>
      <c r="Y69" s="94">
        <f>X69*'ACT ECON'!$Q$6</f>
        <v>3.4122693487302045</v>
      </c>
      <c r="Z69" s="94"/>
      <c r="AA69" s="94"/>
      <c r="AB69" s="94"/>
      <c r="AC69" s="94"/>
    </row>
    <row r="70" spans="1:29" x14ac:dyDescent="0.2">
      <c r="A70" s="1557"/>
      <c r="B70" s="52">
        <v>63</v>
      </c>
      <c r="C70" s="49" t="str">
        <f>'DEM REFER'!C70</f>
        <v>ABANCAY</v>
      </c>
      <c r="D70" s="49" t="str">
        <f>'DEM REFER'!D70</f>
        <v>CURAHUASI</v>
      </c>
      <c r="E70" s="49" t="str">
        <f>'DEM REFER'!E70</f>
        <v>TRANCAPATA ALTA</v>
      </c>
      <c r="F70" s="201">
        <f>'DEM REFER'!F70</f>
        <v>206</v>
      </c>
      <c r="G70" s="50">
        <f>'ACT ECON'!$Q$16</f>
        <v>0.17699999999999999</v>
      </c>
      <c r="H70" s="58">
        <f t="shared" si="20"/>
        <v>36.461999999999996</v>
      </c>
      <c r="I70" s="131">
        <f t="shared" si="19"/>
        <v>36.976730477475058</v>
      </c>
      <c r="J70" s="131">
        <f t="shared" si="18"/>
        <v>37.498727354611191</v>
      </c>
      <c r="K70" s="131">
        <f t="shared" si="18"/>
        <v>38.028093210459645</v>
      </c>
      <c r="L70" s="131">
        <f t="shared" si="18"/>
        <v>38.564932072170087</v>
      </c>
      <c r="M70" s="131">
        <f t="shared" si="18"/>
        <v>39.109349435433252</v>
      </c>
      <c r="N70" s="131">
        <f t="shared" si="18"/>
        <v>39.661452285212192</v>
      </c>
      <c r="O70" s="131">
        <f t="shared" si="18"/>
        <v>40.221349116766184</v>
      </c>
      <c r="P70" s="131">
        <f t="shared" si="18"/>
        <v>40.78914995697145</v>
      </c>
      <c r="Q70" s="131">
        <f t="shared" si="18"/>
        <v>41.364966385942814</v>
      </c>
      <c r="R70" s="131">
        <f t="shared" si="18"/>
        <v>41.948911558960653</v>
      </c>
      <c r="S70" s="131">
        <f t="shared" si="18"/>
        <v>42.541100228707322</v>
      </c>
      <c r="T70" s="131">
        <f t="shared" si="18"/>
        <v>43.14164876781755</v>
      </c>
      <c r="U70" s="131">
        <f t="shared" si="18"/>
        <v>43.750675191747128</v>
      </c>
      <c r="V70" s="131">
        <f t="shared" si="18"/>
        <v>44.36829918196446</v>
      </c>
      <c r="W70" s="131">
        <f t="shared" si="18"/>
        <v>44.99464210946951</v>
      </c>
      <c r="X70" s="131">
        <f t="shared" si="18"/>
        <v>45.629827058644729</v>
      </c>
      <c r="Y70" s="94">
        <f>X70*'ACT ECON'!$Q$6</f>
        <v>10.8142690128988</v>
      </c>
      <c r="Z70" s="94"/>
      <c r="AA70" s="94"/>
      <c r="AB70" s="94"/>
      <c r="AC70" s="94"/>
    </row>
    <row r="71" spans="1:29" x14ac:dyDescent="0.2">
      <c r="A71" s="1557"/>
      <c r="B71" s="52">
        <v>64</v>
      </c>
      <c r="C71" s="49" t="str">
        <f>'DEM REFER'!C71</f>
        <v>ABANCAY</v>
      </c>
      <c r="D71" s="49" t="str">
        <f>'DEM REFER'!D71</f>
        <v>CURAHUASI</v>
      </c>
      <c r="E71" s="49" t="str">
        <f>'DEM REFER'!E71</f>
        <v>BACAS</v>
      </c>
      <c r="F71" s="201">
        <f>'DEM REFER'!F71</f>
        <v>155</v>
      </c>
      <c r="G71" s="50">
        <f>'ACT ECON'!$Q$16</f>
        <v>0.17699999999999999</v>
      </c>
      <c r="H71" s="58">
        <f t="shared" si="20"/>
        <v>27.434999999999999</v>
      </c>
      <c r="I71" s="131">
        <f t="shared" si="19"/>
        <v>27.822297203925412</v>
      </c>
      <c r="J71" s="131">
        <f t="shared" si="18"/>
        <v>28.215061844489004</v>
      </c>
      <c r="K71" s="131">
        <f t="shared" si="18"/>
        <v>28.613371104957501</v>
      </c>
      <c r="L71" s="131">
        <f t="shared" si="18"/>
        <v>29.017303258186232</v>
      </c>
      <c r="M71" s="131">
        <f t="shared" si="18"/>
        <v>29.426937682000748</v>
      </c>
      <c r="N71" s="131">
        <f t="shared" si="18"/>
        <v>29.842354874795582</v>
      </c>
      <c r="O71" s="131">
        <f t="shared" si="18"/>
        <v>30.263636471353198</v>
      </c>
      <c r="P71" s="131">
        <f t="shared" si="18"/>
        <v>30.690865258886287</v>
      </c>
      <c r="Q71" s="131">
        <f t="shared" si="18"/>
        <v>31.12412519330649</v>
      </c>
      <c r="R71" s="131">
        <f t="shared" si="18"/>
        <v>31.563501415722822</v>
      </c>
      <c r="S71" s="131">
        <f t="shared" si="18"/>
        <v>32.009080269172983</v>
      </c>
      <c r="T71" s="131">
        <f t="shared" si="18"/>
        <v>32.460949315590874</v>
      </c>
      <c r="U71" s="131">
        <f t="shared" si="18"/>
        <v>32.919197353013615</v>
      </c>
      <c r="V71" s="131">
        <f t="shared" si="18"/>
        <v>33.383914433031514</v>
      </c>
      <c r="W71" s="131">
        <f t="shared" si="18"/>
        <v>33.855191878484341</v>
      </c>
      <c r="X71" s="131">
        <f t="shared" si="18"/>
        <v>34.333122301407442</v>
      </c>
      <c r="Y71" s="94">
        <f>X71*'ACT ECON'!$Q$6</f>
        <v>8.1369499854335636</v>
      </c>
      <c r="Z71" s="94"/>
      <c r="AA71" s="94"/>
      <c r="AB71" s="94"/>
      <c r="AC71" s="94"/>
    </row>
    <row r="72" spans="1:29" x14ac:dyDescent="0.2">
      <c r="A72" s="1557"/>
      <c r="B72" s="52">
        <v>65</v>
      </c>
      <c r="C72" s="49" t="str">
        <f>'DEM REFER'!C72</f>
        <v>ABANCAY</v>
      </c>
      <c r="D72" s="49" t="str">
        <f>'DEM REFER'!D72</f>
        <v>CURAHUASI</v>
      </c>
      <c r="E72" s="49" t="str">
        <f>'DEM REFER'!E72</f>
        <v>ASMAYACU</v>
      </c>
      <c r="F72" s="201">
        <f>'DEM REFER'!F72</f>
        <v>193</v>
      </c>
      <c r="G72" s="50">
        <f>'ACT ECON'!$Q$16</f>
        <v>0.17699999999999999</v>
      </c>
      <c r="H72" s="58">
        <f t="shared" si="20"/>
        <v>34.161000000000001</v>
      </c>
      <c r="I72" s="131">
        <f t="shared" si="19"/>
        <v>34.643247486178097</v>
      </c>
      <c r="J72" s="131">
        <f t="shared" si="18"/>
        <v>35.132302812815347</v>
      </c>
      <c r="K72" s="131">
        <f t="shared" si="18"/>
        <v>35.62826208552773</v>
      </c>
      <c r="L72" s="131">
        <f t="shared" si="18"/>
        <v>36.131222766644797</v>
      </c>
      <c r="M72" s="131">
        <f t="shared" si="18"/>
        <v>36.64128369436223</v>
      </c>
      <c r="N72" s="131">
        <f t="shared" si="18"/>
        <v>37.15854510216483</v>
      </c>
      <c r="O72" s="131">
        <f t="shared" si="18"/>
        <v>37.68310863852367</v>
      </c>
      <c r="P72" s="131">
        <f t="shared" si="18"/>
        <v>38.215077386871322</v>
      </c>
      <c r="Q72" s="131">
        <f t="shared" si="18"/>
        <v>38.754555885859055</v>
      </c>
      <c r="R72" s="131">
        <f t="shared" si="18"/>
        <v>39.301650149900041</v>
      </c>
      <c r="S72" s="131">
        <f t="shared" si="18"/>
        <v>39.856467690002503</v>
      </c>
      <c r="T72" s="131">
        <f t="shared" si="18"/>
        <v>40.41911753489704</v>
      </c>
      <c r="U72" s="131">
        <f t="shared" si="18"/>
        <v>40.989710252462132</v>
      </c>
      <c r="V72" s="131">
        <f t="shared" si="18"/>
        <v>41.568357971452158</v>
      </c>
      <c r="W72" s="131">
        <f t="shared" si="18"/>
        <v>42.155174403532129</v>
      </c>
      <c r="X72" s="131">
        <f t="shared" si="18"/>
        <v>42.750274865623474</v>
      </c>
      <c r="Y72" s="94">
        <f>X72*'ACT ECON'!$Q$6</f>
        <v>10.131815143152762</v>
      </c>
      <c r="Z72" s="94"/>
      <c r="AA72" s="94"/>
      <c r="AB72" s="94"/>
      <c r="AC72" s="94"/>
    </row>
    <row r="73" spans="1:29" x14ac:dyDescent="0.2">
      <c r="A73" s="1557"/>
      <c r="B73" s="52">
        <v>66</v>
      </c>
      <c r="C73" s="49" t="str">
        <f>'DEM REFER'!C73</f>
        <v>ABANCAY</v>
      </c>
      <c r="D73" s="49" t="str">
        <f>'DEM REFER'!D73</f>
        <v>CURAHUASI</v>
      </c>
      <c r="E73" s="49" t="str">
        <f>'DEM REFER'!E73</f>
        <v>PUCA ORCCO</v>
      </c>
      <c r="F73" s="201">
        <f>'DEM REFER'!F73</f>
        <v>117</v>
      </c>
      <c r="G73" s="50">
        <f>'ACT ECON'!$Q$16</f>
        <v>0.17699999999999999</v>
      </c>
      <c r="H73" s="58">
        <f t="shared" si="20"/>
        <v>20.709</v>
      </c>
      <c r="I73" s="131">
        <f t="shared" si="19"/>
        <v>21.001346921672731</v>
      </c>
      <c r="J73" s="131">
        <f t="shared" si="18"/>
        <v>21.297820876162668</v>
      </c>
      <c r="K73" s="131">
        <f t="shared" si="18"/>
        <v>21.598480124387276</v>
      </c>
      <c r="L73" s="131">
        <f t="shared" si="18"/>
        <v>21.903383749727674</v>
      </c>
      <c r="M73" s="131">
        <f t="shared" si="18"/>
        <v>22.212591669639277</v>
      </c>
      <c r="N73" s="131">
        <f t="shared" si="18"/>
        <v>22.526164647426345</v>
      </c>
      <c r="O73" s="131">
        <f t="shared" si="18"/>
        <v>22.84416430418274</v>
      </c>
      <c r="P73" s="131">
        <f t="shared" si="18"/>
        <v>23.166653130901263</v>
      </c>
      <c r="Q73" s="131">
        <f t="shared" si="18"/>
        <v>23.493694500753932</v>
      </c>
      <c r="R73" s="131">
        <f t="shared" si="18"/>
        <v>23.825352681545617</v>
      </c>
      <c r="S73" s="131">
        <f t="shared" si="18"/>
        <v>24.161692848343485</v>
      </c>
      <c r="T73" s="131">
        <f t="shared" si="18"/>
        <v>24.502781096284732</v>
      </c>
      <c r="U73" s="131">
        <f t="shared" si="18"/>
        <v>24.848684453565124</v>
      </c>
      <c r="V73" s="131">
        <f t="shared" si="18"/>
        <v>25.199470894610894</v>
      </c>
      <c r="W73" s="131">
        <f t="shared" si="18"/>
        <v>25.555209353436577</v>
      </c>
      <c r="X73" s="131">
        <f t="shared" si="18"/>
        <v>25.915969737191435</v>
      </c>
      <c r="Y73" s="94">
        <f>X73*'ACT ECON'!$Q$6</f>
        <v>6.1420848277143696</v>
      </c>
      <c r="Z73" s="94"/>
      <c r="AA73" s="94"/>
      <c r="AB73" s="94"/>
      <c r="AC73" s="94"/>
    </row>
    <row r="74" spans="1:29" x14ac:dyDescent="0.2">
      <c r="A74" s="1557"/>
      <c r="B74" s="52">
        <v>67</v>
      </c>
      <c r="C74" s="49" t="str">
        <f>'DEM REFER'!C74</f>
        <v>ABANCAY</v>
      </c>
      <c r="D74" s="49" t="str">
        <f>'DEM REFER'!D74</f>
        <v>CURAHUASI</v>
      </c>
      <c r="E74" s="49" t="str">
        <f>'DEM REFER'!E74</f>
        <v>ANTILLA</v>
      </c>
      <c r="F74" s="201">
        <f>'DEM REFER'!F74</f>
        <v>244</v>
      </c>
      <c r="G74" s="50">
        <f>'ACT ECON'!$Q$16</f>
        <v>0.17699999999999999</v>
      </c>
      <c r="H74" s="58">
        <f t="shared" si="20"/>
        <v>43.187999999999995</v>
      </c>
      <c r="I74" s="131">
        <f t="shared" si="19"/>
        <v>43.79768075972774</v>
      </c>
      <c r="J74" s="131">
        <f t="shared" si="18"/>
        <v>44.415968322937523</v>
      </c>
      <c r="K74" s="131">
        <f t="shared" si="18"/>
        <v>45.042984191029866</v>
      </c>
      <c r="L74" s="131">
        <f t="shared" si="18"/>
        <v>45.678851580628645</v>
      </c>
      <c r="M74" s="131">
        <f t="shared" si="18"/>
        <v>46.323695447794726</v>
      </c>
      <c r="N74" s="131">
        <f t="shared" si="18"/>
        <v>46.977642512581433</v>
      </c>
      <c r="O74" s="131">
        <f t="shared" si="18"/>
        <v>47.640821283936653</v>
      </c>
      <c r="P74" s="131">
        <f t="shared" si="18"/>
        <v>48.313362084956481</v>
      </c>
      <c r="Q74" s="131">
        <f t="shared" si="18"/>
        <v>48.99539707849538</v>
      </c>
      <c r="R74" s="131">
        <f t="shared" si="18"/>
        <v>49.687060293137868</v>
      </c>
      <c r="S74" s="131">
        <f t="shared" si="18"/>
        <v>50.388487649536835</v>
      </c>
      <c r="T74" s="131">
        <f t="shared" si="18"/>
        <v>51.09981698712371</v>
      </c>
      <c r="U74" s="131">
        <f t="shared" si="18"/>
        <v>51.821188091195637</v>
      </c>
      <c r="V74" s="131">
        <f t="shared" si="18"/>
        <v>52.552742720385105</v>
      </c>
      <c r="W74" s="131">
        <f t="shared" si="18"/>
        <v>53.294624634517298</v>
      </c>
      <c r="X74" s="131">
        <f t="shared" si="18"/>
        <v>54.046979622860761</v>
      </c>
      <c r="Y74" s="94">
        <f>X74*'ACT ECON'!$Q$6</f>
        <v>12.809134170618</v>
      </c>
      <c r="Z74" s="94"/>
      <c r="AA74" s="94"/>
      <c r="AB74" s="94"/>
      <c r="AC74" s="94"/>
    </row>
    <row r="75" spans="1:29" x14ac:dyDescent="0.2">
      <c r="A75" s="1557"/>
      <c r="B75" s="52">
        <v>68</v>
      </c>
      <c r="C75" s="49" t="str">
        <f>'DEM REFER'!C75</f>
        <v>ABANCAY</v>
      </c>
      <c r="D75" s="49" t="str">
        <f>'DEM REFER'!D75</f>
        <v>CURAHUASI</v>
      </c>
      <c r="E75" s="49" t="str">
        <f>'DEM REFER'!E75</f>
        <v>CCOLLO TARANI</v>
      </c>
      <c r="F75" s="201">
        <f>'DEM REFER'!F75</f>
        <v>51</v>
      </c>
      <c r="G75" s="50">
        <f>'ACT ECON'!$Q$16</f>
        <v>0.17699999999999999</v>
      </c>
      <c r="H75" s="58">
        <f t="shared" si="20"/>
        <v>9.0269999999999992</v>
      </c>
      <c r="I75" s="131">
        <f t="shared" si="19"/>
        <v>9.1544332735496514</v>
      </c>
      <c r="J75" s="131">
        <f t="shared" ref="J75:X90" si="21">+I75*(1+$J$19)</f>
        <v>9.283665510122189</v>
      </c>
      <c r="K75" s="131">
        <f t="shared" si="21"/>
        <v>9.4147221055021451</v>
      </c>
      <c r="L75" s="131">
        <f t="shared" si="21"/>
        <v>9.5476288139838559</v>
      </c>
      <c r="M75" s="131">
        <f t="shared" si="21"/>
        <v>9.682411753432504</v>
      </c>
      <c r="N75" s="131">
        <f t="shared" si="21"/>
        <v>9.8190974104166102</v>
      </c>
      <c r="O75" s="131">
        <f t="shared" si="21"/>
        <v>9.9577126454129878</v>
      </c>
      <c r="P75" s="131">
        <f t="shared" si="21"/>
        <v>10.098284698085164</v>
      </c>
      <c r="Q75" s="131">
        <f t="shared" si="21"/>
        <v>10.240841192636328</v>
      </c>
      <c r="R75" s="131">
        <f t="shared" si="21"/>
        <v>10.385410143237831</v>
      </c>
      <c r="S75" s="131">
        <f t="shared" si="21"/>
        <v>10.532019959534336</v>
      </c>
      <c r="T75" s="131">
        <f t="shared" si="21"/>
        <v>10.680699452226674</v>
      </c>
      <c r="U75" s="131">
        <f t="shared" si="21"/>
        <v>10.831477838733512</v>
      </c>
      <c r="V75" s="131">
        <f t="shared" si="21"/>
        <v>10.98438474893295</v>
      </c>
      <c r="W75" s="131">
        <f t="shared" si="21"/>
        <v>11.139450230985171</v>
      </c>
      <c r="X75" s="131">
        <f t="shared" si="21"/>
        <v>11.296704757237288</v>
      </c>
      <c r="Y75" s="94">
        <f>X75*'ACT ECON'!$Q$6</f>
        <v>2.677319027465237</v>
      </c>
      <c r="Z75" s="94"/>
      <c r="AA75" s="94"/>
      <c r="AB75" s="94"/>
      <c r="AC75" s="94"/>
    </row>
    <row r="76" spans="1:29" x14ac:dyDescent="0.2">
      <c r="A76" s="1557"/>
      <c r="B76" s="52">
        <v>69</v>
      </c>
      <c r="C76" s="49" t="str">
        <f>'DEM REFER'!C76</f>
        <v>ABANCAY</v>
      </c>
      <c r="D76" s="49" t="str">
        <f>'DEM REFER'!D76</f>
        <v>CURAHUASI</v>
      </c>
      <c r="E76" s="49" t="str">
        <f>'DEM REFER'!E76</f>
        <v>HUANIMA</v>
      </c>
      <c r="F76" s="201">
        <f>'DEM REFER'!F76</f>
        <v>52</v>
      </c>
      <c r="G76" s="50">
        <f>'ACT ECON'!$Q$16</f>
        <v>0.17699999999999999</v>
      </c>
      <c r="H76" s="58">
        <f t="shared" si="20"/>
        <v>9.2039999999999988</v>
      </c>
      <c r="I76" s="131">
        <f t="shared" si="19"/>
        <v>9.3339319651878796</v>
      </c>
      <c r="J76" s="131">
        <f t="shared" si="21"/>
        <v>9.4656981671834064</v>
      </c>
      <c r="K76" s="131">
        <f t="shared" si="21"/>
        <v>9.5993244997276754</v>
      </c>
      <c r="L76" s="131">
        <f t="shared" si="21"/>
        <v>9.7348372221011861</v>
      </c>
      <c r="M76" s="131">
        <f t="shared" si="21"/>
        <v>9.872262964284122</v>
      </c>
      <c r="N76" s="131">
        <f t="shared" si="21"/>
        <v>10.011628732189486</v>
      </c>
      <c r="O76" s="131">
        <f t="shared" si="21"/>
        <v>10.152961912970106</v>
      </c>
      <c r="P76" s="131">
        <f t="shared" si="21"/>
        <v>10.29629028040056</v>
      </c>
      <c r="Q76" s="131">
        <f t="shared" si="21"/>
        <v>10.441642000335079</v>
      </c>
      <c r="R76" s="131">
        <f t="shared" si="21"/>
        <v>10.589045636242494</v>
      </c>
      <c r="S76" s="131">
        <f t="shared" si="21"/>
        <v>10.738530154819323</v>
      </c>
      <c r="T76" s="131">
        <f t="shared" si="21"/>
        <v>10.890124931682099</v>
      </c>
      <c r="U76" s="131">
        <f t="shared" si="21"/>
        <v>11.04385975714005</v>
      </c>
      <c r="V76" s="131">
        <f t="shared" si="21"/>
        <v>11.19976484204928</v>
      </c>
      <c r="W76" s="131">
        <f t="shared" si="21"/>
        <v>11.357870823749584</v>
      </c>
      <c r="X76" s="131">
        <f t="shared" si="21"/>
        <v>11.518208772085076</v>
      </c>
      <c r="Y76" s="94">
        <f>X76*'ACT ECON'!$Q$6</f>
        <v>2.7298154789841629</v>
      </c>
      <c r="Z76" s="94"/>
      <c r="AA76" s="94"/>
      <c r="AB76" s="94"/>
      <c r="AC76" s="94"/>
    </row>
    <row r="77" spans="1:29" x14ac:dyDescent="0.2">
      <c r="A77" s="1557"/>
      <c r="B77" s="52">
        <v>70</v>
      </c>
      <c r="C77" s="49" t="str">
        <f>'DEM REFER'!C77</f>
        <v>ABANCAY</v>
      </c>
      <c r="D77" s="49" t="str">
        <f>'DEM REFER'!D77</f>
        <v>CURAHUASI</v>
      </c>
      <c r="E77" s="49" t="str">
        <f>'DEM REFER'!E77</f>
        <v>CCOLLPA</v>
      </c>
      <c r="F77" s="201">
        <f>'DEM REFER'!F77</f>
        <v>147</v>
      </c>
      <c r="G77" s="50">
        <f>'ACT ECON'!$Q$16</f>
        <v>0.17699999999999999</v>
      </c>
      <c r="H77" s="58">
        <f t="shared" si="20"/>
        <v>26.018999999999998</v>
      </c>
      <c r="I77" s="131">
        <f t="shared" si="19"/>
        <v>26.386307670819583</v>
      </c>
      <c r="J77" s="131">
        <f t="shared" si="21"/>
        <v>26.758800587999247</v>
      </c>
      <c r="K77" s="131">
        <f t="shared" si="21"/>
        <v>27.13655195115324</v>
      </c>
      <c r="L77" s="131">
        <f t="shared" si="21"/>
        <v>27.519635993247586</v>
      </c>
      <c r="M77" s="131">
        <f t="shared" si="21"/>
        <v>27.908127995187808</v>
      </c>
      <c r="N77" s="131">
        <f t="shared" si="21"/>
        <v>28.302104300612587</v>
      </c>
      <c r="O77" s="131">
        <f t="shared" si="21"/>
        <v>28.701642330896263</v>
      </c>
      <c r="P77" s="131">
        <f t="shared" si="21"/>
        <v>29.106820600363125</v>
      </c>
      <c r="Q77" s="131">
        <f t="shared" si="21"/>
        <v>29.517718731716478</v>
      </c>
      <c r="R77" s="131">
        <f t="shared" si="21"/>
        <v>29.934417471685517</v>
      </c>
      <c r="S77" s="131">
        <f t="shared" si="21"/>
        <v>30.356998706893094</v>
      </c>
      <c r="T77" s="131">
        <f t="shared" si="21"/>
        <v>30.78554547994748</v>
      </c>
      <c r="U77" s="131">
        <f t="shared" si="21"/>
        <v>31.220142005761303</v>
      </c>
      <c r="V77" s="131">
        <f t="shared" si="21"/>
        <v>31.660873688100857</v>
      </c>
      <c r="W77" s="131">
        <f t="shared" si="21"/>
        <v>32.107827136369025</v>
      </c>
      <c r="X77" s="131">
        <f t="shared" si="21"/>
        <v>32.561090182625129</v>
      </c>
      <c r="Y77" s="94">
        <f>X77*'ACT ECON'!$Q$6</f>
        <v>7.7169783732821555</v>
      </c>
      <c r="Z77" s="94"/>
      <c r="AA77" s="94"/>
      <c r="AB77" s="94"/>
      <c r="AC77" s="94"/>
    </row>
    <row r="78" spans="1:29" x14ac:dyDescent="0.2">
      <c r="A78" s="1557"/>
      <c r="B78" s="52">
        <v>71</v>
      </c>
      <c r="C78" s="49" t="str">
        <f>'DEM REFER'!C78</f>
        <v>ABANCAY</v>
      </c>
      <c r="D78" s="49" t="str">
        <f>'DEM REFER'!D78</f>
        <v>CURAHUASI</v>
      </c>
      <c r="E78" s="49" t="str">
        <f>'DEM REFER'!E78</f>
        <v>TRANCAPATA BAJA</v>
      </c>
      <c r="F78" s="201">
        <f>'DEM REFER'!F78</f>
        <v>527</v>
      </c>
      <c r="G78" s="50">
        <f>'ACT ECON'!$Q$16</f>
        <v>0.17699999999999999</v>
      </c>
      <c r="H78" s="58">
        <f t="shared" si="20"/>
        <v>93.278999999999996</v>
      </c>
      <c r="I78" s="131">
        <f t="shared" si="19"/>
        <v>94.595810493346406</v>
      </c>
      <c r="J78" s="131">
        <f t="shared" si="21"/>
        <v>95.931210271262614</v>
      </c>
      <c r="K78" s="131">
        <f t="shared" si="21"/>
        <v>97.285461756855497</v>
      </c>
      <c r="L78" s="131">
        <f t="shared" si="21"/>
        <v>98.658831077833185</v>
      </c>
      <c r="M78" s="131">
        <f t="shared" si="21"/>
        <v>100.05158811880254</v>
      </c>
      <c r="N78" s="131">
        <f t="shared" si="21"/>
        <v>101.46400657430497</v>
      </c>
      <c r="O78" s="131">
        <f t="shared" si="21"/>
        <v>102.89636400260088</v>
      </c>
      <c r="P78" s="131">
        <f t="shared" si="21"/>
        <v>104.34894188021337</v>
      </c>
      <c r="Q78" s="131">
        <f t="shared" si="21"/>
        <v>105.82202565724207</v>
      </c>
      <c r="R78" s="131">
        <f t="shared" si="21"/>
        <v>107.31590481345759</v>
      </c>
      <c r="S78" s="131">
        <f t="shared" si="21"/>
        <v>108.83087291518815</v>
      </c>
      <c r="T78" s="131">
        <f t="shared" si="21"/>
        <v>110.36722767300898</v>
      </c>
      <c r="U78" s="131">
        <f t="shared" si="21"/>
        <v>111.9252710002463</v>
      </c>
      <c r="V78" s="131">
        <f t="shared" si="21"/>
        <v>113.50530907230716</v>
      </c>
      <c r="W78" s="131">
        <f t="shared" si="21"/>
        <v>115.10765238684677</v>
      </c>
      <c r="X78" s="131">
        <f t="shared" si="21"/>
        <v>116.73261582478531</v>
      </c>
      <c r="Y78" s="94">
        <f>X78*'ACT ECON'!$Q$6</f>
        <v>27.665629950474116</v>
      </c>
      <c r="Z78" s="94"/>
      <c r="AA78" s="94"/>
      <c r="AB78" s="94"/>
      <c r="AC78" s="94"/>
    </row>
    <row r="79" spans="1:29" x14ac:dyDescent="0.2">
      <c r="A79" s="1557"/>
      <c r="B79" s="52">
        <v>72</v>
      </c>
      <c r="C79" s="49" t="str">
        <f>'DEM REFER'!C79</f>
        <v>ABANCAY</v>
      </c>
      <c r="D79" s="49" t="str">
        <f>'DEM REFER'!D79</f>
        <v>CURAHUASI</v>
      </c>
      <c r="E79" s="49" t="str">
        <f>'DEM REFER'!E79</f>
        <v>CCOCHUA ALTA</v>
      </c>
      <c r="F79" s="201">
        <f>'DEM REFER'!F79</f>
        <v>281</v>
      </c>
      <c r="G79" s="50">
        <f>'ACT ECON'!$Q$16</f>
        <v>0.17699999999999999</v>
      </c>
      <c r="H79" s="58">
        <f t="shared" si="20"/>
        <v>49.736999999999995</v>
      </c>
      <c r="I79" s="131">
        <f t="shared" si="19"/>
        <v>50.439132350342199</v>
      </c>
      <c r="J79" s="131">
        <f t="shared" si="21"/>
        <v>51.151176634202649</v>
      </c>
      <c r="K79" s="131">
        <f t="shared" si="21"/>
        <v>51.873272777374567</v>
      </c>
      <c r="L79" s="131">
        <f t="shared" si="21"/>
        <v>52.605562680969882</v>
      </c>
      <c r="M79" s="131">
        <f t="shared" si="21"/>
        <v>53.348190249304587</v>
      </c>
      <c r="N79" s="131">
        <f t="shared" si="21"/>
        <v>54.101301418177805</v>
      </c>
      <c r="O79" s="131">
        <f t="shared" si="21"/>
        <v>54.865044183550005</v>
      </c>
      <c r="P79" s="131">
        <f t="shared" si="21"/>
        <v>55.639568630626115</v>
      </c>
      <c r="Q79" s="131">
        <f t="shared" si="21"/>
        <v>56.42502696334919</v>
      </c>
      <c r="R79" s="131">
        <f t="shared" si="21"/>
        <v>57.221573534310416</v>
      </c>
      <c r="S79" s="131">
        <f t="shared" si="21"/>
        <v>58.029364875081356</v>
      </c>
      <c r="T79" s="131">
        <f t="shared" si="21"/>
        <v>58.848559726974436</v>
      </c>
      <c r="U79" s="131">
        <f t="shared" si="21"/>
        <v>59.679319072237597</v>
      </c>
      <c r="V79" s="131">
        <f t="shared" si="21"/>
        <v>60.521806165689398</v>
      </c>
      <c r="W79" s="131">
        <f t="shared" si="21"/>
        <v>61.376186566800655</v>
      </c>
      <c r="X79" s="131">
        <f t="shared" si="21"/>
        <v>62.24262817222899</v>
      </c>
      <c r="Y79" s="94">
        <f>X79*'ACT ECON'!$Q$6</f>
        <v>14.75150287681827</v>
      </c>
      <c r="Z79" s="94"/>
      <c r="AA79" s="94"/>
      <c r="AB79" s="94"/>
      <c r="AC79" s="94"/>
    </row>
    <row r="80" spans="1:29" x14ac:dyDescent="0.2">
      <c r="A80" s="1557"/>
      <c r="B80" s="52">
        <v>73</v>
      </c>
      <c r="C80" s="49" t="str">
        <f>'DEM REFER'!C80</f>
        <v>ABANCAY</v>
      </c>
      <c r="D80" s="49" t="str">
        <f>'DEM REFER'!D80</f>
        <v>CURAHUASI</v>
      </c>
      <c r="E80" s="49" t="str">
        <f>'DEM REFER'!E80</f>
        <v>CHILLICPAMPA</v>
      </c>
      <c r="F80" s="201">
        <f>'DEM REFER'!F80</f>
        <v>52</v>
      </c>
      <c r="G80" s="50">
        <f>'ACT ECON'!$Q$16</f>
        <v>0.17699999999999999</v>
      </c>
      <c r="H80" s="58">
        <f t="shared" si="20"/>
        <v>9.2039999999999988</v>
      </c>
      <c r="I80" s="131">
        <f t="shared" si="19"/>
        <v>9.3339319651878796</v>
      </c>
      <c r="J80" s="131">
        <f t="shared" si="21"/>
        <v>9.4656981671834064</v>
      </c>
      <c r="K80" s="131">
        <f t="shared" si="21"/>
        <v>9.5993244997276754</v>
      </c>
      <c r="L80" s="131">
        <f t="shared" si="21"/>
        <v>9.7348372221011861</v>
      </c>
      <c r="M80" s="131">
        <f t="shared" si="21"/>
        <v>9.872262964284122</v>
      </c>
      <c r="N80" s="131">
        <f t="shared" si="21"/>
        <v>10.011628732189486</v>
      </c>
      <c r="O80" s="131">
        <f t="shared" si="21"/>
        <v>10.152961912970106</v>
      </c>
      <c r="P80" s="131">
        <f t="shared" si="21"/>
        <v>10.29629028040056</v>
      </c>
      <c r="Q80" s="131">
        <f t="shared" si="21"/>
        <v>10.441642000335079</v>
      </c>
      <c r="R80" s="131">
        <f t="shared" si="21"/>
        <v>10.589045636242494</v>
      </c>
      <c r="S80" s="131">
        <f t="shared" si="21"/>
        <v>10.738530154819323</v>
      </c>
      <c r="T80" s="131">
        <f t="shared" si="21"/>
        <v>10.890124931682099</v>
      </c>
      <c r="U80" s="131">
        <f t="shared" si="21"/>
        <v>11.04385975714005</v>
      </c>
      <c r="V80" s="131">
        <f t="shared" si="21"/>
        <v>11.19976484204928</v>
      </c>
      <c r="W80" s="131">
        <f t="shared" si="21"/>
        <v>11.357870823749584</v>
      </c>
      <c r="X80" s="131">
        <f t="shared" si="21"/>
        <v>11.518208772085076</v>
      </c>
      <c r="Y80" s="94">
        <f>X80*'ACT ECON'!$Q$6</f>
        <v>2.7298154789841629</v>
      </c>
      <c r="Z80" s="94"/>
      <c r="AA80" s="94"/>
      <c r="AB80" s="94"/>
      <c r="AC80" s="94"/>
    </row>
    <row r="81" spans="1:29" x14ac:dyDescent="0.2">
      <c r="A81" s="1557"/>
      <c r="B81" s="52">
        <v>74</v>
      </c>
      <c r="C81" s="49" t="str">
        <f>'DEM REFER'!C81</f>
        <v>ABANCAY</v>
      </c>
      <c r="D81" s="49" t="str">
        <f>'DEM REFER'!D81</f>
        <v>CURAHUASI</v>
      </c>
      <c r="E81" s="49" t="str">
        <f>'DEM REFER'!E81</f>
        <v>TRIGO ORCCO</v>
      </c>
      <c r="F81" s="201">
        <f>'DEM REFER'!F81</f>
        <v>178</v>
      </c>
      <c r="G81" s="50">
        <f>'ACT ECON'!$Q$16</f>
        <v>0.17699999999999999</v>
      </c>
      <c r="H81" s="58">
        <f t="shared" si="20"/>
        <v>31.505999999999997</v>
      </c>
      <c r="I81" s="131">
        <f t="shared" si="19"/>
        <v>31.950767111604666</v>
      </c>
      <c r="J81" s="131">
        <f t="shared" si="21"/>
        <v>32.401812956897047</v>
      </c>
      <c r="K81" s="131">
        <f t="shared" si="21"/>
        <v>32.859226172144737</v>
      </c>
      <c r="L81" s="131">
        <f t="shared" si="21"/>
        <v>33.323096644884828</v>
      </c>
      <c r="M81" s="131">
        <f t="shared" si="21"/>
        <v>33.79351553158795</v>
      </c>
      <c r="N81" s="131">
        <f t="shared" si="21"/>
        <v>34.270575275571694</v>
      </c>
      <c r="O81" s="131">
        <f t="shared" si="21"/>
        <v>34.754369625166895</v>
      </c>
      <c r="P81" s="131">
        <f t="shared" si="21"/>
        <v>35.244993652140373</v>
      </c>
      <c r="Q81" s="131">
        <f t="shared" si="21"/>
        <v>35.742543770377765</v>
      </c>
      <c r="R81" s="131">
        <f t="shared" si="21"/>
        <v>36.247117754830072</v>
      </c>
      <c r="S81" s="131">
        <f t="shared" si="21"/>
        <v>36.758814760727681</v>
      </c>
      <c r="T81" s="131">
        <f t="shared" si="21"/>
        <v>37.277735343065643</v>
      </c>
      <c r="U81" s="131">
        <f t="shared" si="21"/>
        <v>37.803981476364015</v>
      </c>
      <c r="V81" s="131">
        <f t="shared" si="21"/>
        <v>38.337656574707147</v>
      </c>
      <c r="W81" s="131">
        <f t="shared" si="21"/>
        <v>38.878865512065879</v>
      </c>
      <c r="X81" s="131">
        <f t="shared" si="21"/>
        <v>39.427714642906601</v>
      </c>
      <c r="Y81" s="94">
        <f>X81*'ACT ECON'!$Q$6</f>
        <v>9.3443683703688638</v>
      </c>
      <c r="Z81" s="94"/>
      <c r="AA81" s="94"/>
      <c r="AB81" s="94"/>
      <c r="AC81" s="94"/>
    </row>
    <row r="82" spans="1:29" x14ac:dyDescent="0.2">
      <c r="A82" s="1557"/>
      <c r="B82" s="52">
        <v>75</v>
      </c>
      <c r="C82" s="49" t="str">
        <f>'DEM REFER'!C82</f>
        <v>ABANCAY</v>
      </c>
      <c r="D82" s="49" t="str">
        <f>'DEM REFER'!D82</f>
        <v>CURAHUASI</v>
      </c>
      <c r="E82" s="49" t="str">
        <f>'DEM REFER'!E82</f>
        <v>CCOC HUA CENTRO</v>
      </c>
      <c r="F82" s="201">
        <f>'DEM REFER'!F82</f>
        <v>188</v>
      </c>
      <c r="G82" s="50">
        <f>'ACT ECON'!$Q$16</f>
        <v>0.17699999999999999</v>
      </c>
      <c r="H82" s="58">
        <f t="shared" si="20"/>
        <v>33.275999999999996</v>
      </c>
      <c r="I82" s="131">
        <f t="shared" si="19"/>
        <v>33.745754027986948</v>
      </c>
      <c r="J82" s="131">
        <f t="shared" si="21"/>
        <v>34.222139527509242</v>
      </c>
      <c r="K82" s="131">
        <f t="shared" si="21"/>
        <v>34.705250114400066</v>
      </c>
      <c r="L82" s="131">
        <f t="shared" si="21"/>
        <v>35.19518072605814</v>
      </c>
      <c r="M82" s="131">
        <f t="shared" si="21"/>
        <v>35.692027640104136</v>
      </c>
      <c r="N82" s="131">
        <f t="shared" si="21"/>
        <v>36.195888493300451</v>
      </c>
      <c r="O82" s="131">
        <f t="shared" si="21"/>
        <v>36.706862300738081</v>
      </c>
      <c r="P82" s="131">
        <f t="shared" si="21"/>
        <v>37.225049475294341</v>
      </c>
      <c r="Q82" s="131">
        <f t="shared" si="21"/>
        <v>37.750551847365294</v>
      </c>
      <c r="R82" s="131">
        <f t="shared" si="21"/>
        <v>38.28347268487672</v>
      </c>
      <c r="S82" s="131">
        <f t="shared" si="21"/>
        <v>38.823916713577567</v>
      </c>
      <c r="T82" s="131">
        <f t="shared" si="21"/>
        <v>39.37199013761991</v>
      </c>
      <c r="U82" s="131">
        <f t="shared" si="21"/>
        <v>39.927800660429426</v>
      </c>
      <c r="V82" s="131">
        <f t="shared" si="21"/>
        <v>40.491457505870493</v>
      </c>
      <c r="W82" s="131">
        <f t="shared" si="21"/>
        <v>41.06307143971005</v>
      </c>
      <c r="X82" s="131">
        <f t="shared" si="21"/>
        <v>41.642754791384526</v>
      </c>
      <c r="Y82" s="94">
        <f>X82*'ACT ECON'!$Q$6</f>
        <v>9.8693328855581317</v>
      </c>
      <c r="Z82" s="94"/>
      <c r="AA82" s="94"/>
      <c r="AB82" s="94"/>
      <c r="AC82" s="94"/>
    </row>
    <row r="83" spans="1:29" x14ac:dyDescent="0.2">
      <c r="A83" s="1557"/>
      <c r="B83" s="52">
        <v>76</v>
      </c>
      <c r="C83" s="49" t="str">
        <f>'DEM REFER'!C83</f>
        <v>ABANCAY</v>
      </c>
      <c r="D83" s="49" t="str">
        <f>'DEM REFER'!D83</f>
        <v>CURAHUASI</v>
      </c>
      <c r="E83" s="49" t="str">
        <f>'DEM REFER'!E83</f>
        <v>SULBARIO</v>
      </c>
      <c r="F83" s="201">
        <f>'DEM REFER'!F83</f>
        <v>116</v>
      </c>
      <c r="G83" s="50">
        <f>'ACT ECON'!$Q$16</f>
        <v>0.17699999999999999</v>
      </c>
      <c r="H83" s="58">
        <f t="shared" si="20"/>
        <v>20.532</v>
      </c>
      <c r="I83" s="131">
        <f t="shared" si="19"/>
        <v>20.821848230034504</v>
      </c>
      <c r="J83" s="131">
        <f t="shared" si="21"/>
        <v>21.11578821910145</v>
      </c>
      <c r="K83" s="131">
        <f t="shared" si="21"/>
        <v>21.413877730161744</v>
      </c>
      <c r="L83" s="131">
        <f t="shared" si="21"/>
        <v>21.716175341610342</v>
      </c>
      <c r="M83" s="131">
        <f t="shared" si="21"/>
        <v>22.022740458787659</v>
      </c>
      <c r="N83" s="131">
        <f t="shared" si="21"/>
        <v>22.333633325653469</v>
      </c>
      <c r="O83" s="131">
        <f t="shared" si="21"/>
        <v>22.64891503662562</v>
      </c>
      <c r="P83" s="131">
        <f t="shared" si="21"/>
        <v>22.968647548585867</v>
      </c>
      <c r="Q83" s="131">
        <f t="shared" si="21"/>
        <v>23.292893693055181</v>
      </c>
      <c r="R83" s="131">
        <f t="shared" si="21"/>
        <v>23.621717188540952</v>
      </c>
      <c r="S83" s="131">
        <f t="shared" si="21"/>
        <v>23.955182653058493</v>
      </c>
      <c r="T83" s="131">
        <f t="shared" si="21"/>
        <v>24.293355616829302</v>
      </c>
      <c r="U83" s="131">
        <f t="shared" si="21"/>
        <v>24.636302535158581</v>
      </c>
      <c r="V83" s="131">
        <f t="shared" si="21"/>
        <v>24.984090801494556</v>
      </c>
      <c r="W83" s="131">
        <f t="shared" si="21"/>
        <v>25.336788760672157</v>
      </c>
      <c r="X83" s="131">
        <f t="shared" si="21"/>
        <v>25.69446572234364</v>
      </c>
      <c r="Y83" s="94">
        <f>X83*'ACT ECON'!$Q$6</f>
        <v>6.0895883761954428</v>
      </c>
      <c r="Z83" s="94"/>
      <c r="AA83" s="94"/>
      <c r="AB83" s="94"/>
      <c r="AC83" s="94"/>
    </row>
    <row r="84" spans="1:29" ht="15" customHeight="1" x14ac:dyDescent="0.2">
      <c r="A84" s="1554">
        <f>'DEM REFER'!A84:A90</f>
        <v>7</v>
      </c>
      <c r="B84" s="52">
        <v>77</v>
      </c>
      <c r="C84" s="49" t="str">
        <f>'DEM REFER'!C84</f>
        <v>ABANCAY</v>
      </c>
      <c r="D84" s="49" t="str">
        <f>'DEM REFER'!D84</f>
        <v>HUANIPACA</v>
      </c>
      <c r="E84" s="49" t="str">
        <f>'DEM REFER'!E84</f>
        <v>HUANIPACA</v>
      </c>
      <c r="F84" s="201">
        <f>'DEM REFER'!F84</f>
        <v>623</v>
      </c>
      <c r="G84" s="50">
        <f>'ACT ECON'!$Q$16</f>
        <v>0.17699999999999999</v>
      </c>
      <c r="H84" s="58">
        <f t="shared" si="20"/>
        <v>110.271</v>
      </c>
      <c r="I84" s="131">
        <f t="shared" si="19"/>
        <v>111.82768489061634</v>
      </c>
      <c r="J84" s="131">
        <f t="shared" si="21"/>
        <v>113.40634534913968</v>
      </c>
      <c r="K84" s="131">
        <f t="shared" si="21"/>
        <v>115.00729160250661</v>
      </c>
      <c r="L84" s="131">
        <f t="shared" si="21"/>
        <v>116.63083825709693</v>
      </c>
      <c r="M84" s="131">
        <f t="shared" si="21"/>
        <v>118.27730436055786</v>
      </c>
      <c r="N84" s="131">
        <f t="shared" si="21"/>
        <v>119.94701346450097</v>
      </c>
      <c r="O84" s="131">
        <f t="shared" si="21"/>
        <v>121.64029368808417</v>
      </c>
      <c r="P84" s="131">
        <f t="shared" si="21"/>
        <v>123.35747778249136</v>
      </c>
      <c r="Q84" s="131">
        <f t="shared" si="21"/>
        <v>125.09890319632224</v>
      </c>
      <c r="R84" s="131">
        <f t="shared" si="21"/>
        <v>126.86491214190531</v>
      </c>
      <c r="S84" s="131">
        <f t="shared" si="21"/>
        <v>128.65585166254695</v>
      </c>
      <c r="T84" s="131">
        <f t="shared" si="21"/>
        <v>130.47207370072982</v>
      </c>
      <c r="U84" s="131">
        <f t="shared" si="21"/>
        <v>132.31393516727414</v>
      </c>
      <c r="V84" s="131">
        <f t="shared" si="21"/>
        <v>134.18179801147511</v>
      </c>
      <c r="W84" s="131">
        <f t="shared" si="21"/>
        <v>136.07602929223069</v>
      </c>
      <c r="X84" s="131">
        <f t="shared" si="21"/>
        <v>137.99700125017321</v>
      </c>
      <c r="Y84" s="94">
        <f>X84*'ACT ECON'!$Q$6</f>
        <v>32.705289296291049</v>
      </c>
      <c r="Z84" s="94"/>
      <c r="AA84" s="94"/>
      <c r="AB84" s="94"/>
      <c r="AC84" s="94"/>
    </row>
    <row r="85" spans="1:29" x14ac:dyDescent="0.2">
      <c r="A85" s="1554"/>
      <c r="B85" s="52">
        <v>78</v>
      </c>
      <c r="C85" s="49" t="str">
        <f>'DEM REFER'!C85</f>
        <v>ABANCAY</v>
      </c>
      <c r="D85" s="49" t="str">
        <f>'DEM REFER'!D85</f>
        <v>HUANIPACA</v>
      </c>
      <c r="E85" s="49" t="str">
        <f>'DEM REFER'!E85</f>
        <v>TACMARA</v>
      </c>
      <c r="F85" s="201">
        <f>'DEM REFER'!F85</f>
        <v>327</v>
      </c>
      <c r="G85" s="50">
        <f>'ACT ECON'!$Q$16</f>
        <v>0.17699999999999999</v>
      </c>
      <c r="H85" s="58">
        <f t="shared" si="20"/>
        <v>57.878999999999998</v>
      </c>
      <c r="I85" s="131">
        <f t="shared" si="19"/>
        <v>58.696072165700706</v>
      </c>
      <c r="J85" s="131">
        <f t="shared" si="21"/>
        <v>59.524678859018735</v>
      </c>
      <c r="K85" s="131">
        <f t="shared" si="21"/>
        <v>60.364982911749046</v>
      </c>
      <c r="L85" s="131">
        <f t="shared" si="21"/>
        <v>61.217149454367082</v>
      </c>
      <c r="M85" s="131">
        <f t="shared" si="21"/>
        <v>62.081345948478997</v>
      </c>
      <c r="N85" s="131">
        <f t="shared" si="21"/>
        <v>62.957742219730036</v>
      </c>
      <c r="O85" s="131">
        <f t="shared" si="21"/>
        <v>63.846510491177398</v>
      </c>
      <c r="P85" s="131">
        <f t="shared" si="21"/>
        <v>64.747825417134294</v>
      </c>
      <c r="Q85" s="131">
        <f t="shared" si="21"/>
        <v>65.66186411749176</v>
      </c>
      <c r="R85" s="131">
        <f t="shared" si="21"/>
        <v>66.588806212524929</v>
      </c>
      <c r="S85" s="131">
        <f t="shared" si="21"/>
        <v>67.528833858190765</v>
      </c>
      <c r="T85" s="131">
        <f t="shared" si="21"/>
        <v>68.482131781923997</v>
      </c>
      <c r="U85" s="131">
        <f t="shared" si="21"/>
        <v>69.448887318938418</v>
      </c>
      <c r="V85" s="131">
        <f t="shared" si="21"/>
        <v>70.429290449040693</v>
      </c>
      <c r="W85" s="131">
        <f t="shared" si="21"/>
        <v>71.423533833963759</v>
      </c>
      <c r="X85" s="131">
        <f t="shared" si="21"/>
        <v>72.431812855227335</v>
      </c>
      <c r="Y85" s="94">
        <f>X85*'ACT ECON'!$Q$6</f>
        <v>17.166339646688879</v>
      </c>
      <c r="Z85" s="94"/>
      <c r="AA85" s="94"/>
      <c r="AB85" s="94"/>
      <c r="AC85" s="94"/>
    </row>
    <row r="86" spans="1:29" x14ac:dyDescent="0.2">
      <c r="A86" s="1554"/>
      <c r="B86" s="52">
        <v>79</v>
      </c>
      <c r="C86" s="49" t="str">
        <f>'DEM REFER'!C86</f>
        <v>ABANCAY</v>
      </c>
      <c r="D86" s="49" t="str">
        <f>'DEM REFER'!D86</f>
        <v>HUANIPACA</v>
      </c>
      <c r="E86" s="49" t="str">
        <f>'DEM REFER'!E86</f>
        <v>CCOTAQUI</v>
      </c>
      <c r="F86" s="201">
        <f>'DEM REFER'!F86</f>
        <v>85</v>
      </c>
      <c r="G86" s="50">
        <f>'ACT ECON'!$Q$16</f>
        <v>0.17699999999999999</v>
      </c>
      <c r="H86" s="58">
        <f t="shared" si="20"/>
        <v>15.045</v>
      </c>
      <c r="I86" s="131">
        <f t="shared" si="19"/>
        <v>15.25738878924942</v>
      </c>
      <c r="J86" s="131">
        <f t="shared" si="21"/>
        <v>15.472775850203648</v>
      </c>
      <c r="K86" s="131">
        <f t="shared" si="21"/>
        <v>15.691203509170244</v>
      </c>
      <c r="L86" s="131">
        <f t="shared" si="21"/>
        <v>15.912714689973097</v>
      </c>
      <c r="M86" s="131">
        <f t="shared" si="21"/>
        <v>16.13735292238751</v>
      </c>
      <c r="N86" s="131">
        <f t="shared" si="21"/>
        <v>16.365162350694355</v>
      </c>
      <c r="O86" s="131">
        <f t="shared" si="21"/>
        <v>16.596187742354985</v>
      </c>
      <c r="P86" s="131">
        <f t="shared" si="21"/>
        <v>16.830474496808613</v>
      </c>
      <c r="Q86" s="131">
        <f t="shared" si="21"/>
        <v>17.068068654393883</v>
      </c>
      <c r="R86" s="131">
        <f t="shared" si="21"/>
        <v>17.30901690539639</v>
      </c>
      <c r="S86" s="131">
        <f t="shared" si="21"/>
        <v>17.553366599223899</v>
      </c>
      <c r="T86" s="131">
        <f t="shared" si="21"/>
        <v>17.801165753711128</v>
      </c>
      <c r="U86" s="131">
        <f t="shared" si="21"/>
        <v>18.052463064555859</v>
      </c>
      <c r="V86" s="131">
        <f t="shared" si="21"/>
        <v>18.307307914888256</v>
      </c>
      <c r="W86" s="131">
        <f t="shared" si="21"/>
        <v>18.565750384975292</v>
      </c>
      <c r="X86" s="131">
        <f t="shared" si="21"/>
        <v>18.827841262062154</v>
      </c>
      <c r="Y86" s="94">
        <f>X86*'ACT ECON'!$Q$6</f>
        <v>4.4621983791087301</v>
      </c>
      <c r="Z86" s="94"/>
      <c r="AA86" s="94"/>
      <c r="AB86" s="94"/>
      <c r="AC86" s="94"/>
    </row>
    <row r="87" spans="1:29" x14ac:dyDescent="0.2">
      <c r="A87" s="1554"/>
      <c r="B87" s="52">
        <v>80</v>
      </c>
      <c r="C87" s="49" t="str">
        <f>'DEM REFER'!C87</f>
        <v>ABANCAY</v>
      </c>
      <c r="D87" s="49" t="str">
        <f>'DEM REFER'!D87</f>
        <v>HUANIPACA</v>
      </c>
      <c r="E87" s="49" t="str">
        <f>'DEM REFER'!E87</f>
        <v>LIMANQUI</v>
      </c>
      <c r="F87" s="201">
        <f>'DEM REFER'!F87</f>
        <v>139</v>
      </c>
      <c r="G87" s="50">
        <f>'ACT ECON'!$Q$16</f>
        <v>0.17699999999999999</v>
      </c>
      <c r="H87" s="58">
        <f t="shared" si="20"/>
        <v>24.602999999999998</v>
      </c>
      <c r="I87" s="131">
        <f t="shared" si="19"/>
        <v>24.950318137713754</v>
      </c>
      <c r="J87" s="131">
        <f t="shared" si="21"/>
        <v>25.302539331509493</v>
      </c>
      <c r="K87" s="131">
        <f t="shared" si="21"/>
        <v>25.659732797348983</v>
      </c>
      <c r="L87" s="131">
        <f t="shared" si="21"/>
        <v>26.021968728308941</v>
      </c>
      <c r="M87" s="131">
        <f t="shared" si="21"/>
        <v>26.389318308374865</v>
      </c>
      <c r="N87" s="131">
        <f t="shared" si="21"/>
        <v>26.761853726429585</v>
      </c>
      <c r="O87" s="131">
        <f t="shared" si="21"/>
        <v>27.139648190439321</v>
      </c>
      <c r="P87" s="131">
        <f t="shared" si="21"/>
        <v>27.52277594183996</v>
      </c>
      <c r="Q87" s="131">
        <f t="shared" si="21"/>
        <v>27.911312270126466</v>
      </c>
      <c r="R87" s="131">
        <f t="shared" si="21"/>
        <v>28.305333527648209</v>
      </c>
      <c r="S87" s="131">
        <f t="shared" si="21"/>
        <v>28.704917144613194</v>
      </c>
      <c r="T87" s="131">
        <f t="shared" si="21"/>
        <v>29.110141644304075</v>
      </c>
      <c r="U87" s="131">
        <f t="shared" si="21"/>
        <v>29.521086658508985</v>
      </c>
      <c r="V87" s="131">
        <f t="shared" si="21"/>
        <v>29.937832943170196</v>
      </c>
      <c r="W87" s="131">
        <f t="shared" si="21"/>
        <v>30.360462394253702</v>
      </c>
      <c r="X87" s="131">
        <f t="shared" si="21"/>
        <v>30.789058063842806</v>
      </c>
      <c r="Y87" s="94">
        <f>X87*'ACT ECON'!$Q$6</f>
        <v>7.2970067611307448</v>
      </c>
      <c r="Z87" s="94"/>
      <c r="AA87" s="94"/>
      <c r="AB87" s="94"/>
      <c r="AC87" s="94"/>
    </row>
    <row r="88" spans="1:29" x14ac:dyDescent="0.2">
      <c r="A88" s="1554"/>
      <c r="B88" s="52">
        <v>81</v>
      </c>
      <c r="C88" s="49" t="str">
        <f>'DEM REFER'!C88</f>
        <v>ABANCAY</v>
      </c>
      <c r="D88" s="49" t="str">
        <f>'DEM REFER'!D88</f>
        <v>HUANIPACA</v>
      </c>
      <c r="E88" s="49" t="str">
        <f>'DEM REFER'!E88</f>
        <v>HUANCHULLA</v>
      </c>
      <c r="F88" s="201">
        <f>'DEM REFER'!F88</f>
        <v>107</v>
      </c>
      <c r="G88" s="50">
        <f>'ACT ECON'!$Q$16</f>
        <v>0.17699999999999999</v>
      </c>
      <c r="H88" s="58">
        <f t="shared" si="20"/>
        <v>18.939</v>
      </c>
      <c r="I88" s="131">
        <f t="shared" si="19"/>
        <v>19.206360005290446</v>
      </c>
      <c r="J88" s="131">
        <f t="shared" si="21"/>
        <v>19.477494305550472</v>
      </c>
      <c r="K88" s="131">
        <f t="shared" si="21"/>
        <v>19.752456182131951</v>
      </c>
      <c r="L88" s="131">
        <f t="shared" si="21"/>
        <v>20.031299668554365</v>
      </c>
      <c r="M88" s="131">
        <f t="shared" si="21"/>
        <v>20.314079561123098</v>
      </c>
      <c r="N88" s="131">
        <f t="shared" si="21"/>
        <v>20.600851429697595</v>
      </c>
      <c r="O88" s="131">
        <f t="shared" si="21"/>
        <v>20.891671628611565</v>
      </c>
      <c r="P88" s="131">
        <f t="shared" si="21"/>
        <v>21.186597307747309</v>
      </c>
      <c r="Q88" s="131">
        <f t="shared" si="21"/>
        <v>21.485686423766417</v>
      </c>
      <c r="R88" s="131">
        <f t="shared" si="21"/>
        <v>21.788997751498982</v>
      </c>
      <c r="S88" s="131">
        <f t="shared" si="21"/>
        <v>22.096590895493613</v>
      </c>
      <c r="T88" s="131">
        <f t="shared" si="21"/>
        <v>22.408526301730479</v>
      </c>
      <c r="U88" s="131">
        <f t="shared" si="21"/>
        <v>22.724865269499727</v>
      </c>
      <c r="V88" s="131">
        <f t="shared" si="21"/>
        <v>23.045669963447565</v>
      </c>
      <c r="W88" s="131">
        <f t="shared" si="21"/>
        <v>23.37100342579242</v>
      </c>
      <c r="X88" s="131">
        <f t="shared" si="21"/>
        <v>23.700929588713532</v>
      </c>
      <c r="Y88" s="94">
        <f>X88*'ACT ECON'!$Q$6</f>
        <v>5.617120312525107</v>
      </c>
      <c r="Z88" s="94"/>
      <c r="AA88" s="94"/>
      <c r="AB88" s="94"/>
      <c r="AC88" s="94"/>
    </row>
    <row r="89" spans="1:29" x14ac:dyDescent="0.2">
      <c r="A89" s="1554"/>
      <c r="B89" s="52">
        <v>82</v>
      </c>
      <c r="C89" s="49" t="str">
        <f>'DEM REFER'!C89</f>
        <v>ABANCAY</v>
      </c>
      <c r="D89" s="49" t="str">
        <f>'DEM REFER'!D89</f>
        <v>HUANIPACA</v>
      </c>
      <c r="E89" s="49" t="str">
        <f>'DEM REFER'!E89</f>
        <v>CHAQUICCOCHA</v>
      </c>
      <c r="F89" s="201">
        <f>'DEM REFER'!F89</f>
        <v>51</v>
      </c>
      <c r="G89" s="50">
        <f>'ACT ECON'!$Q$16</f>
        <v>0.17699999999999999</v>
      </c>
      <c r="H89" s="58">
        <f t="shared" si="20"/>
        <v>9.0269999999999992</v>
      </c>
      <c r="I89" s="131">
        <f t="shared" si="19"/>
        <v>9.1544332735496514</v>
      </c>
      <c r="J89" s="131">
        <f t="shared" si="21"/>
        <v>9.283665510122189</v>
      </c>
      <c r="K89" s="131">
        <f t="shared" si="21"/>
        <v>9.4147221055021451</v>
      </c>
      <c r="L89" s="131">
        <f t="shared" si="21"/>
        <v>9.5476288139838559</v>
      </c>
      <c r="M89" s="131">
        <f t="shared" si="21"/>
        <v>9.682411753432504</v>
      </c>
      <c r="N89" s="131">
        <f t="shared" si="21"/>
        <v>9.8190974104166102</v>
      </c>
      <c r="O89" s="131">
        <f t="shared" si="21"/>
        <v>9.9577126454129878</v>
      </c>
      <c r="P89" s="131">
        <f t="shared" si="21"/>
        <v>10.098284698085164</v>
      </c>
      <c r="Q89" s="131">
        <f t="shared" si="21"/>
        <v>10.240841192636328</v>
      </c>
      <c r="R89" s="131">
        <f t="shared" si="21"/>
        <v>10.385410143237831</v>
      </c>
      <c r="S89" s="131">
        <f t="shared" si="21"/>
        <v>10.532019959534336</v>
      </c>
      <c r="T89" s="131">
        <f t="shared" si="21"/>
        <v>10.680699452226674</v>
      </c>
      <c r="U89" s="131">
        <f t="shared" si="21"/>
        <v>10.831477838733512</v>
      </c>
      <c r="V89" s="131">
        <f t="shared" si="21"/>
        <v>10.98438474893295</v>
      </c>
      <c r="W89" s="131">
        <f t="shared" si="21"/>
        <v>11.139450230985171</v>
      </c>
      <c r="X89" s="131">
        <f t="shared" si="21"/>
        <v>11.296704757237288</v>
      </c>
      <c r="Y89" s="94">
        <f>X89*'ACT ECON'!$Q$6</f>
        <v>2.677319027465237</v>
      </c>
      <c r="Z89" s="94"/>
      <c r="AA89" s="94"/>
      <c r="AB89" s="94"/>
      <c r="AC89" s="94"/>
    </row>
    <row r="90" spans="1:29" x14ac:dyDescent="0.2">
      <c r="A90" s="1554"/>
      <c r="B90" s="52">
        <v>83</v>
      </c>
      <c r="C90" s="49" t="str">
        <f>'DEM REFER'!C90</f>
        <v>ABANCAY</v>
      </c>
      <c r="D90" s="49" t="str">
        <f>'DEM REFER'!D90</f>
        <v>HUANIPACA</v>
      </c>
      <c r="E90" s="49" t="str">
        <f>'DEM REFER'!E90</f>
        <v>SORCCA</v>
      </c>
      <c r="F90" s="201">
        <f>'DEM REFER'!F90</f>
        <v>119</v>
      </c>
      <c r="G90" s="50">
        <f>'ACT ECON'!$Q$16</f>
        <v>0.17699999999999999</v>
      </c>
      <c r="H90" s="58">
        <f t="shared" si="20"/>
        <v>21.062999999999999</v>
      </c>
      <c r="I90" s="131">
        <f t="shared" si="19"/>
        <v>21.360344304949187</v>
      </c>
      <c r="J90" s="131">
        <f t="shared" si="21"/>
        <v>21.661886190285106</v>
      </c>
      <c r="K90" s="131">
        <f t="shared" si="21"/>
        <v>21.96768491283834</v>
      </c>
      <c r="L90" s="131">
        <f t="shared" si="21"/>
        <v>22.277800565962334</v>
      </c>
      <c r="M90" s="131">
        <f t="shared" si="21"/>
        <v>22.592294091342513</v>
      </c>
      <c r="N90" s="131">
        <f t="shared" si="21"/>
        <v>22.911227290972096</v>
      </c>
      <c r="O90" s="131">
        <f t="shared" si="21"/>
        <v>23.234662839296977</v>
      </c>
      <c r="P90" s="131">
        <f t="shared" si="21"/>
        <v>23.562664295532056</v>
      </c>
      <c r="Q90" s="131">
        <f t="shared" si="21"/>
        <v>23.895296116151435</v>
      </c>
      <c r="R90" s="131">
        <f t="shared" si="21"/>
        <v>24.232623667554943</v>
      </c>
      <c r="S90" s="131">
        <f t="shared" si="21"/>
        <v>24.574713238913457</v>
      </c>
      <c r="T90" s="131">
        <f t="shared" si="21"/>
        <v>24.92163205519558</v>
      </c>
      <c r="U90" s="131">
        <f t="shared" si="21"/>
        <v>25.273448290378202</v>
      </c>
      <c r="V90" s="131">
        <f t="shared" si="21"/>
        <v>25.630231080843554</v>
      </c>
      <c r="W90" s="131">
        <f t="shared" si="21"/>
        <v>25.992050538965405</v>
      </c>
      <c r="X90" s="131">
        <f t="shared" si="21"/>
        <v>26.358977766887012</v>
      </c>
      <c r="Y90" s="94">
        <f>X90*'ACT ECON'!$Q$6</f>
        <v>6.2470777307522214</v>
      </c>
      <c r="Z90" s="94"/>
      <c r="AA90" s="94"/>
      <c r="AB90" s="94"/>
      <c r="AC90" s="94"/>
    </row>
    <row r="91" spans="1:29" x14ac:dyDescent="0.2">
      <c r="A91" s="1549">
        <f>'DEM REFER'!A91:A98</f>
        <v>8</v>
      </c>
      <c r="B91" s="52">
        <v>85</v>
      </c>
      <c r="C91" s="49" t="str">
        <f>'DEM REFER'!C91</f>
        <v>ABANCAY</v>
      </c>
      <c r="D91" s="49" t="str">
        <f>'DEM REFER'!D91</f>
        <v>SAN PEDRO DE CACHORA</v>
      </c>
      <c r="E91" s="49" t="str">
        <f>'DEM REFER'!E91</f>
        <v>ACCO</v>
      </c>
      <c r="F91" s="201">
        <f>'DEM REFER'!F91</f>
        <v>60</v>
      </c>
      <c r="G91" s="50">
        <f>'ACT ECON'!$Q$16</f>
        <v>0.17699999999999999</v>
      </c>
      <c r="H91" s="58">
        <f t="shared" ref="H91:H102" si="22">F91*G91</f>
        <v>10.62</v>
      </c>
      <c r="I91" s="131">
        <f t="shared" si="19"/>
        <v>10.769921498293707</v>
      </c>
      <c r="J91" s="131">
        <f t="shared" ref="J91:X94" si="23">+I91*(1+$J$19)</f>
        <v>10.921959423673162</v>
      </c>
      <c r="K91" s="131">
        <f t="shared" si="23"/>
        <v>11.076143653531934</v>
      </c>
      <c r="L91" s="131">
        <f t="shared" si="23"/>
        <v>11.232504487039831</v>
      </c>
      <c r="M91" s="131">
        <f t="shared" si="23"/>
        <v>11.391072651097064</v>
      </c>
      <c r="N91" s="131">
        <f t="shared" si="23"/>
        <v>11.551879306372483</v>
      </c>
      <c r="O91" s="131">
        <f t="shared" si="23"/>
        <v>11.714956053427045</v>
      </c>
      <c r="P91" s="131">
        <f t="shared" si="23"/>
        <v>11.880334938923724</v>
      </c>
      <c r="Q91" s="131">
        <f t="shared" si="23"/>
        <v>12.048048461925093</v>
      </c>
      <c r="R91" s="131">
        <f t="shared" si="23"/>
        <v>12.218129580279804</v>
      </c>
      <c r="S91" s="131">
        <f t="shared" si="23"/>
        <v>12.390611717099222</v>
      </c>
      <c r="T91" s="131">
        <f t="shared" si="23"/>
        <v>12.565528767325503</v>
      </c>
      <c r="U91" s="131">
        <f t="shared" si="23"/>
        <v>12.74291510439237</v>
      </c>
      <c r="V91" s="131">
        <f t="shared" si="23"/>
        <v>12.922805586979944</v>
      </c>
      <c r="W91" s="131">
        <f t="shared" si="23"/>
        <v>13.105235565864909</v>
      </c>
      <c r="X91" s="131">
        <f t="shared" si="23"/>
        <v>13.2902408908674</v>
      </c>
      <c r="Y91" s="94">
        <f>X91*'ACT ECON'!$Q$6</f>
        <v>3.1497870911355736</v>
      </c>
      <c r="Z91" s="94"/>
      <c r="AA91" s="94"/>
      <c r="AB91" s="94"/>
      <c r="AC91" s="94"/>
    </row>
    <row r="92" spans="1:29" x14ac:dyDescent="0.2">
      <c r="A92" s="1549"/>
      <c r="B92" s="52">
        <v>86</v>
      </c>
      <c r="C92" s="49" t="str">
        <f>'DEM REFER'!C92</f>
        <v>ABANCAY</v>
      </c>
      <c r="D92" s="49" t="str">
        <f>'DEM REFER'!D92</f>
        <v>SAN PEDRO DE CACHORA</v>
      </c>
      <c r="E92" s="49" t="str">
        <f>'DEM REFER'!E92</f>
        <v>MARJUPATA ALTA</v>
      </c>
      <c r="F92" s="201">
        <f>'DEM REFER'!F92</f>
        <v>243</v>
      </c>
      <c r="G92" s="50">
        <f>'ACT ECON'!$Q$16</f>
        <v>0.17699999999999999</v>
      </c>
      <c r="H92" s="58">
        <f t="shared" si="22"/>
        <v>43.010999999999996</v>
      </c>
      <c r="I92" s="131">
        <f t="shared" si="19"/>
        <v>43.618182068089517</v>
      </c>
      <c r="J92" s="131">
        <f t="shared" si="23"/>
        <v>44.233935665876309</v>
      </c>
      <c r="K92" s="131">
        <f t="shared" si="23"/>
        <v>44.858381796804338</v>
      </c>
      <c r="L92" s="131">
        <f t="shared" si="23"/>
        <v>45.491643172511317</v>
      </c>
      <c r="M92" s="131">
        <f t="shared" si="23"/>
        <v>46.133844236943112</v>
      </c>
      <c r="N92" s="131">
        <f t="shared" si="23"/>
        <v>46.785111190808564</v>
      </c>
      <c r="O92" s="131">
        <f t="shared" si="23"/>
        <v>47.445572016379536</v>
      </c>
      <c r="P92" s="131">
        <f t="shared" si="23"/>
        <v>48.115356502641085</v>
      </c>
      <c r="Q92" s="131">
        <f t="shared" si="23"/>
        <v>48.794596270796625</v>
      </c>
      <c r="R92" s="131">
        <f t="shared" si="23"/>
        <v>49.4834248001332</v>
      </c>
      <c r="S92" s="131">
        <f t="shared" si="23"/>
        <v>50.181977454251843</v>
      </c>
      <c r="T92" s="131">
        <f t="shared" si="23"/>
        <v>50.890391507668276</v>
      </c>
      <c r="U92" s="131">
        <f t="shared" si="23"/>
        <v>51.608806172789087</v>
      </c>
      <c r="V92" s="131">
        <f t="shared" si="23"/>
        <v>52.33736262726876</v>
      </c>
      <c r="W92" s="131">
        <f t="shared" si="23"/>
        <v>53.076204041752874</v>
      </c>
      <c r="X92" s="131">
        <f t="shared" si="23"/>
        <v>53.825475608012965</v>
      </c>
      <c r="Y92" s="94">
        <f>X92*'ACT ECON'!$Q$6</f>
        <v>12.756637719099071</v>
      </c>
      <c r="Z92" s="94"/>
      <c r="AA92" s="94"/>
      <c r="AB92" s="94"/>
      <c r="AC92" s="94"/>
    </row>
    <row r="93" spans="1:29" x14ac:dyDescent="0.2">
      <c r="A93" s="1549"/>
      <c r="B93" s="52">
        <v>87</v>
      </c>
      <c r="C93" s="49" t="str">
        <f>'DEM REFER'!C93</f>
        <v>ABANCAY</v>
      </c>
      <c r="D93" s="49" t="str">
        <f>'DEM REFER'!D93</f>
        <v>SAN PEDRO DE CACHORA</v>
      </c>
      <c r="E93" s="49" t="str">
        <f>'DEM REFER'!E93</f>
        <v>ASIL</v>
      </c>
      <c r="F93" s="201">
        <f>'DEM REFER'!F93</f>
        <v>161</v>
      </c>
      <c r="G93" s="50">
        <f>'ACT ECON'!$Q$16</f>
        <v>0.17699999999999999</v>
      </c>
      <c r="H93" s="58">
        <f t="shared" si="22"/>
        <v>28.497</v>
      </c>
      <c r="I93" s="131">
        <f t="shared" si="19"/>
        <v>28.899289353754785</v>
      </c>
      <c r="J93" s="131">
        <f t="shared" si="23"/>
        <v>29.307257786856322</v>
      </c>
      <c r="K93" s="131">
        <f t="shared" si="23"/>
        <v>29.720985470310698</v>
      </c>
      <c r="L93" s="131">
        <f t="shared" si="23"/>
        <v>30.14055370689022</v>
      </c>
      <c r="M93" s="131">
        <f t="shared" si="23"/>
        <v>30.566044947110463</v>
      </c>
      <c r="N93" s="131">
        <f t="shared" si="23"/>
        <v>30.99754280543284</v>
      </c>
      <c r="O93" s="131">
        <f t="shared" si="23"/>
        <v>31.435132076695915</v>
      </c>
      <c r="P93" s="131">
        <f t="shared" si="23"/>
        <v>31.878898752778671</v>
      </c>
      <c r="Q93" s="131">
        <f t="shared" si="23"/>
        <v>32.328930039499014</v>
      </c>
      <c r="R93" s="131">
        <f t="shared" si="23"/>
        <v>32.785314373750815</v>
      </c>
      <c r="S93" s="131">
        <f t="shared" si="23"/>
        <v>33.248141440882918</v>
      </c>
      <c r="T93" s="131">
        <f t="shared" si="23"/>
        <v>33.717502192323437</v>
      </c>
      <c r="U93" s="131">
        <f t="shared" si="23"/>
        <v>34.193488863452863</v>
      </c>
      <c r="V93" s="131">
        <f t="shared" si="23"/>
        <v>34.676194991729517</v>
      </c>
      <c r="W93" s="131">
        <f t="shared" si="23"/>
        <v>35.165715435070844</v>
      </c>
      <c r="X93" s="131">
        <f t="shared" si="23"/>
        <v>35.662146390494193</v>
      </c>
      <c r="Y93" s="94">
        <f>X93*'ACT ECON'!$Q$6</f>
        <v>8.4519286945471226</v>
      </c>
      <c r="Z93" s="94"/>
      <c r="AA93" s="94"/>
      <c r="AB93" s="94"/>
      <c r="AC93" s="94"/>
    </row>
    <row r="94" spans="1:29" x14ac:dyDescent="0.2">
      <c r="A94" s="1549"/>
      <c r="B94" s="52">
        <v>88</v>
      </c>
      <c r="C94" s="49" t="str">
        <f>'DEM REFER'!C94</f>
        <v>ABANCAY</v>
      </c>
      <c r="D94" s="49" t="str">
        <f>'DEM REFER'!D94</f>
        <v>SAN PEDRO DE CACHORA</v>
      </c>
      <c r="E94" s="49" t="str">
        <f>'DEM REFER'!E94</f>
        <v>VIRACOCHAN</v>
      </c>
      <c r="F94" s="201">
        <f>'DEM REFER'!F94</f>
        <v>174</v>
      </c>
      <c r="G94" s="50">
        <f>'ACT ECON'!$Q$16</f>
        <v>0.17699999999999999</v>
      </c>
      <c r="H94" s="58">
        <f t="shared" si="22"/>
        <v>30.797999999999998</v>
      </c>
      <c r="I94" s="131">
        <f t="shared" ref="I94" si="24">+H94*(1+$J$19)</f>
        <v>31.232772345051753</v>
      </c>
      <c r="J94" s="131">
        <f t="shared" si="23"/>
        <v>31.673682328652173</v>
      </c>
      <c r="K94" s="131">
        <f t="shared" si="23"/>
        <v>32.120816595242616</v>
      </c>
      <c r="L94" s="131">
        <f t="shared" si="23"/>
        <v>32.574263012415514</v>
      </c>
      <c r="M94" s="131">
        <f t="shared" si="23"/>
        <v>33.034110688181492</v>
      </c>
      <c r="N94" s="131">
        <f t="shared" si="23"/>
        <v>33.500449988480206</v>
      </c>
      <c r="O94" s="131">
        <f t="shared" si="23"/>
        <v>33.973372554938436</v>
      </c>
      <c r="P94" s="131">
        <f t="shared" si="23"/>
        <v>34.452971322878803</v>
      </c>
      <c r="Q94" s="131">
        <f t="shared" si="23"/>
        <v>34.939340539582773</v>
      </c>
      <c r="R94" s="131">
        <f t="shared" si="23"/>
        <v>35.432575782811433</v>
      </c>
      <c r="S94" s="131">
        <f t="shared" si="23"/>
        <v>35.932773979587751</v>
      </c>
      <c r="T94" s="131">
        <f t="shared" si="23"/>
        <v>36.440033425243961</v>
      </c>
      <c r="U94" s="131">
        <f t="shared" si="23"/>
        <v>36.954453802737874</v>
      </c>
      <c r="V94" s="131">
        <f t="shared" si="23"/>
        <v>37.47613620224184</v>
      </c>
      <c r="W94" s="131">
        <f t="shared" si="23"/>
        <v>38.005183141008239</v>
      </c>
      <c r="X94" s="131">
        <f t="shared" si="23"/>
        <v>38.541698583515462</v>
      </c>
      <c r="Y94" s="94">
        <f>X94*'ACT ECON'!$Q$6</f>
        <v>9.1343825642931638</v>
      </c>
      <c r="Z94" s="94"/>
      <c r="AA94" s="94"/>
      <c r="AB94" s="94"/>
      <c r="AC94" s="94"/>
    </row>
    <row r="95" spans="1:29" x14ac:dyDescent="0.2">
      <c r="A95" s="1549"/>
      <c r="C95" s="49" t="str">
        <f>'DEM REFER'!C95</f>
        <v>ABANCAY</v>
      </c>
      <c r="D95" s="49" t="str">
        <f>'DEM REFER'!D95</f>
        <v>SAN PEDRO DE CACHORA</v>
      </c>
      <c r="E95" s="49" t="str">
        <f>'DEM REFER'!E95</f>
        <v>PANTIPATA ALTA</v>
      </c>
      <c r="F95" s="201">
        <f>'DEM REFER'!F95</f>
        <v>165</v>
      </c>
      <c r="G95" s="50">
        <f>'ACT ECON'!$Q$16</f>
        <v>0.17699999999999999</v>
      </c>
      <c r="H95" s="58">
        <f>F95*G95</f>
        <v>29.204999999999998</v>
      </c>
      <c r="I95" s="131">
        <f t="shared" ref="I95:X102" si="25">+H95*(1+$J$19)</f>
        <v>29.617284120307698</v>
      </c>
      <c r="J95" s="131">
        <f t="shared" si="25"/>
        <v>30.035388415101199</v>
      </c>
      <c r="K95" s="131">
        <f t="shared" si="25"/>
        <v>30.459395047212823</v>
      </c>
      <c r="L95" s="131">
        <f t="shared" si="25"/>
        <v>30.889387339359537</v>
      </c>
      <c r="M95" s="131">
        <f t="shared" si="25"/>
        <v>31.325449790516927</v>
      </c>
      <c r="N95" s="131">
        <f t="shared" si="25"/>
        <v>31.767668092524332</v>
      </c>
      <c r="O95" s="131">
        <f t="shared" si="25"/>
        <v>32.216129146924374</v>
      </c>
      <c r="P95" s="131">
        <f t="shared" si="25"/>
        <v>32.670921082040238</v>
      </c>
      <c r="Q95" s="131">
        <f t="shared" si="25"/>
        <v>33.132133270293998</v>
      </c>
      <c r="R95" s="131">
        <f t="shared" si="25"/>
        <v>33.599856345769453</v>
      </c>
      <c r="S95" s="131">
        <f t="shared" si="25"/>
        <v>34.074182222022856</v>
      </c>
      <c r="T95" s="131">
        <f t="shared" si="25"/>
        <v>34.555204110145127</v>
      </c>
      <c r="U95" s="131">
        <f t="shared" si="25"/>
        <v>35.043016537079012</v>
      </c>
      <c r="V95" s="131">
        <f t="shared" si="25"/>
        <v>35.537715364194838</v>
      </c>
      <c r="W95" s="131">
        <f t="shared" si="25"/>
        <v>36.039397806128491</v>
      </c>
      <c r="X95" s="131">
        <f t="shared" si="25"/>
        <v>36.548162449885346</v>
      </c>
      <c r="Y95" s="94">
        <f>X95*'ACT ECON'!$Q$6</f>
        <v>8.6619145006228262</v>
      </c>
      <c r="Z95" s="94"/>
      <c r="AA95" s="94"/>
      <c r="AB95" s="94"/>
      <c r="AC95" s="94"/>
    </row>
    <row r="96" spans="1:29" x14ac:dyDescent="0.2">
      <c r="A96" s="1549"/>
      <c r="C96" s="49" t="str">
        <f>'DEM REFER'!C96</f>
        <v>ABANCAY</v>
      </c>
      <c r="D96" s="49" t="str">
        <f>'DEM REFER'!D96</f>
        <v>SAN PEDRO DE CACHORA</v>
      </c>
      <c r="E96" s="49" t="str">
        <f>'DEM REFER'!E96</f>
        <v>MARJUPATA BAJA</v>
      </c>
      <c r="F96" s="201">
        <f>'DEM REFER'!F96</f>
        <v>61</v>
      </c>
      <c r="G96" s="50">
        <f>'ACT ECON'!$Q$16</f>
        <v>0.17699999999999999</v>
      </c>
      <c r="H96" s="58">
        <f t="shared" si="22"/>
        <v>10.796999999999999</v>
      </c>
      <c r="I96" s="131">
        <f t="shared" si="25"/>
        <v>10.949420189931935</v>
      </c>
      <c r="J96" s="131">
        <f t="shared" si="25"/>
        <v>11.103992080734381</v>
      </c>
      <c r="K96" s="131">
        <f t="shared" si="25"/>
        <v>11.260746047757467</v>
      </c>
      <c r="L96" s="131">
        <f t="shared" si="25"/>
        <v>11.419712895157161</v>
      </c>
      <c r="M96" s="131">
        <f t="shared" si="25"/>
        <v>11.580923861948682</v>
      </c>
      <c r="N96" s="131">
        <f t="shared" si="25"/>
        <v>11.744410628145358</v>
      </c>
      <c r="O96" s="131">
        <f t="shared" si="25"/>
        <v>11.910205320984163</v>
      </c>
      <c r="P96" s="131">
        <f t="shared" si="25"/>
        <v>12.07834052123912</v>
      </c>
      <c r="Q96" s="131">
        <f t="shared" si="25"/>
        <v>12.248849269623845</v>
      </c>
      <c r="R96" s="131">
        <f t="shared" si="25"/>
        <v>12.421765073284467</v>
      </c>
      <c r="S96" s="131">
        <f t="shared" si="25"/>
        <v>12.597121912384209</v>
      </c>
      <c r="T96" s="131">
        <f t="shared" si="25"/>
        <v>12.774954246780927</v>
      </c>
      <c r="U96" s="131">
        <f t="shared" si="25"/>
        <v>12.955297022798909</v>
      </c>
      <c r="V96" s="131">
        <f t="shared" si="25"/>
        <v>13.138185680096276</v>
      </c>
      <c r="W96" s="131">
        <f t="shared" si="25"/>
        <v>13.323656158629325</v>
      </c>
      <c r="X96" s="131">
        <f t="shared" si="25"/>
        <v>13.51174490571519</v>
      </c>
      <c r="Y96" s="94">
        <f>X96*'ACT ECON'!$Q$6</f>
        <v>3.2022835426545</v>
      </c>
      <c r="Z96" s="94"/>
      <c r="AA96" s="94"/>
      <c r="AB96" s="94"/>
      <c r="AC96" s="94"/>
    </row>
    <row r="97" spans="1:29" x14ac:dyDescent="0.2">
      <c r="A97" s="1549"/>
      <c r="C97" s="49" t="str">
        <f>'DEM REFER'!C97</f>
        <v>ABANCAY</v>
      </c>
      <c r="D97" s="49" t="str">
        <f>'DEM REFER'!D97</f>
        <v>SAN PEDRO DE CACHORA</v>
      </c>
      <c r="E97" s="49" t="str">
        <f>'DEM REFER'!E97</f>
        <v>SALCCANTAY</v>
      </c>
      <c r="F97" s="201">
        <f>'DEM REFER'!F97</f>
        <v>50</v>
      </c>
      <c r="G97" s="50">
        <f>'ACT ECON'!$Q$16</f>
        <v>0.17699999999999999</v>
      </c>
      <c r="H97" s="58">
        <f t="shared" si="22"/>
        <v>8.85</v>
      </c>
      <c r="I97" s="131">
        <f t="shared" si="25"/>
        <v>8.9749345819114232</v>
      </c>
      <c r="J97" s="131">
        <f t="shared" si="25"/>
        <v>9.1016328530609698</v>
      </c>
      <c r="K97" s="131">
        <f t="shared" si="25"/>
        <v>9.2301197112766147</v>
      </c>
      <c r="L97" s="131">
        <f t="shared" si="25"/>
        <v>9.3604204058665275</v>
      </c>
      <c r="M97" s="131">
        <f t="shared" si="25"/>
        <v>9.4925605425808879</v>
      </c>
      <c r="N97" s="131">
        <f t="shared" si="25"/>
        <v>9.6265660886437381</v>
      </c>
      <c r="O97" s="131">
        <f t="shared" si="25"/>
        <v>9.7624633778558731</v>
      </c>
      <c r="P97" s="131">
        <f t="shared" si="25"/>
        <v>9.9002791157697718</v>
      </c>
      <c r="Q97" s="131">
        <f t="shared" si="25"/>
        <v>10.04004038493758</v>
      </c>
      <c r="R97" s="131">
        <f t="shared" si="25"/>
        <v>10.181774650233171</v>
      </c>
      <c r="S97" s="131">
        <f t="shared" si="25"/>
        <v>10.325509764249354</v>
      </c>
      <c r="T97" s="131">
        <f t="shared" si="25"/>
        <v>10.471273972771254</v>
      </c>
      <c r="U97" s="131">
        <f t="shared" si="25"/>
        <v>10.619095920326977</v>
      </c>
      <c r="V97" s="131">
        <f t="shared" si="25"/>
        <v>10.769004655816621</v>
      </c>
      <c r="W97" s="131">
        <f t="shared" si="25"/>
        <v>10.921029638220759</v>
      </c>
      <c r="X97" s="131">
        <f t="shared" si="25"/>
        <v>11.075200742389502</v>
      </c>
      <c r="Y97" s="94">
        <f>X97*'ACT ECON'!$Q$6</f>
        <v>2.624822575946312</v>
      </c>
      <c r="Z97" s="94"/>
      <c r="AA97" s="94"/>
      <c r="AB97" s="94"/>
      <c r="AC97" s="94"/>
    </row>
    <row r="98" spans="1:29" x14ac:dyDescent="0.2">
      <c r="A98" s="1549"/>
      <c r="C98" s="49" t="str">
        <f>'DEM REFER'!C98</f>
        <v>ABANCAY</v>
      </c>
      <c r="D98" s="49" t="str">
        <f>'DEM REFER'!D98</f>
        <v>SAN PEDRO DE CACHORA</v>
      </c>
      <c r="E98" s="49" t="str">
        <f>'DEM REFER'!E98</f>
        <v>AGUAS BLANCAS</v>
      </c>
      <c r="F98" s="201">
        <f>'DEM REFER'!F98</f>
        <v>86</v>
      </c>
      <c r="G98" s="50">
        <f>'ACT ECON'!$Q$16</f>
        <v>0.17699999999999999</v>
      </c>
      <c r="H98" s="58">
        <f t="shared" si="22"/>
        <v>15.222</v>
      </c>
      <c r="I98" s="131">
        <f t="shared" si="25"/>
        <v>15.436887480887648</v>
      </c>
      <c r="J98" s="131">
        <f t="shared" si="25"/>
        <v>15.654808507264868</v>
      </c>
      <c r="K98" s="131">
        <f t="shared" si="25"/>
        <v>15.875805903395776</v>
      </c>
      <c r="L98" s="131">
        <f t="shared" si="25"/>
        <v>16.099923098090425</v>
      </c>
      <c r="M98" s="131">
        <f t="shared" si="25"/>
        <v>16.327204133239125</v>
      </c>
      <c r="N98" s="131">
        <f t="shared" si="25"/>
        <v>16.557693672467227</v>
      </c>
      <c r="O98" s="131">
        <f t="shared" si="25"/>
        <v>16.791437009912098</v>
      </c>
      <c r="P98" s="131">
        <f t="shared" si="25"/>
        <v>17.028480079124005</v>
      </c>
      <c r="Q98" s="131">
        <f t="shared" si="25"/>
        <v>17.268869462092635</v>
      </c>
      <c r="R98" s="131">
        <f t="shared" si="25"/>
        <v>17.512652398401052</v>
      </c>
      <c r="S98" s="131">
        <f t="shared" si="25"/>
        <v>17.759876794508884</v>
      </c>
      <c r="T98" s="131">
        <f t="shared" si="25"/>
        <v>18.010591233166551</v>
      </c>
      <c r="U98" s="131">
        <f t="shared" si="25"/>
        <v>18.264844982962394</v>
      </c>
      <c r="V98" s="131">
        <f t="shared" si="25"/>
        <v>18.522688008004582</v>
      </c>
      <c r="W98" s="131">
        <f t="shared" si="25"/>
        <v>18.784170977739699</v>
      </c>
      <c r="X98" s="131">
        <f t="shared" si="25"/>
        <v>19.049345276909936</v>
      </c>
      <c r="Y98" s="94">
        <f>X98*'ACT ECON'!$Q$6</f>
        <v>4.5146948306276542</v>
      </c>
      <c r="Z98" s="94"/>
      <c r="AA98" s="94"/>
      <c r="AB98" s="94"/>
      <c r="AC98" s="94"/>
    </row>
    <row r="99" spans="1:29" x14ac:dyDescent="0.2">
      <c r="A99" s="1550">
        <f>'DEM REFER'!A99:A102</f>
        <v>9</v>
      </c>
      <c r="C99" s="49" t="str">
        <f>'DEM REFER'!C99</f>
        <v>ABANCAY</v>
      </c>
      <c r="D99" s="49" t="str">
        <f>'DEM REFER'!D99</f>
        <v>TAMBURCO</v>
      </c>
      <c r="E99" s="49" t="str">
        <f>'DEM REFER'!E99</f>
        <v>CCORHUANI</v>
      </c>
      <c r="F99" s="201">
        <f>'DEM REFER'!F99</f>
        <v>88</v>
      </c>
      <c r="G99" s="50">
        <f>'ACT ECON'!$Q$16</f>
        <v>0.17699999999999999</v>
      </c>
      <c r="H99" s="58">
        <f t="shared" si="22"/>
        <v>15.575999999999999</v>
      </c>
      <c r="I99" s="131">
        <f t="shared" si="25"/>
        <v>15.795884864164105</v>
      </c>
      <c r="J99" s="131">
        <f t="shared" si="25"/>
        <v>16.018873821387306</v>
      </c>
      <c r="K99" s="131">
        <f t="shared" si="25"/>
        <v>16.24501069184684</v>
      </c>
      <c r="L99" s="131">
        <f t="shared" si="25"/>
        <v>16.474339914325089</v>
      </c>
      <c r="M99" s="131">
        <f t="shared" si="25"/>
        <v>16.706906554942364</v>
      </c>
      <c r="N99" s="131">
        <f t="shared" si="25"/>
        <v>16.942756316012979</v>
      </c>
      <c r="O99" s="131">
        <f t="shared" si="25"/>
        <v>17.181935545026334</v>
      </c>
      <c r="P99" s="131">
        <f t="shared" si="25"/>
        <v>17.424491243754797</v>
      </c>
      <c r="Q99" s="131">
        <f t="shared" si="25"/>
        <v>17.670471077490138</v>
      </c>
      <c r="R99" s="131">
        <f t="shared" si="25"/>
        <v>17.919923384410378</v>
      </c>
      <c r="S99" s="131">
        <f t="shared" si="25"/>
        <v>18.17289718507886</v>
      </c>
      <c r="T99" s="131">
        <f t="shared" si="25"/>
        <v>18.429442192077403</v>
      </c>
      <c r="U99" s="131">
        <f t="shared" si="25"/>
        <v>18.689608819775476</v>
      </c>
      <c r="V99" s="131">
        <f t="shared" si="25"/>
        <v>18.95344819423725</v>
      </c>
      <c r="W99" s="131">
        <f t="shared" si="25"/>
        <v>19.221012163268533</v>
      </c>
      <c r="X99" s="131">
        <f t="shared" si="25"/>
        <v>19.492353306605519</v>
      </c>
      <c r="Y99" s="94">
        <f>X99*'ACT ECON'!$Q$6</f>
        <v>4.6196877336655078</v>
      </c>
      <c r="Z99" s="94"/>
      <c r="AA99" s="94"/>
      <c r="AB99" s="94"/>
      <c r="AC99" s="94"/>
    </row>
    <row r="100" spans="1:29" x14ac:dyDescent="0.2">
      <c r="A100" s="1550"/>
      <c r="C100" s="49" t="str">
        <f>'DEM REFER'!C100</f>
        <v>ABANCAY</v>
      </c>
      <c r="D100" s="49" t="str">
        <f>'DEM REFER'!D100</f>
        <v>TAMBURCO</v>
      </c>
      <c r="E100" s="49" t="str">
        <f>'DEM REFER'!E100</f>
        <v>CCANABAMBA ALTA (WARA CCOÑA)</v>
      </c>
      <c r="F100" s="201">
        <f>'DEM REFER'!F100</f>
        <v>50</v>
      </c>
      <c r="G100" s="50">
        <f>'ACT ECON'!$Q$16</f>
        <v>0.17699999999999999</v>
      </c>
      <c r="H100" s="58">
        <f t="shared" si="22"/>
        <v>8.85</v>
      </c>
      <c r="I100" s="131">
        <f t="shared" si="25"/>
        <v>8.9749345819114232</v>
      </c>
      <c r="J100" s="131">
        <f t="shared" si="25"/>
        <v>9.1016328530609698</v>
      </c>
      <c r="K100" s="131">
        <f t="shared" si="25"/>
        <v>9.2301197112766147</v>
      </c>
      <c r="L100" s="131">
        <f t="shared" si="25"/>
        <v>9.3604204058665275</v>
      </c>
      <c r="M100" s="131">
        <f t="shared" si="25"/>
        <v>9.4925605425808879</v>
      </c>
      <c r="N100" s="131">
        <f t="shared" si="25"/>
        <v>9.6265660886437381</v>
      </c>
      <c r="O100" s="131">
        <f t="shared" si="25"/>
        <v>9.7624633778558731</v>
      </c>
      <c r="P100" s="131">
        <f t="shared" si="25"/>
        <v>9.9002791157697718</v>
      </c>
      <c r="Q100" s="131">
        <f t="shared" si="25"/>
        <v>10.04004038493758</v>
      </c>
      <c r="R100" s="131">
        <f t="shared" si="25"/>
        <v>10.181774650233171</v>
      </c>
      <c r="S100" s="131">
        <f t="shared" si="25"/>
        <v>10.325509764249354</v>
      </c>
      <c r="T100" s="131">
        <f t="shared" si="25"/>
        <v>10.471273972771254</v>
      </c>
      <c r="U100" s="131">
        <f t="shared" si="25"/>
        <v>10.619095920326977</v>
      </c>
      <c r="V100" s="131">
        <f t="shared" si="25"/>
        <v>10.769004655816621</v>
      </c>
      <c r="W100" s="131">
        <f t="shared" si="25"/>
        <v>10.921029638220759</v>
      </c>
      <c r="X100" s="131">
        <f t="shared" si="25"/>
        <v>11.075200742389502</v>
      </c>
      <c r="Y100" s="94">
        <f>X100*'ACT ECON'!$Q$6</f>
        <v>2.624822575946312</v>
      </c>
      <c r="Z100" s="94"/>
      <c r="AA100" s="94"/>
      <c r="AB100" s="94"/>
      <c r="AC100" s="94"/>
    </row>
    <row r="101" spans="1:29" x14ac:dyDescent="0.2">
      <c r="A101" s="1550"/>
      <c r="C101" s="49" t="str">
        <f>'DEM REFER'!C101</f>
        <v>ABANCAY</v>
      </c>
      <c r="D101" s="49" t="str">
        <f>'DEM REFER'!D101</f>
        <v>TAMBURCO</v>
      </c>
      <c r="E101" s="49" t="str">
        <f>'DEM REFER'!E101</f>
        <v>CCANABAMBA BAJA</v>
      </c>
      <c r="F101" s="201">
        <f>'DEM REFER'!F101</f>
        <v>59</v>
      </c>
      <c r="G101" s="50">
        <f>'ACT ECON'!$Q$16</f>
        <v>0.17699999999999999</v>
      </c>
      <c r="H101" s="58">
        <f t="shared" si="22"/>
        <v>10.443</v>
      </c>
      <c r="I101" s="131">
        <f t="shared" si="25"/>
        <v>10.590422806655479</v>
      </c>
      <c r="J101" s="131">
        <f t="shared" si="25"/>
        <v>10.739926766611942</v>
      </c>
      <c r="K101" s="131">
        <f t="shared" si="25"/>
        <v>10.891541259306402</v>
      </c>
      <c r="L101" s="131">
        <f t="shared" si="25"/>
        <v>11.045296078922499</v>
      </c>
      <c r="M101" s="131">
        <f t="shared" si="25"/>
        <v>11.201221440245444</v>
      </c>
      <c r="N101" s="131">
        <f t="shared" si="25"/>
        <v>11.359347984599607</v>
      </c>
      <c r="O101" s="131">
        <f t="shared" si="25"/>
        <v>11.519706785869927</v>
      </c>
      <c r="P101" s="131">
        <f t="shared" si="25"/>
        <v>11.682329356608328</v>
      </c>
      <c r="Q101" s="131">
        <f t="shared" si="25"/>
        <v>11.84724765422634</v>
      </c>
      <c r="R101" s="131">
        <f t="shared" si="25"/>
        <v>12.014494087275137</v>
      </c>
      <c r="S101" s="131">
        <f t="shared" si="25"/>
        <v>12.184101521814233</v>
      </c>
      <c r="T101" s="131">
        <f t="shared" si="25"/>
        <v>12.356103287870075</v>
      </c>
      <c r="U101" s="131">
        <f t="shared" si="25"/>
        <v>12.530533185985828</v>
      </c>
      <c r="V101" s="131">
        <f t="shared" si="25"/>
        <v>12.707425493863608</v>
      </c>
      <c r="W101" s="131">
        <f t="shared" si="25"/>
        <v>12.886814973100492</v>
      </c>
      <c r="X101" s="131">
        <f t="shared" si="25"/>
        <v>13.068736876019608</v>
      </c>
      <c r="Y101" s="94">
        <f>X101*'ACT ECON'!$Q$6</f>
        <v>3.0972906396166469</v>
      </c>
      <c r="Z101" s="94"/>
      <c r="AA101" s="94"/>
      <c r="AB101" s="94"/>
      <c r="AC101" s="94">
        <f>Z103*AB103</f>
        <v>1483323.7858297103</v>
      </c>
    </row>
    <row r="102" spans="1:29" x14ac:dyDescent="0.2">
      <c r="A102" s="1550"/>
      <c r="C102" s="49" t="str">
        <f>'DEM REFER'!C102</f>
        <v>ABANCAY</v>
      </c>
      <c r="D102" s="49" t="str">
        <f>'DEM REFER'!D102</f>
        <v>TAMBURCO</v>
      </c>
      <c r="E102" s="49" t="str">
        <f>'DEM REFER'!E102</f>
        <v>VIRGEN DEL CARMEN</v>
      </c>
      <c r="F102" s="201">
        <f>'DEM REFER'!F102</f>
        <v>53</v>
      </c>
      <c r="G102" s="50">
        <f>'ACT ECON'!$Q$16</f>
        <v>0.17699999999999999</v>
      </c>
      <c r="H102" s="58">
        <f t="shared" si="22"/>
        <v>9.3810000000000002</v>
      </c>
      <c r="I102" s="131">
        <f t="shared" si="25"/>
        <v>9.5134306568261096</v>
      </c>
      <c r="J102" s="131">
        <f t="shared" si="25"/>
        <v>9.6477308242446274</v>
      </c>
      <c r="K102" s="131">
        <f t="shared" si="25"/>
        <v>9.7839268939532094</v>
      </c>
      <c r="L102" s="131">
        <f t="shared" si="25"/>
        <v>9.922045630218518</v>
      </c>
      <c r="M102" s="131">
        <f t="shared" si="25"/>
        <v>10.06211417513574</v>
      </c>
      <c r="N102" s="131">
        <f t="shared" si="25"/>
        <v>10.20416005396236</v>
      </c>
      <c r="O102" s="131">
        <f t="shared" si="25"/>
        <v>10.348211180527223</v>
      </c>
      <c r="P102" s="131">
        <f t="shared" si="25"/>
        <v>10.494295862715955</v>
      </c>
      <c r="Q102" s="131">
        <f t="shared" si="25"/>
        <v>10.642442808033831</v>
      </c>
      <c r="R102" s="131">
        <f t="shared" si="25"/>
        <v>10.792681129247159</v>
      </c>
      <c r="S102" s="131">
        <f t="shared" si="25"/>
        <v>10.945040350104312</v>
      </c>
      <c r="T102" s="131">
        <f t="shared" si="25"/>
        <v>11.099550411137526</v>
      </c>
      <c r="U102" s="131">
        <f t="shared" si="25"/>
        <v>11.256241675546592</v>
      </c>
      <c r="V102" s="131">
        <f t="shared" si="25"/>
        <v>11.415144935165616</v>
      </c>
      <c r="W102" s="131">
        <f t="shared" si="25"/>
        <v>11.576291416514003</v>
      </c>
      <c r="X102" s="131">
        <f t="shared" si="25"/>
        <v>11.73971278693287</v>
      </c>
      <c r="Y102" s="94">
        <f>X102*'ACT ECON'!$Q$6</f>
        <v>2.7823119305030901</v>
      </c>
      <c r="Z102" s="94"/>
      <c r="AA102" s="94"/>
      <c r="AB102" s="94"/>
      <c r="AC102" s="94"/>
    </row>
    <row r="103" spans="1:29" x14ac:dyDescent="0.2">
      <c r="C103" s="1563" t="s">
        <v>258</v>
      </c>
      <c r="D103" s="1563"/>
      <c r="E103" s="1563"/>
      <c r="F103" s="62">
        <f>SUM(F30:F102)</f>
        <v>11161</v>
      </c>
      <c r="G103" s="51">
        <f>AVERAGE(G30:G94)</f>
        <v>0.17699999999999977</v>
      </c>
      <c r="H103" s="62">
        <f>SUM(H30:H102)</f>
        <v>1975.4970000000005</v>
      </c>
      <c r="I103" s="62">
        <f t="shared" ref="I103:X103" si="26">SUM(I30:I102)</f>
        <v>2003.3848973742677</v>
      </c>
      <c r="J103" s="62">
        <f t="shared" si="26"/>
        <v>2031.6664854602686</v>
      </c>
      <c r="K103" s="62">
        <f t="shared" si="26"/>
        <v>2060.3473219511652</v>
      </c>
      <c r="L103" s="62">
        <f t="shared" si="26"/>
        <v>2089.4330429975262</v>
      </c>
      <c r="M103" s="62">
        <f t="shared" si="26"/>
        <v>2118.9293643149053</v>
      </c>
      <c r="N103" s="62">
        <f t="shared" si="26"/>
        <v>2148.8420823070555</v>
      </c>
      <c r="O103" s="62">
        <f t="shared" si="26"/>
        <v>2179.1770752049879</v>
      </c>
      <c r="P103" s="62">
        <f t="shared" si="26"/>
        <v>2209.9403042221293</v>
      </c>
      <c r="Q103" s="62">
        <f t="shared" si="26"/>
        <v>2241.1378147257665</v>
      </c>
      <c r="R103" s="62">
        <f t="shared" si="26"/>
        <v>2272.7757374250477</v>
      </c>
      <c r="S103" s="62">
        <f t="shared" si="26"/>
        <v>2304.8602895757413</v>
      </c>
      <c r="T103" s="62">
        <f t="shared" si="26"/>
        <v>2337.3977762019981</v>
      </c>
      <c r="U103" s="62">
        <f t="shared" si="26"/>
        <v>2370.3945913353878</v>
      </c>
      <c r="V103" s="62">
        <f t="shared" si="26"/>
        <v>2403.8572192713864</v>
      </c>
      <c r="W103" s="62">
        <f t="shared" si="26"/>
        <v>2437.7922358436372</v>
      </c>
      <c r="X103" s="62">
        <f t="shared" si="26"/>
        <v>2472.206309716184</v>
      </c>
      <c r="Y103" s="326">
        <f>SUM(Y30:Y102)</f>
        <v>585.91289540273544</v>
      </c>
      <c r="Z103" s="94">
        <f>X103/5</f>
        <v>494.44126194323678</v>
      </c>
      <c r="AA103" s="143">
        <f>Z103/2</f>
        <v>247.22063097161839</v>
      </c>
      <c r="AB103" s="94">
        <v>3000</v>
      </c>
      <c r="AC103" s="94">
        <f>AA103*AB103</f>
        <v>741661.89291485515</v>
      </c>
    </row>
    <row r="104" spans="1:29" x14ac:dyDescent="0.2">
      <c r="E104" s="134">
        <f>COUNTA(E30:E94)</f>
        <v>65</v>
      </c>
    </row>
    <row r="105" spans="1:29" x14ac:dyDescent="0.2">
      <c r="H105" s="52">
        <f>H103*0.1344</f>
        <v>265.50679680000007</v>
      </c>
      <c r="Z105" s="52">
        <f>Z103/5</f>
        <v>98.888252388647359</v>
      </c>
      <c r="AA105" s="52">
        <v>10000</v>
      </c>
    </row>
    <row r="107" spans="1:29" x14ac:dyDescent="0.2">
      <c r="L107" s="1558" t="s">
        <v>173</v>
      </c>
      <c r="M107" s="1558"/>
      <c r="N107" s="1558"/>
      <c r="O107" s="1558"/>
      <c r="P107" s="1558"/>
      <c r="Q107" s="1558"/>
      <c r="R107" s="1558"/>
      <c r="S107" s="1558"/>
      <c r="T107" s="1558"/>
      <c r="U107" s="1558"/>
      <c r="V107" s="1558"/>
      <c r="W107" s="1558"/>
      <c r="X107" s="1558"/>
      <c r="Y107" s="125"/>
      <c r="AA107" s="133">
        <f>Z105*AA105</f>
        <v>988882.52388647362</v>
      </c>
    </row>
    <row r="108" spans="1:29" x14ac:dyDescent="0.2">
      <c r="D108" s="53"/>
      <c r="E108" s="53"/>
      <c r="F108" s="53"/>
      <c r="G108" s="53"/>
      <c r="H108" s="53"/>
      <c r="I108" s="53"/>
      <c r="J108" s="53"/>
      <c r="L108" s="65">
        <v>2021</v>
      </c>
      <c r="M108" s="65">
        <v>2022</v>
      </c>
      <c r="N108" s="65">
        <v>2023</v>
      </c>
      <c r="O108" s="128">
        <v>2024</v>
      </c>
      <c r="P108" s="65">
        <v>2025</v>
      </c>
      <c r="Q108" s="65">
        <v>2026</v>
      </c>
      <c r="R108" s="65">
        <v>2027</v>
      </c>
      <c r="S108" s="65">
        <v>2028</v>
      </c>
      <c r="T108" s="65">
        <v>2029</v>
      </c>
      <c r="U108" s="65">
        <v>2030</v>
      </c>
      <c r="V108" s="65">
        <v>2031</v>
      </c>
      <c r="W108" s="65">
        <v>2032</v>
      </c>
      <c r="X108" s="65">
        <v>2033</v>
      </c>
      <c r="Y108" s="129"/>
    </row>
    <row r="109" spans="1:29" x14ac:dyDescent="0.2">
      <c r="C109" s="65" t="s">
        <v>189</v>
      </c>
      <c r="D109" s="65" t="s">
        <v>188</v>
      </c>
      <c r="E109" s="65" t="s">
        <v>256</v>
      </c>
      <c r="F109" s="65">
        <v>2017</v>
      </c>
      <c r="G109" s="65" t="s">
        <v>260</v>
      </c>
      <c r="H109" s="65">
        <v>2017</v>
      </c>
      <c r="I109" s="65">
        <v>2018</v>
      </c>
      <c r="J109" s="65">
        <v>2019</v>
      </c>
      <c r="K109" s="65">
        <v>2020</v>
      </c>
      <c r="L109" s="1538" t="s">
        <v>257</v>
      </c>
      <c r="M109" s="1538"/>
      <c r="N109" s="1538"/>
      <c r="O109" s="54" t="s">
        <v>174</v>
      </c>
      <c r="P109" s="54" t="s">
        <v>175</v>
      </c>
      <c r="Q109" s="54" t="s">
        <v>176</v>
      </c>
      <c r="R109" s="54" t="s">
        <v>177</v>
      </c>
      <c r="S109" s="54" t="s">
        <v>178</v>
      </c>
      <c r="T109" s="54" t="s">
        <v>179</v>
      </c>
      <c r="U109" s="54" t="s">
        <v>180</v>
      </c>
      <c r="V109" s="54" t="s">
        <v>181</v>
      </c>
      <c r="W109" s="54" t="s">
        <v>182</v>
      </c>
      <c r="X109" s="54" t="s">
        <v>183</v>
      </c>
      <c r="Y109" s="89"/>
    </row>
    <row r="110" spans="1:29" ht="156.75" customHeight="1" x14ac:dyDescent="0.2">
      <c r="B110" s="52" t="s">
        <v>259</v>
      </c>
      <c r="C110" s="135" t="s">
        <v>161</v>
      </c>
      <c r="D110" s="199" t="str">
        <f>'DEM REFER'!D110</f>
        <v>ABANCAY, PICHIRHUA, CHACOCHE, LAMBRAMA, CIRCA, CURAHUASI,HUANIPACA, SAN PEDRO DE CACHORA Y TAMBURCO.</v>
      </c>
      <c r="E110" s="198" t="str">
        <f>'DEM REFER'!E110</f>
        <v>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v>
      </c>
      <c r="F110" s="136">
        <f t="shared" ref="F110:X110" si="27">+F103</f>
        <v>11161</v>
      </c>
      <c r="G110" s="144">
        <f t="shared" si="27"/>
        <v>0.17699999999999977</v>
      </c>
      <c r="H110" s="136">
        <f t="shared" si="27"/>
        <v>1975.4970000000005</v>
      </c>
      <c r="I110" s="136">
        <f t="shared" si="27"/>
        <v>2003.3848973742677</v>
      </c>
      <c r="J110" s="136">
        <f t="shared" si="27"/>
        <v>2031.6664854602686</v>
      </c>
      <c r="K110" s="136">
        <f t="shared" si="27"/>
        <v>2060.3473219511652</v>
      </c>
      <c r="L110" s="136">
        <f t="shared" si="27"/>
        <v>2089.4330429975262</v>
      </c>
      <c r="M110" s="136">
        <f t="shared" si="27"/>
        <v>2118.9293643149053</v>
      </c>
      <c r="N110" s="136">
        <f t="shared" si="27"/>
        <v>2148.8420823070555</v>
      </c>
      <c r="O110" s="136">
        <f t="shared" si="27"/>
        <v>2179.1770752049879</v>
      </c>
      <c r="P110" s="136">
        <f t="shared" si="27"/>
        <v>2209.9403042221293</v>
      </c>
      <c r="Q110" s="136">
        <f t="shared" si="27"/>
        <v>2241.1378147257665</v>
      </c>
      <c r="R110" s="136">
        <f t="shared" si="27"/>
        <v>2272.7757374250477</v>
      </c>
      <c r="S110" s="136">
        <f t="shared" si="27"/>
        <v>2304.8602895757413</v>
      </c>
      <c r="T110" s="136">
        <f t="shared" si="27"/>
        <v>2337.3977762019981</v>
      </c>
      <c r="U110" s="136">
        <f t="shared" si="27"/>
        <v>2370.3945913353878</v>
      </c>
      <c r="V110" s="136">
        <f t="shared" si="27"/>
        <v>2403.8572192713864</v>
      </c>
      <c r="W110" s="136">
        <f t="shared" si="27"/>
        <v>2437.7922358436372</v>
      </c>
      <c r="X110" s="136">
        <f t="shared" si="27"/>
        <v>2472.206309716184</v>
      </c>
      <c r="Y110" s="138"/>
    </row>
    <row r="111" spans="1:29" x14ac:dyDescent="0.2">
      <c r="C111" s="1559" t="s">
        <v>44</v>
      </c>
      <c r="D111" s="1559"/>
      <c r="E111" s="1559"/>
      <c r="F111" s="139">
        <f>SUM(F110:F110)</f>
        <v>11161</v>
      </c>
      <c r="G111" s="145"/>
      <c r="H111" s="139">
        <f t="shared" ref="H111:X111" si="28">SUM(H110:H110)</f>
        <v>1975.4970000000005</v>
      </c>
      <c r="I111" s="139">
        <f t="shared" si="28"/>
        <v>2003.3848973742677</v>
      </c>
      <c r="J111" s="139">
        <f t="shared" si="28"/>
        <v>2031.6664854602686</v>
      </c>
      <c r="K111" s="139">
        <f t="shared" si="28"/>
        <v>2060.3473219511652</v>
      </c>
      <c r="L111" s="139">
        <f t="shared" si="28"/>
        <v>2089.4330429975262</v>
      </c>
      <c r="M111" s="139">
        <f t="shared" si="28"/>
        <v>2118.9293643149053</v>
      </c>
      <c r="N111" s="139">
        <f t="shared" si="28"/>
        <v>2148.8420823070555</v>
      </c>
      <c r="O111" s="139">
        <f t="shared" si="28"/>
        <v>2179.1770752049879</v>
      </c>
      <c r="P111" s="139">
        <f t="shared" si="28"/>
        <v>2209.9403042221293</v>
      </c>
      <c r="Q111" s="139">
        <f t="shared" si="28"/>
        <v>2241.1378147257665</v>
      </c>
      <c r="R111" s="139">
        <f t="shared" si="28"/>
        <v>2272.7757374250477</v>
      </c>
      <c r="S111" s="139">
        <f t="shared" si="28"/>
        <v>2304.8602895757413</v>
      </c>
      <c r="T111" s="139">
        <f t="shared" si="28"/>
        <v>2337.3977762019981</v>
      </c>
      <c r="U111" s="139">
        <f t="shared" si="28"/>
        <v>2370.3945913353878</v>
      </c>
      <c r="V111" s="139">
        <f t="shared" si="28"/>
        <v>2403.8572192713864</v>
      </c>
      <c r="W111" s="139">
        <f t="shared" si="28"/>
        <v>2437.7922358436372</v>
      </c>
      <c r="X111" s="139">
        <f t="shared" si="28"/>
        <v>2472.206309716184</v>
      </c>
      <c r="Y111" s="141"/>
    </row>
    <row r="1048351" spans="4:4" x14ac:dyDescent="0.2">
      <c r="D1048351" s="37"/>
    </row>
  </sheetData>
  <mergeCells count="18">
    <mergeCell ref="L29:N29"/>
    <mergeCell ref="L27:X27"/>
    <mergeCell ref="C111:E111"/>
    <mergeCell ref="C103:E103"/>
    <mergeCell ref="D5:J5"/>
    <mergeCell ref="D16:J16"/>
    <mergeCell ref="D17:D18"/>
    <mergeCell ref="L109:N109"/>
    <mergeCell ref="L107:X107"/>
    <mergeCell ref="A99:A102"/>
    <mergeCell ref="A30:A41"/>
    <mergeCell ref="A42:A44"/>
    <mergeCell ref="A45:A46"/>
    <mergeCell ref="A47:A53"/>
    <mergeCell ref="A54:A59"/>
    <mergeCell ref="A60:A83"/>
    <mergeCell ref="A84:A90"/>
    <mergeCell ref="A91:A98"/>
  </mergeCells>
  <pageMargins left="0.7" right="0.7" top="0.75" bottom="0.75" header="0.3" footer="0.3"/>
  <pageSetup scale="30" orientation="landscape" r:id="rId1"/>
  <rowBreaks count="1" manualBreakCount="1">
    <brk id="106" max="23" man="1"/>
  </rowBreaks>
  <ignoredErrors>
    <ignoredError sqref="G103" formula="1"/>
    <ignoredError sqref="A42:A102"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3:AD1048343"/>
  <sheetViews>
    <sheetView view="pageBreakPreview" topLeftCell="A58" zoomScale="80" zoomScaleNormal="115" zoomScaleSheetLayoutView="80" workbookViewId="0">
      <selection activeCell="D119" sqref="D119"/>
    </sheetView>
  </sheetViews>
  <sheetFormatPr baseColWidth="10" defaultColWidth="11.42578125" defaultRowHeight="12.75" x14ac:dyDescent="0.2"/>
  <cols>
    <col min="1" max="1" width="4" style="52" customWidth="1"/>
    <col min="2" max="2" width="11.42578125" style="52"/>
    <col min="3" max="3" width="13.5703125" style="222" customWidth="1"/>
    <col min="4" max="4" width="24.85546875" style="222" customWidth="1"/>
    <col min="5" max="5" width="33.7109375" style="222" customWidth="1"/>
    <col min="6" max="6" width="12.7109375" style="222" customWidth="1"/>
    <col min="7" max="9" width="15.5703125" style="222" customWidth="1"/>
    <col min="10" max="10" width="14.140625" style="222" customWidth="1"/>
    <col min="11" max="12" width="11.5703125" style="222" customWidth="1"/>
    <col min="13" max="14" width="11.42578125" style="222" customWidth="1"/>
    <col min="15" max="15" width="12.28515625" style="222" customWidth="1"/>
    <col min="16" max="16" width="12.85546875" style="222" customWidth="1"/>
    <col min="17" max="23" width="9.5703125" style="222" customWidth="1"/>
    <col min="24" max="25" width="9.5703125" style="52" customWidth="1"/>
    <col min="26" max="29" width="11.42578125" style="52"/>
    <col min="30" max="30" width="13.42578125" style="52" customWidth="1"/>
    <col min="31" max="16384" width="11.42578125" style="52"/>
  </cols>
  <sheetData>
    <row r="3" spans="2:29" x14ac:dyDescent="0.2">
      <c r="B3" s="79" t="s">
        <v>167</v>
      </c>
      <c r="C3" s="259"/>
      <c r="D3" s="259"/>
    </row>
    <row r="5" spans="2:29" x14ac:dyDescent="0.2">
      <c r="D5" s="1539" t="s">
        <v>168</v>
      </c>
      <c r="E5" s="1539"/>
      <c r="F5" s="1539"/>
      <c r="G5" s="1539"/>
      <c r="H5" s="1539"/>
      <c r="I5" s="1539"/>
      <c r="J5" s="1539"/>
      <c r="K5" s="1539"/>
    </row>
    <row r="6" spans="2:29" x14ac:dyDescent="0.2">
      <c r="D6" s="81" t="s">
        <v>169</v>
      </c>
      <c r="E6" s="81">
        <v>2007</v>
      </c>
      <c r="F6" s="81">
        <v>2017</v>
      </c>
      <c r="G6" s="81"/>
      <c r="H6" s="81"/>
      <c r="I6" s="81"/>
      <c r="J6" s="81" t="s">
        <v>170</v>
      </c>
      <c r="K6" s="81" t="s">
        <v>171</v>
      </c>
    </row>
    <row r="7" spans="2:29" ht="28.5" customHeight="1" x14ac:dyDescent="0.2">
      <c r="D7" s="82" t="s">
        <v>163</v>
      </c>
      <c r="E7" s="83">
        <v>404190</v>
      </c>
      <c r="F7" s="83">
        <v>405759</v>
      </c>
      <c r="G7" s="83"/>
      <c r="H7" s="83"/>
      <c r="I7" s="83"/>
      <c r="J7" s="84">
        <f>(F7/E7)^(1/(2017-2007))-1</f>
        <v>3.8750734746773041E-4</v>
      </c>
      <c r="K7" s="85">
        <f>J7</f>
        <v>3.8750734746773041E-4</v>
      </c>
    </row>
    <row r="8" spans="2:29" ht="29.25" customHeight="1" x14ac:dyDescent="0.2">
      <c r="D8" s="82" t="s">
        <v>164</v>
      </c>
      <c r="E8" s="83">
        <v>27412157</v>
      </c>
      <c r="F8" s="83">
        <v>29381884</v>
      </c>
      <c r="G8" s="83"/>
      <c r="H8" s="83"/>
      <c r="I8" s="83"/>
      <c r="J8" s="84">
        <f>(F8/E8)^(1/(2017-2007))-1</f>
        <v>6.9633011030576508E-3</v>
      </c>
      <c r="K8" s="85">
        <f>J8</f>
        <v>6.9633011030576508E-3</v>
      </c>
    </row>
    <row r="11" spans="2:29" x14ac:dyDescent="0.2">
      <c r="B11" s="86"/>
      <c r="C11" s="260"/>
      <c r="D11" s="260"/>
      <c r="E11" s="260"/>
      <c r="F11" s="260"/>
      <c r="G11" s="260"/>
      <c r="H11" s="260"/>
      <c r="I11" s="260"/>
      <c r="J11" s="260"/>
      <c r="K11" s="260"/>
      <c r="L11" s="260"/>
      <c r="M11" s="260"/>
      <c r="N11" s="260"/>
      <c r="O11" s="260"/>
      <c r="P11" s="260"/>
      <c r="Q11" s="260"/>
      <c r="R11" s="260"/>
      <c r="S11" s="260"/>
      <c r="T11" s="260"/>
      <c r="U11" s="260"/>
      <c r="V11" s="260"/>
      <c r="W11" s="260"/>
    </row>
    <row r="13" spans="2:29" x14ac:dyDescent="0.2">
      <c r="B13" s="79" t="s">
        <v>172</v>
      </c>
      <c r="C13" s="259"/>
      <c r="D13" s="259"/>
    </row>
    <row r="14" spans="2:29" x14ac:dyDescent="0.2">
      <c r="L14" s="264"/>
      <c r="M14" s="264"/>
      <c r="N14" s="264"/>
      <c r="O14" s="264"/>
      <c r="P14" s="264"/>
      <c r="Q14" s="264"/>
      <c r="R14" s="264"/>
      <c r="S14" s="264"/>
      <c r="T14" s="264"/>
      <c r="U14" s="264"/>
      <c r="V14" s="264"/>
      <c r="W14" s="264"/>
      <c r="X14" s="89"/>
      <c r="Y14" s="89"/>
      <c r="Z14" s="89"/>
      <c r="AA14" s="89"/>
      <c r="AB14" s="89"/>
      <c r="AC14" s="89"/>
    </row>
    <row r="15" spans="2:29" x14ac:dyDescent="0.2">
      <c r="L15" s="265"/>
      <c r="M15" s="265"/>
      <c r="N15" s="265"/>
      <c r="O15" s="265"/>
      <c r="P15" s="265"/>
      <c r="Q15" s="265"/>
      <c r="R15" s="265"/>
      <c r="S15" s="265"/>
      <c r="T15" s="265"/>
      <c r="U15" s="265"/>
      <c r="V15" s="265"/>
      <c r="W15" s="265"/>
      <c r="X15" s="125"/>
      <c r="Y15" s="125"/>
      <c r="Z15" s="125"/>
      <c r="AA15" s="125"/>
      <c r="AB15" s="125"/>
      <c r="AC15" s="125"/>
    </row>
    <row r="16" spans="2:29" ht="15" customHeight="1" x14ac:dyDescent="0.2">
      <c r="D16" s="1571" t="s">
        <v>168</v>
      </c>
      <c r="E16" s="1572"/>
      <c r="F16" s="1572"/>
      <c r="G16" s="1572"/>
      <c r="H16" s="1572"/>
      <c r="I16" s="1572"/>
      <c r="J16" s="53"/>
      <c r="K16" s="53"/>
      <c r="L16" s="53"/>
      <c r="M16" s="53"/>
      <c r="N16" s="53"/>
      <c r="O16" s="53"/>
      <c r="P16" s="264"/>
      <c r="Q16" s="264"/>
      <c r="R16" s="264"/>
      <c r="S16" s="264"/>
      <c r="T16" s="264"/>
      <c r="U16" s="264"/>
      <c r="V16" s="264"/>
      <c r="W16" s="264"/>
      <c r="X16" s="89"/>
      <c r="Y16" s="89"/>
      <c r="Z16" s="89"/>
      <c r="AA16" s="89"/>
      <c r="AB16" s="89"/>
      <c r="AC16" s="89"/>
    </row>
    <row r="17" spans="1:30" ht="21" customHeight="1" x14ac:dyDescent="0.2">
      <c r="D17" s="1543" t="s">
        <v>155</v>
      </c>
      <c r="E17" s="218">
        <f>+E6</f>
        <v>2007</v>
      </c>
      <c r="F17" s="218"/>
      <c r="G17" s="218">
        <f>+F6</f>
        <v>2017</v>
      </c>
      <c r="H17" s="328"/>
      <c r="I17" s="218" t="s">
        <v>171</v>
      </c>
      <c r="L17" s="53"/>
      <c r="M17" s="53"/>
      <c r="N17" s="211">
        <v>456652</v>
      </c>
      <c r="O17" s="212">
        <v>3.6999999999999998E-2</v>
      </c>
      <c r="P17" s="126"/>
      <c r="Q17" s="211">
        <f>N17*O17</f>
        <v>16896.124</v>
      </c>
      <c r="R17" s="126"/>
      <c r="S17" s="126"/>
      <c r="T17" s="126"/>
      <c r="U17" s="126"/>
      <c r="V17" s="126"/>
      <c r="W17" s="126"/>
      <c r="X17" s="126"/>
      <c r="Y17" s="126"/>
      <c r="Z17" s="126"/>
      <c r="AA17" s="126"/>
      <c r="AB17" s="126"/>
      <c r="AC17" s="126"/>
    </row>
    <row r="18" spans="1:30" ht="29.25" customHeight="1" x14ac:dyDescent="0.2">
      <c r="D18" s="1541"/>
      <c r="E18" s="90">
        <f>+E7</f>
        <v>404190</v>
      </c>
      <c r="F18" s="90"/>
      <c r="G18" s="90">
        <f>+F7</f>
        <v>405759</v>
      </c>
      <c r="H18" s="90"/>
      <c r="I18" s="92">
        <v>3.8750734746773041E-4</v>
      </c>
      <c r="K18" s="222" t="s">
        <v>422</v>
      </c>
      <c r="L18" s="94"/>
      <c r="M18" s="94"/>
      <c r="N18" s="94"/>
      <c r="O18" s="94"/>
      <c r="P18" s="94"/>
      <c r="Q18" s="94"/>
      <c r="R18" s="94"/>
      <c r="S18" s="94"/>
      <c r="T18" s="94"/>
      <c r="U18" s="94"/>
      <c r="V18" s="94"/>
      <c r="W18" s="94"/>
      <c r="X18" s="94"/>
      <c r="Y18" s="94"/>
      <c r="Z18" s="94"/>
      <c r="AA18" s="94"/>
      <c r="AB18" s="94"/>
      <c r="AC18" s="94"/>
    </row>
    <row r="19" spans="1:30" x14ac:dyDescent="0.2">
      <c r="D19" s="37" t="s">
        <v>162</v>
      </c>
      <c r="E19" s="263">
        <f>TC!E18</f>
        <v>96064</v>
      </c>
      <c r="F19" s="256"/>
      <c r="G19" s="263">
        <f>TC!F18</f>
        <v>110520</v>
      </c>
      <c r="H19" s="84">
        <f>(G19/E19)^(1/(2017-2007))-1</f>
        <v>1.4116901910895319E-2</v>
      </c>
      <c r="I19" s="85">
        <f>H19</f>
        <v>1.4116901910895319E-2</v>
      </c>
      <c r="L19" s="94"/>
      <c r="M19" s="94"/>
      <c r="N19" s="94">
        <f>80913*100</f>
        <v>8091300</v>
      </c>
      <c r="O19" s="94"/>
      <c r="P19" s="94"/>
      <c r="Q19" s="94"/>
      <c r="R19" s="94"/>
      <c r="S19" s="94"/>
      <c r="T19" s="94"/>
      <c r="U19" s="94"/>
      <c r="V19" s="94"/>
      <c r="W19" s="94"/>
      <c r="X19" s="94"/>
      <c r="Y19" s="94"/>
      <c r="Z19" s="94"/>
      <c r="AA19" s="94"/>
      <c r="AB19" s="94"/>
      <c r="AC19" s="94"/>
    </row>
    <row r="20" spans="1:30" x14ac:dyDescent="0.2">
      <c r="L20" s="264"/>
      <c r="M20" s="264"/>
      <c r="N20" s="264"/>
      <c r="O20" s="264"/>
      <c r="P20" s="264"/>
      <c r="Q20" s="264"/>
      <c r="R20" s="264"/>
      <c r="S20" s="264"/>
      <c r="T20" s="264"/>
      <c r="U20" s="264"/>
      <c r="V20" s="264"/>
      <c r="W20" s="264"/>
      <c r="X20" s="89"/>
      <c r="Y20" s="89"/>
      <c r="Z20" s="89"/>
      <c r="AA20" s="89"/>
      <c r="AB20" s="89"/>
      <c r="AC20" s="89"/>
    </row>
    <row r="21" spans="1:30" x14ac:dyDescent="0.2">
      <c r="L21" s="127"/>
      <c r="M21" s="127"/>
      <c r="N21" s="213">
        <f>N19/N17</f>
        <v>17.718744251640199</v>
      </c>
      <c r="O21" s="127"/>
      <c r="P21" s="127"/>
      <c r="Q21" s="127"/>
      <c r="R21" s="127"/>
      <c r="S21" s="127"/>
      <c r="T21" s="127"/>
      <c r="U21" s="127"/>
      <c r="V21" s="127"/>
      <c r="W21" s="127"/>
      <c r="X21" s="127"/>
      <c r="Y21" s="127"/>
      <c r="Z21" s="127"/>
      <c r="AA21" s="127"/>
      <c r="AB21" s="127"/>
      <c r="AC21" s="127"/>
    </row>
    <row r="22" spans="1:30" x14ac:dyDescent="0.2">
      <c r="L22" s="264"/>
      <c r="M22" s="264"/>
      <c r="N22" s="264"/>
      <c r="O22" s="264"/>
      <c r="P22" s="264"/>
      <c r="Q22" s="264"/>
      <c r="R22" s="264"/>
      <c r="S22" s="264"/>
      <c r="T22" s="264"/>
      <c r="U22" s="264"/>
      <c r="V22" s="264"/>
      <c r="W22" s="264"/>
      <c r="X22" s="89"/>
      <c r="Y22" s="89"/>
      <c r="Z22" s="89"/>
      <c r="AA22" s="89"/>
      <c r="AB22" s="89"/>
      <c r="AC22" s="89"/>
    </row>
    <row r="23" spans="1:30" x14ac:dyDescent="0.2">
      <c r="J23" s="243">
        <f>F30*G30</f>
        <v>2.3727956847929943</v>
      </c>
      <c r="L23" s="264"/>
      <c r="M23" s="264"/>
      <c r="N23" s="264"/>
      <c r="O23" s="264"/>
      <c r="P23" s="264"/>
      <c r="Q23" s="264"/>
      <c r="R23" s="264"/>
      <c r="S23" s="264"/>
      <c r="T23" s="264"/>
      <c r="U23" s="264"/>
      <c r="V23" s="264"/>
      <c r="W23" s="264"/>
      <c r="X23" s="89"/>
      <c r="Y23" s="89"/>
      <c r="Z23" s="89"/>
      <c r="AA23" s="89"/>
      <c r="AB23" s="89"/>
      <c r="AC23" s="89"/>
    </row>
    <row r="24" spans="1:30" x14ac:dyDescent="0.2">
      <c r="M24" s="222">
        <f>J30*0.25</f>
        <v>1.8986356246095992</v>
      </c>
    </row>
    <row r="25" spans="1:30" x14ac:dyDescent="0.2">
      <c r="B25" s="79" t="s">
        <v>172</v>
      </c>
      <c r="C25" s="259"/>
      <c r="D25" s="259"/>
    </row>
    <row r="26" spans="1:30" x14ac:dyDescent="0.2">
      <c r="F26" s="148">
        <f>F111*0.025</f>
        <v>5.1559249999999999</v>
      </c>
      <c r="G26" s="222">
        <v>225</v>
      </c>
    </row>
    <row r="27" spans="1:30" ht="15" customHeight="1" x14ac:dyDescent="0.2">
      <c r="C27" s="261"/>
      <c r="D27" s="261"/>
      <c r="E27" s="261"/>
      <c r="F27" s="261"/>
      <c r="J27" s="265"/>
      <c r="K27" s="1538" t="s">
        <v>173</v>
      </c>
      <c r="L27" s="1538"/>
      <c r="M27" s="1538"/>
      <c r="N27" s="1538"/>
      <c r="O27" s="1538"/>
      <c r="P27" s="1538"/>
      <c r="Q27" s="1538"/>
      <c r="R27" s="1538"/>
      <c r="S27" s="1538"/>
      <c r="T27" s="1538"/>
      <c r="U27" s="1538"/>
      <c r="V27" s="1538"/>
      <c r="W27" s="1538"/>
      <c r="X27" s="125"/>
      <c r="Y27" s="125"/>
      <c r="Z27" s="125"/>
      <c r="AA27" s="125"/>
      <c r="AB27" s="125"/>
      <c r="AC27" s="125"/>
      <c r="AD27" s="125"/>
    </row>
    <row r="28" spans="1:30" ht="15" customHeight="1" x14ac:dyDescent="0.2">
      <c r="B28" s="146"/>
      <c r="C28" s="261"/>
      <c r="D28" s="147"/>
      <c r="E28" s="147"/>
      <c r="F28" s="261"/>
      <c r="G28" s="1541">
        <v>2019</v>
      </c>
      <c r="H28" s="1569" t="str">
        <f>'ACT ECON'!O23</f>
        <v>TOTAL DE PROBLACIÓN AGRÍCOLA DEDICADA A LA HORTICULTURA - REGIÓN APURÍMAC</v>
      </c>
      <c r="I28" s="1541">
        <v>2019</v>
      </c>
      <c r="J28" s="1542">
        <v>2020</v>
      </c>
      <c r="K28" s="218">
        <v>2021</v>
      </c>
      <c r="L28" s="218">
        <v>2022</v>
      </c>
      <c r="M28" s="218">
        <v>2023</v>
      </c>
      <c r="N28" s="218">
        <v>2024</v>
      </c>
      <c r="O28" s="218">
        <v>2025</v>
      </c>
      <c r="P28" s="218">
        <v>2026</v>
      </c>
      <c r="Q28" s="218">
        <v>2027</v>
      </c>
      <c r="R28" s="218">
        <v>2028</v>
      </c>
      <c r="S28" s="218">
        <v>2029</v>
      </c>
      <c r="T28" s="218">
        <v>2030</v>
      </c>
      <c r="U28" s="218">
        <v>2031</v>
      </c>
      <c r="V28" s="218">
        <v>2032</v>
      </c>
      <c r="W28" s="218">
        <v>2033</v>
      </c>
      <c r="X28" s="129"/>
      <c r="Y28" s="129"/>
      <c r="Z28" s="129"/>
      <c r="AA28" s="89"/>
      <c r="AB28" s="89"/>
      <c r="AC28" s="89"/>
      <c r="AD28" s="89"/>
    </row>
    <row r="29" spans="1:30" ht="21" customHeight="1" x14ac:dyDescent="0.2">
      <c r="C29" s="218" t="s">
        <v>189</v>
      </c>
      <c r="D29" s="218" t="s">
        <v>188</v>
      </c>
      <c r="E29" s="218" t="s">
        <v>256</v>
      </c>
      <c r="F29" s="130"/>
      <c r="G29" s="1541"/>
      <c r="H29" s="1570"/>
      <c r="I29" s="1541"/>
      <c r="J29" s="1543"/>
      <c r="K29" s="1538" t="s">
        <v>257</v>
      </c>
      <c r="L29" s="1538"/>
      <c r="M29" s="1538"/>
      <c r="N29" s="54" t="s">
        <v>174</v>
      </c>
      <c r="O29" s="54" t="s">
        <v>175</v>
      </c>
      <c r="P29" s="54" t="s">
        <v>176</v>
      </c>
      <c r="Q29" s="54" t="s">
        <v>177</v>
      </c>
      <c r="R29" s="54" t="s">
        <v>178</v>
      </c>
      <c r="S29" s="54" t="s">
        <v>179</v>
      </c>
      <c r="T29" s="54" t="s">
        <v>180</v>
      </c>
      <c r="U29" s="54" t="s">
        <v>181</v>
      </c>
      <c r="V29" s="54" t="s">
        <v>182</v>
      </c>
      <c r="W29" s="54" t="s">
        <v>183</v>
      </c>
      <c r="X29" s="89"/>
      <c r="Y29" s="126"/>
      <c r="Z29" s="126"/>
      <c r="AA29" s="126"/>
      <c r="AB29" s="126"/>
      <c r="AC29" s="126"/>
      <c r="AD29" s="126"/>
    </row>
    <row r="30" spans="1:30" x14ac:dyDescent="0.2">
      <c r="A30" s="1553">
        <f>'DEM POT'!A30:A41</f>
        <v>1</v>
      </c>
      <c r="B30" s="52">
        <v>1</v>
      </c>
      <c r="C30" s="262" t="str">
        <f>'DEM POT'!C30</f>
        <v>ABANCAY</v>
      </c>
      <c r="D30" s="262" t="str">
        <f>'DEM POT'!D30</f>
        <v>ABANCAY</v>
      </c>
      <c r="E30" s="262" t="str">
        <f>'DEM POT'!E30</f>
        <v>PACCHACCPATA</v>
      </c>
      <c r="F30" s="210">
        <f>'ACT ECON'!Q6</f>
        <v>0.23699999999999999</v>
      </c>
      <c r="G30" s="59">
        <f>'DEM POT'!J30</f>
        <v>10.011796138367066</v>
      </c>
      <c r="H30" s="343">
        <f>'ACT ECON'!$Q$24</f>
        <v>0.748</v>
      </c>
      <c r="I30" s="131">
        <f>G30*H30</f>
        <v>7.4888235114985653</v>
      </c>
      <c r="J30" s="131">
        <f t="shared" ref="J30:J61" si="0">+I30*(1+$I$19)</f>
        <v>7.5945424984383969</v>
      </c>
      <c r="K30" s="131">
        <f t="shared" ref="K30:W30" si="1">+J30*(1+$I$18)</f>
        <v>7.5974854394571976</v>
      </c>
      <c r="L30" s="131">
        <f t="shared" si="1"/>
        <v>7.6004295208872668</v>
      </c>
      <c r="M30" s="131">
        <f t="shared" si="1"/>
        <v>7.6033747431705212</v>
      </c>
      <c r="N30" s="131">
        <f t="shared" si="1"/>
        <v>7.6063211067490499</v>
      </c>
      <c r="O30" s="131">
        <f t="shared" si="1"/>
        <v>7.6092686120651143</v>
      </c>
      <c r="P30" s="131">
        <f t="shared" si="1"/>
        <v>7.6122172595611453</v>
      </c>
      <c r="Q30" s="131">
        <f t="shared" si="1"/>
        <v>7.6151670496797461</v>
      </c>
      <c r="R30" s="131">
        <f t="shared" si="1"/>
        <v>7.6181179828636916</v>
      </c>
      <c r="S30" s="131">
        <f t="shared" si="1"/>
        <v>7.6210700595559269</v>
      </c>
      <c r="T30" s="131">
        <f t="shared" si="1"/>
        <v>7.6240232801995713</v>
      </c>
      <c r="U30" s="131">
        <f t="shared" si="1"/>
        <v>7.6269776452379139</v>
      </c>
      <c r="V30" s="131">
        <f t="shared" si="1"/>
        <v>7.6299331551144158</v>
      </c>
      <c r="W30" s="131">
        <f t="shared" si="1"/>
        <v>7.6328898102727107</v>
      </c>
      <c r="X30" s="94"/>
      <c r="Y30" s="94"/>
      <c r="Z30" s="94"/>
      <c r="AA30" s="94"/>
      <c r="AB30" s="94"/>
      <c r="AC30" s="94"/>
      <c r="AD30" s="89"/>
    </row>
    <row r="31" spans="1:30" x14ac:dyDescent="0.2">
      <c r="A31" s="1553"/>
      <c r="B31" s="52">
        <v>2</v>
      </c>
      <c r="C31" s="262" t="str">
        <f>'DEM POT'!C31</f>
        <v>ABANCAY</v>
      </c>
      <c r="D31" s="262" t="str">
        <f>'DEM POT'!D31</f>
        <v>ABANCAY</v>
      </c>
      <c r="E31" s="262" t="str">
        <f>'DEM POT'!E31</f>
        <v>LLAÑUCANCHA</v>
      </c>
      <c r="F31" s="59"/>
      <c r="G31" s="59">
        <f>'DEM POT'!J31</f>
        <v>34.950270155754119</v>
      </c>
      <c r="H31" s="343">
        <f>'ACT ECON'!$Q$24</f>
        <v>0.748</v>
      </c>
      <c r="I31" s="131">
        <f t="shared" ref="I31:I94" si="2">G31*H31</f>
        <v>26.142802076504079</v>
      </c>
      <c r="J31" s="131">
        <f t="shared" si="0"/>
        <v>26.511857449094038</v>
      </c>
      <c r="K31" s="131">
        <f t="shared" ref="K31:W31" si="3">+J31*(1+$I$18)</f>
        <v>26.522130988650577</v>
      </c>
      <c r="L31" s="131">
        <f t="shared" si="3"/>
        <v>26.532408509279183</v>
      </c>
      <c r="M31" s="131">
        <f t="shared" si="3"/>
        <v>26.542690012522545</v>
      </c>
      <c r="N31" s="131">
        <f t="shared" si="3"/>
        <v>26.552975499923956</v>
      </c>
      <c r="O31" s="131">
        <f t="shared" si="3"/>
        <v>26.563264973027309</v>
      </c>
      <c r="P31" s="131">
        <f t="shared" si="3"/>
        <v>26.573558433377087</v>
      </c>
      <c r="Q31" s="131">
        <f t="shared" si="3"/>
        <v>26.583855882518385</v>
      </c>
      <c r="R31" s="131">
        <f t="shared" si="3"/>
        <v>26.594157321996885</v>
      </c>
      <c r="S31" s="131">
        <f t="shared" si="3"/>
        <v>26.60446275335887</v>
      </c>
      <c r="T31" s="131">
        <f t="shared" si="3"/>
        <v>26.614772178151227</v>
      </c>
      <c r="U31" s="131">
        <f t="shared" si="3"/>
        <v>26.625085597921441</v>
      </c>
      <c r="V31" s="131">
        <f t="shared" si="3"/>
        <v>26.635403014217591</v>
      </c>
      <c r="W31" s="131">
        <f t="shared" si="3"/>
        <v>26.645724428588363</v>
      </c>
      <c r="X31" s="94"/>
      <c r="Y31" s="94"/>
      <c r="Z31" s="94"/>
      <c r="AA31" s="94"/>
      <c r="AB31" s="94"/>
      <c r="AC31" s="94"/>
      <c r="AD31" s="89"/>
    </row>
    <row r="32" spans="1:30" x14ac:dyDescent="0.2">
      <c r="A32" s="1553"/>
      <c r="B32" s="52">
        <v>3</v>
      </c>
      <c r="C32" s="262" t="str">
        <f>'DEM POT'!C32</f>
        <v>ABANCAY</v>
      </c>
      <c r="D32" s="262" t="str">
        <f>'DEM POT'!D32</f>
        <v>ABANCAY</v>
      </c>
      <c r="E32" s="262" t="str">
        <f>'DEM POT'!E32</f>
        <v>CCARCCATERA</v>
      </c>
      <c r="F32" s="59"/>
      <c r="G32" s="59">
        <f>'DEM POT'!J32</f>
        <v>19.659526962611693</v>
      </c>
      <c r="H32" s="343">
        <f>'ACT ECON'!$Q$24</f>
        <v>0.748</v>
      </c>
      <c r="I32" s="131">
        <f t="shared" si="2"/>
        <v>14.705326168033546</v>
      </c>
      <c r="J32" s="131">
        <f t="shared" si="0"/>
        <v>14.912919815115398</v>
      </c>
      <c r="K32" s="131">
        <f t="shared" ref="K32:W32" si="4">+J32*(1+$I$18)</f>
        <v>14.918698681115952</v>
      </c>
      <c r="L32" s="131">
        <f t="shared" si="4"/>
        <v>14.924479786469542</v>
      </c>
      <c r="M32" s="131">
        <f t="shared" si="4"/>
        <v>14.930263132043933</v>
      </c>
      <c r="N32" s="131">
        <f t="shared" si="4"/>
        <v>14.936048718707227</v>
      </c>
      <c r="O32" s="131">
        <f t="shared" si="4"/>
        <v>14.941836547327862</v>
      </c>
      <c r="P32" s="131">
        <f t="shared" si="4"/>
        <v>14.947626618774613</v>
      </c>
      <c r="Q32" s="131">
        <f t="shared" si="4"/>
        <v>14.953418933916593</v>
      </c>
      <c r="R32" s="131">
        <f t="shared" si="4"/>
        <v>14.959213493623249</v>
      </c>
      <c r="S32" s="131">
        <f t="shared" si="4"/>
        <v>14.965010298764366</v>
      </c>
      <c r="T32" s="131">
        <f t="shared" si="4"/>
        <v>14.970809350210066</v>
      </c>
      <c r="U32" s="131">
        <f t="shared" si="4"/>
        <v>14.976610648830812</v>
      </c>
      <c r="V32" s="131">
        <f t="shared" si="4"/>
        <v>14.982414195497398</v>
      </c>
      <c r="W32" s="131">
        <f t="shared" si="4"/>
        <v>14.988219991080959</v>
      </c>
      <c r="X32" s="94"/>
      <c r="Y32" s="94"/>
      <c r="Z32" s="94"/>
      <c r="AA32" s="94"/>
      <c r="AB32" s="94"/>
      <c r="AC32" s="94"/>
      <c r="AD32" s="89"/>
    </row>
    <row r="33" spans="1:30" x14ac:dyDescent="0.2">
      <c r="A33" s="1553"/>
      <c r="B33" s="52">
        <v>4</v>
      </c>
      <c r="C33" s="262" t="str">
        <f>'DEM POT'!C33</f>
        <v>ABANCAY</v>
      </c>
      <c r="D33" s="262" t="str">
        <f>'DEM POT'!D33</f>
        <v>ABANCAY</v>
      </c>
      <c r="E33" s="262" t="str">
        <f>'DEM POT'!E33</f>
        <v>ASILLO</v>
      </c>
      <c r="F33" s="59"/>
      <c r="G33" s="59">
        <f>'DEM POT'!J33</f>
        <v>27.850996530366565</v>
      </c>
      <c r="H33" s="343">
        <f>'ACT ECON'!$Q$24</f>
        <v>0.748</v>
      </c>
      <c r="I33" s="131">
        <f t="shared" si="2"/>
        <v>20.832545404714192</v>
      </c>
      <c r="J33" s="131">
        <f t="shared" si="0"/>
        <v>21.126636404746815</v>
      </c>
      <c r="K33" s="131">
        <f t="shared" ref="K33:W33" si="5">+J33*(1+$I$18)</f>
        <v>21.134823131580934</v>
      </c>
      <c r="L33" s="131">
        <f t="shared" si="5"/>
        <v>21.143013030831852</v>
      </c>
      <c r="M33" s="131">
        <f t="shared" si="5"/>
        <v>21.151206103728907</v>
      </c>
      <c r="N33" s="131">
        <f t="shared" si="5"/>
        <v>21.159402351501907</v>
      </c>
      <c r="O33" s="131">
        <f t="shared" si="5"/>
        <v>21.16760177538114</v>
      </c>
      <c r="P33" s="131">
        <f t="shared" si="5"/>
        <v>21.17580437659737</v>
      </c>
      <c r="Q33" s="131">
        <f t="shared" si="5"/>
        <v>21.184010156381841</v>
      </c>
      <c r="R33" s="131">
        <f t="shared" si="5"/>
        <v>21.192219115966271</v>
      </c>
      <c r="S33" s="131">
        <f t="shared" si="5"/>
        <v>21.200431256582853</v>
      </c>
      <c r="T33" s="131">
        <f t="shared" si="5"/>
        <v>21.208646579464265</v>
      </c>
      <c r="U33" s="131">
        <f t="shared" si="5"/>
        <v>21.216865085843654</v>
      </c>
      <c r="V33" s="131">
        <f t="shared" si="5"/>
        <v>21.225086776954651</v>
      </c>
      <c r="W33" s="131">
        <f t="shared" si="5"/>
        <v>21.233311654031361</v>
      </c>
      <c r="X33" s="94"/>
      <c r="Y33" s="94"/>
      <c r="Z33" s="94"/>
      <c r="AA33" s="94"/>
      <c r="AB33" s="94"/>
      <c r="AC33" s="94"/>
      <c r="AD33" s="89"/>
    </row>
    <row r="34" spans="1:30" x14ac:dyDescent="0.2">
      <c r="A34" s="1553"/>
      <c r="B34" s="52">
        <v>5</v>
      </c>
      <c r="C34" s="262" t="str">
        <f>'DEM POT'!C34</f>
        <v>ABANCAY</v>
      </c>
      <c r="D34" s="262" t="str">
        <f>'DEM POT'!D34</f>
        <v>ABANCAY</v>
      </c>
      <c r="E34" s="262" t="str">
        <f>'DEM POT'!E34</f>
        <v>HUAYLLABAMBA</v>
      </c>
      <c r="F34" s="59"/>
      <c r="G34" s="59">
        <f>'DEM POT'!J34</f>
        <v>35.678400783999002</v>
      </c>
      <c r="H34" s="343">
        <f>'ACT ECON'!$Q$24</f>
        <v>0.748</v>
      </c>
      <c r="I34" s="131">
        <f t="shared" si="2"/>
        <v>26.687443786431253</v>
      </c>
      <c r="J34" s="131">
        <f t="shared" si="0"/>
        <v>27.064187812616836</v>
      </c>
      <c r="K34" s="131">
        <f t="shared" ref="K34:W34" si="6">+J34*(1+$I$18)</f>
        <v>27.07467538424747</v>
      </c>
      <c r="L34" s="131">
        <f t="shared" si="6"/>
        <v>27.08516701988917</v>
      </c>
      <c r="M34" s="131">
        <f t="shared" si="6"/>
        <v>27.095662721116767</v>
      </c>
      <c r="N34" s="131">
        <f t="shared" si="6"/>
        <v>27.106162489505707</v>
      </c>
      <c r="O34" s="131">
        <f t="shared" si="6"/>
        <v>27.116666326632043</v>
      </c>
      <c r="P34" s="131">
        <f t="shared" si="6"/>
        <v>27.127174234072445</v>
      </c>
      <c r="Q34" s="131">
        <f t="shared" si="6"/>
        <v>27.137686213404187</v>
      </c>
      <c r="R34" s="131">
        <f t="shared" si="6"/>
        <v>27.148202266205153</v>
      </c>
      <c r="S34" s="131">
        <f t="shared" si="6"/>
        <v>27.158722394053846</v>
      </c>
      <c r="T34" s="131">
        <f t="shared" si="6"/>
        <v>27.16924659852938</v>
      </c>
      <c r="U34" s="131">
        <f t="shared" si="6"/>
        <v>27.179774881211472</v>
      </c>
      <c r="V34" s="131">
        <f t="shared" si="6"/>
        <v>27.190307243680461</v>
      </c>
      <c r="W34" s="131">
        <f t="shared" si="6"/>
        <v>27.200843687517292</v>
      </c>
      <c r="X34" s="94"/>
      <c r="Y34" s="94"/>
      <c r="Z34" s="94"/>
      <c r="AA34" s="94"/>
      <c r="AB34" s="94"/>
      <c r="AC34" s="94"/>
      <c r="AD34" s="89"/>
    </row>
    <row r="35" spans="1:30" x14ac:dyDescent="0.2">
      <c r="A35" s="1553"/>
      <c r="B35" s="52">
        <v>6</v>
      </c>
      <c r="C35" s="262" t="str">
        <f>'DEM POT'!C35</f>
        <v>ABANCAY</v>
      </c>
      <c r="D35" s="262" t="str">
        <f>'DEM POT'!D35</f>
        <v>ABANCAY</v>
      </c>
      <c r="E35" s="262" t="str">
        <f>'DEM POT'!E35</f>
        <v>CHILLCAPAMPA</v>
      </c>
      <c r="F35" s="59"/>
      <c r="G35" s="59">
        <f>'DEM POT'!J35</f>
        <v>16.382939135509744</v>
      </c>
      <c r="H35" s="343">
        <f>'ACT ECON'!$Q$24</f>
        <v>0.748</v>
      </c>
      <c r="I35" s="131">
        <f t="shared" si="2"/>
        <v>12.254438473361288</v>
      </c>
      <c r="J35" s="131">
        <f t="shared" si="0"/>
        <v>12.427433179262831</v>
      </c>
      <c r="K35" s="131">
        <f t="shared" ref="K35:W35" si="7">+J35*(1+$I$18)</f>
        <v>12.432248900929959</v>
      </c>
      <c r="L35" s="131">
        <f t="shared" si="7"/>
        <v>12.437066488724618</v>
      </c>
      <c r="M35" s="131">
        <f t="shared" si="7"/>
        <v>12.441885943369943</v>
      </c>
      <c r="N35" s="131">
        <f t="shared" si="7"/>
        <v>12.446707265589355</v>
      </c>
      <c r="O35" s="131">
        <f t="shared" si="7"/>
        <v>12.451530456106552</v>
      </c>
      <c r="P35" s="131">
        <f t="shared" si="7"/>
        <v>12.456355515645511</v>
      </c>
      <c r="Q35" s="131">
        <f t="shared" si="7"/>
        <v>12.461182444930493</v>
      </c>
      <c r="R35" s="131">
        <f t="shared" si="7"/>
        <v>12.46601124468604</v>
      </c>
      <c r="S35" s="131">
        <f t="shared" si="7"/>
        <v>12.470841915636971</v>
      </c>
      <c r="T35" s="131">
        <f t="shared" si="7"/>
        <v>12.475674458508388</v>
      </c>
      <c r="U35" s="131">
        <f t="shared" si="7"/>
        <v>12.480508874025675</v>
      </c>
      <c r="V35" s="131">
        <f t="shared" si="7"/>
        <v>12.485345162914497</v>
      </c>
      <c r="W35" s="131">
        <f t="shared" si="7"/>
        <v>12.490183325900796</v>
      </c>
      <c r="X35" s="337">
        <f>SUM(W30:W41)</f>
        <v>216.49651098228051</v>
      </c>
      <c r="Y35" s="94"/>
      <c r="Z35" s="94"/>
      <c r="AA35" s="94"/>
      <c r="AB35" s="94"/>
      <c r="AC35" s="94"/>
      <c r="AD35" s="89"/>
    </row>
    <row r="36" spans="1:30" x14ac:dyDescent="0.2">
      <c r="A36" s="1553"/>
      <c r="B36" s="52">
        <v>7</v>
      </c>
      <c r="C36" s="262" t="str">
        <f>'DEM POT'!C36</f>
        <v>ABANCAY</v>
      </c>
      <c r="D36" s="262" t="str">
        <f>'DEM POT'!D36</f>
        <v>ABANCAY</v>
      </c>
      <c r="E36" s="262" t="str">
        <f>'DEM POT'!E36</f>
        <v>AYAORCCO</v>
      </c>
      <c r="F36" s="59"/>
      <c r="G36" s="59">
        <f>'DEM POT'!J36</f>
        <v>15.108710536081208</v>
      </c>
      <c r="H36" s="343">
        <f>'ACT ECON'!$Q$24</f>
        <v>0.748</v>
      </c>
      <c r="I36" s="131">
        <f t="shared" si="2"/>
        <v>11.301315480988743</v>
      </c>
      <c r="J36" s="131">
        <f t="shared" si="0"/>
        <v>11.460855043097943</v>
      </c>
      <c r="K36" s="131">
        <f t="shared" ref="K36:W36" si="8">+J36*(1+$I$18)</f>
        <v>11.465296208635406</v>
      </c>
      <c r="L36" s="131">
        <f t="shared" si="8"/>
        <v>11.469739095157147</v>
      </c>
      <c r="M36" s="131">
        <f t="shared" si="8"/>
        <v>11.474183703330057</v>
      </c>
      <c r="N36" s="131">
        <f t="shared" si="8"/>
        <v>11.478630033821291</v>
      </c>
      <c r="O36" s="131">
        <f t="shared" si="8"/>
        <v>11.48307808729826</v>
      </c>
      <c r="P36" s="131">
        <f t="shared" si="8"/>
        <v>11.487527864428634</v>
      </c>
      <c r="Q36" s="131">
        <f t="shared" si="8"/>
        <v>11.49197936588034</v>
      </c>
      <c r="R36" s="131">
        <f t="shared" si="8"/>
        <v>11.496432592321566</v>
      </c>
      <c r="S36" s="131">
        <f t="shared" si="8"/>
        <v>11.500887544420758</v>
      </c>
      <c r="T36" s="131">
        <f t="shared" si="8"/>
        <v>11.50534422284662</v>
      </c>
      <c r="U36" s="131">
        <f t="shared" si="8"/>
        <v>11.509802628268119</v>
      </c>
      <c r="V36" s="131">
        <f t="shared" si="8"/>
        <v>11.514262761354477</v>
      </c>
      <c r="W36" s="131">
        <f t="shared" si="8"/>
        <v>11.518724622775176</v>
      </c>
      <c r="X36" s="94"/>
      <c r="Y36" s="94"/>
      <c r="Z36" s="94"/>
      <c r="AA36" s="94"/>
      <c r="AB36" s="94"/>
      <c r="AC36" s="94"/>
      <c r="AD36" s="89"/>
    </row>
    <row r="37" spans="1:30" x14ac:dyDescent="0.2">
      <c r="A37" s="1553"/>
      <c r="B37" s="52">
        <v>8</v>
      </c>
      <c r="C37" s="262" t="str">
        <f>'DEM POT'!C37</f>
        <v>ABANCAY</v>
      </c>
      <c r="D37" s="262" t="str">
        <f>'DEM POT'!D37</f>
        <v>ABANCAY</v>
      </c>
      <c r="E37" s="262" t="str">
        <f>'DEM POT'!E37</f>
        <v>WIRACOCHA VIRACOCHAPATA</v>
      </c>
      <c r="F37" s="59"/>
      <c r="G37" s="59">
        <f>'DEM POT'!J37</f>
        <v>15.108710536081208</v>
      </c>
      <c r="H37" s="343">
        <f>'ACT ECON'!$Q$24</f>
        <v>0.748</v>
      </c>
      <c r="I37" s="131">
        <f t="shared" si="2"/>
        <v>11.301315480988743</v>
      </c>
      <c r="J37" s="131">
        <f t="shared" si="0"/>
        <v>11.460855043097943</v>
      </c>
      <c r="K37" s="131">
        <f t="shared" ref="K37:W37" si="9">+J37*(1+$I$18)</f>
        <v>11.465296208635406</v>
      </c>
      <c r="L37" s="131">
        <f t="shared" si="9"/>
        <v>11.469739095157147</v>
      </c>
      <c r="M37" s="131">
        <f t="shared" si="9"/>
        <v>11.474183703330057</v>
      </c>
      <c r="N37" s="131">
        <f t="shared" si="9"/>
        <v>11.478630033821291</v>
      </c>
      <c r="O37" s="131">
        <f t="shared" si="9"/>
        <v>11.48307808729826</v>
      </c>
      <c r="P37" s="131">
        <f t="shared" si="9"/>
        <v>11.487527864428634</v>
      </c>
      <c r="Q37" s="131">
        <f t="shared" si="9"/>
        <v>11.49197936588034</v>
      </c>
      <c r="R37" s="131">
        <f t="shared" si="9"/>
        <v>11.496432592321566</v>
      </c>
      <c r="S37" s="131">
        <f t="shared" si="9"/>
        <v>11.500887544420758</v>
      </c>
      <c r="T37" s="131">
        <f t="shared" si="9"/>
        <v>11.50534422284662</v>
      </c>
      <c r="U37" s="131">
        <f t="shared" si="9"/>
        <v>11.509802628268119</v>
      </c>
      <c r="V37" s="131">
        <f t="shared" si="9"/>
        <v>11.514262761354477</v>
      </c>
      <c r="W37" s="131">
        <f t="shared" si="9"/>
        <v>11.518724622775176</v>
      </c>
      <c r="X37" s="94"/>
      <c r="Y37" s="94"/>
      <c r="Z37" s="94"/>
      <c r="AA37" s="94"/>
      <c r="AB37" s="94"/>
      <c r="AC37" s="94"/>
      <c r="AD37" s="89"/>
    </row>
    <row r="38" spans="1:30" x14ac:dyDescent="0.2">
      <c r="A38" s="1553"/>
      <c r="B38" s="52">
        <v>9</v>
      </c>
      <c r="C38" s="262" t="str">
        <f>'DEM POT'!C38</f>
        <v>ABANCAY</v>
      </c>
      <c r="D38" s="262" t="str">
        <f>'DEM POT'!D38</f>
        <v>ABANCAY</v>
      </c>
      <c r="E38" s="262" t="str">
        <f>'DEM POT'!E38</f>
        <v>QUISAPATA ALTA</v>
      </c>
      <c r="F38" s="59"/>
      <c r="G38" s="59">
        <f>'DEM POT'!J38</f>
        <v>18.385298363183157</v>
      </c>
      <c r="H38" s="343">
        <f>'ACT ECON'!$Q$24</f>
        <v>0.748</v>
      </c>
      <c r="I38" s="131">
        <f t="shared" si="2"/>
        <v>13.752203175661002</v>
      </c>
      <c r="J38" s="131">
        <f t="shared" si="0"/>
        <v>13.946341678950512</v>
      </c>
      <c r="K38" s="131">
        <f t="shared" ref="K38:W38" si="10">+J38*(1+$I$18)</f>
        <v>13.951745988821401</v>
      </c>
      <c r="L38" s="131">
        <f t="shared" si="10"/>
        <v>13.957152392902072</v>
      </c>
      <c r="M38" s="131">
        <f t="shared" si="10"/>
        <v>13.962560892004049</v>
      </c>
      <c r="N38" s="131">
        <f t="shared" si="10"/>
        <v>13.967971486939167</v>
      </c>
      <c r="O38" s="131">
        <f t="shared" si="10"/>
        <v>13.973384178519575</v>
      </c>
      <c r="P38" s="131">
        <f t="shared" si="10"/>
        <v>13.978798967557742</v>
      </c>
      <c r="Q38" s="131">
        <f t="shared" si="10"/>
        <v>13.984215854866445</v>
      </c>
      <c r="R38" s="131">
        <f t="shared" si="10"/>
        <v>13.989634841258781</v>
      </c>
      <c r="S38" s="131">
        <f t="shared" si="10"/>
        <v>13.995055927548158</v>
      </c>
      <c r="T38" s="131">
        <f t="shared" si="10"/>
        <v>14.000479114548305</v>
      </c>
      <c r="U38" s="131">
        <f t="shared" si="10"/>
        <v>14.005904403073261</v>
      </c>
      <c r="V38" s="131">
        <f t="shared" si="10"/>
        <v>14.011331793937382</v>
      </c>
      <c r="W38" s="131">
        <f t="shared" si="10"/>
        <v>14.01676128795534</v>
      </c>
      <c r="X38" s="94"/>
      <c r="Y38" s="94"/>
      <c r="Z38" s="94"/>
      <c r="AA38" s="94"/>
      <c r="AB38" s="94"/>
      <c r="AC38" s="94"/>
      <c r="AD38" s="89"/>
    </row>
    <row r="39" spans="1:30" x14ac:dyDescent="0.2">
      <c r="A39" s="1553"/>
      <c r="B39" s="52">
        <v>10</v>
      </c>
      <c r="C39" s="262" t="str">
        <f>'DEM POT'!C39</f>
        <v>ABANCAY</v>
      </c>
      <c r="D39" s="262" t="str">
        <f>'DEM POT'!D39</f>
        <v>ABANCAY</v>
      </c>
      <c r="E39" s="262" t="str">
        <f>'DEM POT'!E39</f>
        <v>TANCARPATA</v>
      </c>
      <c r="F39" s="59"/>
      <c r="G39" s="59">
        <f>'DEM POT'!J39</f>
        <v>19.84155961967291</v>
      </c>
      <c r="H39" s="343">
        <f>'ACT ECON'!$Q$24</f>
        <v>0.748</v>
      </c>
      <c r="I39" s="131">
        <f t="shared" si="2"/>
        <v>14.841486595515336</v>
      </c>
      <c r="J39" s="131">
        <f t="shared" si="0"/>
        <v>15.051002405996094</v>
      </c>
      <c r="K39" s="131">
        <f t="shared" ref="K39:W39" si="11">+J39*(1+$I$18)</f>
        <v>15.056834780015173</v>
      </c>
      <c r="L39" s="131">
        <f t="shared" si="11"/>
        <v>15.062669414122036</v>
      </c>
      <c r="M39" s="131">
        <f t="shared" si="11"/>
        <v>15.068506309192486</v>
      </c>
      <c r="N39" s="131">
        <f t="shared" si="11"/>
        <v>15.074345466102661</v>
      </c>
      <c r="O39" s="131">
        <f t="shared" si="11"/>
        <v>15.080186885729043</v>
      </c>
      <c r="P39" s="131">
        <f t="shared" si="11"/>
        <v>15.08603056894845</v>
      </c>
      <c r="Q39" s="131">
        <f t="shared" si="11"/>
        <v>15.09187651663804</v>
      </c>
      <c r="R39" s="131">
        <f t="shared" si="11"/>
        <v>15.097724729675313</v>
      </c>
      <c r="S39" s="131">
        <f t="shared" si="11"/>
        <v>15.103575208938107</v>
      </c>
      <c r="T39" s="131">
        <f t="shared" si="11"/>
        <v>15.109427955304602</v>
      </c>
      <c r="U39" s="131">
        <f t="shared" si="11"/>
        <v>15.115282969653316</v>
      </c>
      <c r="V39" s="131">
        <f t="shared" si="11"/>
        <v>15.12114025286311</v>
      </c>
      <c r="W39" s="131">
        <f t="shared" si="11"/>
        <v>15.126999805813185</v>
      </c>
      <c r="X39" s="94"/>
      <c r="Y39" s="94"/>
      <c r="Z39" s="94"/>
      <c r="AA39" s="94"/>
      <c r="AB39" s="94"/>
      <c r="AC39" s="94"/>
      <c r="AD39" s="89"/>
    </row>
    <row r="40" spans="1:30" x14ac:dyDescent="0.2">
      <c r="A40" s="1553"/>
      <c r="B40" s="52">
        <v>11</v>
      </c>
      <c r="C40" s="262" t="str">
        <f>'DEM POT'!C40</f>
        <v>ABANCAY</v>
      </c>
      <c r="D40" s="262" t="str">
        <f>'DEM POT'!D40</f>
        <v>ABANCAY</v>
      </c>
      <c r="E40" s="262" t="str">
        <f>'DEM POT'!E40</f>
        <v>QUISAPATA BAJA</v>
      </c>
      <c r="F40" s="59"/>
      <c r="G40" s="59">
        <f>'DEM POT'!J40</f>
        <v>12.196188023101699</v>
      </c>
      <c r="H40" s="343">
        <f>'ACT ECON'!$Q$24</f>
        <v>0.748</v>
      </c>
      <c r="I40" s="131">
        <f t="shared" si="2"/>
        <v>9.1227486412800705</v>
      </c>
      <c r="J40" s="131">
        <f t="shared" si="0"/>
        <v>9.2515335890067742</v>
      </c>
      <c r="K40" s="131">
        <f t="shared" ref="K40:W40" si="12">+J40*(1+$I$18)</f>
        <v>9.2551186262478584</v>
      </c>
      <c r="L40" s="131">
        <f t="shared" si="12"/>
        <v>9.2587050527172146</v>
      </c>
      <c r="M40" s="131">
        <f t="shared" si="12"/>
        <v>9.2622928689531783</v>
      </c>
      <c r="N40" s="131">
        <f t="shared" si="12"/>
        <v>9.2658820754942948</v>
      </c>
      <c r="O40" s="131">
        <f t="shared" si="12"/>
        <v>9.2694726728793189</v>
      </c>
      <c r="P40" s="131">
        <f t="shared" si="12"/>
        <v>9.2730646616472114</v>
      </c>
      <c r="Q40" s="131">
        <f t="shared" si="12"/>
        <v>9.276658042337143</v>
      </c>
      <c r="R40" s="131">
        <f t="shared" si="12"/>
        <v>9.2802528154884936</v>
      </c>
      <c r="S40" s="131">
        <f t="shared" si="12"/>
        <v>9.2838489816408529</v>
      </c>
      <c r="T40" s="131">
        <f t="shared" si="12"/>
        <v>9.2874465413340204</v>
      </c>
      <c r="U40" s="131">
        <f t="shared" si="12"/>
        <v>9.2910454951080013</v>
      </c>
      <c r="V40" s="131">
        <f t="shared" si="12"/>
        <v>9.2946458435030124</v>
      </c>
      <c r="W40" s="131">
        <f t="shared" si="12"/>
        <v>9.2982475870594801</v>
      </c>
      <c r="X40" s="94"/>
      <c r="Y40" s="94"/>
      <c r="Z40" s="94"/>
      <c r="AA40" s="94"/>
      <c r="AB40" s="94"/>
      <c r="AC40" s="94"/>
      <c r="AD40" s="89"/>
    </row>
    <row r="41" spans="1:30" x14ac:dyDescent="0.2">
      <c r="A41" s="1553"/>
      <c r="B41" s="52">
        <v>12</v>
      </c>
      <c r="C41" s="262" t="str">
        <f>'DEM POT'!C41</f>
        <v>ABANCAY</v>
      </c>
      <c r="D41" s="262" t="str">
        <f>'DEM POT'!D41</f>
        <v>ABANCAY</v>
      </c>
      <c r="E41" s="262" t="str">
        <f>'DEM POT'!E41</f>
        <v>SAN GABRIEL</v>
      </c>
      <c r="F41" s="59"/>
      <c r="G41" s="59">
        <f>'DEM POT'!J41</f>
        <v>58.796548230773858</v>
      </c>
      <c r="H41" s="343">
        <f>'ACT ECON'!$Q$24</f>
        <v>0.748</v>
      </c>
      <c r="I41" s="131">
        <f t="shared" si="2"/>
        <v>43.979818076618848</v>
      </c>
      <c r="J41" s="131">
        <f t="shared" si="0"/>
        <v>44.600676854465497</v>
      </c>
      <c r="K41" s="131">
        <f t="shared" ref="K41:W41" si="13">+J41*(1+$I$18)</f>
        <v>44.617959944448636</v>
      </c>
      <c r="L41" s="131">
        <f t="shared" si="13"/>
        <v>44.635249731756133</v>
      </c>
      <c r="M41" s="131">
        <f t="shared" si="13"/>
        <v>44.652546218983247</v>
      </c>
      <c r="N41" s="131">
        <f t="shared" si="13"/>
        <v>44.669849408726243</v>
      </c>
      <c r="O41" s="131">
        <f t="shared" si="13"/>
        <v>44.687159303582405</v>
      </c>
      <c r="P41" s="131">
        <f t="shared" si="13"/>
        <v>44.704475906150002</v>
      </c>
      <c r="Q41" s="131">
        <f t="shared" si="13"/>
        <v>44.721799219028327</v>
      </c>
      <c r="R41" s="131">
        <f t="shared" si="13"/>
        <v>44.739129244817676</v>
      </c>
      <c r="S41" s="131">
        <f t="shared" si="13"/>
        <v>44.756465986119352</v>
      </c>
      <c r="T41" s="131">
        <f t="shared" si="13"/>
        <v>44.773809445535662</v>
      </c>
      <c r="U41" s="131">
        <f t="shared" si="13"/>
        <v>44.791159625669927</v>
      </c>
      <c r="V41" s="131">
        <f t="shared" si="13"/>
        <v>44.808516529126472</v>
      </c>
      <c r="W41" s="131">
        <f t="shared" si="13"/>
        <v>44.825880158510635</v>
      </c>
      <c r="X41" s="94"/>
      <c r="Y41" s="94"/>
      <c r="Z41" s="94"/>
      <c r="AA41" s="94"/>
      <c r="AB41" s="94"/>
      <c r="AC41" s="94"/>
      <c r="AD41" s="89"/>
    </row>
    <row r="42" spans="1:30" ht="15" customHeight="1" x14ac:dyDescent="0.2">
      <c r="A42" s="1554">
        <f>'DEM POT'!A42:A45</f>
        <v>2</v>
      </c>
      <c r="B42" s="52">
        <v>13</v>
      </c>
      <c r="C42" s="262" t="str">
        <f>'DEM POT'!C42</f>
        <v>ABANCAY</v>
      </c>
      <c r="D42" s="262" t="str">
        <f>'DEM POT'!D42</f>
        <v>PICHIRHUA</v>
      </c>
      <c r="E42" s="262" t="str">
        <f>'DEM POT'!E42</f>
        <v>CUITAPE</v>
      </c>
      <c r="F42" s="59"/>
      <c r="G42" s="59">
        <f>'DEM POT'!J42</f>
        <v>14.562612564897551</v>
      </c>
      <c r="H42" s="343">
        <f>'ACT ECON'!$Q$24</f>
        <v>0.748</v>
      </c>
      <c r="I42" s="131">
        <f t="shared" si="2"/>
        <v>10.892834198543367</v>
      </c>
      <c r="J42" s="131">
        <f t="shared" si="0"/>
        <v>11.04660727045585</v>
      </c>
      <c r="K42" s="131">
        <f t="shared" ref="K42:W42" si="14">+J42*(1+$I$18)</f>
        <v>11.050887911937741</v>
      </c>
      <c r="L42" s="131">
        <f t="shared" si="14"/>
        <v>11.055170212199659</v>
      </c>
      <c r="M42" s="131">
        <f t="shared" si="14"/>
        <v>11.059454171884394</v>
      </c>
      <c r="N42" s="131">
        <f t="shared" si="14"/>
        <v>11.063739791634982</v>
      </c>
      <c r="O42" s="131">
        <f t="shared" si="14"/>
        <v>11.068027072094711</v>
      </c>
      <c r="P42" s="131">
        <f t="shared" si="14"/>
        <v>11.07231601390712</v>
      </c>
      <c r="Q42" s="131">
        <f t="shared" si="14"/>
        <v>11.076606617715994</v>
      </c>
      <c r="R42" s="131">
        <f t="shared" si="14"/>
        <v>11.080898884165368</v>
      </c>
      <c r="S42" s="131">
        <f t="shared" si="14"/>
        <v>11.085192813899528</v>
      </c>
      <c r="T42" s="131">
        <f t="shared" si="14"/>
        <v>11.08948840756301</v>
      </c>
      <c r="U42" s="131">
        <f t="shared" si="14"/>
        <v>11.093785665800599</v>
      </c>
      <c r="V42" s="131">
        <f t="shared" si="14"/>
        <v>11.098084589257329</v>
      </c>
      <c r="W42" s="131">
        <f t="shared" si="14"/>
        <v>11.102385178578485</v>
      </c>
      <c r="X42" s="94"/>
      <c r="Y42" s="94"/>
      <c r="Z42" s="94"/>
      <c r="AA42" s="94"/>
      <c r="AB42" s="94"/>
      <c r="AC42" s="94"/>
      <c r="AD42" s="89"/>
    </row>
    <row r="43" spans="1:30" x14ac:dyDescent="0.2">
      <c r="A43" s="1554"/>
      <c r="B43" s="52">
        <v>14</v>
      </c>
      <c r="C43" s="262" t="str">
        <f>'DEM POT'!C43</f>
        <v>ABANCAY</v>
      </c>
      <c r="D43" s="262" t="str">
        <f>'DEM POT'!D43</f>
        <v>PICHIRHUA</v>
      </c>
      <c r="E43" s="262" t="str">
        <f>'DEM POT'!E43</f>
        <v>COMUNPATA</v>
      </c>
      <c r="F43" s="59"/>
      <c r="G43" s="59">
        <f>'DEM POT'!J43</f>
        <v>10.193828795428285</v>
      </c>
      <c r="H43" s="343">
        <f>'ACT ECON'!$Q$24</f>
        <v>0.748</v>
      </c>
      <c r="I43" s="131">
        <f t="shared" si="2"/>
        <v>7.6249839389803569</v>
      </c>
      <c r="J43" s="131">
        <f t="shared" si="0"/>
        <v>7.7326250893190949</v>
      </c>
      <c r="K43" s="131">
        <f t="shared" ref="K43:W43" si="15">+J43*(1+$I$18)</f>
        <v>7.7356215383564191</v>
      </c>
      <c r="L43" s="131">
        <f t="shared" si="15"/>
        <v>7.7386191485397617</v>
      </c>
      <c r="M43" s="131">
        <f t="shared" si="15"/>
        <v>7.7416179203190758</v>
      </c>
      <c r="N43" s="131">
        <f t="shared" si="15"/>
        <v>7.7446178541444874</v>
      </c>
      <c r="O43" s="131">
        <f t="shared" si="15"/>
        <v>7.7476189504662978</v>
      </c>
      <c r="P43" s="131">
        <f t="shared" si="15"/>
        <v>7.7506212097349838</v>
      </c>
      <c r="Q43" s="131">
        <f t="shared" si="15"/>
        <v>7.7536246324011957</v>
      </c>
      <c r="R43" s="131">
        <f t="shared" si="15"/>
        <v>7.7566292189157577</v>
      </c>
      <c r="S43" s="131">
        <f t="shared" si="15"/>
        <v>7.75963496972967</v>
      </c>
      <c r="T43" s="131">
        <f t="shared" si="15"/>
        <v>7.7626418852941077</v>
      </c>
      <c r="U43" s="131">
        <f t="shared" si="15"/>
        <v>7.7656499660604199</v>
      </c>
      <c r="V43" s="131">
        <f t="shared" si="15"/>
        <v>7.7686592124801308</v>
      </c>
      <c r="W43" s="131">
        <f t="shared" si="15"/>
        <v>7.7716696250049395</v>
      </c>
      <c r="X43" s="337">
        <f>SUM(W42:W44)</f>
        <v>28.727421649571834</v>
      </c>
      <c r="Y43" s="94"/>
      <c r="Z43" s="94"/>
      <c r="AA43" s="94"/>
      <c r="AB43" s="94"/>
      <c r="AC43" s="94"/>
      <c r="AD43" s="89"/>
    </row>
    <row r="44" spans="1:30" x14ac:dyDescent="0.2">
      <c r="A44" s="1554"/>
      <c r="B44" s="52">
        <v>15</v>
      </c>
      <c r="C44" s="262" t="str">
        <f>'DEM POT'!C44</f>
        <v>ABANCAY</v>
      </c>
      <c r="D44" s="262" t="str">
        <f>'DEM POT'!D44</f>
        <v>PICHIRHUA</v>
      </c>
      <c r="E44" s="262" t="str">
        <f>'DEM POT'!E44</f>
        <v>COTARMA</v>
      </c>
      <c r="F44" s="59"/>
      <c r="G44" s="59">
        <f>'DEM POT'!J44</f>
        <v>12.924318651346578</v>
      </c>
      <c r="H44" s="343">
        <f>'ACT ECON'!$Q$24</f>
        <v>0.748</v>
      </c>
      <c r="I44" s="131">
        <f t="shared" si="2"/>
        <v>9.6673903512072403</v>
      </c>
      <c r="J44" s="131">
        <f t="shared" si="0"/>
        <v>9.8038639525295697</v>
      </c>
      <c r="K44" s="131">
        <f t="shared" ref="K44:W44" si="16">+J44*(1+$I$18)</f>
        <v>9.807663021844748</v>
      </c>
      <c r="L44" s="131">
        <f t="shared" si="16"/>
        <v>9.8114635633271998</v>
      </c>
      <c r="M44" s="131">
        <f t="shared" si="16"/>
        <v>9.8152655775474003</v>
      </c>
      <c r="N44" s="131">
        <f t="shared" si="16"/>
        <v>9.8190690650760466</v>
      </c>
      <c r="O44" s="131">
        <f t="shared" si="16"/>
        <v>9.8228740264840564</v>
      </c>
      <c r="P44" s="131">
        <f t="shared" si="16"/>
        <v>9.8266804623425692</v>
      </c>
      <c r="Q44" s="131">
        <f t="shared" si="16"/>
        <v>9.8304883732229449</v>
      </c>
      <c r="R44" s="131">
        <f t="shared" si="16"/>
        <v>9.8342977596967653</v>
      </c>
      <c r="S44" s="131">
        <f t="shared" si="16"/>
        <v>9.8381086223358327</v>
      </c>
      <c r="T44" s="131">
        <f t="shared" si="16"/>
        <v>9.841920961712173</v>
      </c>
      <c r="U44" s="131">
        <f t="shared" si="16"/>
        <v>9.8457347783980325</v>
      </c>
      <c r="V44" s="131">
        <f t="shared" si="16"/>
        <v>9.8495500729658811</v>
      </c>
      <c r="W44" s="131">
        <f t="shared" si="16"/>
        <v>9.8533668459884076</v>
      </c>
      <c r="X44" s="94"/>
      <c r="Y44" s="94"/>
      <c r="Z44" s="94"/>
      <c r="AA44" s="94"/>
      <c r="AB44" s="94"/>
      <c r="AC44" s="94"/>
      <c r="AD44" s="89"/>
    </row>
    <row r="45" spans="1:30" x14ac:dyDescent="0.2">
      <c r="A45" s="1549">
        <v>3</v>
      </c>
      <c r="B45" s="52">
        <v>16</v>
      </c>
      <c r="C45" s="262" t="str">
        <f>'DEM POT'!C45</f>
        <v>ABANCAY</v>
      </c>
      <c r="D45" s="262" t="str">
        <f>'DEM POT'!D45</f>
        <v>CHACOCHE</v>
      </c>
      <c r="E45" s="262" t="str">
        <f>'DEM POT'!E45</f>
        <v>CHACOCHE</v>
      </c>
      <c r="F45" s="59"/>
      <c r="G45" s="59">
        <f>'DEM POT'!J45</f>
        <v>36.224498755182658</v>
      </c>
      <c r="H45" s="343">
        <f>'ACT ECON'!$Q$24</f>
        <v>0.748</v>
      </c>
      <c r="I45" s="131">
        <f t="shared" si="2"/>
        <v>27.095925068876628</v>
      </c>
      <c r="J45" s="131">
        <f t="shared" si="0"/>
        <v>27.478435585258929</v>
      </c>
      <c r="K45" s="131">
        <f t="shared" ref="K45:W45" si="17">+J45*(1+$I$18)</f>
        <v>27.489083680945136</v>
      </c>
      <c r="L45" s="131">
        <f t="shared" si="17"/>
        <v>27.499735902846659</v>
      </c>
      <c r="M45" s="131">
        <f t="shared" si="17"/>
        <v>27.510392252562433</v>
      </c>
      <c r="N45" s="131">
        <f t="shared" si="17"/>
        <v>27.52105273169202</v>
      </c>
      <c r="O45" s="131">
        <f t="shared" si="17"/>
        <v>27.531717341835598</v>
      </c>
      <c r="P45" s="131">
        <f t="shared" si="17"/>
        <v>27.542386084593964</v>
      </c>
      <c r="Q45" s="131">
        <f t="shared" si="17"/>
        <v>27.553058961568539</v>
      </c>
      <c r="R45" s="131">
        <f t="shared" si="17"/>
        <v>27.563735974361357</v>
      </c>
      <c r="S45" s="131">
        <f t="shared" si="17"/>
        <v>27.574417124575081</v>
      </c>
      <c r="T45" s="131">
        <f t="shared" si="17"/>
        <v>27.585102413812994</v>
      </c>
      <c r="U45" s="131">
        <f t="shared" si="17"/>
        <v>27.595791843678995</v>
      </c>
      <c r="V45" s="131">
        <f t="shared" si="17"/>
        <v>27.606485415777613</v>
      </c>
      <c r="W45" s="131">
        <f t="shared" si="17"/>
        <v>27.617183131713986</v>
      </c>
      <c r="X45" s="94"/>
      <c r="Y45" s="94"/>
      <c r="Z45" s="94"/>
      <c r="AA45" s="94"/>
      <c r="AB45" s="94"/>
      <c r="AC45" s="94"/>
      <c r="AD45" s="89"/>
    </row>
    <row r="46" spans="1:30" x14ac:dyDescent="0.2">
      <c r="A46" s="1549"/>
      <c r="B46" s="52">
        <v>17</v>
      </c>
      <c r="C46" s="262" t="str">
        <f>'DEM POT'!C46</f>
        <v>ABANCAY</v>
      </c>
      <c r="D46" s="262" t="str">
        <f>'DEM POT'!D46</f>
        <v>CHACOCHE</v>
      </c>
      <c r="E46" s="262" t="str">
        <f>'DEM POT'!E46</f>
        <v>ANCHICHA</v>
      </c>
      <c r="F46" s="59"/>
      <c r="G46" s="59">
        <f>'DEM POT'!J46</f>
        <v>33.858074213386807</v>
      </c>
      <c r="H46" s="343">
        <f>'ACT ECON'!$Q$24</f>
        <v>0.748</v>
      </c>
      <c r="I46" s="131">
        <f t="shared" si="2"/>
        <v>25.325839511613331</v>
      </c>
      <c r="J46" s="131">
        <f t="shared" si="0"/>
        <v>25.683361903809853</v>
      </c>
      <c r="K46" s="131">
        <f t="shared" ref="K46:W46" si="18">+J46*(1+$I$18)</f>
        <v>25.693314395255253</v>
      </c>
      <c r="L46" s="131">
        <f t="shared" si="18"/>
        <v>25.703270743364214</v>
      </c>
      <c r="M46" s="131">
        <f t="shared" si="18"/>
        <v>25.713230949631221</v>
      </c>
      <c r="N46" s="131">
        <f t="shared" si="18"/>
        <v>25.723195015551337</v>
      </c>
      <c r="O46" s="131">
        <f t="shared" si="18"/>
        <v>25.733162942620208</v>
      </c>
      <c r="P46" s="131">
        <f t="shared" si="18"/>
        <v>25.743134732334056</v>
      </c>
      <c r="Q46" s="131">
        <f t="shared" si="18"/>
        <v>25.753110386189686</v>
      </c>
      <c r="R46" s="131">
        <f t="shared" si="18"/>
        <v>25.763089905684481</v>
      </c>
      <c r="S46" s="131">
        <f t="shared" si="18"/>
        <v>25.773073292316404</v>
      </c>
      <c r="T46" s="131">
        <f t="shared" si="18"/>
        <v>25.783060547584</v>
      </c>
      <c r="U46" s="131">
        <f t="shared" si="18"/>
        <v>25.793051672986394</v>
      </c>
      <c r="V46" s="131">
        <f t="shared" si="18"/>
        <v>25.803046670023292</v>
      </c>
      <c r="W46" s="131">
        <f t="shared" si="18"/>
        <v>25.813045540194977</v>
      </c>
      <c r="X46" s="337">
        <f>SUM(W45:W46)</f>
        <v>53.430228671908964</v>
      </c>
      <c r="Y46" s="94"/>
      <c r="Z46" s="94"/>
      <c r="AA46" s="94"/>
      <c r="AB46" s="94"/>
      <c r="AC46" s="94"/>
      <c r="AD46" s="89"/>
    </row>
    <row r="47" spans="1:30" x14ac:dyDescent="0.2">
      <c r="A47" s="1555">
        <v>4</v>
      </c>
      <c r="B47" s="52">
        <v>18</v>
      </c>
      <c r="C47" s="262" t="str">
        <f>'DEM POT'!C47</f>
        <v>ABANCAY</v>
      </c>
      <c r="D47" s="262" t="str">
        <f>'DEM POT'!D47</f>
        <v>LAMBRAMA</v>
      </c>
      <c r="E47" s="262" t="str">
        <f>'DEM POT'!E47</f>
        <v>LAMBRAMA</v>
      </c>
      <c r="F47" s="59"/>
      <c r="G47" s="59">
        <f>'DEM POT'!J47</f>
        <v>105.39690843844602</v>
      </c>
      <c r="H47" s="343">
        <f>'ACT ECON'!$Q$24</f>
        <v>0.748</v>
      </c>
      <c r="I47" s="131">
        <f t="shared" si="2"/>
        <v>78.836887511957627</v>
      </c>
      <c r="J47" s="131">
        <f t="shared" si="0"/>
        <v>79.949820119924226</v>
      </c>
      <c r="K47" s="131">
        <f t="shared" ref="K47:W47" si="19">+J47*(1+$I$18)</f>
        <v>79.980801262649422</v>
      </c>
      <c r="L47" s="131">
        <f t="shared" si="19"/>
        <v>80.011794410795048</v>
      </c>
      <c r="M47" s="131">
        <f t="shared" si="19"/>
        <v>80.042799569013312</v>
      </c>
      <c r="N47" s="131">
        <f t="shared" si="19"/>
        <v>80.073816741958197</v>
      </c>
      <c r="O47" s="131">
        <f t="shared" si="19"/>
        <v>80.104845934285493</v>
      </c>
      <c r="P47" s="131">
        <f t="shared" si="19"/>
        <v>80.135887150652792</v>
      </c>
      <c r="Q47" s="131">
        <f t="shared" si="19"/>
        <v>80.166940395719521</v>
      </c>
      <c r="R47" s="131">
        <f t="shared" si="19"/>
        <v>80.19800567414687</v>
      </c>
      <c r="S47" s="131">
        <f t="shared" si="19"/>
        <v>80.22908299059786</v>
      </c>
      <c r="T47" s="131">
        <f t="shared" si="19"/>
        <v>80.260172349737317</v>
      </c>
      <c r="U47" s="131">
        <f t="shared" si="19"/>
        <v>80.29127375623186</v>
      </c>
      <c r="V47" s="131">
        <f t="shared" si="19"/>
        <v>80.322387214749938</v>
      </c>
      <c r="W47" s="131">
        <f t="shared" si="19"/>
        <v>80.353512729961807</v>
      </c>
      <c r="X47" s="94"/>
      <c r="Y47" s="94"/>
      <c r="Z47" s="94"/>
      <c r="AA47" s="94"/>
      <c r="AB47" s="94"/>
      <c r="AC47" s="94"/>
      <c r="AD47" s="89"/>
    </row>
    <row r="48" spans="1:30" x14ac:dyDescent="0.2">
      <c r="A48" s="1555"/>
      <c r="B48" s="52">
        <v>19</v>
      </c>
      <c r="C48" s="262" t="str">
        <f>'DEM POT'!C48</f>
        <v>ABANCAY</v>
      </c>
      <c r="D48" s="262" t="str">
        <f>'DEM POT'!D48</f>
        <v>LAMBRAMA</v>
      </c>
      <c r="E48" s="262" t="str">
        <f>'DEM POT'!E48</f>
        <v>SECCEBAMBA</v>
      </c>
      <c r="F48" s="59"/>
      <c r="G48" s="59">
        <f>'DEM POT'!J48</f>
        <v>45.144098951182407</v>
      </c>
      <c r="H48" s="343">
        <f>'ACT ECON'!$Q$24</f>
        <v>0.748</v>
      </c>
      <c r="I48" s="131">
        <f t="shared" si="2"/>
        <v>33.76778601548444</v>
      </c>
      <c r="J48" s="131">
        <f t="shared" si="0"/>
        <v>34.244482538413138</v>
      </c>
      <c r="K48" s="131">
        <f t="shared" ref="K48:W48" si="20">+J48*(1+$I$18)</f>
        <v>34.257752527007</v>
      </c>
      <c r="L48" s="131">
        <f t="shared" si="20"/>
        <v>34.271027657818948</v>
      </c>
      <c r="M48" s="131">
        <f t="shared" si="20"/>
        <v>34.284307932841621</v>
      </c>
      <c r="N48" s="131">
        <f t="shared" si="20"/>
        <v>34.297593354068447</v>
      </c>
      <c r="O48" s="131">
        <f t="shared" si="20"/>
        <v>34.310883923493606</v>
      </c>
      <c r="P48" s="131">
        <f t="shared" si="20"/>
        <v>34.324179643112075</v>
      </c>
      <c r="Q48" s="131">
        <f t="shared" si="20"/>
        <v>34.337480514919584</v>
      </c>
      <c r="R48" s="131">
        <f t="shared" si="20"/>
        <v>34.350786540912644</v>
      </c>
      <c r="S48" s="131">
        <f t="shared" si="20"/>
        <v>34.364097723088541</v>
      </c>
      <c r="T48" s="131">
        <f t="shared" si="20"/>
        <v>34.377414063445336</v>
      </c>
      <c r="U48" s="131">
        <f t="shared" si="20"/>
        <v>34.390735563981863</v>
      </c>
      <c r="V48" s="131">
        <f t="shared" si="20"/>
        <v>34.404062226697725</v>
      </c>
      <c r="W48" s="131">
        <f t="shared" si="20"/>
        <v>34.417394053593306</v>
      </c>
      <c r="X48" s="94"/>
      <c r="Y48" s="94"/>
      <c r="Z48" s="94"/>
      <c r="AA48" s="94"/>
      <c r="AB48" s="94"/>
      <c r="AC48" s="94"/>
      <c r="AD48" s="89"/>
    </row>
    <row r="49" spans="1:30" x14ac:dyDescent="0.2">
      <c r="A49" s="1555"/>
      <c r="B49" s="52">
        <v>20</v>
      </c>
      <c r="C49" s="262" t="str">
        <f>'DEM POT'!C49</f>
        <v>ABANCAY</v>
      </c>
      <c r="D49" s="262" t="str">
        <f>'DEM POT'!D49</f>
        <v>LAMBRAMA</v>
      </c>
      <c r="E49" s="262" t="str">
        <f>'DEM POT'!E49</f>
        <v>SANTA ISABEL DE CAYPE</v>
      </c>
      <c r="F49" s="59"/>
      <c r="G49" s="59">
        <f>'DEM POT'!J49</f>
        <v>55.70199306073313</v>
      </c>
      <c r="H49" s="343">
        <f>'ACT ECON'!$Q$24</f>
        <v>0.748</v>
      </c>
      <c r="I49" s="131">
        <f t="shared" si="2"/>
        <v>41.665090809428385</v>
      </c>
      <c r="J49" s="131">
        <f t="shared" si="0"/>
        <v>42.25327280949363</v>
      </c>
      <c r="K49" s="131">
        <f t="shared" ref="K49:W49" si="21">+J49*(1+$I$18)</f>
        <v>42.269646263161867</v>
      </c>
      <c r="L49" s="131">
        <f t="shared" si="21"/>
        <v>42.286026061663705</v>
      </c>
      <c r="M49" s="131">
        <f t="shared" si="21"/>
        <v>42.302412207457813</v>
      </c>
      <c r="N49" s="131">
        <f t="shared" si="21"/>
        <v>42.318804703003813</v>
      </c>
      <c r="O49" s="131">
        <f t="shared" si="21"/>
        <v>42.33520355076228</v>
      </c>
      <c r="P49" s="131">
        <f t="shared" si="21"/>
        <v>42.351608753194739</v>
      </c>
      <c r="Q49" s="131">
        <f t="shared" si="21"/>
        <v>42.368020312763683</v>
      </c>
      <c r="R49" s="131">
        <f t="shared" si="21"/>
        <v>42.384438231932542</v>
      </c>
      <c r="S49" s="131">
        <f t="shared" si="21"/>
        <v>42.400862513165706</v>
      </c>
      <c r="T49" s="131">
        <f t="shared" si="21"/>
        <v>42.41729315892853</v>
      </c>
      <c r="U49" s="131">
        <f t="shared" si="21"/>
        <v>42.433730171687309</v>
      </c>
      <c r="V49" s="131">
        <f t="shared" si="21"/>
        <v>42.450173553909302</v>
      </c>
      <c r="W49" s="131">
        <f t="shared" si="21"/>
        <v>42.466623308062722</v>
      </c>
      <c r="X49" s="94"/>
      <c r="Y49" s="94"/>
      <c r="Z49" s="94"/>
      <c r="AA49" s="94"/>
      <c r="AB49" s="94"/>
      <c r="AC49" s="94"/>
      <c r="AD49" s="89"/>
    </row>
    <row r="50" spans="1:30" x14ac:dyDescent="0.2">
      <c r="A50" s="1555"/>
      <c r="B50" s="52">
        <v>21</v>
      </c>
      <c r="C50" s="262" t="str">
        <f>'DEM POT'!C50</f>
        <v>ABANCAY</v>
      </c>
      <c r="D50" s="262" t="str">
        <f>'DEM POT'!D50</f>
        <v>LAMBRAMA</v>
      </c>
      <c r="E50" s="262" t="str">
        <f>'DEM POT'!E50</f>
        <v>HUAYRAPAMPA</v>
      </c>
      <c r="F50" s="59"/>
      <c r="G50" s="59">
        <f>'DEM POT'!J50</f>
        <v>9.8297634813058465</v>
      </c>
      <c r="H50" s="343">
        <f>'ACT ECON'!$Q$24</f>
        <v>0.748</v>
      </c>
      <c r="I50" s="131">
        <f t="shared" si="2"/>
        <v>7.3526630840167728</v>
      </c>
      <c r="J50" s="131">
        <f t="shared" si="0"/>
        <v>7.4564599075576989</v>
      </c>
      <c r="K50" s="131">
        <f t="shared" ref="K50:W50" si="22">+J50*(1+$I$18)</f>
        <v>7.459349340557976</v>
      </c>
      <c r="L50" s="131">
        <f t="shared" si="22"/>
        <v>7.4622398932347709</v>
      </c>
      <c r="M50" s="131">
        <f t="shared" si="22"/>
        <v>7.4651315660219666</v>
      </c>
      <c r="N50" s="131">
        <f t="shared" si="22"/>
        <v>7.4680243593536133</v>
      </c>
      <c r="O50" s="131">
        <f t="shared" si="22"/>
        <v>7.4709182736639308</v>
      </c>
      <c r="P50" s="131">
        <f t="shared" si="22"/>
        <v>7.4738133093873067</v>
      </c>
      <c r="Q50" s="131">
        <f t="shared" si="22"/>
        <v>7.4767094669582965</v>
      </c>
      <c r="R50" s="131">
        <f t="shared" si="22"/>
        <v>7.4796067468116245</v>
      </c>
      <c r="S50" s="131">
        <f t="shared" si="22"/>
        <v>7.4825051493821828</v>
      </c>
      <c r="T50" s="131">
        <f t="shared" si="22"/>
        <v>7.4854046751050332</v>
      </c>
      <c r="U50" s="131">
        <f t="shared" si="22"/>
        <v>7.4883053244154061</v>
      </c>
      <c r="V50" s="131">
        <f t="shared" si="22"/>
        <v>7.4912070977486991</v>
      </c>
      <c r="W50" s="131">
        <f t="shared" si="22"/>
        <v>7.4941099955404793</v>
      </c>
      <c r="X50" s="337">
        <f>SUM(W47:W53)</f>
        <v>236.20324467425732</v>
      </c>
      <c r="Y50" s="94"/>
      <c r="Z50" s="94"/>
      <c r="AA50" s="94"/>
      <c r="AB50" s="94"/>
      <c r="AC50" s="94"/>
      <c r="AD50" s="89"/>
    </row>
    <row r="51" spans="1:30" x14ac:dyDescent="0.2">
      <c r="A51" s="1555"/>
      <c r="B51" s="52">
        <v>22</v>
      </c>
      <c r="C51" s="262" t="str">
        <f>'DEM POT'!C51</f>
        <v>ABANCAY</v>
      </c>
      <c r="D51" s="262" t="str">
        <f>'DEM POT'!D51</f>
        <v>LAMBRAMA</v>
      </c>
      <c r="E51" s="262" t="str">
        <f>'DEM POT'!E51</f>
        <v>PICHIUCA</v>
      </c>
      <c r="F51" s="59"/>
      <c r="G51" s="59">
        <f>'DEM POT'!J51</f>
        <v>15.654808507264868</v>
      </c>
      <c r="H51" s="343">
        <f>'ACT ECON'!$Q$24</f>
        <v>0.748</v>
      </c>
      <c r="I51" s="131">
        <f t="shared" si="2"/>
        <v>11.70979676343412</v>
      </c>
      <c r="J51" s="131">
        <f t="shared" si="0"/>
        <v>11.875102815740039</v>
      </c>
      <c r="K51" s="131">
        <f t="shared" ref="K51:W51" si="23">+J51*(1+$I$18)</f>
        <v>11.879704505333073</v>
      </c>
      <c r="L51" s="131">
        <f t="shared" si="23"/>
        <v>11.884307978114636</v>
      </c>
      <c r="M51" s="131">
        <f t="shared" si="23"/>
        <v>11.888913234775725</v>
      </c>
      <c r="N51" s="131">
        <f t="shared" si="23"/>
        <v>11.893520276007607</v>
      </c>
      <c r="O51" s="131">
        <f t="shared" si="23"/>
        <v>11.898129102501816</v>
      </c>
      <c r="P51" s="131">
        <f t="shared" si="23"/>
        <v>11.902739714950155</v>
      </c>
      <c r="Q51" s="131">
        <f t="shared" si="23"/>
        <v>11.907352114044693</v>
      </c>
      <c r="R51" s="131">
        <f t="shared" si="23"/>
        <v>11.91196630047777</v>
      </c>
      <c r="S51" s="131">
        <f t="shared" si="23"/>
        <v>11.916582274941993</v>
      </c>
      <c r="T51" s="131">
        <f t="shared" si="23"/>
        <v>11.921200038130236</v>
      </c>
      <c r="U51" s="131">
        <f t="shared" si="23"/>
        <v>11.925819590735644</v>
      </c>
      <c r="V51" s="131">
        <f t="shared" si="23"/>
        <v>11.930440933451628</v>
      </c>
      <c r="W51" s="131">
        <f t="shared" si="23"/>
        <v>11.93506406697187</v>
      </c>
      <c r="X51" s="94"/>
      <c r="Y51" s="94"/>
      <c r="Z51" s="94"/>
      <c r="AA51" s="94"/>
      <c r="AB51" s="94"/>
      <c r="AC51" s="94"/>
      <c r="AD51" s="89"/>
    </row>
    <row r="52" spans="1:30" x14ac:dyDescent="0.2">
      <c r="A52" s="1555"/>
      <c r="B52" s="52">
        <v>23</v>
      </c>
      <c r="C52" s="262" t="str">
        <f>'DEM POT'!C52</f>
        <v>ABANCAY</v>
      </c>
      <c r="D52" s="262" t="str">
        <f>'DEM POT'!D52</f>
        <v>LAMBRAMA</v>
      </c>
      <c r="E52" s="262" t="str">
        <f>'DEM POT'!E52</f>
        <v>MARJUNI</v>
      </c>
      <c r="F52" s="59"/>
      <c r="G52" s="59">
        <f>'DEM POT'!J52</f>
        <v>31.491649671590952</v>
      </c>
      <c r="H52" s="343">
        <f>'ACT ECON'!$Q$24</f>
        <v>0.748</v>
      </c>
      <c r="I52" s="131">
        <f t="shared" si="2"/>
        <v>23.555753954350031</v>
      </c>
      <c r="J52" s="131">
        <f t="shared" si="0"/>
        <v>23.888288222360774</v>
      </c>
      <c r="K52" s="131">
        <f t="shared" ref="K52:W52" si="24">+J52*(1+$I$18)</f>
        <v>23.897545109565367</v>
      </c>
      <c r="L52" s="131">
        <f t="shared" si="24"/>
        <v>23.906805583881766</v>
      </c>
      <c r="M52" s="131">
        <f t="shared" si="24"/>
        <v>23.916069646700002</v>
      </c>
      <c r="N52" s="131">
        <f t="shared" si="24"/>
        <v>23.92533729941065</v>
      </c>
      <c r="O52" s="131">
        <f t="shared" si="24"/>
        <v>23.934608543404817</v>
      </c>
      <c r="P52" s="131">
        <f t="shared" si="24"/>
        <v>23.943883380074151</v>
      </c>
      <c r="Q52" s="131">
        <f t="shared" si="24"/>
        <v>23.95316181081084</v>
      </c>
      <c r="R52" s="131">
        <f t="shared" si="24"/>
        <v>23.962443837007612</v>
      </c>
      <c r="S52" s="131">
        <f t="shared" si="24"/>
        <v>23.971729460057734</v>
      </c>
      <c r="T52" s="131">
        <f t="shared" si="24"/>
        <v>23.981018681355014</v>
      </c>
      <c r="U52" s="131">
        <f t="shared" si="24"/>
        <v>23.9903115022938</v>
      </c>
      <c r="V52" s="131">
        <f t="shared" si="24"/>
        <v>23.999607924268979</v>
      </c>
      <c r="W52" s="131">
        <f t="shared" si="24"/>
        <v>24.008907948675979</v>
      </c>
      <c r="X52" s="94"/>
      <c r="Y52" s="94"/>
      <c r="Z52" s="94"/>
      <c r="AA52" s="94"/>
      <c r="AB52" s="94"/>
      <c r="AC52" s="94"/>
      <c r="AD52" s="89"/>
    </row>
    <row r="53" spans="1:30" x14ac:dyDescent="0.2">
      <c r="A53" s="1555"/>
      <c r="B53" s="52">
        <v>24</v>
      </c>
      <c r="C53" s="262" t="str">
        <f>'DEM POT'!C53</f>
        <v>ABANCAY</v>
      </c>
      <c r="D53" s="262" t="str">
        <f>'DEM POT'!D53</f>
        <v>LAMBRAMA</v>
      </c>
      <c r="E53" s="262" t="str">
        <f>'DEM POT'!E53</f>
        <v>ATANCAMA</v>
      </c>
      <c r="F53" s="59"/>
      <c r="G53" s="59">
        <f>'DEM POT'!J53</f>
        <v>46.600360207672161</v>
      </c>
      <c r="H53" s="343">
        <f>'ACT ECON'!$Q$24</f>
        <v>0.748</v>
      </c>
      <c r="I53" s="131">
        <f t="shared" si="2"/>
        <v>34.857069435338779</v>
      </c>
      <c r="J53" s="131">
        <f t="shared" si="0"/>
        <v>35.349143265458721</v>
      </c>
      <c r="K53" s="131">
        <f t="shared" ref="K53:W53" si="25">+J53*(1+$I$18)</f>
        <v>35.362841318200779</v>
      </c>
      <c r="L53" s="131">
        <f t="shared" si="25"/>
        <v>35.376544679038915</v>
      </c>
      <c r="M53" s="131">
        <f t="shared" si="25"/>
        <v>35.390253350030065</v>
      </c>
      <c r="N53" s="131">
        <f t="shared" si="25"/>
        <v>35.403967333231947</v>
      </c>
      <c r="O53" s="131">
        <f t="shared" si="25"/>
        <v>35.417686630703081</v>
      </c>
      <c r="P53" s="131">
        <f t="shared" si="25"/>
        <v>35.43141124450279</v>
      </c>
      <c r="Q53" s="131">
        <f t="shared" si="25"/>
        <v>35.445141176691187</v>
      </c>
      <c r="R53" s="131">
        <f t="shared" si="25"/>
        <v>35.458876429329187</v>
      </c>
      <c r="S53" s="131">
        <f t="shared" si="25"/>
        <v>35.472617004478501</v>
      </c>
      <c r="T53" s="131">
        <f t="shared" si="25"/>
        <v>35.486362904201648</v>
      </c>
      <c r="U53" s="131">
        <f t="shared" si="25"/>
        <v>35.500114130561933</v>
      </c>
      <c r="V53" s="131">
        <f t="shared" si="25"/>
        <v>35.513870685623466</v>
      </c>
      <c r="W53" s="131">
        <f t="shared" si="25"/>
        <v>35.527632571451164</v>
      </c>
      <c r="X53" s="94"/>
      <c r="Y53" s="94"/>
      <c r="Z53" s="94"/>
      <c r="AA53" s="94"/>
      <c r="AB53" s="94"/>
      <c r="AC53" s="94"/>
      <c r="AD53" s="89"/>
    </row>
    <row r="54" spans="1:30" ht="15" customHeight="1" x14ac:dyDescent="0.2">
      <c r="A54" s="1556">
        <v>5</v>
      </c>
      <c r="B54" s="52">
        <v>25</v>
      </c>
      <c r="C54" s="262" t="str">
        <f>'DEM POT'!C54</f>
        <v>ABANCAY</v>
      </c>
      <c r="D54" s="262" t="str">
        <f>'DEM POT'!D54</f>
        <v>CIRCA</v>
      </c>
      <c r="E54" s="262" t="str">
        <f>'DEM POT'!E54</f>
        <v>CIRCA</v>
      </c>
      <c r="F54" s="59"/>
      <c r="G54" s="59">
        <f>'DEM POT'!J54</f>
        <v>54.791829775427026</v>
      </c>
      <c r="H54" s="343">
        <f>'ACT ECON'!$Q$24</f>
        <v>0.748</v>
      </c>
      <c r="I54" s="131">
        <f t="shared" si="2"/>
        <v>40.984288672019417</v>
      </c>
      <c r="J54" s="131">
        <f t="shared" si="0"/>
        <v>41.562859855090132</v>
      </c>
      <c r="K54" s="131">
        <f t="shared" ref="K54:W54" si="26">+J54*(1+$I$18)</f>
        <v>41.578965768665753</v>
      </c>
      <c r="L54" s="131">
        <f t="shared" si="26"/>
        <v>41.59507792340122</v>
      </c>
      <c r="M54" s="131">
        <f t="shared" si="26"/>
        <v>41.611196321715028</v>
      </c>
      <c r="N54" s="131">
        <f t="shared" si="26"/>
        <v>41.627320966026616</v>
      </c>
      <c r="O54" s="131">
        <f t="shared" si="26"/>
        <v>41.64345185875635</v>
      </c>
      <c r="P54" s="131">
        <f t="shared" si="26"/>
        <v>41.659589002325539</v>
      </c>
      <c r="Q54" s="131">
        <f t="shared" si="26"/>
        <v>41.675732399156423</v>
      </c>
      <c r="R54" s="131">
        <f t="shared" si="26"/>
        <v>41.691882051672195</v>
      </c>
      <c r="S54" s="131">
        <f t="shared" si="26"/>
        <v>41.708037962296977</v>
      </c>
      <c r="T54" s="131">
        <f t="shared" si="26"/>
        <v>41.724200133455831</v>
      </c>
      <c r="U54" s="131">
        <f t="shared" si="26"/>
        <v>41.740368567574762</v>
      </c>
      <c r="V54" s="131">
        <f t="shared" si="26"/>
        <v>41.756543267080708</v>
      </c>
      <c r="W54" s="131">
        <f t="shared" si="26"/>
        <v>41.772724234401558</v>
      </c>
      <c r="X54" s="94"/>
      <c r="Y54" s="94"/>
      <c r="Z54" s="94"/>
      <c r="AA54" s="94"/>
      <c r="AB54" s="94"/>
      <c r="AC54" s="94"/>
      <c r="AD54" s="89"/>
    </row>
    <row r="55" spans="1:30" x14ac:dyDescent="0.2">
      <c r="A55" s="1556"/>
      <c r="B55" s="52">
        <v>26</v>
      </c>
      <c r="C55" s="262" t="str">
        <f>'DEM POT'!C55</f>
        <v>ABANCAY</v>
      </c>
      <c r="D55" s="262" t="str">
        <f>'DEM POT'!D55</f>
        <v>CIRCA</v>
      </c>
      <c r="E55" s="262" t="str">
        <f>'DEM POT'!E55</f>
        <v>AHUANCCOY</v>
      </c>
      <c r="F55" s="59"/>
      <c r="G55" s="59">
        <f>'DEM POT'!J55</f>
        <v>17.475135077877059</v>
      </c>
      <c r="H55" s="343">
        <f>'ACT ECON'!$Q$24</f>
        <v>0.748</v>
      </c>
      <c r="I55" s="131">
        <f t="shared" si="2"/>
        <v>13.07140103825204</v>
      </c>
      <c r="J55" s="131">
        <f t="shared" si="0"/>
        <v>13.255928724547019</v>
      </c>
      <c r="K55" s="131">
        <f t="shared" ref="K55:W55" si="27">+J55*(1+$I$18)</f>
        <v>13.261065494325289</v>
      </c>
      <c r="L55" s="131">
        <f t="shared" si="27"/>
        <v>13.266204254639591</v>
      </c>
      <c r="M55" s="131">
        <f t="shared" si="27"/>
        <v>13.271345006261273</v>
      </c>
      <c r="N55" s="131">
        <f t="shared" si="27"/>
        <v>13.276487749961978</v>
      </c>
      <c r="O55" s="131">
        <f t="shared" si="27"/>
        <v>13.281632486513654</v>
      </c>
      <c r="P55" s="131">
        <f t="shared" si="27"/>
        <v>13.286779216688544</v>
      </c>
      <c r="Q55" s="131">
        <f t="shared" si="27"/>
        <v>13.291927941259193</v>
      </c>
      <c r="R55" s="131">
        <f t="shared" si="27"/>
        <v>13.297078660998443</v>
      </c>
      <c r="S55" s="131">
        <f t="shared" si="27"/>
        <v>13.302231376679435</v>
      </c>
      <c r="T55" s="131">
        <f t="shared" si="27"/>
        <v>13.307386089075614</v>
      </c>
      <c r="U55" s="131">
        <f t="shared" si="27"/>
        <v>13.31254279896072</v>
      </c>
      <c r="V55" s="131">
        <f t="shared" si="27"/>
        <v>13.317701507108795</v>
      </c>
      <c r="W55" s="131">
        <f t="shared" si="27"/>
        <v>13.322862214294181</v>
      </c>
      <c r="X55" s="94"/>
      <c r="Y55" s="94"/>
      <c r="Z55" s="94"/>
      <c r="AA55" s="94"/>
      <c r="AB55" s="94"/>
      <c r="AC55" s="94"/>
      <c r="AD55" s="89"/>
    </row>
    <row r="56" spans="1:30" x14ac:dyDescent="0.2">
      <c r="A56" s="1556"/>
      <c r="B56" s="52">
        <v>27</v>
      </c>
      <c r="C56" s="262" t="str">
        <f>'DEM POT'!C56</f>
        <v>ABANCAY</v>
      </c>
      <c r="D56" s="262" t="str">
        <f>'DEM POT'!D56</f>
        <v>CIRCA</v>
      </c>
      <c r="E56" s="262" t="str">
        <f>'DEM POT'!E56</f>
        <v>HUIRAHUACHO (HUIRAHACHO)</v>
      </c>
      <c r="F56" s="59"/>
      <c r="G56" s="59">
        <f>'DEM POT'!J56</f>
        <v>12.196188023101699</v>
      </c>
      <c r="H56" s="343">
        <f>'ACT ECON'!$Q$24</f>
        <v>0.748</v>
      </c>
      <c r="I56" s="131">
        <f t="shared" si="2"/>
        <v>9.1227486412800705</v>
      </c>
      <c r="J56" s="131">
        <f t="shared" si="0"/>
        <v>9.2515335890067742</v>
      </c>
      <c r="K56" s="131">
        <f t="shared" ref="K56:W56" si="28">+J56*(1+$I$18)</f>
        <v>9.2551186262478584</v>
      </c>
      <c r="L56" s="131">
        <f t="shared" si="28"/>
        <v>9.2587050527172146</v>
      </c>
      <c r="M56" s="131">
        <f t="shared" si="28"/>
        <v>9.2622928689531783</v>
      </c>
      <c r="N56" s="131">
        <f t="shared" si="28"/>
        <v>9.2658820754942948</v>
      </c>
      <c r="O56" s="131">
        <f t="shared" si="28"/>
        <v>9.2694726728793189</v>
      </c>
      <c r="P56" s="131">
        <f t="shared" si="28"/>
        <v>9.2730646616472114</v>
      </c>
      <c r="Q56" s="131">
        <f t="shared" si="28"/>
        <v>9.276658042337143</v>
      </c>
      <c r="R56" s="131">
        <f t="shared" si="28"/>
        <v>9.2802528154884936</v>
      </c>
      <c r="S56" s="131">
        <f t="shared" si="28"/>
        <v>9.2838489816408529</v>
      </c>
      <c r="T56" s="131">
        <f t="shared" si="28"/>
        <v>9.2874465413340204</v>
      </c>
      <c r="U56" s="131">
        <f t="shared" si="28"/>
        <v>9.2910454951080013</v>
      </c>
      <c r="V56" s="131">
        <f t="shared" si="28"/>
        <v>9.2946458435030124</v>
      </c>
      <c r="W56" s="131">
        <f t="shared" si="28"/>
        <v>9.2982475870594801</v>
      </c>
      <c r="X56" s="337">
        <f>SUM(W54:W59)</f>
        <v>106.44411789962123</v>
      </c>
      <c r="Y56" s="94"/>
      <c r="Z56" s="94"/>
      <c r="AA56" s="94"/>
      <c r="AB56" s="94"/>
      <c r="AC56" s="94"/>
      <c r="AD56" s="89"/>
    </row>
    <row r="57" spans="1:30" x14ac:dyDescent="0.2">
      <c r="A57" s="1556"/>
      <c r="B57" s="52">
        <v>28</v>
      </c>
      <c r="C57" s="262" t="str">
        <f>'DEM POT'!C57</f>
        <v>ABANCAY</v>
      </c>
      <c r="D57" s="262" t="str">
        <f>'DEM POT'!D57</f>
        <v>CIRCA</v>
      </c>
      <c r="E57" s="262" t="str">
        <f>'DEM POT'!E57</f>
        <v>TACCACCA</v>
      </c>
      <c r="F57" s="59"/>
      <c r="G57" s="59">
        <f>'DEM POT'!J57</f>
        <v>22.754082132652425</v>
      </c>
      <c r="H57" s="343">
        <f>'ACT ECON'!$Q$24</f>
        <v>0.748</v>
      </c>
      <c r="I57" s="131">
        <f t="shared" si="2"/>
        <v>17.020053435224014</v>
      </c>
      <c r="J57" s="131">
        <f t="shared" si="0"/>
        <v>17.260323860087269</v>
      </c>
      <c r="K57" s="131">
        <f t="shared" ref="K57:W57" si="29">+J57*(1+$I$18)</f>
        <v>17.267012362402724</v>
      </c>
      <c r="L57" s="131">
        <f t="shared" si="29"/>
        <v>17.273703456561972</v>
      </c>
      <c r="M57" s="131">
        <f t="shared" si="29"/>
        <v>17.280397143569367</v>
      </c>
      <c r="N57" s="131">
        <f t="shared" si="29"/>
        <v>17.28709342442966</v>
      </c>
      <c r="O57" s="131">
        <f t="shared" si="29"/>
        <v>17.293792300147988</v>
      </c>
      <c r="P57" s="131">
        <f t="shared" si="29"/>
        <v>17.300493771729876</v>
      </c>
      <c r="Q57" s="131">
        <f t="shared" si="29"/>
        <v>17.307197840181242</v>
      </c>
      <c r="R57" s="131">
        <f t="shared" si="29"/>
        <v>17.31390450650839</v>
      </c>
      <c r="S57" s="131">
        <f t="shared" si="29"/>
        <v>17.320613771718016</v>
      </c>
      <c r="T57" s="131">
        <f t="shared" si="29"/>
        <v>17.327325636817207</v>
      </c>
      <c r="U57" s="131">
        <f t="shared" si="29"/>
        <v>17.334040102813439</v>
      </c>
      <c r="V57" s="131">
        <f t="shared" si="29"/>
        <v>17.340757170714578</v>
      </c>
      <c r="W57" s="131">
        <f t="shared" si="29"/>
        <v>17.347476841528884</v>
      </c>
      <c r="X57" s="94"/>
      <c r="Y57" s="94"/>
      <c r="Z57" s="94"/>
      <c r="AA57" s="94"/>
      <c r="AB57" s="94"/>
      <c r="AC57" s="94"/>
      <c r="AD57" s="89"/>
    </row>
    <row r="58" spans="1:30" x14ac:dyDescent="0.2">
      <c r="A58" s="1556"/>
      <c r="B58" s="52">
        <v>29</v>
      </c>
      <c r="C58" s="262" t="str">
        <f>'DEM POT'!C58</f>
        <v>ABANCAY</v>
      </c>
      <c r="D58" s="262" t="str">
        <f>'DEM POT'!D58</f>
        <v>CIRCA</v>
      </c>
      <c r="E58" s="262" t="str">
        <f>'DEM POT'!E58</f>
        <v>TAMBURQUI</v>
      </c>
      <c r="F58" s="59"/>
      <c r="G58" s="59">
        <f>'DEM POT'!J58</f>
        <v>17.839200391999501</v>
      </c>
      <c r="H58" s="343">
        <f>'ACT ECON'!$Q$24</f>
        <v>0.748</v>
      </c>
      <c r="I58" s="131">
        <f t="shared" si="2"/>
        <v>13.343721893215626</v>
      </c>
      <c r="J58" s="131">
        <f t="shared" si="0"/>
        <v>13.532093906308418</v>
      </c>
      <c r="K58" s="131">
        <f t="shared" ref="K58:W58" si="30">+J58*(1+$I$18)</f>
        <v>13.537337692123735</v>
      </c>
      <c r="L58" s="131">
        <f t="shared" si="30"/>
        <v>13.542583509944585</v>
      </c>
      <c r="M58" s="131">
        <f t="shared" si="30"/>
        <v>13.547831360558384</v>
      </c>
      <c r="N58" s="131">
        <f t="shared" si="30"/>
        <v>13.553081244752853</v>
      </c>
      <c r="O58" s="131">
        <f t="shared" si="30"/>
        <v>13.558333163316021</v>
      </c>
      <c r="P58" s="131">
        <f t="shared" si="30"/>
        <v>13.563587117036223</v>
      </c>
      <c r="Q58" s="131">
        <f t="shared" si="30"/>
        <v>13.568843106702094</v>
      </c>
      <c r="R58" s="131">
        <f t="shared" si="30"/>
        <v>13.574101133102577</v>
      </c>
      <c r="S58" s="131">
        <f t="shared" si="30"/>
        <v>13.579361197026923</v>
      </c>
      <c r="T58" s="131">
        <f t="shared" si="30"/>
        <v>13.58462329926469</v>
      </c>
      <c r="U58" s="131">
        <f t="shared" si="30"/>
        <v>13.589887440605736</v>
      </c>
      <c r="V58" s="131">
        <f t="shared" si="30"/>
        <v>13.595153621840231</v>
      </c>
      <c r="W58" s="131">
        <f t="shared" si="30"/>
        <v>13.600421843758646</v>
      </c>
      <c r="X58" s="94"/>
      <c r="Y58" s="94"/>
      <c r="Z58" s="94"/>
      <c r="AA58" s="94"/>
      <c r="AB58" s="94"/>
      <c r="AC58" s="94"/>
      <c r="AD58" s="89"/>
    </row>
    <row r="59" spans="1:30" x14ac:dyDescent="0.2">
      <c r="A59" s="1556"/>
      <c r="B59" s="52">
        <v>30</v>
      </c>
      <c r="C59" s="262" t="str">
        <f>'DEM POT'!C59</f>
        <v>ABANCAY</v>
      </c>
      <c r="D59" s="262" t="str">
        <f>'DEM POT'!D59</f>
        <v>CIRCA</v>
      </c>
      <c r="E59" s="262" t="str">
        <f>'DEM POT'!E59</f>
        <v>APINUHUAYLLA</v>
      </c>
      <c r="F59" s="59"/>
      <c r="G59" s="59">
        <f>'DEM POT'!J59</f>
        <v>14.562612564897551</v>
      </c>
      <c r="H59" s="343">
        <f>'ACT ECON'!$Q$24</f>
        <v>0.748</v>
      </c>
      <c r="I59" s="131">
        <f t="shared" si="2"/>
        <v>10.892834198543367</v>
      </c>
      <c r="J59" s="131">
        <f t="shared" si="0"/>
        <v>11.04660727045585</v>
      </c>
      <c r="K59" s="131">
        <f t="shared" ref="K59:W59" si="31">+J59*(1+$I$18)</f>
        <v>11.050887911937741</v>
      </c>
      <c r="L59" s="131">
        <f t="shared" si="31"/>
        <v>11.055170212199659</v>
      </c>
      <c r="M59" s="131">
        <f t="shared" si="31"/>
        <v>11.059454171884394</v>
      </c>
      <c r="N59" s="131">
        <f t="shared" si="31"/>
        <v>11.063739791634982</v>
      </c>
      <c r="O59" s="131">
        <f t="shared" si="31"/>
        <v>11.068027072094711</v>
      </c>
      <c r="P59" s="131">
        <f t="shared" si="31"/>
        <v>11.07231601390712</v>
      </c>
      <c r="Q59" s="131">
        <f t="shared" si="31"/>
        <v>11.076606617715994</v>
      </c>
      <c r="R59" s="131">
        <f t="shared" si="31"/>
        <v>11.080898884165368</v>
      </c>
      <c r="S59" s="131">
        <f t="shared" si="31"/>
        <v>11.085192813899528</v>
      </c>
      <c r="T59" s="131">
        <f t="shared" si="31"/>
        <v>11.08948840756301</v>
      </c>
      <c r="U59" s="131">
        <f t="shared" si="31"/>
        <v>11.093785665800599</v>
      </c>
      <c r="V59" s="131">
        <f t="shared" si="31"/>
        <v>11.098084589257329</v>
      </c>
      <c r="W59" s="131">
        <f t="shared" si="31"/>
        <v>11.102385178578485</v>
      </c>
      <c r="X59" s="94"/>
      <c r="Y59" s="94"/>
      <c r="Z59" s="94"/>
      <c r="AA59" s="94"/>
      <c r="AB59" s="94"/>
      <c r="AC59" s="94"/>
      <c r="AD59" s="89"/>
    </row>
    <row r="60" spans="1:30" ht="15" customHeight="1" x14ac:dyDescent="0.2">
      <c r="A60" s="1557">
        <v>6</v>
      </c>
      <c r="B60" s="52">
        <v>31</v>
      </c>
      <c r="C60" s="262" t="str">
        <f>'DEM POT'!C60</f>
        <v>ABANCAY</v>
      </c>
      <c r="D60" s="262" t="str">
        <f>'DEM POT'!D60</f>
        <v>CURAHUASI</v>
      </c>
      <c r="E60" s="262" t="str">
        <f>'DEM POT'!E60</f>
        <v>CCORIPAMPA</v>
      </c>
      <c r="F60" s="59"/>
      <c r="G60" s="59">
        <f>'DEM POT'!J60</f>
        <v>16.929037106693404</v>
      </c>
      <c r="H60" s="343">
        <f>'ACT ECON'!$Q$24</f>
        <v>0.748</v>
      </c>
      <c r="I60" s="131">
        <f t="shared" si="2"/>
        <v>12.662919755806666</v>
      </c>
      <c r="J60" s="131">
        <f t="shared" si="0"/>
        <v>12.841680951904927</v>
      </c>
      <c r="K60" s="131">
        <f t="shared" ref="K60:W60" si="32">+J60*(1+$I$18)</f>
        <v>12.846657197627627</v>
      </c>
      <c r="L60" s="131">
        <f t="shared" si="32"/>
        <v>12.851635371682107</v>
      </c>
      <c r="M60" s="131">
        <f t="shared" si="32"/>
        <v>12.856615474815611</v>
      </c>
      <c r="N60" s="131">
        <f t="shared" si="32"/>
        <v>12.861597507775668</v>
      </c>
      <c r="O60" s="131">
        <f t="shared" si="32"/>
        <v>12.866581471310104</v>
      </c>
      <c r="P60" s="131">
        <f t="shared" si="32"/>
        <v>12.871567366167028</v>
      </c>
      <c r="Q60" s="131">
        <f t="shared" si="32"/>
        <v>12.876555193094843</v>
      </c>
      <c r="R60" s="131">
        <f t="shared" si="32"/>
        <v>12.881544952842241</v>
      </c>
      <c r="S60" s="131">
        <f t="shared" si="32"/>
        <v>12.886536646158202</v>
      </c>
      <c r="T60" s="131">
        <f t="shared" si="32"/>
        <v>12.891530273792</v>
      </c>
      <c r="U60" s="131">
        <f t="shared" si="32"/>
        <v>12.896525836493197</v>
      </c>
      <c r="V60" s="131">
        <f t="shared" si="32"/>
        <v>12.901523335011646</v>
      </c>
      <c r="W60" s="131">
        <f t="shared" si="32"/>
        <v>12.906522770097489</v>
      </c>
      <c r="X60" s="94"/>
      <c r="Y60" s="94"/>
      <c r="Z60" s="94"/>
      <c r="AA60" s="94"/>
      <c r="AB60" s="94"/>
      <c r="AC60" s="94"/>
      <c r="AD60" s="89"/>
    </row>
    <row r="61" spans="1:30" x14ac:dyDescent="0.2">
      <c r="A61" s="1557"/>
      <c r="B61" s="52">
        <v>32</v>
      </c>
      <c r="C61" s="262" t="str">
        <f>'DEM POT'!C61</f>
        <v>ABANCAY</v>
      </c>
      <c r="D61" s="262" t="str">
        <f>'DEM POT'!D61</f>
        <v>CURAHUASI</v>
      </c>
      <c r="E61" s="262" t="str">
        <f>'DEM POT'!E61</f>
        <v>LLAULLIPATA</v>
      </c>
      <c r="F61" s="59"/>
      <c r="G61" s="59">
        <f>'DEM POT'!J61</f>
        <v>9.8297634813058465</v>
      </c>
      <c r="H61" s="343">
        <f>'ACT ECON'!$Q$24</f>
        <v>0.748</v>
      </c>
      <c r="I61" s="131">
        <f t="shared" si="2"/>
        <v>7.3526630840167728</v>
      </c>
      <c r="J61" s="131">
        <f t="shared" si="0"/>
        <v>7.4564599075576989</v>
      </c>
      <c r="K61" s="131">
        <f t="shared" ref="K61:W61" si="33">+J61*(1+$I$18)</f>
        <v>7.459349340557976</v>
      </c>
      <c r="L61" s="131">
        <f t="shared" si="33"/>
        <v>7.4622398932347709</v>
      </c>
      <c r="M61" s="131">
        <f t="shared" si="33"/>
        <v>7.4651315660219666</v>
      </c>
      <c r="N61" s="131">
        <f t="shared" si="33"/>
        <v>7.4680243593536133</v>
      </c>
      <c r="O61" s="131">
        <f t="shared" si="33"/>
        <v>7.4709182736639308</v>
      </c>
      <c r="P61" s="131">
        <f t="shared" si="33"/>
        <v>7.4738133093873067</v>
      </c>
      <c r="Q61" s="131">
        <f t="shared" si="33"/>
        <v>7.4767094669582965</v>
      </c>
      <c r="R61" s="131">
        <f t="shared" si="33"/>
        <v>7.4796067468116245</v>
      </c>
      <c r="S61" s="131">
        <f t="shared" si="33"/>
        <v>7.4825051493821828</v>
      </c>
      <c r="T61" s="131">
        <f t="shared" si="33"/>
        <v>7.4854046751050332</v>
      </c>
      <c r="U61" s="131">
        <f t="shared" si="33"/>
        <v>7.4883053244154061</v>
      </c>
      <c r="V61" s="131">
        <f t="shared" si="33"/>
        <v>7.4912070977486991</v>
      </c>
      <c r="W61" s="131">
        <f t="shared" si="33"/>
        <v>7.4941099955404793</v>
      </c>
      <c r="X61" s="94"/>
      <c r="Y61" s="94"/>
      <c r="Z61" s="94"/>
      <c r="AA61" s="94"/>
      <c r="AB61" s="94"/>
      <c r="AC61" s="94"/>
      <c r="AD61" s="89"/>
    </row>
    <row r="62" spans="1:30" x14ac:dyDescent="0.2">
      <c r="A62" s="1557"/>
      <c r="B62" s="52">
        <v>33</v>
      </c>
      <c r="C62" s="262" t="str">
        <f>'DEM POT'!C62</f>
        <v>ABANCAY</v>
      </c>
      <c r="D62" s="262" t="str">
        <f>'DEM POT'!D62</f>
        <v>CURAHUASI</v>
      </c>
      <c r="E62" s="262" t="str">
        <f>'DEM POT'!E62</f>
        <v>ACCORAN</v>
      </c>
      <c r="F62" s="59"/>
      <c r="G62" s="59">
        <f>'DEM POT'!J62</f>
        <v>24.938474017387055</v>
      </c>
      <c r="H62" s="343">
        <f>'ACT ECON'!$Q$24</f>
        <v>0.748</v>
      </c>
      <c r="I62" s="131">
        <f t="shared" si="2"/>
        <v>18.653978565005517</v>
      </c>
      <c r="J62" s="131">
        <f t="shared" ref="J62:J93" si="34">+I62*(1+$I$19)</f>
        <v>18.917314950655644</v>
      </c>
      <c r="K62" s="131">
        <f t="shared" ref="K62:W62" si="35">+J62*(1+$I$18)</f>
        <v>18.924645549193386</v>
      </c>
      <c r="L62" s="131">
        <f t="shared" si="35"/>
        <v>18.931978988391922</v>
      </c>
      <c r="M62" s="131">
        <f t="shared" si="35"/>
        <v>18.939315269352029</v>
      </c>
      <c r="N62" s="131">
        <f t="shared" si="35"/>
        <v>18.94665439317491</v>
      </c>
      <c r="O62" s="131">
        <f t="shared" si="35"/>
        <v>18.953996360962197</v>
      </c>
      <c r="P62" s="131">
        <f t="shared" si="35"/>
        <v>18.961341173815946</v>
      </c>
      <c r="Q62" s="131">
        <f t="shared" si="35"/>
        <v>18.968688832838641</v>
      </c>
      <c r="R62" s="131">
        <f t="shared" si="35"/>
        <v>18.976039339133195</v>
      </c>
      <c r="S62" s="131">
        <f t="shared" si="35"/>
        <v>18.983392693802944</v>
      </c>
      <c r="T62" s="131">
        <f t="shared" si="35"/>
        <v>18.990748897951658</v>
      </c>
      <c r="U62" s="131">
        <f t="shared" si="35"/>
        <v>18.998107952683529</v>
      </c>
      <c r="V62" s="131">
        <f t="shared" si="35"/>
        <v>19.005469859103179</v>
      </c>
      <c r="W62" s="131">
        <f t="shared" si="35"/>
        <v>19.012834618315658</v>
      </c>
      <c r="X62" s="94"/>
      <c r="Y62" s="94"/>
      <c r="Z62" s="94"/>
      <c r="AA62" s="94"/>
      <c r="AB62" s="94"/>
      <c r="AC62" s="94"/>
      <c r="AD62" s="89"/>
    </row>
    <row r="63" spans="1:30" x14ac:dyDescent="0.2">
      <c r="A63" s="1557"/>
      <c r="B63" s="52">
        <v>34</v>
      </c>
      <c r="C63" s="262" t="str">
        <f>'DEM POT'!C63</f>
        <v>ABANCAY</v>
      </c>
      <c r="D63" s="262" t="str">
        <f>'DEM POT'!D63</f>
        <v>CURAHUASI</v>
      </c>
      <c r="E63" s="262" t="str">
        <f>'DEM POT'!E63</f>
        <v>NISPEROCNIYOC</v>
      </c>
      <c r="F63" s="59"/>
      <c r="G63" s="59">
        <f>'DEM POT'!J63</f>
        <v>15.108710536081208</v>
      </c>
      <c r="H63" s="343">
        <f>'ACT ECON'!$Q$24</f>
        <v>0.748</v>
      </c>
      <c r="I63" s="131">
        <f t="shared" si="2"/>
        <v>11.301315480988743</v>
      </c>
      <c r="J63" s="131">
        <f t="shared" si="34"/>
        <v>11.460855043097943</v>
      </c>
      <c r="K63" s="131">
        <f t="shared" ref="K63:W63" si="36">+J63*(1+$I$18)</f>
        <v>11.465296208635406</v>
      </c>
      <c r="L63" s="131">
        <f t="shared" si="36"/>
        <v>11.469739095157147</v>
      </c>
      <c r="M63" s="131">
        <f t="shared" si="36"/>
        <v>11.474183703330057</v>
      </c>
      <c r="N63" s="131">
        <f t="shared" si="36"/>
        <v>11.478630033821291</v>
      </c>
      <c r="O63" s="131">
        <f t="shared" si="36"/>
        <v>11.48307808729826</v>
      </c>
      <c r="P63" s="131">
        <f t="shared" si="36"/>
        <v>11.487527864428634</v>
      </c>
      <c r="Q63" s="131">
        <f t="shared" si="36"/>
        <v>11.49197936588034</v>
      </c>
      <c r="R63" s="131">
        <f t="shared" si="36"/>
        <v>11.496432592321566</v>
      </c>
      <c r="S63" s="131">
        <f t="shared" si="36"/>
        <v>11.500887544420758</v>
      </c>
      <c r="T63" s="131">
        <f t="shared" si="36"/>
        <v>11.50534422284662</v>
      </c>
      <c r="U63" s="131">
        <f t="shared" si="36"/>
        <v>11.509802628268119</v>
      </c>
      <c r="V63" s="131">
        <f t="shared" si="36"/>
        <v>11.514262761354477</v>
      </c>
      <c r="W63" s="131">
        <f t="shared" si="36"/>
        <v>11.518724622775176</v>
      </c>
      <c r="X63" s="94"/>
      <c r="Y63" s="94"/>
      <c r="Z63" s="94"/>
      <c r="AA63" s="94"/>
      <c r="AB63" s="94"/>
      <c r="AC63" s="94"/>
      <c r="AD63" s="89"/>
    </row>
    <row r="64" spans="1:30" x14ac:dyDescent="0.2">
      <c r="A64" s="1557"/>
      <c r="B64" s="52">
        <v>35</v>
      </c>
      <c r="C64" s="262" t="str">
        <f>'DEM POT'!C64</f>
        <v>ABANCAY</v>
      </c>
      <c r="D64" s="262" t="str">
        <f>'DEM POT'!D64</f>
        <v>CURAHUASI</v>
      </c>
      <c r="E64" s="262" t="str">
        <f>'DEM POT'!E64</f>
        <v>OCCORURO</v>
      </c>
      <c r="F64" s="59"/>
      <c r="G64" s="59">
        <f>'DEM POT'!J64</f>
        <v>56.612156346039228</v>
      </c>
      <c r="H64" s="343">
        <f>'ACT ECON'!$Q$24</f>
        <v>0.748</v>
      </c>
      <c r="I64" s="131">
        <f t="shared" si="2"/>
        <v>42.345892946837346</v>
      </c>
      <c r="J64" s="131">
        <f t="shared" si="34"/>
        <v>42.943685763897122</v>
      </c>
      <c r="K64" s="131">
        <f t="shared" ref="K64:W64" si="37">+J64*(1+$I$18)</f>
        <v>42.960326757657974</v>
      </c>
      <c r="L64" s="131">
        <f t="shared" si="37"/>
        <v>42.976974199926183</v>
      </c>
      <c r="M64" s="131">
        <f t="shared" si="37"/>
        <v>42.993628093200584</v>
      </c>
      <c r="N64" s="131">
        <f t="shared" si="37"/>
        <v>43.010288439980997</v>
      </c>
      <c r="O64" s="131">
        <f t="shared" si="37"/>
        <v>43.026955242768196</v>
      </c>
      <c r="P64" s="131">
        <f t="shared" si="37"/>
        <v>43.043628504063932</v>
      </c>
      <c r="Q64" s="131">
        <f t="shared" si="37"/>
        <v>43.060308226370928</v>
      </c>
      <c r="R64" s="131">
        <f t="shared" si="37"/>
        <v>43.076994412192875</v>
      </c>
      <c r="S64" s="131">
        <f t="shared" si="37"/>
        <v>43.093687064034427</v>
      </c>
      <c r="T64" s="131">
        <f t="shared" si="37"/>
        <v>43.110386184401214</v>
      </c>
      <c r="U64" s="131">
        <f t="shared" si="37"/>
        <v>43.12709177579984</v>
      </c>
      <c r="V64" s="131">
        <f t="shared" si="37"/>
        <v>43.143803840737881</v>
      </c>
      <c r="W64" s="131">
        <f t="shared" si="37"/>
        <v>43.160522381723872</v>
      </c>
      <c r="X64" s="94"/>
      <c r="Y64" s="94"/>
      <c r="Z64" s="94"/>
      <c r="AA64" s="94"/>
      <c r="AB64" s="94"/>
      <c r="AC64" s="94"/>
      <c r="AD64" s="89"/>
    </row>
    <row r="65" spans="1:30" x14ac:dyDescent="0.2">
      <c r="A65" s="1557"/>
      <c r="B65" s="52">
        <v>36</v>
      </c>
      <c r="C65" s="262" t="str">
        <f>'DEM POT'!C65</f>
        <v>ABANCAY</v>
      </c>
      <c r="D65" s="262" t="str">
        <f>'DEM POT'!D65</f>
        <v>CURAHUASI</v>
      </c>
      <c r="E65" s="262" t="str">
        <f>'DEM POT'!E65</f>
        <v>SERRANA</v>
      </c>
      <c r="F65" s="59"/>
      <c r="G65" s="59">
        <f>'DEM POT'!J65</f>
        <v>12.014155366040479</v>
      </c>
      <c r="H65" s="343">
        <f>'ACT ECON'!$Q$24</f>
        <v>0.748</v>
      </c>
      <c r="I65" s="131">
        <f t="shared" si="2"/>
        <v>8.986588213798278</v>
      </c>
      <c r="J65" s="131">
        <f t="shared" si="34"/>
        <v>9.1134509981260763</v>
      </c>
      <c r="K65" s="131">
        <f t="shared" ref="K65:W65" si="38">+J65*(1+$I$18)</f>
        <v>9.1169825273486378</v>
      </c>
      <c r="L65" s="131">
        <f t="shared" si="38"/>
        <v>9.1205154250647205</v>
      </c>
      <c r="M65" s="131">
        <f t="shared" si="38"/>
        <v>9.1240496918046254</v>
      </c>
      <c r="N65" s="131">
        <f t="shared" si="38"/>
        <v>9.1275853280988599</v>
      </c>
      <c r="O65" s="131">
        <f t="shared" si="38"/>
        <v>9.1311223344781371</v>
      </c>
      <c r="P65" s="131">
        <f t="shared" si="38"/>
        <v>9.1346607114733747</v>
      </c>
      <c r="Q65" s="131">
        <f t="shared" si="38"/>
        <v>9.138200459615696</v>
      </c>
      <c r="R65" s="131">
        <f t="shared" si="38"/>
        <v>9.141741579436431</v>
      </c>
      <c r="S65" s="131">
        <f t="shared" si="38"/>
        <v>9.1452840714671133</v>
      </c>
      <c r="T65" s="131">
        <f t="shared" si="38"/>
        <v>9.1488279362394866</v>
      </c>
      <c r="U65" s="131">
        <f t="shared" si="38"/>
        <v>9.152373174285497</v>
      </c>
      <c r="V65" s="131">
        <f t="shared" si="38"/>
        <v>9.1559197861373001</v>
      </c>
      <c r="W65" s="131">
        <f t="shared" si="38"/>
        <v>9.159467772327254</v>
      </c>
      <c r="X65" s="94"/>
      <c r="Y65" s="94"/>
      <c r="Z65" s="94"/>
      <c r="AA65" s="94"/>
      <c r="AB65" s="94"/>
      <c r="AC65" s="94"/>
      <c r="AD65" s="89"/>
    </row>
    <row r="66" spans="1:30" x14ac:dyDescent="0.2">
      <c r="A66" s="1557"/>
      <c r="B66" s="52">
        <v>37</v>
      </c>
      <c r="C66" s="262" t="str">
        <f>'DEM POT'!C66</f>
        <v>ABANCAY</v>
      </c>
      <c r="D66" s="262" t="str">
        <f>'DEM POT'!D66</f>
        <v>CURAHUASI</v>
      </c>
      <c r="E66" s="262" t="str">
        <f>'DEM POT'!E66</f>
        <v>CHALLHUAHUACHO</v>
      </c>
      <c r="F66" s="59"/>
      <c r="G66" s="59">
        <f>'DEM POT'!J66</f>
        <v>10.739926766611942</v>
      </c>
      <c r="H66" s="343">
        <f>'ACT ECON'!$Q$24</f>
        <v>0.748</v>
      </c>
      <c r="I66" s="131">
        <f t="shared" si="2"/>
        <v>8.0334652214257325</v>
      </c>
      <c r="J66" s="131">
        <f t="shared" si="34"/>
        <v>8.1468728619611888</v>
      </c>
      <c r="K66" s="131">
        <f t="shared" ref="K66:W66" si="39">+J66*(1+$I$18)</f>
        <v>8.1500298350540845</v>
      </c>
      <c r="L66" s="131">
        <f t="shared" si="39"/>
        <v>8.1531880314972494</v>
      </c>
      <c r="M66" s="131">
        <f t="shared" si="39"/>
        <v>8.1563474517647396</v>
      </c>
      <c r="N66" s="131">
        <f t="shared" si="39"/>
        <v>8.1595080963307982</v>
      </c>
      <c r="O66" s="131">
        <f t="shared" si="39"/>
        <v>8.1626699656698491</v>
      </c>
      <c r="P66" s="131">
        <f t="shared" si="39"/>
        <v>8.1658330602565012</v>
      </c>
      <c r="Q66" s="131">
        <f t="shared" si="39"/>
        <v>8.1689973805655463</v>
      </c>
      <c r="R66" s="131">
        <f t="shared" si="39"/>
        <v>8.1721629270719607</v>
      </c>
      <c r="S66" s="131">
        <f t="shared" si="39"/>
        <v>8.175329700250904</v>
      </c>
      <c r="T66" s="131">
        <f t="shared" si="39"/>
        <v>8.1784977005777222</v>
      </c>
      <c r="U66" s="131">
        <f t="shared" si="39"/>
        <v>8.1816669285279442</v>
      </c>
      <c r="V66" s="131">
        <f t="shared" si="39"/>
        <v>8.1848373845772819</v>
      </c>
      <c r="W66" s="131">
        <f t="shared" si="39"/>
        <v>8.1880090692016338</v>
      </c>
      <c r="X66" s="94"/>
      <c r="Y66" s="94"/>
      <c r="Z66" s="94"/>
      <c r="AA66" s="94"/>
      <c r="AB66" s="94"/>
      <c r="AC66" s="94"/>
      <c r="AD66" s="89"/>
    </row>
    <row r="67" spans="1:30" x14ac:dyDescent="0.2">
      <c r="A67" s="1557"/>
      <c r="B67" s="52">
        <v>38</v>
      </c>
      <c r="C67" s="262" t="str">
        <f>'DEM POT'!C67</f>
        <v>ABANCAY</v>
      </c>
      <c r="D67" s="262" t="str">
        <f>'DEM POT'!D67</f>
        <v>CURAHUASI</v>
      </c>
      <c r="E67" s="262" t="str">
        <f>'DEM POT'!E67</f>
        <v>SAN JUAN DE DIOS</v>
      </c>
      <c r="F67" s="59"/>
      <c r="G67" s="59">
        <f>'DEM POT'!J67</f>
        <v>70.082572968569451</v>
      </c>
      <c r="H67" s="343">
        <f>'ACT ECON'!$Q$24</f>
        <v>0.748</v>
      </c>
      <c r="I67" s="131">
        <f t="shared" si="2"/>
        <v>52.421764580489949</v>
      </c>
      <c r="J67" s="131">
        <f t="shared" si="34"/>
        <v>53.161797489068775</v>
      </c>
      <c r="K67" s="131">
        <f t="shared" ref="K67:W67" si="40">+J67*(1+$I$18)</f>
        <v>53.182398076200379</v>
      </c>
      <c r="L67" s="131">
        <f>+K67*(1+$I$18)</f>
        <v>53.203006646210859</v>
      </c>
      <c r="M67" s="131">
        <f t="shared" si="40"/>
        <v>53.223623202193643</v>
      </c>
      <c r="N67" s="131">
        <f t="shared" si="40"/>
        <v>53.24424774724335</v>
      </c>
      <c r="O67" s="131">
        <f t="shared" si="40"/>
        <v>53.264880284455799</v>
      </c>
      <c r="P67" s="131">
        <f t="shared" si="40"/>
        <v>53.285520816928013</v>
      </c>
      <c r="Q67" s="131">
        <f t="shared" si="40"/>
        <v>53.306169347758221</v>
      </c>
      <c r="R67" s="131">
        <f t="shared" si="40"/>
        <v>53.326825880045838</v>
      </c>
      <c r="S67" s="131">
        <f t="shared" si="40"/>
        <v>53.347490416891489</v>
      </c>
      <c r="T67" s="131">
        <f t="shared" si="40"/>
        <v>53.368162961396997</v>
      </c>
      <c r="U67" s="131">
        <f t="shared" si="40"/>
        <v>53.388843516665396</v>
      </c>
      <c r="V67" s="131">
        <f t="shared" si="40"/>
        <v>53.409532085800912</v>
      </c>
      <c r="W67" s="131">
        <f t="shared" si="40"/>
        <v>53.430228671908971</v>
      </c>
      <c r="X67" s="94"/>
      <c r="Y67" s="94"/>
      <c r="Z67" s="94"/>
      <c r="AA67" s="94"/>
      <c r="AB67" s="94"/>
      <c r="AC67" s="94"/>
      <c r="AD67" s="89"/>
    </row>
    <row r="68" spans="1:30" x14ac:dyDescent="0.2">
      <c r="A68" s="1557"/>
      <c r="B68" s="52">
        <v>39</v>
      </c>
      <c r="C68" s="262" t="str">
        <f>'DEM POT'!C68</f>
        <v>ABANCAY</v>
      </c>
      <c r="D68" s="262" t="str">
        <f>'DEM POT'!D68</f>
        <v>CURAHUASI</v>
      </c>
      <c r="E68" s="262" t="str">
        <f>'DEM POT'!E68</f>
        <v>PUCA PUCA</v>
      </c>
      <c r="F68" s="59"/>
      <c r="G68" s="59">
        <f>'DEM POT'!J68</f>
        <v>14.38057990783633</v>
      </c>
      <c r="H68" s="343">
        <f>'ACT ECON'!$Q$24</f>
        <v>0.748</v>
      </c>
      <c r="I68" s="131">
        <f t="shared" si="2"/>
        <v>10.756673771061575</v>
      </c>
      <c r="J68" s="131">
        <f t="shared" si="34"/>
        <v>10.908524679575152</v>
      </c>
      <c r="K68" s="131">
        <f t="shared" ref="K68:W68" si="41">+J68*(1+$I$18)</f>
        <v>10.91275181303852</v>
      </c>
      <c r="L68" s="131">
        <f t="shared" si="41"/>
        <v>10.916980584547165</v>
      </c>
      <c r="M68" s="131">
        <f t="shared" si="41"/>
        <v>10.921210994735839</v>
      </c>
      <c r="N68" s="131">
        <f t="shared" si="41"/>
        <v>10.925443044239545</v>
      </c>
      <c r="O68" s="131">
        <f t="shared" si="41"/>
        <v>10.929676733693528</v>
      </c>
      <c r="P68" s="131">
        <f t="shared" si="41"/>
        <v>10.933912063733281</v>
      </c>
      <c r="Q68" s="131">
        <f t="shared" si="41"/>
        <v>10.938149034994543</v>
      </c>
      <c r="R68" s="131">
        <f t="shared" si="41"/>
        <v>10.9423876481133</v>
      </c>
      <c r="S68" s="131">
        <f t="shared" si="41"/>
        <v>10.946627903725783</v>
      </c>
      <c r="T68" s="131">
        <f t="shared" si="41"/>
        <v>10.950869802468473</v>
      </c>
      <c r="U68" s="131">
        <f t="shared" si="41"/>
        <v>10.955113344978091</v>
      </c>
      <c r="V68" s="131">
        <f t="shared" si="41"/>
        <v>10.959358531891612</v>
      </c>
      <c r="W68" s="131">
        <f t="shared" si="41"/>
        <v>10.963605363846252</v>
      </c>
      <c r="X68" s="94"/>
      <c r="Y68" s="94"/>
      <c r="Z68" s="94"/>
      <c r="AA68" s="94"/>
      <c r="AB68" s="94"/>
      <c r="AC68" s="94"/>
      <c r="AD68" s="89"/>
    </row>
    <row r="69" spans="1:30" x14ac:dyDescent="0.2">
      <c r="A69" s="1557"/>
      <c r="B69" s="52">
        <v>40</v>
      </c>
      <c r="C69" s="262" t="str">
        <f>'DEM POT'!C69</f>
        <v>ABANCAY</v>
      </c>
      <c r="D69" s="262" t="str">
        <f>'DEM POT'!D69</f>
        <v>CURAHUASI</v>
      </c>
      <c r="E69" s="262" t="str">
        <f>'DEM POT'!E69</f>
        <v>PALMIRA</v>
      </c>
      <c r="F69" s="59"/>
      <c r="G69" s="59">
        <f>'DEM POT'!J69</f>
        <v>11.832122708979259</v>
      </c>
      <c r="H69" s="343">
        <f>'ACT ECON'!$Q$24</f>
        <v>0.748</v>
      </c>
      <c r="I69" s="131">
        <f t="shared" si="2"/>
        <v>8.8504277863164855</v>
      </c>
      <c r="J69" s="131">
        <f t="shared" si="34"/>
        <v>8.9753684072453783</v>
      </c>
      <c r="K69" s="131">
        <f t="shared" ref="K69:W69" si="42">+J69*(1+$I$18)</f>
        <v>8.9788464284494154</v>
      </c>
      <c r="L69" s="131">
        <f t="shared" si="42"/>
        <v>8.9823257974122246</v>
      </c>
      <c r="M69" s="131">
        <f t="shared" si="42"/>
        <v>8.9858065146560708</v>
      </c>
      <c r="N69" s="131">
        <f t="shared" si="42"/>
        <v>8.9892885807034233</v>
      </c>
      <c r="O69" s="131">
        <f t="shared" si="42"/>
        <v>8.9927719960769537</v>
      </c>
      <c r="P69" s="131">
        <f t="shared" si="42"/>
        <v>8.9962567612995361</v>
      </c>
      <c r="Q69" s="131">
        <f t="shared" si="42"/>
        <v>8.9997428768942456</v>
      </c>
      <c r="R69" s="131">
        <f t="shared" si="42"/>
        <v>9.003230343384363</v>
      </c>
      <c r="S69" s="131">
        <f t="shared" si="42"/>
        <v>9.0067191612933684</v>
      </c>
      <c r="T69" s="131">
        <f t="shared" si="42"/>
        <v>9.0102093311449476</v>
      </c>
      <c r="U69" s="131">
        <f t="shared" si="42"/>
        <v>9.0137008534629892</v>
      </c>
      <c r="V69" s="131">
        <f t="shared" si="42"/>
        <v>9.0171937287715824</v>
      </c>
      <c r="W69" s="131">
        <f t="shared" si="42"/>
        <v>9.0206879575950207</v>
      </c>
      <c r="X69" s="94"/>
      <c r="Y69" s="94"/>
      <c r="Z69" s="94"/>
      <c r="AA69" s="94"/>
      <c r="AB69" s="94"/>
      <c r="AC69" s="94"/>
      <c r="AD69" s="89"/>
    </row>
    <row r="70" spans="1:30" x14ac:dyDescent="0.2">
      <c r="A70" s="1557"/>
      <c r="B70" s="52">
        <v>41</v>
      </c>
      <c r="C70" s="262" t="str">
        <f>'DEM POT'!C70</f>
        <v>ABANCAY</v>
      </c>
      <c r="D70" s="262" t="str">
        <f>'DEM POT'!D70</f>
        <v>CURAHUASI</v>
      </c>
      <c r="E70" s="262" t="str">
        <f>'DEM POT'!E70</f>
        <v>TRANCAPATA ALTA</v>
      </c>
      <c r="F70" s="59"/>
      <c r="G70" s="59">
        <f>'DEM POT'!J70</f>
        <v>37.498727354611191</v>
      </c>
      <c r="H70" s="343">
        <f>'ACT ECON'!$Q$24</f>
        <v>0.748</v>
      </c>
      <c r="I70" s="131">
        <f t="shared" si="2"/>
        <v>28.04904806124917</v>
      </c>
      <c r="J70" s="131">
        <f t="shared" si="34"/>
        <v>28.445013721423813</v>
      </c>
      <c r="K70" s="131">
        <f t="shared" ref="K70:W70" si="43">+J70*(1+$I$18)</f>
        <v>28.456036373239684</v>
      </c>
      <c r="L70" s="131">
        <f t="shared" si="43"/>
        <v>28.467063296414125</v>
      </c>
      <c r="M70" s="131">
        <f t="shared" si="43"/>
        <v>28.478094492602313</v>
      </c>
      <c r="N70" s="131">
        <f t="shared" si="43"/>
        <v>28.489129963460076</v>
      </c>
      <c r="O70" s="131">
        <f t="shared" si="43"/>
        <v>28.500169710643881</v>
      </c>
      <c r="P70" s="131">
        <f t="shared" si="43"/>
        <v>28.511213735810834</v>
      </c>
      <c r="Q70" s="131">
        <f t="shared" si="43"/>
        <v>28.522262040618685</v>
      </c>
      <c r="R70" s="131">
        <f t="shared" si="43"/>
        <v>28.533314626725826</v>
      </c>
      <c r="S70" s="131">
        <f t="shared" si="43"/>
        <v>28.544371495791289</v>
      </c>
      <c r="T70" s="131">
        <f t="shared" si="43"/>
        <v>28.555432649474756</v>
      </c>
      <c r="U70" s="131">
        <f t="shared" si="43"/>
        <v>28.566498089436546</v>
      </c>
      <c r="V70" s="131">
        <f t="shared" si="43"/>
        <v>28.577567817337627</v>
      </c>
      <c r="W70" s="131">
        <f t="shared" si="43"/>
        <v>28.588641834839603</v>
      </c>
      <c r="X70" s="94"/>
      <c r="Y70" s="94"/>
      <c r="Z70" s="94"/>
      <c r="AA70" s="94"/>
      <c r="AB70" s="94"/>
      <c r="AC70" s="94"/>
      <c r="AD70" s="89"/>
    </row>
    <row r="71" spans="1:30" x14ac:dyDescent="0.2">
      <c r="A71" s="1557"/>
      <c r="B71" s="52">
        <v>42</v>
      </c>
      <c r="C71" s="262" t="str">
        <f>'DEM POT'!C71</f>
        <v>ABANCAY</v>
      </c>
      <c r="D71" s="262" t="str">
        <f>'DEM POT'!D71</f>
        <v>CURAHUASI</v>
      </c>
      <c r="E71" s="262" t="str">
        <f>'DEM POT'!E71</f>
        <v>BACAS</v>
      </c>
      <c r="F71" s="59"/>
      <c r="G71" s="59">
        <f>'DEM POT'!J71</f>
        <v>28.215061844489004</v>
      </c>
      <c r="H71" s="343">
        <f>'ACT ECON'!$Q$24</f>
        <v>0.748</v>
      </c>
      <c r="I71" s="131">
        <f t="shared" si="2"/>
        <v>21.104866259677774</v>
      </c>
      <c r="J71" s="131">
        <f t="shared" si="34"/>
        <v>21.402801586508208</v>
      </c>
      <c r="K71" s="131">
        <f t="shared" ref="K71:W71" si="44">+J71*(1+$I$18)</f>
        <v>21.411095329379375</v>
      </c>
      <c r="L71" s="131">
        <f t="shared" si="44"/>
        <v>21.419392286136841</v>
      </c>
      <c r="M71" s="131">
        <f t="shared" si="44"/>
        <v>21.427692458026012</v>
      </c>
      <c r="N71" s="131">
        <f t="shared" si="44"/>
        <v>21.435995846292776</v>
      </c>
      <c r="O71" s="131">
        <f t="shared" si="44"/>
        <v>21.444302452183504</v>
      </c>
      <c r="P71" s="131">
        <f t="shared" si="44"/>
        <v>21.452612276945043</v>
      </c>
      <c r="Q71" s="131">
        <f t="shared" si="44"/>
        <v>21.460925321824735</v>
      </c>
      <c r="R71" s="131">
        <f t="shared" si="44"/>
        <v>21.4692415880704</v>
      </c>
      <c r="S71" s="131">
        <f t="shared" si="44"/>
        <v>21.477561076930336</v>
      </c>
      <c r="T71" s="131">
        <f t="shared" si="44"/>
        <v>21.485883789653332</v>
      </c>
      <c r="U71" s="131">
        <f t="shared" si="44"/>
        <v>21.494209727488659</v>
      </c>
      <c r="V71" s="131">
        <f t="shared" si="44"/>
        <v>21.502538891686072</v>
      </c>
      <c r="W71" s="131">
        <f t="shared" si="44"/>
        <v>21.51087128349581</v>
      </c>
      <c r="X71" s="94"/>
      <c r="Y71" s="94"/>
      <c r="Z71" s="94"/>
      <c r="AA71" s="94"/>
      <c r="AB71" s="94"/>
      <c r="AC71" s="94"/>
      <c r="AD71" s="89"/>
    </row>
    <row r="72" spans="1:30" x14ac:dyDescent="0.2">
      <c r="A72" s="1557"/>
      <c r="B72" s="52">
        <v>43</v>
      </c>
      <c r="C72" s="262" t="str">
        <f>'DEM POT'!C72</f>
        <v>ABANCAY</v>
      </c>
      <c r="D72" s="262" t="str">
        <f>'DEM POT'!D72</f>
        <v>CURAHUASI</v>
      </c>
      <c r="E72" s="262" t="str">
        <f>'DEM POT'!E72</f>
        <v>ASMAYACU</v>
      </c>
      <c r="F72" s="59">
        <v>1</v>
      </c>
      <c r="G72" s="59">
        <f>'DEM POT'!J72</f>
        <v>35.132302812815347</v>
      </c>
      <c r="H72" s="343">
        <f>'ACT ECON'!$Q$24</f>
        <v>0.748</v>
      </c>
      <c r="I72" s="131">
        <f t="shared" si="2"/>
        <v>26.278962503985881</v>
      </c>
      <c r="J72" s="131">
        <f t="shared" si="34"/>
        <v>26.649940039974744</v>
      </c>
      <c r="K72" s="131">
        <f t="shared" ref="K72:W72" si="45">+J72*(1+$I$18)</f>
        <v>26.660267087549808</v>
      </c>
      <c r="L72" s="131">
        <f t="shared" si="45"/>
        <v>26.670598136931687</v>
      </c>
      <c r="M72" s="131">
        <f t="shared" si="45"/>
        <v>26.680933189671109</v>
      </c>
      <c r="N72" s="131">
        <f t="shared" si="45"/>
        <v>26.6912722473194</v>
      </c>
      <c r="O72" s="131">
        <f t="shared" si="45"/>
        <v>26.701615311428498</v>
      </c>
      <c r="P72" s="131">
        <f t="shared" si="45"/>
        <v>26.711962383550933</v>
      </c>
      <c r="Q72" s="131">
        <f t="shared" si="45"/>
        <v>26.722313465239839</v>
      </c>
      <c r="R72" s="131">
        <f t="shared" si="45"/>
        <v>26.732668558048957</v>
      </c>
      <c r="S72" s="131">
        <f t="shared" si="45"/>
        <v>26.743027663532619</v>
      </c>
      <c r="T72" s="131">
        <f t="shared" si="45"/>
        <v>26.75339078324577</v>
      </c>
      <c r="U72" s="131">
        <f t="shared" si="45"/>
        <v>26.763757918743952</v>
      </c>
      <c r="V72" s="131">
        <f t="shared" si="45"/>
        <v>26.774129071583314</v>
      </c>
      <c r="W72" s="131">
        <f t="shared" si="45"/>
        <v>26.784504243320601</v>
      </c>
      <c r="X72" s="337">
        <f>SUM(W60:W83)</f>
        <v>532.7757087570352</v>
      </c>
      <c r="Y72" s="94"/>
      <c r="Z72" s="94"/>
      <c r="AA72" s="94"/>
      <c r="AB72" s="94"/>
      <c r="AC72" s="94"/>
      <c r="AD72" s="89"/>
    </row>
    <row r="73" spans="1:30" x14ac:dyDescent="0.2">
      <c r="A73" s="1557"/>
      <c r="B73" s="52">
        <v>44</v>
      </c>
      <c r="C73" s="262" t="str">
        <f>'DEM POT'!C73</f>
        <v>ABANCAY</v>
      </c>
      <c r="D73" s="262" t="str">
        <f>'DEM POT'!D73</f>
        <v>CURAHUASI</v>
      </c>
      <c r="E73" s="262" t="str">
        <f>'DEM POT'!E73</f>
        <v>PUCA ORCCO</v>
      </c>
      <c r="F73" s="59">
        <v>3</v>
      </c>
      <c r="G73" s="59">
        <f>'DEM POT'!J73</f>
        <v>21.297820876162668</v>
      </c>
      <c r="H73" s="343">
        <f>'ACT ECON'!$Q$24</f>
        <v>0.748</v>
      </c>
      <c r="I73" s="131">
        <f t="shared" si="2"/>
        <v>15.930770015369676</v>
      </c>
      <c r="J73" s="131">
        <f t="shared" si="34"/>
        <v>16.155663133041681</v>
      </c>
      <c r="K73" s="131">
        <f t="shared" ref="K73:W73" si="46">+J73*(1+$I$18)</f>
        <v>16.161923571208948</v>
      </c>
      <c r="L73" s="131">
        <f t="shared" si="46"/>
        <v>16.168186435342005</v>
      </c>
      <c r="M73" s="131">
        <f t="shared" si="46"/>
        <v>16.174451726380926</v>
      </c>
      <c r="N73" s="131">
        <f t="shared" si="46"/>
        <v>16.18071944526616</v>
      </c>
      <c r="O73" s="131">
        <f t="shared" si="46"/>
        <v>16.186989592938513</v>
      </c>
      <c r="P73" s="131">
        <f t="shared" si="46"/>
        <v>16.19326217033916</v>
      </c>
      <c r="Q73" s="131">
        <f t="shared" si="46"/>
        <v>16.199537178409638</v>
      </c>
      <c r="R73" s="131">
        <f t="shared" si="46"/>
        <v>16.20581461809185</v>
      </c>
      <c r="S73" s="131">
        <f t="shared" si="46"/>
        <v>16.212094490328059</v>
      </c>
      <c r="T73" s="131">
        <f t="shared" si="46"/>
        <v>16.218376796060902</v>
      </c>
      <c r="U73" s="131">
        <f t="shared" si="46"/>
        <v>16.224661536233377</v>
      </c>
      <c r="V73" s="131">
        <f t="shared" si="46"/>
        <v>16.230948711788844</v>
      </c>
      <c r="W73" s="131">
        <f t="shared" si="46"/>
        <v>16.237238323671036</v>
      </c>
      <c r="X73" s="94"/>
      <c r="Y73" s="94"/>
      <c r="Z73" s="94"/>
      <c r="AA73" s="94"/>
      <c r="AB73" s="94"/>
      <c r="AC73" s="94"/>
      <c r="AD73" s="89"/>
    </row>
    <row r="74" spans="1:30" x14ac:dyDescent="0.2">
      <c r="A74" s="1557"/>
      <c r="B74" s="52">
        <v>45</v>
      </c>
      <c r="C74" s="262" t="str">
        <f>'DEM POT'!C74</f>
        <v>ABANCAY</v>
      </c>
      <c r="D74" s="262" t="str">
        <f>'DEM POT'!D74</f>
        <v>CURAHUASI</v>
      </c>
      <c r="E74" s="262" t="str">
        <f>'DEM POT'!E74</f>
        <v>ANTILLA</v>
      </c>
      <c r="F74" s="59">
        <v>2</v>
      </c>
      <c r="G74" s="59">
        <f>'DEM POT'!J74</f>
        <v>44.415968322937523</v>
      </c>
      <c r="H74" s="343">
        <f>'ACT ECON'!$Q$24</f>
        <v>0.748</v>
      </c>
      <c r="I74" s="131">
        <f t="shared" si="2"/>
        <v>33.22314430555727</v>
      </c>
      <c r="J74" s="131">
        <f t="shared" si="34"/>
        <v>33.692152174890339</v>
      </c>
      <c r="K74" s="131">
        <f t="shared" ref="K74:W74" si="47">+J74*(1+$I$18)</f>
        <v>33.70520813141011</v>
      </c>
      <c r="L74" s="131">
        <f t="shared" si="47"/>
        <v>33.718269147208957</v>
      </c>
      <c r="M74" s="131">
        <f t="shared" si="47"/>
        <v>33.731335224247395</v>
      </c>
      <c r="N74" s="131">
        <f t="shared" si="47"/>
        <v>33.744406364486686</v>
      </c>
      <c r="O74" s="131">
        <f t="shared" si="47"/>
        <v>33.757482569888865</v>
      </c>
      <c r="P74" s="131">
        <f t="shared" si="47"/>
        <v>33.770563842416713</v>
      </c>
      <c r="Q74" s="131">
        <f t="shared" si="47"/>
        <v>33.783650184033775</v>
      </c>
      <c r="R74" s="131">
        <f t="shared" si="47"/>
        <v>33.796741596704365</v>
      </c>
      <c r="S74" s="131">
        <f t="shared" si="47"/>
        <v>33.809838082393554</v>
      </c>
      <c r="T74" s="131">
        <f t="shared" si="47"/>
        <v>33.822939643067173</v>
      </c>
      <c r="U74" s="131">
        <f t="shared" si="47"/>
        <v>33.836046280691818</v>
      </c>
      <c r="V74" s="131">
        <f t="shared" si="47"/>
        <v>33.849157997234848</v>
      </c>
      <c r="W74" s="131">
        <f t="shared" si="47"/>
        <v>33.862274794664373</v>
      </c>
      <c r="X74" s="94"/>
      <c r="Y74" s="94"/>
      <c r="Z74" s="94"/>
      <c r="AA74" s="94"/>
      <c r="AB74" s="94"/>
      <c r="AC74" s="94"/>
      <c r="AD74" s="94"/>
    </row>
    <row r="75" spans="1:30" x14ac:dyDescent="0.2">
      <c r="A75" s="1557"/>
      <c r="B75" s="52">
        <v>46</v>
      </c>
      <c r="C75" s="262" t="str">
        <f>'DEM POT'!C75</f>
        <v>ABANCAY</v>
      </c>
      <c r="D75" s="262" t="str">
        <f>'DEM POT'!D75</f>
        <v>CURAHUASI</v>
      </c>
      <c r="E75" s="262" t="str">
        <f>'DEM POT'!E75</f>
        <v>CCOLLO TARANI</v>
      </c>
      <c r="F75" s="59">
        <v>5</v>
      </c>
      <c r="G75" s="59">
        <f>'DEM POT'!J75</f>
        <v>9.283665510122189</v>
      </c>
      <c r="H75" s="343">
        <f>'ACT ECON'!$Q$24</f>
        <v>0.748</v>
      </c>
      <c r="I75" s="131">
        <f t="shared" si="2"/>
        <v>6.9441818015713972</v>
      </c>
      <c r="J75" s="131">
        <f t="shared" si="34"/>
        <v>7.042212134915605</v>
      </c>
      <c r="K75" s="131">
        <f t="shared" ref="K75:W75" si="48">+J75*(1+$I$18)</f>
        <v>7.0449410438603115</v>
      </c>
      <c r="L75" s="131">
        <f t="shared" si="48"/>
        <v>7.0476710102772842</v>
      </c>
      <c r="M75" s="131">
        <f t="shared" si="48"/>
        <v>7.0504020345763019</v>
      </c>
      <c r="N75" s="131">
        <f t="shared" si="48"/>
        <v>7.0531341171673017</v>
      </c>
      <c r="O75" s="131">
        <f t="shared" si="48"/>
        <v>7.0558672584603794</v>
      </c>
      <c r="P75" s="131">
        <f t="shared" si="48"/>
        <v>7.0586014588657902</v>
      </c>
      <c r="Q75" s="131">
        <f t="shared" si="48"/>
        <v>7.0613367187939469</v>
      </c>
      <c r="R75" s="131">
        <f t="shared" si="48"/>
        <v>7.0640730386554234</v>
      </c>
      <c r="S75" s="131">
        <f t="shared" si="48"/>
        <v>7.0668104188609506</v>
      </c>
      <c r="T75" s="131">
        <f t="shared" si="48"/>
        <v>7.0695488598214205</v>
      </c>
      <c r="U75" s="131">
        <f t="shared" si="48"/>
        <v>7.0722883619478836</v>
      </c>
      <c r="V75" s="131">
        <f t="shared" si="48"/>
        <v>7.0750289256515488</v>
      </c>
      <c r="W75" s="131">
        <f t="shared" si="48"/>
        <v>7.0777705513437859</v>
      </c>
      <c r="X75" s="94"/>
      <c r="Y75" s="94"/>
      <c r="Z75" s="94"/>
      <c r="AA75" s="94"/>
      <c r="AB75" s="94"/>
      <c r="AC75" s="94"/>
      <c r="AD75" s="94"/>
    </row>
    <row r="76" spans="1:30" x14ac:dyDescent="0.2">
      <c r="A76" s="1557"/>
      <c r="B76" s="52">
        <v>47</v>
      </c>
      <c r="C76" s="262" t="str">
        <f>'DEM POT'!C76</f>
        <v>ABANCAY</v>
      </c>
      <c r="D76" s="262" t="str">
        <f>'DEM POT'!D76</f>
        <v>CURAHUASI</v>
      </c>
      <c r="E76" s="262" t="str">
        <f>'DEM POT'!E76</f>
        <v>HUANIMA</v>
      </c>
      <c r="F76" s="59"/>
      <c r="G76" s="59">
        <f>'DEM POT'!J76</f>
        <v>9.4656981671834064</v>
      </c>
      <c r="H76" s="343">
        <f>'ACT ECON'!$Q$24</f>
        <v>0.748</v>
      </c>
      <c r="I76" s="131">
        <f t="shared" si="2"/>
        <v>7.0803422290531879</v>
      </c>
      <c r="J76" s="131">
        <f t="shared" si="34"/>
        <v>7.1802947257963012</v>
      </c>
      <c r="K76" s="131">
        <f t="shared" ref="K76:W76" si="49">+J76*(1+$I$18)</f>
        <v>7.1830771427595312</v>
      </c>
      <c r="L76" s="131">
        <f t="shared" si="49"/>
        <v>7.1858606379297782</v>
      </c>
      <c r="M76" s="131">
        <f t="shared" si="49"/>
        <v>7.1886452117248556</v>
      </c>
      <c r="N76" s="131">
        <f t="shared" si="49"/>
        <v>7.1914308645627374</v>
      </c>
      <c r="O76" s="131">
        <f t="shared" si="49"/>
        <v>7.194217596861562</v>
      </c>
      <c r="P76" s="131">
        <f t="shared" si="49"/>
        <v>7.1970054090396278</v>
      </c>
      <c r="Q76" s="131">
        <f t="shared" si="49"/>
        <v>7.1997943015153956</v>
      </c>
      <c r="R76" s="131">
        <f t="shared" si="49"/>
        <v>7.2025842747074895</v>
      </c>
      <c r="S76" s="131">
        <f t="shared" si="49"/>
        <v>7.2053753290346938</v>
      </c>
      <c r="T76" s="131">
        <f t="shared" si="49"/>
        <v>7.2081674649159577</v>
      </c>
      <c r="U76" s="131">
        <f t="shared" si="49"/>
        <v>7.2109606827703905</v>
      </c>
      <c r="V76" s="131">
        <f t="shared" si="49"/>
        <v>7.2137549830172647</v>
      </c>
      <c r="W76" s="131">
        <f t="shared" si="49"/>
        <v>7.2165503660760155</v>
      </c>
      <c r="X76" s="94"/>
      <c r="Y76" s="94"/>
      <c r="Z76" s="94"/>
      <c r="AA76" s="94"/>
      <c r="AB76" s="94"/>
      <c r="AC76" s="94"/>
      <c r="AD76" s="94"/>
    </row>
    <row r="77" spans="1:30" x14ac:dyDescent="0.2">
      <c r="A77" s="1557"/>
      <c r="B77" s="52">
        <v>48</v>
      </c>
      <c r="C77" s="262" t="str">
        <f>'DEM POT'!C77</f>
        <v>ABANCAY</v>
      </c>
      <c r="D77" s="262" t="str">
        <f>'DEM POT'!D77</f>
        <v>CURAHUASI</v>
      </c>
      <c r="E77" s="262" t="str">
        <f>'DEM POT'!E77</f>
        <v>CCOLLPA</v>
      </c>
      <c r="F77" s="59"/>
      <c r="G77" s="59">
        <f>'DEM POT'!J77</f>
        <v>26.758800587999247</v>
      </c>
      <c r="H77" s="343">
        <f>'ACT ECON'!$Q$24</f>
        <v>0.748</v>
      </c>
      <c r="I77" s="131">
        <f t="shared" si="2"/>
        <v>20.015582839823438</v>
      </c>
      <c r="J77" s="131">
        <f t="shared" si="34"/>
        <v>20.298140859462624</v>
      </c>
      <c r="K77" s="131">
        <f t="shared" ref="K77:W77" si="50">+J77*(1+$I$18)</f>
        <v>20.306006538185599</v>
      </c>
      <c r="L77" s="131">
        <f t="shared" si="50"/>
        <v>20.313875264916874</v>
      </c>
      <c r="M77" s="131">
        <f t="shared" si="50"/>
        <v>20.321747040837572</v>
      </c>
      <c r="N77" s="131">
        <f t="shared" si="50"/>
        <v>20.329621867129276</v>
      </c>
      <c r="O77" s="131">
        <f t="shared" si="50"/>
        <v>20.337499744974028</v>
      </c>
      <c r="P77" s="131">
        <f t="shared" si="50"/>
        <v>20.345380675554328</v>
      </c>
      <c r="Q77" s="131">
        <f t="shared" si="50"/>
        <v>20.353264660053132</v>
      </c>
      <c r="R77" s="131">
        <f t="shared" si="50"/>
        <v>20.361151699653856</v>
      </c>
      <c r="S77" s="131">
        <f t="shared" si="50"/>
        <v>20.369041795540376</v>
      </c>
      <c r="T77" s="131">
        <f t="shared" si="50"/>
        <v>20.376934948897024</v>
      </c>
      <c r="U77" s="131">
        <f t="shared" si="50"/>
        <v>20.384831160908593</v>
      </c>
      <c r="V77" s="131">
        <f t="shared" si="50"/>
        <v>20.392730432760334</v>
      </c>
      <c r="W77" s="131">
        <f t="shared" si="50"/>
        <v>20.400632765637958</v>
      </c>
      <c r="X77" s="94"/>
      <c r="Y77" s="94"/>
      <c r="Z77" s="94"/>
      <c r="AA77" s="94"/>
      <c r="AB77" s="94"/>
      <c r="AC77" s="94"/>
      <c r="AD77" s="94"/>
    </row>
    <row r="78" spans="1:30" x14ac:dyDescent="0.2">
      <c r="A78" s="1557"/>
      <c r="B78" s="52">
        <v>49</v>
      </c>
      <c r="C78" s="262" t="str">
        <f>'DEM POT'!C78</f>
        <v>ABANCAY</v>
      </c>
      <c r="D78" s="262" t="str">
        <f>'DEM POT'!D78</f>
        <v>CURAHUASI</v>
      </c>
      <c r="E78" s="262" t="str">
        <f>'DEM POT'!E78</f>
        <v>TRANCAPATA BAJA</v>
      </c>
      <c r="F78" s="59"/>
      <c r="G78" s="59">
        <f>'DEM POT'!J78</f>
        <v>95.931210271262614</v>
      </c>
      <c r="H78" s="343">
        <f>'ACT ECON'!$Q$24</f>
        <v>0.748</v>
      </c>
      <c r="I78" s="131">
        <f t="shared" si="2"/>
        <v>71.75654528290444</v>
      </c>
      <c r="J78" s="131">
        <f t="shared" si="34"/>
        <v>72.769525394127925</v>
      </c>
      <c r="K78" s="131">
        <f t="shared" ref="K78:W78" si="51">+J78*(1+$I$18)</f>
        <v>72.797724119889892</v>
      </c>
      <c r="L78" s="131">
        <f t="shared" si="51"/>
        <v>72.825933772865284</v>
      </c>
      <c r="M78" s="131">
        <f t="shared" si="51"/>
        <v>72.854154357288465</v>
      </c>
      <c r="N78" s="131">
        <f t="shared" si="51"/>
        <v>72.882385877395464</v>
      </c>
      <c r="O78" s="131">
        <f t="shared" si="51"/>
        <v>72.91062833742393</v>
      </c>
      <c r="P78" s="131">
        <f t="shared" si="51"/>
        <v>72.938881741613173</v>
      </c>
      <c r="Q78" s="131">
        <f t="shared" si="51"/>
        <v>72.967146094204125</v>
      </c>
      <c r="R78" s="131">
        <f t="shared" si="51"/>
        <v>72.99542139943938</v>
      </c>
      <c r="S78" s="131">
        <f t="shared" si="51"/>
        <v>73.023707661563165</v>
      </c>
      <c r="T78" s="131">
        <f t="shared" si="51"/>
        <v>73.052004884821358</v>
      </c>
      <c r="U78" s="131">
        <f t="shared" si="51"/>
        <v>73.080313073461468</v>
      </c>
      <c r="V78" s="131">
        <f t="shared" si="51"/>
        <v>73.10863223173267</v>
      </c>
      <c r="W78" s="131">
        <f t="shared" si="51"/>
        <v>73.136962363885786</v>
      </c>
      <c r="X78" s="94"/>
      <c r="Y78" s="94"/>
      <c r="Z78" s="94"/>
      <c r="AA78" s="94"/>
      <c r="AB78" s="94"/>
      <c r="AC78" s="94"/>
      <c r="AD78" s="94"/>
    </row>
    <row r="79" spans="1:30" x14ac:dyDescent="0.2">
      <c r="A79" s="1557"/>
      <c r="B79" s="52">
        <v>50</v>
      </c>
      <c r="C79" s="262" t="str">
        <f>'DEM POT'!C79</f>
        <v>ABANCAY</v>
      </c>
      <c r="D79" s="262" t="str">
        <f>'DEM POT'!D79</f>
        <v>CURAHUASI</v>
      </c>
      <c r="E79" s="262" t="str">
        <f>'DEM POT'!E79</f>
        <v>CCOCHUA ALTA</v>
      </c>
      <c r="F79" s="59"/>
      <c r="G79" s="59">
        <f>'DEM POT'!J79</f>
        <v>51.151176634202649</v>
      </c>
      <c r="H79" s="343">
        <f>'ACT ECON'!$Q$24</f>
        <v>0.748</v>
      </c>
      <c r="I79" s="131">
        <f t="shared" si="2"/>
        <v>38.261080122383582</v>
      </c>
      <c r="J79" s="131">
        <f t="shared" si="34"/>
        <v>38.801208037476179</v>
      </c>
      <c r="K79" s="131">
        <f t="shared" ref="K79:W79" si="52">+J79*(1+$I$18)</f>
        <v>38.816243790681327</v>
      </c>
      <c r="L79" s="131">
        <f t="shared" si="52"/>
        <v>38.831285370351317</v>
      </c>
      <c r="M79" s="131">
        <f t="shared" si="52"/>
        <v>38.846332778743943</v>
      </c>
      <c r="N79" s="131">
        <f t="shared" si="52"/>
        <v>38.861386018117884</v>
      </c>
      <c r="O79" s="131">
        <f t="shared" si="52"/>
        <v>38.876445090732688</v>
      </c>
      <c r="P79" s="131">
        <f t="shared" si="52"/>
        <v>38.891509998848775</v>
      </c>
      <c r="Q79" s="131">
        <f t="shared" si="52"/>
        <v>38.906580744727442</v>
      </c>
      <c r="R79" s="131">
        <f t="shared" si="52"/>
        <v>38.921657330630872</v>
      </c>
      <c r="S79" s="131">
        <f t="shared" si="52"/>
        <v>38.936739758822114</v>
      </c>
      <c r="T79" s="131">
        <f t="shared" si="52"/>
        <v>38.9518280315651</v>
      </c>
      <c r="U79" s="131">
        <f t="shared" si="52"/>
        <v>38.966922151124628</v>
      </c>
      <c r="V79" s="131">
        <f t="shared" si="52"/>
        <v>38.982022119766391</v>
      </c>
      <c r="W79" s="131">
        <f t="shared" si="52"/>
        <v>38.99712793975695</v>
      </c>
      <c r="X79" s="94"/>
      <c r="Y79" s="94"/>
      <c r="Z79" s="94"/>
      <c r="AA79" s="94"/>
      <c r="AB79" s="94"/>
      <c r="AC79" s="94"/>
      <c r="AD79" s="94"/>
    </row>
    <row r="80" spans="1:30" x14ac:dyDescent="0.2">
      <c r="A80" s="1557"/>
      <c r="B80" s="52">
        <v>51</v>
      </c>
      <c r="C80" s="262" t="str">
        <f>'DEM POT'!C80</f>
        <v>ABANCAY</v>
      </c>
      <c r="D80" s="262" t="str">
        <f>'DEM POT'!D80</f>
        <v>CURAHUASI</v>
      </c>
      <c r="E80" s="262" t="str">
        <f>'DEM POT'!E80</f>
        <v>CHILLICPAMPA</v>
      </c>
      <c r="F80" s="59">
        <v>19</v>
      </c>
      <c r="G80" s="59">
        <f>'DEM POT'!J80</f>
        <v>9.4656981671834064</v>
      </c>
      <c r="H80" s="343">
        <f>'ACT ECON'!$Q$24</f>
        <v>0.748</v>
      </c>
      <c r="I80" s="131">
        <f t="shared" si="2"/>
        <v>7.0803422290531879</v>
      </c>
      <c r="J80" s="131">
        <f t="shared" si="34"/>
        <v>7.1802947257963012</v>
      </c>
      <c r="K80" s="131">
        <f t="shared" ref="K80:W80" si="53">+J80*(1+$I$18)</f>
        <v>7.1830771427595312</v>
      </c>
      <c r="L80" s="131">
        <f t="shared" si="53"/>
        <v>7.1858606379297782</v>
      </c>
      <c r="M80" s="131">
        <f t="shared" si="53"/>
        <v>7.1886452117248556</v>
      </c>
      <c r="N80" s="131">
        <f t="shared" si="53"/>
        <v>7.1914308645627374</v>
      </c>
      <c r="O80" s="131">
        <f t="shared" si="53"/>
        <v>7.194217596861562</v>
      </c>
      <c r="P80" s="131">
        <f t="shared" si="53"/>
        <v>7.1970054090396278</v>
      </c>
      <c r="Q80" s="131">
        <f t="shared" si="53"/>
        <v>7.1997943015153956</v>
      </c>
      <c r="R80" s="131">
        <f t="shared" si="53"/>
        <v>7.2025842747074895</v>
      </c>
      <c r="S80" s="131">
        <f t="shared" si="53"/>
        <v>7.2053753290346938</v>
      </c>
      <c r="T80" s="131">
        <f t="shared" si="53"/>
        <v>7.2081674649159577</v>
      </c>
      <c r="U80" s="131">
        <f t="shared" si="53"/>
        <v>7.2109606827703905</v>
      </c>
      <c r="V80" s="131">
        <f t="shared" si="53"/>
        <v>7.2137549830172647</v>
      </c>
      <c r="W80" s="131">
        <f t="shared" si="53"/>
        <v>7.2165503660760155</v>
      </c>
      <c r="X80" s="94"/>
      <c r="Y80" s="94"/>
      <c r="Z80" s="94"/>
      <c r="AA80" s="94"/>
      <c r="AB80" s="94"/>
      <c r="AC80" s="94"/>
      <c r="AD80" s="94"/>
    </row>
    <row r="81" spans="1:30" x14ac:dyDescent="0.2">
      <c r="A81" s="1557"/>
      <c r="B81" s="52">
        <v>52</v>
      </c>
      <c r="C81" s="262" t="str">
        <f>'DEM POT'!C81</f>
        <v>ABANCAY</v>
      </c>
      <c r="D81" s="262" t="str">
        <f>'DEM POT'!D81</f>
        <v>CURAHUASI</v>
      </c>
      <c r="E81" s="262" t="str">
        <f>'DEM POT'!E81</f>
        <v>TRIGO ORCCO</v>
      </c>
      <c r="F81" s="59">
        <v>15</v>
      </c>
      <c r="G81" s="59">
        <f>'DEM POT'!J81</f>
        <v>32.401812956897047</v>
      </c>
      <c r="H81" s="343">
        <f>'ACT ECON'!$Q$24</f>
        <v>0.748</v>
      </c>
      <c r="I81" s="131">
        <f t="shared" si="2"/>
        <v>24.236556091758992</v>
      </c>
      <c r="J81" s="131">
        <f t="shared" si="34"/>
        <v>24.578701176764266</v>
      </c>
      <c r="K81" s="131">
        <f t="shared" ref="K81:W81" si="54">+J81*(1+$I$18)</f>
        <v>24.588225604061474</v>
      </c>
      <c r="L81" s="131">
        <f t="shared" si="54"/>
        <v>24.597753722144244</v>
      </c>
      <c r="M81" s="131">
        <f t="shared" si="54"/>
        <v>24.607285532442777</v>
      </c>
      <c r="N81" s="131">
        <f t="shared" si="54"/>
        <v>24.616821036387837</v>
      </c>
      <c r="O81" s="131">
        <f t="shared" si="54"/>
        <v>24.626360235410736</v>
      </c>
      <c r="P81" s="131">
        <f t="shared" si="54"/>
        <v>24.635903130943344</v>
      </c>
      <c r="Q81" s="131">
        <f t="shared" si="54"/>
        <v>24.645449724418089</v>
      </c>
      <c r="R81" s="131">
        <f t="shared" si="54"/>
        <v>24.655000017267948</v>
      </c>
      <c r="S81" s="131">
        <f t="shared" si="54"/>
        <v>24.664554010926455</v>
      </c>
      <c r="T81" s="131">
        <f t="shared" si="54"/>
        <v>24.674111706827706</v>
      </c>
      <c r="U81" s="131">
        <f t="shared" si="54"/>
        <v>24.683673106406342</v>
      </c>
      <c r="V81" s="131">
        <f t="shared" si="54"/>
        <v>24.693238211097565</v>
      </c>
      <c r="W81" s="131">
        <f t="shared" si="54"/>
        <v>24.702807022337137</v>
      </c>
      <c r="X81" s="94"/>
      <c r="Y81" s="94"/>
      <c r="Z81" s="94"/>
      <c r="AA81" s="94"/>
      <c r="AB81" s="94"/>
      <c r="AC81" s="94"/>
      <c r="AD81" s="94"/>
    </row>
    <row r="82" spans="1:30" x14ac:dyDescent="0.2">
      <c r="A82" s="1557"/>
      <c r="B82" s="52">
        <v>53</v>
      </c>
      <c r="C82" s="262" t="str">
        <f>'DEM POT'!C82</f>
        <v>ABANCAY</v>
      </c>
      <c r="D82" s="262" t="str">
        <f>'DEM POT'!D82</f>
        <v>CURAHUASI</v>
      </c>
      <c r="E82" s="262" t="str">
        <f>'DEM POT'!E82</f>
        <v>CCOC HUA CENTRO</v>
      </c>
      <c r="F82" s="59">
        <v>10</v>
      </c>
      <c r="G82" s="59">
        <f>'DEM POT'!J82</f>
        <v>34.222139527509242</v>
      </c>
      <c r="H82" s="343">
        <f>'ACT ECON'!$Q$24</f>
        <v>0.748</v>
      </c>
      <c r="I82" s="131">
        <f t="shared" si="2"/>
        <v>25.598160366576913</v>
      </c>
      <c r="J82" s="131">
        <f t="shared" si="34"/>
        <v>25.959527085571246</v>
      </c>
      <c r="K82" s="131">
        <f t="shared" ref="K82:W82" si="55">+J82*(1+$I$18)</f>
        <v>25.969586593053691</v>
      </c>
      <c r="L82" s="131">
        <f t="shared" si="55"/>
        <v>25.979649998669199</v>
      </c>
      <c r="M82" s="131">
        <f t="shared" si="55"/>
        <v>25.989717303928323</v>
      </c>
      <c r="N82" s="131">
        <f t="shared" si="55"/>
        <v>25.999788510342203</v>
      </c>
      <c r="O82" s="131">
        <f t="shared" si="55"/>
        <v>26.009863619422568</v>
      </c>
      <c r="P82" s="131">
        <f t="shared" si="55"/>
        <v>26.019942632681726</v>
      </c>
      <c r="Q82" s="131">
        <f t="shared" si="55"/>
        <v>26.03002555163258</v>
      </c>
      <c r="R82" s="131">
        <f t="shared" si="55"/>
        <v>26.04011237778861</v>
      </c>
      <c r="S82" s="131">
        <f t="shared" si="55"/>
        <v>26.050203112663887</v>
      </c>
      <c r="T82" s="131">
        <f t="shared" si="55"/>
        <v>26.060297757773071</v>
      </c>
      <c r="U82" s="131">
        <f t="shared" si="55"/>
        <v>26.070396314631406</v>
      </c>
      <c r="V82" s="131">
        <f t="shared" si="55"/>
        <v>26.08049878475472</v>
      </c>
      <c r="W82" s="131">
        <f t="shared" si="55"/>
        <v>26.090605169659437</v>
      </c>
      <c r="X82" s="94"/>
      <c r="Y82" s="94"/>
      <c r="Z82" s="94"/>
      <c r="AA82" s="94"/>
      <c r="AB82" s="94"/>
      <c r="AC82" s="94"/>
      <c r="AD82" s="94"/>
    </row>
    <row r="83" spans="1:30" x14ac:dyDescent="0.2">
      <c r="A83" s="1557"/>
      <c r="B83" s="52">
        <v>54</v>
      </c>
      <c r="C83" s="262" t="str">
        <f>'DEM POT'!C83</f>
        <v>ABANCAY</v>
      </c>
      <c r="D83" s="262" t="str">
        <f>'DEM POT'!D83</f>
        <v>CURAHUASI</v>
      </c>
      <c r="E83" s="262" t="str">
        <f>'DEM POT'!E83</f>
        <v>SULBARIO</v>
      </c>
      <c r="F83" s="59">
        <v>10</v>
      </c>
      <c r="G83" s="59">
        <f>'DEM POT'!J83</f>
        <v>21.11578821910145</v>
      </c>
      <c r="H83" s="343">
        <f>'ACT ECON'!$Q$24</f>
        <v>0.748</v>
      </c>
      <c r="I83" s="131">
        <f t="shared" si="2"/>
        <v>15.794609587887885</v>
      </c>
      <c r="J83" s="131">
        <f t="shared" si="34"/>
        <v>16.017580542160985</v>
      </c>
      <c r="K83" s="131">
        <f t="shared" ref="K83:W83" si="56">+J83*(1+$I$18)</f>
        <v>16.023787472309728</v>
      </c>
      <c r="L83" s="131">
        <f t="shared" si="56"/>
        <v>16.029996807689511</v>
      </c>
      <c r="M83" s="131">
        <f t="shared" si="56"/>
        <v>16.036208549232374</v>
      </c>
      <c r="N83" s="131">
        <f t="shared" si="56"/>
        <v>16.042422697870727</v>
      </c>
      <c r="O83" s="131">
        <f t="shared" si="56"/>
        <v>16.048639254537335</v>
      </c>
      <c r="P83" s="131">
        <f t="shared" si="56"/>
        <v>16.054858220165325</v>
      </c>
      <c r="Q83" s="131">
        <f t="shared" si="56"/>
        <v>16.061079595688192</v>
      </c>
      <c r="R83" s="131">
        <f t="shared" si="56"/>
        <v>16.067303382039785</v>
      </c>
      <c r="S83" s="131">
        <f t="shared" si="56"/>
        <v>16.073529580154318</v>
      </c>
      <c r="T83" s="131">
        <f t="shared" si="56"/>
        <v>16.079758190966366</v>
      </c>
      <c r="U83" s="131">
        <f t="shared" si="56"/>
        <v>16.085989215410869</v>
      </c>
      <c r="V83" s="131">
        <f t="shared" si="56"/>
        <v>16.092222654423129</v>
      </c>
      <c r="W83" s="131">
        <f t="shared" si="56"/>
        <v>16.098458508938805</v>
      </c>
      <c r="X83" s="94"/>
      <c r="Y83" s="94"/>
      <c r="Z83" s="94"/>
      <c r="AA83" s="94"/>
      <c r="AB83" s="94"/>
      <c r="AC83" s="94"/>
      <c r="AD83" s="94"/>
    </row>
    <row r="84" spans="1:30" x14ac:dyDescent="0.2">
      <c r="A84" s="1554">
        <v>7</v>
      </c>
      <c r="B84" s="52">
        <v>55</v>
      </c>
      <c r="C84" s="262" t="str">
        <f>'DEM POT'!C84</f>
        <v>ABANCAY</v>
      </c>
      <c r="D84" s="262" t="str">
        <f>'DEM POT'!D84</f>
        <v>HUANIPACA</v>
      </c>
      <c r="E84" s="262" t="str">
        <f>'DEM POT'!E84</f>
        <v>HUANIPACA</v>
      </c>
      <c r="F84" s="59">
        <v>20</v>
      </c>
      <c r="G84" s="59">
        <f>'DEM POT'!J84</f>
        <v>113.40634534913968</v>
      </c>
      <c r="H84" s="343">
        <f>'ACT ECON'!$Q$24</f>
        <v>0.748</v>
      </c>
      <c r="I84" s="131">
        <f t="shared" si="2"/>
        <v>84.827946321156489</v>
      </c>
      <c r="J84" s="131">
        <f t="shared" si="34"/>
        <v>86.025454118674944</v>
      </c>
      <c r="K84" s="131">
        <f t="shared" ref="K84:W84" si="57">+J84*(1+$I$18)</f>
        <v>86.058789614215172</v>
      </c>
      <c r="L84" s="131">
        <f t="shared" si="57"/>
        <v>86.092138027504859</v>
      </c>
      <c r="M84" s="131">
        <f t="shared" si="57"/>
        <v>86.125499363549721</v>
      </c>
      <c r="N84" s="131">
        <f t="shared" si="57"/>
        <v>86.158873627357423</v>
      </c>
      <c r="O84" s="131">
        <f t="shared" si="57"/>
        <v>86.192260823937573</v>
      </c>
      <c r="P84" s="131">
        <f t="shared" si="57"/>
        <v>86.225660958301702</v>
      </c>
      <c r="Q84" s="131">
        <f t="shared" si="57"/>
        <v>86.2590740354633</v>
      </c>
      <c r="R84" s="131">
        <f t="shared" si="57"/>
        <v>86.292500060437803</v>
      </c>
      <c r="S84" s="131">
        <f t="shared" si="57"/>
        <v>86.325939038242581</v>
      </c>
      <c r="T84" s="131">
        <f t="shared" si="57"/>
        <v>86.35939097389695</v>
      </c>
      <c r="U84" s="131">
        <f t="shared" si="57"/>
        <v>86.392855872422174</v>
      </c>
      <c r="V84" s="131">
        <f t="shared" si="57"/>
        <v>86.426333738841464</v>
      </c>
      <c r="W84" s="131">
        <f t="shared" si="57"/>
        <v>86.459824578179962</v>
      </c>
      <c r="X84" s="94"/>
      <c r="Y84" s="94"/>
      <c r="Z84" s="94"/>
      <c r="AA84" s="94"/>
      <c r="AB84" s="94"/>
      <c r="AC84" s="94"/>
      <c r="AD84" s="94"/>
    </row>
    <row r="85" spans="1:30" x14ac:dyDescent="0.2">
      <c r="A85" s="1554"/>
      <c r="B85" s="52">
        <v>56</v>
      </c>
      <c r="C85" s="262" t="str">
        <f>'DEM POT'!C85</f>
        <v>ABANCAY</v>
      </c>
      <c r="D85" s="262" t="str">
        <f>'DEM POT'!D85</f>
        <v>HUANIPACA</v>
      </c>
      <c r="E85" s="262" t="str">
        <f>'DEM POT'!E85</f>
        <v>TACMARA</v>
      </c>
      <c r="F85" s="59">
        <v>10</v>
      </c>
      <c r="G85" s="59">
        <f>'DEM POT'!J85</f>
        <v>59.524678859018735</v>
      </c>
      <c r="H85" s="343">
        <f>'ACT ECON'!$Q$24</f>
        <v>0.748</v>
      </c>
      <c r="I85" s="131">
        <f t="shared" si="2"/>
        <v>44.524459786546011</v>
      </c>
      <c r="J85" s="131">
        <f t="shared" si="34"/>
        <v>45.153007217988282</v>
      </c>
      <c r="K85" s="131">
        <f t="shared" ref="K85:W85" si="58">+J85*(1+$I$18)</f>
        <v>45.170504340045518</v>
      </c>
      <c r="L85" s="131">
        <f t="shared" si="58"/>
        <v>45.188008242366109</v>
      </c>
      <c r="M85" s="131">
        <f t="shared" si="58"/>
        <v>45.205518927577458</v>
      </c>
      <c r="N85" s="131">
        <f t="shared" si="58"/>
        <v>45.223036398307983</v>
      </c>
      <c r="O85" s="131">
        <f t="shared" si="58"/>
        <v>45.240560657187125</v>
      </c>
      <c r="P85" s="131">
        <f t="shared" si="58"/>
        <v>45.258091706845342</v>
      </c>
      <c r="Q85" s="131">
        <f t="shared" si="58"/>
        <v>45.275629549914115</v>
      </c>
      <c r="R85" s="131">
        <f t="shared" si="58"/>
        <v>45.293174189025933</v>
      </c>
      <c r="S85" s="131">
        <f t="shared" si="58"/>
        <v>45.310725626814317</v>
      </c>
      <c r="T85" s="131">
        <f t="shared" si="58"/>
        <v>45.328283865913804</v>
      </c>
      <c r="U85" s="131">
        <f t="shared" si="58"/>
        <v>45.345848908959951</v>
      </c>
      <c r="V85" s="131">
        <f t="shared" si="58"/>
        <v>45.363420758589335</v>
      </c>
      <c r="W85" s="131">
        <f t="shared" si="58"/>
        <v>45.380999417439561</v>
      </c>
      <c r="X85" s="94"/>
      <c r="Y85" s="94"/>
      <c r="Z85" s="94"/>
      <c r="AA85" s="94"/>
      <c r="AB85" s="94"/>
      <c r="AC85" s="94"/>
      <c r="AD85" s="94"/>
    </row>
    <row r="86" spans="1:30" x14ac:dyDescent="0.2">
      <c r="A86" s="1554"/>
      <c r="B86" s="52">
        <v>57</v>
      </c>
      <c r="C86" s="262" t="str">
        <f>'DEM POT'!C86</f>
        <v>ABANCAY</v>
      </c>
      <c r="D86" s="262" t="str">
        <f>'DEM POT'!D86</f>
        <v>HUANIPACA</v>
      </c>
      <c r="E86" s="262" t="str">
        <f>'DEM POT'!E86</f>
        <v>CCOTAQUI</v>
      </c>
      <c r="F86" s="59">
        <v>10</v>
      </c>
      <c r="G86" s="59">
        <f>'DEM POT'!J86</f>
        <v>15.472775850203648</v>
      </c>
      <c r="H86" s="343">
        <f>'ACT ECON'!$Q$24</f>
        <v>0.748</v>
      </c>
      <c r="I86" s="131">
        <f t="shared" si="2"/>
        <v>11.57363633595233</v>
      </c>
      <c r="J86" s="131">
        <f t="shared" si="34"/>
        <v>11.737020224859343</v>
      </c>
      <c r="K86" s="131">
        <f t="shared" ref="K86:W86" si="59">+J86*(1+$I$18)</f>
        <v>11.741568406433853</v>
      </c>
      <c r="L86" s="131">
        <f t="shared" si="59"/>
        <v>11.74611835046214</v>
      </c>
      <c r="M86" s="131">
        <f t="shared" si="59"/>
        <v>11.75067005762717</v>
      </c>
      <c r="N86" s="131">
        <f t="shared" si="59"/>
        <v>11.75522352861217</v>
      </c>
      <c r="O86" s="131">
        <f t="shared" si="59"/>
        <v>11.759778764100632</v>
      </c>
      <c r="P86" s="131">
        <f t="shared" si="59"/>
        <v>11.764335764776316</v>
      </c>
      <c r="Q86" s="131">
        <f t="shared" si="59"/>
        <v>11.768894531323244</v>
      </c>
      <c r="R86" s="131">
        <f t="shared" si="59"/>
        <v>11.773455064425706</v>
      </c>
      <c r="S86" s="131">
        <f t="shared" si="59"/>
        <v>11.778017364768251</v>
      </c>
      <c r="T86" s="131">
        <f t="shared" si="59"/>
        <v>11.782581433035702</v>
      </c>
      <c r="U86" s="131">
        <f t="shared" si="59"/>
        <v>11.78714726991314</v>
      </c>
      <c r="V86" s="131">
        <f t="shared" si="59"/>
        <v>11.791714876085916</v>
      </c>
      <c r="W86" s="131">
        <f t="shared" si="59"/>
        <v>11.796284252239644</v>
      </c>
      <c r="X86" s="94"/>
      <c r="Y86" s="94"/>
      <c r="Z86" s="94"/>
      <c r="AA86" s="94"/>
      <c r="AB86" s="94"/>
      <c r="AC86" s="94"/>
      <c r="AD86" s="94"/>
    </row>
    <row r="87" spans="1:30" x14ac:dyDescent="0.2">
      <c r="A87" s="1554"/>
      <c r="B87" s="52">
        <v>58</v>
      </c>
      <c r="C87" s="262" t="str">
        <f>'DEM POT'!C87</f>
        <v>ABANCAY</v>
      </c>
      <c r="D87" s="262" t="str">
        <f>'DEM POT'!D87</f>
        <v>HUANIPACA</v>
      </c>
      <c r="E87" s="262" t="str">
        <f>'DEM POT'!E87</f>
        <v>LIMANQUI</v>
      </c>
      <c r="F87" s="59">
        <v>10</v>
      </c>
      <c r="G87" s="59">
        <f>'DEM POT'!J87</f>
        <v>25.302539331509493</v>
      </c>
      <c r="H87" s="343">
        <f>'ACT ECON'!$Q$24</f>
        <v>0.748</v>
      </c>
      <c r="I87" s="131">
        <f t="shared" si="2"/>
        <v>18.926299419969101</v>
      </c>
      <c r="J87" s="131">
        <f t="shared" si="34"/>
        <v>19.19348013241704</v>
      </c>
      <c r="K87" s="131">
        <f t="shared" ref="K87:W87" si="60">+J87*(1+$I$18)</f>
        <v>19.200917746991827</v>
      </c>
      <c r="L87" s="131">
        <f t="shared" si="60"/>
        <v>19.20835824369691</v>
      </c>
      <c r="M87" s="131">
        <f t="shared" si="60"/>
        <v>19.215801623649135</v>
      </c>
      <c r="N87" s="131">
        <f t="shared" si="60"/>
        <v>19.22324788796578</v>
      </c>
      <c r="O87" s="131">
        <f t="shared" si="60"/>
        <v>19.230697037764561</v>
      </c>
      <c r="P87" s="131">
        <f t="shared" si="60"/>
        <v>19.238149074163619</v>
      </c>
      <c r="Q87" s="131">
        <f t="shared" si="60"/>
        <v>19.245603998281538</v>
      </c>
      <c r="R87" s="131">
        <f t="shared" si="60"/>
        <v>19.253061811237327</v>
      </c>
      <c r="S87" s="131">
        <f t="shared" si="60"/>
        <v>19.260522514150431</v>
      </c>
      <c r="T87" s="131">
        <f t="shared" si="60"/>
        <v>19.267986108140732</v>
      </c>
      <c r="U87" s="131">
        <f t="shared" si="60"/>
        <v>19.275452594328542</v>
      </c>
      <c r="V87" s="131">
        <f t="shared" si="60"/>
        <v>19.282921973834611</v>
      </c>
      <c r="W87" s="131">
        <f t="shared" si="60"/>
        <v>19.290394247780117</v>
      </c>
      <c r="X87" s="337">
        <f>SUM(W84:W90)</f>
        <v>201.36951117646731</v>
      </c>
      <c r="Y87" s="94"/>
      <c r="Z87" s="94"/>
      <c r="AA87" s="94"/>
      <c r="AB87" s="94"/>
      <c r="AC87" s="94"/>
      <c r="AD87" s="94"/>
    </row>
    <row r="88" spans="1:30" x14ac:dyDescent="0.2">
      <c r="A88" s="1554"/>
      <c r="B88" s="52">
        <v>59</v>
      </c>
      <c r="C88" s="262" t="str">
        <f>'DEM POT'!C88</f>
        <v>ABANCAY</v>
      </c>
      <c r="D88" s="262" t="str">
        <f>'DEM POT'!D88</f>
        <v>HUANIPACA</v>
      </c>
      <c r="E88" s="262" t="str">
        <f>'DEM POT'!E88</f>
        <v>HUANCHULLA</v>
      </c>
      <c r="F88" s="59">
        <v>20</v>
      </c>
      <c r="G88" s="59">
        <f>'DEM POT'!J88</f>
        <v>19.477494305550472</v>
      </c>
      <c r="H88" s="343">
        <f>'ACT ECON'!$Q$24</f>
        <v>0.748</v>
      </c>
      <c r="I88" s="131">
        <f t="shared" si="2"/>
        <v>14.569165740551753</v>
      </c>
      <c r="J88" s="131">
        <f t="shared" si="34"/>
        <v>14.774837224234698</v>
      </c>
      <c r="K88" s="131">
        <f t="shared" ref="K88:W88" si="61">+J88*(1+$I$18)</f>
        <v>14.78056258221673</v>
      </c>
      <c r="L88" s="131">
        <f t="shared" si="61"/>
        <v>14.786290158817046</v>
      </c>
      <c r="M88" s="131">
        <f t="shared" si="61"/>
        <v>14.792019954895377</v>
      </c>
      <c r="N88" s="131">
        <f t="shared" si="61"/>
        <v>14.797751971311788</v>
      </c>
      <c r="O88" s="131">
        <f t="shared" si="61"/>
        <v>14.803486208926676</v>
      </c>
      <c r="P88" s="131">
        <f t="shared" si="61"/>
        <v>14.809222668600773</v>
      </c>
      <c r="Q88" s="131">
        <f t="shared" si="61"/>
        <v>14.814961351195141</v>
      </c>
      <c r="R88" s="131">
        <f t="shared" si="61"/>
        <v>14.820702257571179</v>
      </c>
      <c r="S88" s="131">
        <f t="shared" si="61"/>
        <v>14.826445388590619</v>
      </c>
      <c r="T88" s="131">
        <f t="shared" si="61"/>
        <v>14.832190745115527</v>
      </c>
      <c r="U88" s="131">
        <f t="shared" si="61"/>
        <v>14.837938328008303</v>
      </c>
      <c r="V88" s="131">
        <f t="shared" si="61"/>
        <v>14.843688138131679</v>
      </c>
      <c r="W88" s="131">
        <f t="shared" si="61"/>
        <v>14.849440176348724</v>
      </c>
      <c r="X88" s="94"/>
      <c r="Y88" s="94"/>
      <c r="Z88" s="94"/>
      <c r="AA88" s="94"/>
      <c r="AB88" s="94"/>
      <c r="AC88" s="94"/>
      <c r="AD88" s="94"/>
    </row>
    <row r="89" spans="1:30" x14ac:dyDescent="0.2">
      <c r="A89" s="1554"/>
      <c r="B89" s="52">
        <v>60</v>
      </c>
      <c r="C89" s="262" t="str">
        <f>'DEM POT'!C89</f>
        <v>ABANCAY</v>
      </c>
      <c r="D89" s="262" t="str">
        <f>'DEM POT'!D89</f>
        <v>HUANIPACA</v>
      </c>
      <c r="E89" s="262" t="str">
        <f>'DEM POT'!E89</f>
        <v>CHAQUICCOCHA</v>
      </c>
      <c r="F89" s="59">
        <v>20</v>
      </c>
      <c r="G89" s="59">
        <f>'DEM POT'!J89</f>
        <v>9.283665510122189</v>
      </c>
      <c r="H89" s="343">
        <f>'ACT ECON'!$Q$24</f>
        <v>0.748</v>
      </c>
      <c r="I89" s="131">
        <f t="shared" si="2"/>
        <v>6.9441818015713972</v>
      </c>
      <c r="J89" s="131">
        <f t="shared" si="34"/>
        <v>7.042212134915605</v>
      </c>
      <c r="K89" s="131">
        <f t="shared" ref="K89:W89" si="62">+J89*(1+$I$18)</f>
        <v>7.0449410438603115</v>
      </c>
      <c r="L89" s="131">
        <f t="shared" si="62"/>
        <v>7.0476710102772842</v>
      </c>
      <c r="M89" s="131">
        <f t="shared" si="62"/>
        <v>7.0504020345763019</v>
      </c>
      <c r="N89" s="131">
        <f t="shared" si="62"/>
        <v>7.0531341171673017</v>
      </c>
      <c r="O89" s="131">
        <f t="shared" si="62"/>
        <v>7.0558672584603794</v>
      </c>
      <c r="P89" s="131">
        <f t="shared" si="62"/>
        <v>7.0586014588657902</v>
      </c>
      <c r="Q89" s="131">
        <f t="shared" si="62"/>
        <v>7.0613367187939469</v>
      </c>
      <c r="R89" s="131">
        <f t="shared" si="62"/>
        <v>7.0640730386554234</v>
      </c>
      <c r="S89" s="131">
        <f t="shared" si="62"/>
        <v>7.0668104188609506</v>
      </c>
      <c r="T89" s="131">
        <f t="shared" si="62"/>
        <v>7.0695488598214205</v>
      </c>
      <c r="U89" s="131">
        <f t="shared" si="62"/>
        <v>7.0722883619478836</v>
      </c>
      <c r="V89" s="131">
        <f t="shared" si="62"/>
        <v>7.0750289256515488</v>
      </c>
      <c r="W89" s="131">
        <f t="shared" si="62"/>
        <v>7.0777705513437859</v>
      </c>
      <c r="X89" s="94"/>
      <c r="Y89" s="94"/>
      <c r="Z89" s="94"/>
      <c r="AA89" s="94"/>
      <c r="AB89" s="94"/>
      <c r="AC89" s="94"/>
      <c r="AD89" s="94"/>
    </row>
    <row r="90" spans="1:30" x14ac:dyDescent="0.2">
      <c r="A90" s="1554"/>
      <c r="B90" s="52">
        <v>61</v>
      </c>
      <c r="C90" s="262" t="str">
        <f>'DEM POT'!C90</f>
        <v>ABANCAY</v>
      </c>
      <c r="D90" s="262" t="str">
        <f>'DEM POT'!D90</f>
        <v>HUANIPACA</v>
      </c>
      <c r="E90" s="262" t="str">
        <f>'DEM POT'!E90</f>
        <v>SORCCA</v>
      </c>
      <c r="F90" s="59">
        <v>1</v>
      </c>
      <c r="G90" s="59">
        <f>'DEM POT'!J90</f>
        <v>21.661886190285106</v>
      </c>
      <c r="H90" s="343">
        <f>'ACT ECON'!$Q$24</f>
        <v>0.748</v>
      </c>
      <c r="I90" s="131">
        <f t="shared" si="2"/>
        <v>16.203090870333259</v>
      </c>
      <c r="J90" s="131">
        <f t="shared" si="34"/>
        <v>16.431828314803077</v>
      </c>
      <c r="K90" s="131">
        <f t="shared" ref="K90:W90" si="63">+J90*(1+$I$18)</f>
        <v>16.438195769007393</v>
      </c>
      <c r="L90" s="131">
        <f t="shared" si="63"/>
        <v>16.444565690646996</v>
      </c>
      <c r="M90" s="131">
        <f t="shared" si="63"/>
        <v>16.450938080678039</v>
      </c>
      <c r="N90" s="131">
        <f t="shared" si="63"/>
        <v>16.45731294005704</v>
      </c>
      <c r="O90" s="131">
        <f t="shared" si="63"/>
        <v>16.463690269740887</v>
      </c>
      <c r="P90" s="131">
        <f t="shared" si="63"/>
        <v>16.470070070686845</v>
      </c>
      <c r="Q90" s="131">
        <f t="shared" si="63"/>
        <v>16.476452343852543</v>
      </c>
      <c r="R90" s="131">
        <f t="shared" si="63"/>
        <v>16.482837090195989</v>
      </c>
      <c r="S90" s="131">
        <f t="shared" si="63"/>
        <v>16.489224310675553</v>
      </c>
      <c r="T90" s="131">
        <f t="shared" si="63"/>
        <v>16.495614006249983</v>
      </c>
      <c r="U90" s="131">
        <f t="shared" si="63"/>
        <v>16.502006177878396</v>
      </c>
      <c r="V90" s="131">
        <f t="shared" si="63"/>
        <v>16.508400826520283</v>
      </c>
      <c r="W90" s="131">
        <f t="shared" si="63"/>
        <v>16.514797953135503</v>
      </c>
      <c r="X90" s="94"/>
      <c r="Y90" s="94"/>
      <c r="Z90" s="94"/>
      <c r="AA90" s="94"/>
      <c r="AB90" s="94"/>
      <c r="AC90" s="94"/>
      <c r="AD90" s="94"/>
    </row>
    <row r="91" spans="1:30" ht="15" customHeight="1" x14ac:dyDescent="0.2">
      <c r="A91" s="1549">
        <v>8</v>
      </c>
      <c r="B91" s="52">
        <v>62</v>
      </c>
      <c r="C91" s="262" t="str">
        <f>'DEM POT'!C91</f>
        <v>ABANCAY</v>
      </c>
      <c r="D91" s="262" t="str">
        <f>'DEM POT'!D91</f>
        <v>SAN PEDRO DE CACHORA</v>
      </c>
      <c r="E91" s="262" t="str">
        <f>'DEM POT'!E91</f>
        <v>ACCO</v>
      </c>
      <c r="F91" s="59">
        <v>7</v>
      </c>
      <c r="G91" s="59">
        <f>'DEM POT'!J91</f>
        <v>10.921959423673162</v>
      </c>
      <c r="H91" s="343">
        <f>'ACT ECON'!$Q$24</f>
        <v>0.748</v>
      </c>
      <c r="I91" s="131">
        <f t="shared" si="2"/>
        <v>8.169625648907525</v>
      </c>
      <c r="J91" s="131">
        <f t="shared" si="34"/>
        <v>8.2849554528418867</v>
      </c>
      <c r="K91" s="131">
        <f t="shared" ref="K91:W91" si="64">+J91*(1+$I$18)</f>
        <v>8.2881659339533051</v>
      </c>
      <c r="L91" s="131">
        <f t="shared" si="64"/>
        <v>8.2913776591497435</v>
      </c>
      <c r="M91" s="131">
        <f t="shared" si="64"/>
        <v>8.2945906289132942</v>
      </c>
      <c r="N91" s="131">
        <f t="shared" si="64"/>
        <v>8.2978048437262348</v>
      </c>
      <c r="O91" s="131">
        <f t="shared" si="64"/>
        <v>8.3010203040710326</v>
      </c>
      <c r="P91" s="131">
        <f t="shared" si="64"/>
        <v>8.3042370104303398</v>
      </c>
      <c r="Q91" s="131">
        <f t="shared" si="64"/>
        <v>8.307454963286995</v>
      </c>
      <c r="R91" s="131">
        <f t="shared" si="64"/>
        <v>8.3106741631240251</v>
      </c>
      <c r="S91" s="131">
        <f t="shared" si="64"/>
        <v>8.3138946104246454</v>
      </c>
      <c r="T91" s="131">
        <f t="shared" si="64"/>
        <v>8.3171163056722577</v>
      </c>
      <c r="U91" s="131">
        <f t="shared" si="64"/>
        <v>8.3203392493504502</v>
      </c>
      <c r="V91" s="131">
        <f t="shared" si="64"/>
        <v>8.3235634419429978</v>
      </c>
      <c r="W91" s="131">
        <f t="shared" si="64"/>
        <v>8.3267888839338653</v>
      </c>
      <c r="X91" s="94"/>
      <c r="Y91" s="94"/>
      <c r="Z91" s="94"/>
      <c r="AA91" s="94"/>
      <c r="AB91" s="94"/>
      <c r="AC91" s="94"/>
      <c r="AD91" s="94"/>
    </row>
    <row r="92" spans="1:30" x14ac:dyDescent="0.2">
      <c r="A92" s="1549"/>
      <c r="B92" s="52">
        <v>63</v>
      </c>
      <c r="C92" s="262" t="str">
        <f>'DEM POT'!C92</f>
        <v>ABANCAY</v>
      </c>
      <c r="D92" s="262" t="str">
        <f>'DEM POT'!D92</f>
        <v>SAN PEDRO DE CACHORA</v>
      </c>
      <c r="E92" s="262" t="str">
        <f>'DEM POT'!E92</f>
        <v>MARJUPATA ALTA</v>
      </c>
      <c r="F92" s="59"/>
      <c r="G92" s="59">
        <f>'DEM POT'!J92</f>
        <v>44.233935665876309</v>
      </c>
      <c r="H92" s="343">
        <f>'ACT ECON'!$Q$24</f>
        <v>0.748</v>
      </c>
      <c r="I92" s="131">
        <f t="shared" si="2"/>
        <v>33.086983878075479</v>
      </c>
      <c r="J92" s="131">
        <f t="shared" si="34"/>
        <v>33.554069584009646</v>
      </c>
      <c r="K92" s="131">
        <f t="shared" ref="K92:W92" si="65">+J92*(1+$I$18)</f>
        <v>33.567072032510893</v>
      </c>
      <c r="L92" s="131">
        <f t="shared" si="65"/>
        <v>33.58007951955647</v>
      </c>
      <c r="M92" s="131">
        <f t="shared" si="65"/>
        <v>33.59309204709885</v>
      </c>
      <c r="N92" s="131">
        <f t="shared" si="65"/>
        <v>33.606109617091263</v>
      </c>
      <c r="O92" s="131">
        <f t="shared" si="65"/>
        <v>33.61913223148769</v>
      </c>
      <c r="P92" s="131">
        <f t="shared" si="65"/>
        <v>33.632159892242882</v>
      </c>
      <c r="Q92" s="131">
        <f t="shared" si="65"/>
        <v>33.645192601312338</v>
      </c>
      <c r="R92" s="131">
        <f t="shared" si="65"/>
        <v>33.658230360652311</v>
      </c>
      <c r="S92" s="131">
        <f t="shared" si="65"/>
        <v>33.671273172219827</v>
      </c>
      <c r="T92" s="131">
        <f t="shared" si="65"/>
        <v>33.684321037972659</v>
      </c>
      <c r="U92" s="131">
        <f t="shared" si="65"/>
        <v>33.697373959869331</v>
      </c>
      <c r="V92" s="131">
        <f t="shared" si="65"/>
        <v>33.710431939869146</v>
      </c>
      <c r="W92" s="131">
        <f t="shared" si="65"/>
        <v>33.723494979932156</v>
      </c>
      <c r="X92" s="94"/>
      <c r="Y92" s="94"/>
      <c r="Z92" s="94"/>
      <c r="AA92" s="94"/>
      <c r="AB92" s="94"/>
      <c r="AC92" s="94"/>
      <c r="AD92" s="94"/>
    </row>
    <row r="93" spans="1:30" x14ac:dyDescent="0.2">
      <c r="A93" s="1549"/>
      <c r="B93" s="52">
        <v>64</v>
      </c>
      <c r="C93" s="262" t="str">
        <f>'DEM POT'!C93</f>
        <v>ABANCAY</v>
      </c>
      <c r="D93" s="262" t="str">
        <f>'DEM POT'!D93</f>
        <v>SAN PEDRO DE CACHORA</v>
      </c>
      <c r="E93" s="262" t="str">
        <f>'DEM POT'!E93</f>
        <v>ASIL</v>
      </c>
      <c r="F93" s="59"/>
      <c r="G93" s="59">
        <f>'DEM POT'!J93</f>
        <v>29.307257786856322</v>
      </c>
      <c r="H93" s="343">
        <f>'ACT ECON'!$Q$24</f>
        <v>0.748</v>
      </c>
      <c r="I93" s="131">
        <f t="shared" si="2"/>
        <v>21.921828824568529</v>
      </c>
      <c r="J93" s="131">
        <f t="shared" si="34"/>
        <v>22.231297131792399</v>
      </c>
      <c r="K93" s="131">
        <f t="shared" ref="K93:W93" si="66">+J93*(1+$I$18)</f>
        <v>22.239911922774706</v>
      </c>
      <c r="L93" s="131">
        <f t="shared" si="66"/>
        <v>22.248530052051816</v>
      </c>
      <c r="M93" s="131">
        <f t="shared" si="66"/>
        <v>22.257151520917343</v>
      </c>
      <c r="N93" s="131">
        <f t="shared" si="66"/>
        <v>22.2657763306654</v>
      </c>
      <c r="O93" s="131">
        <f t="shared" si="66"/>
        <v>22.274404482590604</v>
      </c>
      <c r="P93" s="131">
        <f t="shared" si="66"/>
        <v>22.283035977988078</v>
      </c>
      <c r="Q93" s="131">
        <f t="shared" si="66"/>
        <v>22.291670818153435</v>
      </c>
      <c r="R93" s="131">
        <f t="shared" si="66"/>
        <v>22.3003090043828</v>
      </c>
      <c r="S93" s="131">
        <f t="shared" si="66"/>
        <v>22.308950537972798</v>
      </c>
      <c r="T93" s="131">
        <f t="shared" si="66"/>
        <v>22.317595420220556</v>
      </c>
      <c r="U93" s="131">
        <f t="shared" si="66"/>
        <v>22.326243652423702</v>
      </c>
      <c r="V93" s="131">
        <f t="shared" si="66"/>
        <v>22.334895235880371</v>
      </c>
      <c r="W93" s="131">
        <f t="shared" si="66"/>
        <v>22.343550171889195</v>
      </c>
      <c r="X93" s="94"/>
      <c r="Y93" s="94"/>
      <c r="Z93" s="94"/>
      <c r="AA93" s="94"/>
      <c r="AB93" s="94"/>
      <c r="AC93" s="94"/>
      <c r="AD93" s="94"/>
    </row>
    <row r="94" spans="1:30" x14ac:dyDescent="0.2">
      <c r="A94" s="1549"/>
      <c r="B94" s="52">
        <v>65</v>
      </c>
      <c r="C94" s="262" t="str">
        <f>'DEM POT'!C94</f>
        <v>ABANCAY</v>
      </c>
      <c r="D94" s="262" t="str">
        <f>'DEM POT'!D94</f>
        <v>SAN PEDRO DE CACHORA</v>
      </c>
      <c r="E94" s="262" t="str">
        <f>'DEM POT'!E94</f>
        <v>VIRACOCHAN</v>
      </c>
      <c r="F94" s="59"/>
      <c r="G94" s="59">
        <f>'DEM POT'!J94</f>
        <v>31.673682328652173</v>
      </c>
      <c r="H94" s="343">
        <f>'ACT ECON'!$Q$24</f>
        <v>0.748</v>
      </c>
      <c r="I94" s="131">
        <f t="shared" si="2"/>
        <v>23.691914381831825</v>
      </c>
      <c r="J94" s="131">
        <f t="shared" ref="J94:J102" si="67">+I94*(1+$I$19)</f>
        <v>24.026370813241474</v>
      </c>
      <c r="K94" s="131">
        <f t="shared" ref="K94:W94" si="68">+J94*(1+$I$18)</f>
        <v>24.035681208464588</v>
      </c>
      <c r="L94" s="131">
        <f t="shared" si="68"/>
        <v>24.04499521153426</v>
      </c>
      <c r="M94" s="131">
        <f t="shared" si="68"/>
        <v>24.054312823848555</v>
      </c>
      <c r="N94" s="131">
        <f t="shared" si="68"/>
        <v>24.063634046806083</v>
      </c>
      <c r="O94" s="131">
        <f t="shared" si="68"/>
        <v>24.072958881805995</v>
      </c>
      <c r="P94" s="131">
        <f t="shared" si="68"/>
        <v>24.082287330247983</v>
      </c>
      <c r="Q94" s="131">
        <f t="shared" si="68"/>
        <v>24.091619393532284</v>
      </c>
      <c r="R94" s="131">
        <f t="shared" si="68"/>
        <v>24.100955073059673</v>
      </c>
      <c r="S94" s="131">
        <f t="shared" si="68"/>
        <v>24.110294370231472</v>
      </c>
      <c r="T94" s="131">
        <f t="shared" si="68"/>
        <v>24.119637286449546</v>
      </c>
      <c r="U94" s="131">
        <f t="shared" si="68"/>
        <v>24.1289838231163</v>
      </c>
      <c r="V94" s="131">
        <f t="shared" si="68"/>
        <v>24.138333981634688</v>
      </c>
      <c r="W94" s="131">
        <f t="shared" si="68"/>
        <v>24.1476877634082</v>
      </c>
      <c r="X94" s="337">
        <f>SUM(W91:W98)</f>
        <v>138.77981473223107</v>
      </c>
      <c r="Y94" s="94"/>
      <c r="Z94" s="94"/>
      <c r="AA94" s="94"/>
      <c r="AB94" s="94"/>
      <c r="AC94" s="94"/>
      <c r="AD94" s="94"/>
    </row>
    <row r="95" spans="1:30" x14ac:dyDescent="0.2">
      <c r="A95" s="1549"/>
      <c r="B95" s="52">
        <v>66</v>
      </c>
      <c r="C95" s="262" t="str">
        <f>'DEM POT'!C95</f>
        <v>ABANCAY</v>
      </c>
      <c r="D95" s="262" t="str">
        <f>'DEM POT'!D95</f>
        <v>SAN PEDRO DE CACHORA</v>
      </c>
      <c r="E95" s="262" t="str">
        <f>'DEM POT'!E95</f>
        <v>PANTIPATA ALTA</v>
      </c>
      <c r="F95" s="59"/>
      <c r="G95" s="59">
        <f>'DEM POT'!J95</f>
        <v>30.035388415101199</v>
      </c>
      <c r="H95" s="343">
        <f>'ACT ECON'!$Q$24</f>
        <v>0.748</v>
      </c>
      <c r="I95" s="131">
        <f t="shared" ref="I95:I102" si="69">G95*H95</f>
        <v>22.466470534495699</v>
      </c>
      <c r="J95" s="131">
        <f t="shared" si="67"/>
        <v>22.783627495315194</v>
      </c>
      <c r="K95" s="131">
        <f t="shared" ref="K95:W95" si="70">+J95*(1+$I$18)</f>
        <v>22.792456318371595</v>
      </c>
      <c r="L95" s="131">
        <f t="shared" si="70"/>
        <v>22.801288562661803</v>
      </c>
      <c r="M95" s="131">
        <f t="shared" si="70"/>
        <v>22.810124229511565</v>
      </c>
      <c r="N95" s="131">
        <f t="shared" si="70"/>
        <v>22.818963320247153</v>
      </c>
      <c r="O95" s="131">
        <f t="shared" si="70"/>
        <v>22.827805836195346</v>
      </c>
      <c r="P95" s="131">
        <f t="shared" si="70"/>
        <v>22.836651778683439</v>
      </c>
      <c r="Q95" s="131">
        <f t="shared" si="70"/>
        <v>22.84550114903924</v>
      </c>
      <c r="R95" s="131">
        <f t="shared" si="70"/>
        <v>22.854353948591076</v>
      </c>
      <c r="S95" s="131">
        <f t="shared" si="70"/>
        <v>22.863210178667781</v>
      </c>
      <c r="T95" s="131">
        <f t="shared" si="70"/>
        <v>22.872069840598716</v>
      </c>
      <c r="U95" s="131">
        <f t="shared" si="70"/>
        <v>22.880932935713744</v>
      </c>
      <c r="V95" s="131">
        <f t="shared" si="70"/>
        <v>22.889799465343248</v>
      </c>
      <c r="W95" s="131">
        <f t="shared" si="70"/>
        <v>22.898669430818131</v>
      </c>
      <c r="X95" s="94"/>
      <c r="Y95" s="94"/>
      <c r="Z95" s="94"/>
      <c r="AA95" s="94"/>
      <c r="AB95" s="94"/>
      <c r="AC95" s="94"/>
      <c r="AD95" s="94"/>
    </row>
    <row r="96" spans="1:30" x14ac:dyDescent="0.2">
      <c r="A96" s="1549"/>
      <c r="B96" s="52">
        <v>67</v>
      </c>
      <c r="C96" s="262" t="str">
        <f>'DEM POT'!C96</f>
        <v>ABANCAY</v>
      </c>
      <c r="D96" s="262" t="str">
        <f>'DEM POT'!D96</f>
        <v>SAN PEDRO DE CACHORA</v>
      </c>
      <c r="E96" s="262" t="str">
        <f>'DEM POT'!E96</f>
        <v>MARJUPATA BAJA</v>
      </c>
      <c r="F96" s="59">
        <v>10</v>
      </c>
      <c r="G96" s="59">
        <f>'DEM POT'!J96</f>
        <v>11.103992080734381</v>
      </c>
      <c r="H96" s="343">
        <f>'ACT ECON'!$Q$24</f>
        <v>0.748</v>
      </c>
      <c r="I96" s="131">
        <f t="shared" si="69"/>
        <v>8.3057860763893174</v>
      </c>
      <c r="J96" s="131">
        <f t="shared" si="67"/>
        <v>8.4230380437225847</v>
      </c>
      <c r="K96" s="131">
        <f t="shared" ref="K96:W96" si="71">+J96*(1+$I$18)</f>
        <v>8.4263020328525275</v>
      </c>
      <c r="L96" s="131">
        <f t="shared" si="71"/>
        <v>8.4295672868022393</v>
      </c>
      <c r="M96" s="131">
        <f t="shared" si="71"/>
        <v>8.4328338060618488</v>
      </c>
      <c r="N96" s="131">
        <f t="shared" si="71"/>
        <v>8.4361015911216715</v>
      </c>
      <c r="O96" s="131">
        <f t="shared" si="71"/>
        <v>8.4393706424722161</v>
      </c>
      <c r="P96" s="131">
        <f t="shared" si="71"/>
        <v>8.4426409606041783</v>
      </c>
      <c r="Q96" s="131">
        <f t="shared" si="71"/>
        <v>8.4459125460084437</v>
      </c>
      <c r="R96" s="131">
        <f t="shared" si="71"/>
        <v>8.4491853991760912</v>
      </c>
      <c r="S96" s="131">
        <f t="shared" si="71"/>
        <v>8.4524595205983886</v>
      </c>
      <c r="T96" s="131">
        <f t="shared" si="71"/>
        <v>8.4557349107667932</v>
      </c>
      <c r="U96" s="131">
        <f t="shared" si="71"/>
        <v>8.4590115701729545</v>
      </c>
      <c r="V96" s="131">
        <f t="shared" si="71"/>
        <v>8.4622894993087119</v>
      </c>
      <c r="W96" s="131">
        <f t="shared" si="71"/>
        <v>8.4655686986660932</v>
      </c>
      <c r="X96" s="94"/>
      <c r="Y96" s="94"/>
      <c r="Z96" s="94"/>
      <c r="AA96" s="94"/>
      <c r="AB96" s="94"/>
      <c r="AC96" s="94"/>
      <c r="AD96" s="94"/>
    </row>
    <row r="97" spans="1:30" x14ac:dyDescent="0.2">
      <c r="A97" s="1549"/>
      <c r="B97" s="52">
        <v>68</v>
      </c>
      <c r="C97" s="262" t="str">
        <f>'DEM POT'!C97</f>
        <v>ABANCAY</v>
      </c>
      <c r="D97" s="262" t="str">
        <f>'DEM POT'!D97</f>
        <v>SAN PEDRO DE CACHORA</v>
      </c>
      <c r="E97" s="262" t="str">
        <f>'DEM POT'!E97</f>
        <v>SALCCANTAY</v>
      </c>
      <c r="F97" s="59">
        <v>5</v>
      </c>
      <c r="G97" s="59">
        <f>'DEM POT'!J97</f>
        <v>9.1016328530609698</v>
      </c>
      <c r="H97" s="343">
        <f>'ACT ECON'!$Q$24</f>
        <v>0.748</v>
      </c>
      <c r="I97" s="131">
        <f t="shared" si="69"/>
        <v>6.8080213740896056</v>
      </c>
      <c r="J97" s="131">
        <f t="shared" si="67"/>
        <v>6.9041295440349071</v>
      </c>
      <c r="K97" s="131">
        <f t="shared" ref="K97:W97" si="72">+J97*(1+$I$18)</f>
        <v>6.90680494496109</v>
      </c>
      <c r="L97" s="131">
        <f t="shared" si="72"/>
        <v>6.9094813826247892</v>
      </c>
      <c r="M97" s="131">
        <f t="shared" si="72"/>
        <v>6.9121588574277482</v>
      </c>
      <c r="N97" s="131">
        <f t="shared" si="72"/>
        <v>6.9148373697718659</v>
      </c>
      <c r="O97" s="131">
        <f t="shared" si="72"/>
        <v>6.9175169200591968</v>
      </c>
      <c r="P97" s="131">
        <f t="shared" si="72"/>
        <v>6.9201975086919525</v>
      </c>
      <c r="Q97" s="131">
        <f t="shared" si="72"/>
        <v>6.9228791360724982</v>
      </c>
      <c r="R97" s="131">
        <f t="shared" si="72"/>
        <v>6.9255618026033572</v>
      </c>
      <c r="S97" s="131">
        <f t="shared" si="72"/>
        <v>6.9282455086872075</v>
      </c>
      <c r="T97" s="131">
        <f t="shared" si="72"/>
        <v>6.9309302547268841</v>
      </c>
      <c r="U97" s="131">
        <f t="shared" si="72"/>
        <v>6.9336160411253775</v>
      </c>
      <c r="V97" s="131">
        <f t="shared" si="72"/>
        <v>6.9363028682858339</v>
      </c>
      <c r="W97" s="131">
        <f t="shared" si="72"/>
        <v>6.9389907366115562</v>
      </c>
      <c r="X97" s="94"/>
      <c r="Y97" s="94"/>
      <c r="Z97" s="94"/>
      <c r="AA97" s="94"/>
      <c r="AB97" s="94"/>
      <c r="AC97" s="94"/>
      <c r="AD97" s="94"/>
    </row>
    <row r="98" spans="1:30" x14ac:dyDescent="0.2">
      <c r="A98" s="1549"/>
      <c r="B98" s="52">
        <v>69</v>
      </c>
      <c r="C98" s="262" t="str">
        <f>'DEM POT'!C98</f>
        <v>ABANCAY</v>
      </c>
      <c r="D98" s="262" t="str">
        <f>'DEM POT'!D98</f>
        <v>SAN PEDRO DE CACHORA</v>
      </c>
      <c r="E98" s="262" t="str">
        <f>'DEM POT'!E98</f>
        <v>AGUAS BLANCAS</v>
      </c>
      <c r="F98" s="59">
        <v>1</v>
      </c>
      <c r="G98" s="59">
        <f>'DEM POT'!J98</f>
        <v>15.654808507264868</v>
      </c>
      <c r="H98" s="343">
        <f>'ACT ECON'!$Q$24</f>
        <v>0.748</v>
      </c>
      <c r="I98" s="131">
        <f t="shared" si="69"/>
        <v>11.70979676343412</v>
      </c>
      <c r="J98" s="131">
        <f t="shared" si="67"/>
        <v>11.875102815740039</v>
      </c>
      <c r="K98" s="131">
        <f t="shared" ref="K98:W98" si="73">+J98*(1+$I$18)</f>
        <v>11.879704505333073</v>
      </c>
      <c r="L98" s="131">
        <f t="shared" si="73"/>
        <v>11.884307978114636</v>
      </c>
      <c r="M98" s="131">
        <f t="shared" si="73"/>
        <v>11.888913234775725</v>
      </c>
      <c r="N98" s="131">
        <f t="shared" si="73"/>
        <v>11.893520276007607</v>
      </c>
      <c r="O98" s="131">
        <f t="shared" si="73"/>
        <v>11.898129102501816</v>
      </c>
      <c r="P98" s="131">
        <f t="shared" si="73"/>
        <v>11.902739714950155</v>
      </c>
      <c r="Q98" s="131">
        <f t="shared" si="73"/>
        <v>11.907352114044693</v>
      </c>
      <c r="R98" s="131">
        <f t="shared" si="73"/>
        <v>11.91196630047777</v>
      </c>
      <c r="S98" s="131">
        <f t="shared" si="73"/>
        <v>11.916582274941993</v>
      </c>
      <c r="T98" s="131">
        <f t="shared" si="73"/>
        <v>11.921200038130236</v>
      </c>
      <c r="U98" s="131">
        <f t="shared" si="73"/>
        <v>11.925819590735644</v>
      </c>
      <c r="V98" s="131">
        <f t="shared" si="73"/>
        <v>11.930440933451628</v>
      </c>
      <c r="W98" s="131">
        <f t="shared" si="73"/>
        <v>11.93506406697187</v>
      </c>
      <c r="X98" s="94"/>
      <c r="Y98" s="94"/>
      <c r="Z98" s="94"/>
      <c r="AA98" s="94"/>
      <c r="AB98" s="94"/>
      <c r="AC98" s="94"/>
      <c r="AD98" s="94"/>
    </row>
    <row r="99" spans="1:30" x14ac:dyDescent="0.2">
      <c r="A99" s="1550">
        <v>9</v>
      </c>
      <c r="B99" s="52">
        <v>70</v>
      </c>
      <c r="C99" s="262" t="str">
        <f>'DEM POT'!C99</f>
        <v>ABANCAY</v>
      </c>
      <c r="D99" s="262" t="str">
        <f>'DEM POT'!D99</f>
        <v>TAMBURCO</v>
      </c>
      <c r="E99" s="262" t="str">
        <f>'DEM POT'!E99</f>
        <v>CCORHUANI</v>
      </c>
      <c r="F99" s="59">
        <v>2</v>
      </c>
      <c r="G99" s="59">
        <f>'DEM POT'!J99</f>
        <v>16.018873821387306</v>
      </c>
      <c r="H99" s="343">
        <f>'ACT ECON'!$Q$24</f>
        <v>0.748</v>
      </c>
      <c r="I99" s="131">
        <f t="shared" si="69"/>
        <v>11.982117618397705</v>
      </c>
      <c r="J99" s="131">
        <f t="shared" si="67"/>
        <v>12.151267997501437</v>
      </c>
      <c r="K99" s="131">
        <f t="shared" ref="K99:W99" si="74">+J99*(1+$I$18)</f>
        <v>12.155976703131518</v>
      </c>
      <c r="L99" s="131">
        <f t="shared" si="74"/>
        <v>12.160687233419628</v>
      </c>
      <c r="M99" s="131">
        <f t="shared" si="74"/>
        <v>12.165399589072836</v>
      </c>
      <c r="N99" s="131">
        <f t="shared" si="74"/>
        <v>12.170113770798482</v>
      </c>
      <c r="O99" s="131">
        <f t="shared" si="74"/>
        <v>12.174829779304185</v>
      </c>
      <c r="P99" s="131">
        <f t="shared" si="74"/>
        <v>12.179547615297833</v>
      </c>
      <c r="Q99" s="131">
        <f t="shared" si="74"/>
        <v>12.184267279487594</v>
      </c>
      <c r="R99" s="131">
        <f t="shared" si="74"/>
        <v>12.188988772581906</v>
      </c>
      <c r="S99" s="131">
        <f t="shared" si="74"/>
        <v>12.193712095289483</v>
      </c>
      <c r="T99" s="131">
        <f t="shared" si="74"/>
        <v>12.198437248319314</v>
      </c>
      <c r="U99" s="131">
        <f t="shared" si="74"/>
        <v>12.203164232380662</v>
      </c>
      <c r="V99" s="131">
        <f t="shared" si="74"/>
        <v>12.207893048183065</v>
      </c>
      <c r="W99" s="131">
        <f t="shared" si="74"/>
        <v>12.212623696436337</v>
      </c>
      <c r="X99" s="94"/>
      <c r="Y99" s="94"/>
      <c r="Z99" s="94"/>
      <c r="AA99" s="94"/>
      <c r="AB99" s="94"/>
      <c r="AC99" s="94"/>
      <c r="AD99" s="94"/>
    </row>
    <row r="100" spans="1:30" x14ac:dyDescent="0.2">
      <c r="A100" s="1550"/>
      <c r="B100" s="52">
        <v>71</v>
      </c>
      <c r="C100" s="262" t="str">
        <f>'DEM POT'!C100</f>
        <v>ABANCAY</v>
      </c>
      <c r="D100" s="262" t="str">
        <f>'DEM POT'!D100</f>
        <v>TAMBURCO</v>
      </c>
      <c r="E100" s="262" t="str">
        <f>'DEM POT'!E100</f>
        <v>CCANABAMBA ALTA (WARA CCOÑA)</v>
      </c>
      <c r="F100" s="59">
        <v>23</v>
      </c>
      <c r="G100" s="59">
        <f>'DEM POT'!J100</f>
        <v>9.1016328530609698</v>
      </c>
      <c r="H100" s="343">
        <f>'ACT ECON'!$Q$24</f>
        <v>0.748</v>
      </c>
      <c r="I100" s="131">
        <f t="shared" si="69"/>
        <v>6.8080213740896056</v>
      </c>
      <c r="J100" s="131">
        <f t="shared" si="67"/>
        <v>6.9041295440349071</v>
      </c>
      <c r="K100" s="131">
        <f t="shared" ref="K100:W100" si="75">+J100*(1+$I$18)</f>
        <v>6.90680494496109</v>
      </c>
      <c r="L100" s="131">
        <f t="shared" si="75"/>
        <v>6.9094813826247892</v>
      </c>
      <c r="M100" s="131">
        <f t="shared" si="75"/>
        <v>6.9121588574277482</v>
      </c>
      <c r="N100" s="131">
        <f t="shared" si="75"/>
        <v>6.9148373697718659</v>
      </c>
      <c r="O100" s="131">
        <f t="shared" si="75"/>
        <v>6.9175169200591968</v>
      </c>
      <c r="P100" s="131">
        <f t="shared" si="75"/>
        <v>6.9201975086919525</v>
      </c>
      <c r="Q100" s="131">
        <f t="shared" si="75"/>
        <v>6.9228791360724982</v>
      </c>
      <c r="R100" s="131">
        <f t="shared" si="75"/>
        <v>6.9255618026033572</v>
      </c>
      <c r="S100" s="131">
        <f t="shared" si="75"/>
        <v>6.9282455086872075</v>
      </c>
      <c r="T100" s="131">
        <f t="shared" si="75"/>
        <v>6.9309302547268841</v>
      </c>
      <c r="U100" s="131">
        <f t="shared" si="75"/>
        <v>6.9336160411253775</v>
      </c>
      <c r="V100" s="131">
        <f t="shared" si="75"/>
        <v>6.9363028682858339</v>
      </c>
      <c r="W100" s="131">
        <f t="shared" si="75"/>
        <v>6.9389907366115562</v>
      </c>
      <c r="X100" s="94"/>
      <c r="Y100" s="94"/>
      <c r="Z100" s="94">
        <v>15000000</v>
      </c>
      <c r="AA100" s="94"/>
      <c r="AB100" s="94"/>
      <c r="AC100" s="94"/>
      <c r="AD100" s="94"/>
    </row>
    <row r="101" spans="1:30" x14ac:dyDescent="0.2">
      <c r="A101" s="1550"/>
      <c r="B101" s="52">
        <v>72</v>
      </c>
      <c r="C101" s="262" t="str">
        <f>'DEM POT'!C101</f>
        <v>ABANCAY</v>
      </c>
      <c r="D101" s="262" t="str">
        <f>'DEM POT'!D101</f>
        <v>TAMBURCO</v>
      </c>
      <c r="E101" s="262" t="str">
        <f>'DEM POT'!E101</f>
        <v>CCANABAMBA BAJA</v>
      </c>
      <c r="F101" s="59">
        <v>1</v>
      </c>
      <c r="G101" s="59">
        <f>'DEM POT'!J101</f>
        <v>10.739926766611942</v>
      </c>
      <c r="H101" s="343">
        <f>'ACT ECON'!$Q$24</f>
        <v>0.748</v>
      </c>
      <c r="I101" s="131">
        <f t="shared" si="69"/>
        <v>8.0334652214257325</v>
      </c>
      <c r="J101" s="131">
        <f t="shared" si="67"/>
        <v>8.1468728619611888</v>
      </c>
      <c r="K101" s="131">
        <f t="shared" ref="K101:W101" si="76">+J101*(1+$I$18)</f>
        <v>8.1500298350540845</v>
      </c>
      <c r="L101" s="131">
        <f t="shared" si="76"/>
        <v>8.1531880314972494</v>
      </c>
      <c r="M101" s="131">
        <f t="shared" si="76"/>
        <v>8.1563474517647396</v>
      </c>
      <c r="N101" s="131">
        <f t="shared" si="76"/>
        <v>8.1595080963307982</v>
      </c>
      <c r="O101" s="131">
        <f t="shared" si="76"/>
        <v>8.1626699656698491</v>
      </c>
      <c r="P101" s="131">
        <f t="shared" si="76"/>
        <v>8.1658330602565012</v>
      </c>
      <c r="Q101" s="131">
        <f t="shared" si="76"/>
        <v>8.1689973805655463</v>
      </c>
      <c r="R101" s="131">
        <f t="shared" si="76"/>
        <v>8.1721629270719607</v>
      </c>
      <c r="S101" s="131">
        <f t="shared" si="76"/>
        <v>8.175329700250904</v>
      </c>
      <c r="T101" s="131">
        <f t="shared" si="76"/>
        <v>8.1784977005777222</v>
      </c>
      <c r="U101" s="131">
        <f t="shared" si="76"/>
        <v>8.1816669285279442</v>
      </c>
      <c r="V101" s="131">
        <f t="shared" si="76"/>
        <v>8.1848373845772819</v>
      </c>
      <c r="W101" s="131">
        <f t="shared" si="76"/>
        <v>8.1880090692016338</v>
      </c>
      <c r="X101" s="337">
        <f>SUM(W99:W102)</f>
        <v>34.694953683057776</v>
      </c>
      <c r="Y101" s="94"/>
      <c r="Z101" s="94"/>
      <c r="AA101" s="94"/>
      <c r="AB101" s="94"/>
      <c r="AC101" s="94"/>
      <c r="AD101" s="94"/>
    </row>
    <row r="102" spans="1:30" x14ac:dyDescent="0.2">
      <c r="A102" s="1550"/>
      <c r="B102" s="52">
        <v>73</v>
      </c>
      <c r="C102" s="262" t="str">
        <f>'DEM POT'!C102</f>
        <v>ABANCAY</v>
      </c>
      <c r="D102" s="262" t="str">
        <f>'DEM POT'!D102</f>
        <v>TAMBURCO</v>
      </c>
      <c r="E102" s="262" t="str">
        <f>'DEM POT'!E102</f>
        <v>VIRGEN DEL CARMEN</v>
      </c>
      <c r="F102" s="59">
        <v>1</v>
      </c>
      <c r="G102" s="59">
        <f>'DEM POT'!J102</f>
        <v>9.6477308242446274</v>
      </c>
      <c r="H102" s="343">
        <f>'ACT ECON'!$Q$24</f>
        <v>0.748</v>
      </c>
      <c r="I102" s="131">
        <f t="shared" si="69"/>
        <v>7.2165026565349812</v>
      </c>
      <c r="J102" s="131">
        <f t="shared" si="67"/>
        <v>7.318377316677001</v>
      </c>
      <c r="K102" s="131">
        <f t="shared" ref="K102:W102" si="77">+J102*(1+$I$18)</f>
        <v>7.3212132416587545</v>
      </c>
      <c r="L102" s="131">
        <f t="shared" si="77"/>
        <v>7.324050265582275</v>
      </c>
      <c r="M102" s="131">
        <f t="shared" si="77"/>
        <v>7.3268883888734111</v>
      </c>
      <c r="N102" s="131">
        <f t="shared" si="77"/>
        <v>7.3297276119581758</v>
      </c>
      <c r="O102" s="131">
        <f t="shared" si="77"/>
        <v>7.3325679352627464</v>
      </c>
      <c r="P102" s="131">
        <f t="shared" si="77"/>
        <v>7.3354093592134673</v>
      </c>
      <c r="Q102" s="131">
        <f t="shared" si="77"/>
        <v>7.338251884236846</v>
      </c>
      <c r="R102" s="131">
        <f t="shared" si="77"/>
        <v>7.3410955107595566</v>
      </c>
      <c r="S102" s="131">
        <f t="shared" si="77"/>
        <v>7.3439402392084379</v>
      </c>
      <c r="T102" s="131">
        <f t="shared" si="77"/>
        <v>7.346786070010495</v>
      </c>
      <c r="U102" s="131">
        <f t="shared" si="77"/>
        <v>7.3496330035928974</v>
      </c>
      <c r="V102" s="131">
        <f t="shared" si="77"/>
        <v>7.3524810403829806</v>
      </c>
      <c r="W102" s="131">
        <f t="shared" si="77"/>
        <v>7.3553301808082461</v>
      </c>
      <c r="X102" s="94"/>
      <c r="Y102" s="94"/>
      <c r="Z102" s="94"/>
      <c r="AA102" s="94"/>
      <c r="AB102" s="94"/>
      <c r="AC102" s="94"/>
      <c r="AD102" s="94"/>
    </row>
    <row r="103" spans="1:30" x14ac:dyDescent="0.2">
      <c r="C103" s="1566" t="s">
        <v>258</v>
      </c>
      <c r="D103" s="1567"/>
      <c r="E103" s="1568"/>
      <c r="F103" s="60">
        <f t="shared" ref="F103:W103" si="78">SUM(F30:F102)</f>
        <v>206.23699999999999</v>
      </c>
      <c r="G103" s="61">
        <f t="shared" si="78"/>
        <v>2031.6664854602686</v>
      </c>
      <c r="H103" s="61"/>
      <c r="I103" s="61"/>
      <c r="J103" s="61">
        <f t="shared" si="78"/>
        <v>1541.1397968194719</v>
      </c>
      <c r="K103" s="61">
        <f t="shared" si="78"/>
        <v>1541.7369998142146</v>
      </c>
      <c r="L103" s="61">
        <f t="shared" si="78"/>
        <v>1542.3344342295054</v>
      </c>
      <c r="M103" s="61">
        <f t="shared" si="78"/>
        <v>1542.9321001550218</v>
      </c>
      <c r="N103" s="61">
        <f t="shared" si="78"/>
        <v>1543.5299976804758</v>
      </c>
      <c r="O103" s="61">
        <f t="shared" si="78"/>
        <v>1544.1281268956134</v>
      </c>
      <c r="P103" s="61">
        <f t="shared" si="78"/>
        <v>1544.726487890217</v>
      </c>
      <c r="Q103" s="61">
        <f t="shared" si="78"/>
        <v>1545.3250807541026</v>
      </c>
      <c r="R103" s="61">
        <f t="shared" si="78"/>
        <v>1545.9239055771211</v>
      </c>
      <c r="S103" s="61">
        <f t="shared" si="78"/>
        <v>1546.5229624491581</v>
      </c>
      <c r="T103" s="61">
        <f t="shared" si="78"/>
        <v>1547.1222514601347</v>
      </c>
      <c r="U103" s="61">
        <f t="shared" si="78"/>
        <v>1547.7217727000061</v>
      </c>
      <c r="V103" s="61">
        <f t="shared" si="78"/>
        <v>1548.3215262587637</v>
      </c>
      <c r="W103" s="61">
        <f t="shared" si="78"/>
        <v>1548.9215122264309</v>
      </c>
      <c r="X103" s="808">
        <f>SUM(N103:W103)</f>
        <v>15462.243623892022</v>
      </c>
      <c r="Y103" s="72"/>
      <c r="Z103" s="72">
        <f>Z100/X103</f>
        <v>970.1050096521717</v>
      </c>
      <c r="AA103" s="94"/>
      <c r="AB103" s="94"/>
      <c r="AC103" s="94"/>
      <c r="AD103" s="94"/>
    </row>
    <row r="104" spans="1:30" x14ac:dyDescent="0.2">
      <c r="E104" s="236">
        <f>COUNTA(E30:E102)</f>
        <v>73</v>
      </c>
      <c r="F104" s="243"/>
      <c r="W104" s="252"/>
      <c r="Y104" s="132">
        <f>W104/5</f>
        <v>0</v>
      </c>
    </row>
    <row r="105" spans="1:30" x14ac:dyDescent="0.2">
      <c r="D105" s="251">
        <f>9*10000</f>
        <v>90000</v>
      </c>
      <c r="E105" s="251">
        <f>E104*10000</f>
        <v>730000</v>
      </c>
    </row>
    <row r="107" spans="1:30" ht="15" customHeight="1" x14ac:dyDescent="0.2">
      <c r="J107" s="266"/>
      <c r="K107" s="1564" t="s">
        <v>173</v>
      </c>
      <c r="L107" s="1564"/>
      <c r="M107" s="1564"/>
      <c r="N107" s="1564"/>
      <c r="O107" s="1564"/>
      <c r="P107" s="1564"/>
      <c r="Q107" s="1564"/>
      <c r="R107" s="1564"/>
      <c r="S107" s="1564"/>
      <c r="T107" s="1564"/>
      <c r="U107" s="1564"/>
      <c r="V107" s="1564"/>
      <c r="W107" s="1564"/>
      <c r="X107" s="125"/>
      <c r="Y107" s="125"/>
      <c r="Z107" s="125"/>
    </row>
    <row r="108" spans="1:30" x14ac:dyDescent="0.2">
      <c r="D108" s="53"/>
      <c r="E108" s="53"/>
      <c r="F108" s="53"/>
      <c r="G108" s="1541">
        <v>2019</v>
      </c>
      <c r="H108" s="233"/>
      <c r="I108" s="329"/>
      <c r="J108" s="1542">
        <v>2020</v>
      </c>
      <c r="K108" s="218">
        <v>2021</v>
      </c>
      <c r="L108" s="218">
        <v>2022</v>
      </c>
      <c r="M108" s="218">
        <v>2023</v>
      </c>
      <c r="N108" s="218">
        <v>2024</v>
      </c>
      <c r="O108" s="218">
        <v>2025</v>
      </c>
      <c r="P108" s="218">
        <v>2026</v>
      </c>
      <c r="Q108" s="218">
        <v>2027</v>
      </c>
      <c r="R108" s="218">
        <v>2028</v>
      </c>
      <c r="S108" s="218">
        <v>2029</v>
      </c>
      <c r="T108" s="218">
        <v>2030</v>
      </c>
      <c r="U108" s="218">
        <v>2031</v>
      </c>
      <c r="V108" s="218">
        <v>2032</v>
      </c>
      <c r="W108" s="218">
        <v>2033</v>
      </c>
      <c r="X108" s="129"/>
      <c r="Y108" s="129"/>
      <c r="Z108" s="129"/>
    </row>
    <row r="109" spans="1:30" x14ac:dyDescent="0.2">
      <c r="C109" s="218" t="s">
        <v>189</v>
      </c>
      <c r="D109" s="218" t="s">
        <v>188</v>
      </c>
      <c r="E109" s="218" t="s">
        <v>256</v>
      </c>
      <c r="F109" s="57"/>
      <c r="G109" s="1541"/>
      <c r="H109" s="234"/>
      <c r="I109" s="330"/>
      <c r="J109" s="1543"/>
      <c r="K109" s="1538" t="s">
        <v>257</v>
      </c>
      <c r="L109" s="1538"/>
      <c r="M109" s="1538"/>
      <c r="N109" s="54" t="s">
        <v>174</v>
      </c>
      <c r="O109" s="54" t="s">
        <v>175</v>
      </c>
      <c r="P109" s="54" t="s">
        <v>176</v>
      </c>
      <c r="Q109" s="54" t="s">
        <v>177</v>
      </c>
      <c r="R109" s="54" t="s">
        <v>178</v>
      </c>
      <c r="S109" s="54" t="s">
        <v>179</v>
      </c>
      <c r="T109" s="54" t="s">
        <v>180</v>
      </c>
      <c r="U109" s="54" t="s">
        <v>181</v>
      </c>
      <c r="V109" s="54" t="s">
        <v>182</v>
      </c>
      <c r="W109" s="54" t="s">
        <v>183</v>
      </c>
      <c r="X109" s="89"/>
      <c r="Y109" s="126"/>
      <c r="Z109" s="126"/>
    </row>
    <row r="110" spans="1:30" ht="168" customHeight="1" x14ac:dyDescent="0.2">
      <c r="C110" s="135" t="s">
        <v>161</v>
      </c>
      <c r="D110" s="200" t="str">
        <f>'DEM POT'!D110</f>
        <v>ABANCAY, PICHIRHUA, CHACOCHE, LAMBRAMA, CIRCA, CURAHUASI,HUANIPACA, SAN PEDRO DE CACHORA Y TAMBURCO.</v>
      </c>
      <c r="E110" s="198" t="str">
        <f>'DEM POT'!E110</f>
        <v>PACACCPATA, LLAÑUCANCHA, CCARCCATERA, ASILLO, HUAYLLABAMBA, CHILLCAPAMPA, AYAORCCO, WIRACOCHA, VIRACOCHAPATA, QUISAPATA ALTA, TANCARPATA, QUISAPATA BAJA, SAN GABRIEL, CUITAPE, COMUNPATA, COTARMA, CHACOCHE, ANCHICHA, LAMBRAMA, SECCEBAMBA, SANTA ISABEL DE CAYPE, HUAYRAPAMPA, PICHIUCA, MARJUNI, ATANCAMA, CIRCA, AHUANCCOY, HUIRAHUACHO, (HUIRAHACHO), TACCACCA, TAMBURQUI, APINUHUAYLLA, CCORIPAMPA, LLAULLIPATA, ACCORAN, NISPEROCNIYOC, OCCORURO, SERRANA, CHALLHUAHUACHO, SAN JUAN DE DIOS, PUCA PUCA, PALMIRA, TRANCAPATA ALTA, BACAS, ASMAYACU, PUCA ORCCO, ANTILLA, CCOLLO TARANI, HUANIMA, CCOLLPA, TRANCAPATA BAJA, CCOCHUA ALTA, CHILLICPAMPA, TRIGO ORCCO, CCOC HUA CENTRO, SULBARIO, HUANIPACA, TACMARA, CCOTAQUI, LIMANQUI, HUANCHULLA, CHAQUICCOCHA, SORCCA, ACCO, MARJUPATA ALTA, ASIL, VIRACOCHAN, PANTIPATA ALTA, MARJUPATA BAJA, SALCCANTAY, AGUAS BLANCAS, CCORHUANI, CCANABAMBA ALTA (WARA CCOÑA), CCANABAMBA BAJA y VIRGEN DEL CARMEN</v>
      </c>
      <c r="F110" s="56">
        <f t="shared" ref="F110:W110" si="79">+F103</f>
        <v>206.23699999999999</v>
      </c>
      <c r="G110" s="136">
        <f t="shared" si="79"/>
        <v>2031.6664854602686</v>
      </c>
      <c r="H110" s="137"/>
      <c r="I110" s="137"/>
      <c r="J110" s="137">
        <f t="shared" si="79"/>
        <v>1541.1397968194719</v>
      </c>
      <c r="K110" s="136">
        <f t="shared" si="79"/>
        <v>1541.7369998142146</v>
      </c>
      <c r="L110" s="136">
        <f t="shared" si="79"/>
        <v>1542.3344342295054</v>
      </c>
      <c r="M110" s="136">
        <f t="shared" si="79"/>
        <v>1542.9321001550218</v>
      </c>
      <c r="N110" s="136">
        <f t="shared" si="79"/>
        <v>1543.5299976804758</v>
      </c>
      <c r="O110" s="136">
        <f t="shared" si="79"/>
        <v>1544.1281268956134</v>
      </c>
      <c r="P110" s="136">
        <f t="shared" si="79"/>
        <v>1544.726487890217</v>
      </c>
      <c r="Q110" s="136">
        <f t="shared" si="79"/>
        <v>1545.3250807541026</v>
      </c>
      <c r="R110" s="136">
        <f t="shared" si="79"/>
        <v>1545.9239055771211</v>
      </c>
      <c r="S110" s="136">
        <f t="shared" si="79"/>
        <v>1546.5229624491581</v>
      </c>
      <c r="T110" s="136">
        <f t="shared" si="79"/>
        <v>1547.1222514601347</v>
      </c>
      <c r="U110" s="136">
        <f t="shared" si="79"/>
        <v>1547.7217727000061</v>
      </c>
      <c r="V110" s="136">
        <f t="shared" si="79"/>
        <v>1548.3215262587637</v>
      </c>
      <c r="W110" s="136">
        <f t="shared" si="79"/>
        <v>1548.9215122264309</v>
      </c>
      <c r="X110" s="138"/>
      <c r="Y110" s="138"/>
      <c r="Z110" s="138"/>
    </row>
    <row r="111" spans="1:30" x14ac:dyDescent="0.2">
      <c r="C111" s="1565" t="s">
        <v>44</v>
      </c>
      <c r="D111" s="1565"/>
      <c r="E111" s="1565"/>
      <c r="F111" s="267">
        <f t="shared" ref="F111:W111" si="80">SUM(F110:F110)</f>
        <v>206.23699999999999</v>
      </c>
      <c r="G111" s="268">
        <f t="shared" si="80"/>
        <v>2031.6664854602686</v>
      </c>
      <c r="H111" s="327"/>
      <c r="I111" s="327"/>
      <c r="J111" s="137">
        <f t="shared" si="80"/>
        <v>1541.1397968194719</v>
      </c>
      <c r="K111" s="136">
        <f t="shared" si="80"/>
        <v>1541.7369998142146</v>
      </c>
      <c r="L111" s="136">
        <f t="shared" si="80"/>
        <v>1542.3344342295054</v>
      </c>
      <c r="M111" s="136">
        <f t="shared" si="80"/>
        <v>1542.9321001550218</v>
      </c>
      <c r="N111" s="136">
        <f t="shared" si="80"/>
        <v>1543.5299976804758</v>
      </c>
      <c r="O111" s="136">
        <f t="shared" si="80"/>
        <v>1544.1281268956134</v>
      </c>
      <c r="P111" s="136">
        <f t="shared" si="80"/>
        <v>1544.726487890217</v>
      </c>
      <c r="Q111" s="136">
        <f t="shared" si="80"/>
        <v>1545.3250807541026</v>
      </c>
      <c r="R111" s="136">
        <f t="shared" si="80"/>
        <v>1545.9239055771211</v>
      </c>
      <c r="S111" s="136">
        <f t="shared" si="80"/>
        <v>1546.5229624491581</v>
      </c>
      <c r="T111" s="136">
        <f t="shared" si="80"/>
        <v>1547.1222514601347</v>
      </c>
      <c r="U111" s="136">
        <f t="shared" si="80"/>
        <v>1547.7217727000061</v>
      </c>
      <c r="V111" s="136">
        <f t="shared" si="80"/>
        <v>1548.3215262587637</v>
      </c>
      <c r="W111" s="268">
        <f t="shared" si="80"/>
        <v>1548.9215122264309</v>
      </c>
      <c r="X111" s="149"/>
    </row>
    <row r="112" spans="1:30" x14ac:dyDescent="0.2">
      <c r="K112" s="243">
        <f>SUM(K111:M111)</f>
        <v>4627.0035341987414</v>
      </c>
    </row>
    <row r="114" spans="7:11" ht="38.25" customHeight="1" x14ac:dyDescent="0.2">
      <c r="G114" s="216" t="s">
        <v>189</v>
      </c>
      <c r="H114" s="216" t="s">
        <v>277</v>
      </c>
      <c r="I114" s="216" t="s">
        <v>278</v>
      </c>
      <c r="J114" s="78" t="s">
        <v>318</v>
      </c>
      <c r="K114" s="78" t="s">
        <v>319</v>
      </c>
    </row>
    <row r="115" spans="7:11" x14ac:dyDescent="0.2">
      <c r="G115" s="269" t="s">
        <v>161</v>
      </c>
      <c r="H115" s="270">
        <v>7</v>
      </c>
      <c r="I115" s="270">
        <f>E104</f>
        <v>73</v>
      </c>
      <c r="J115" s="270">
        <f>N111</f>
        <v>1543.5299976804758</v>
      </c>
      <c r="K115" s="136">
        <f>W111</f>
        <v>1548.9215122264309</v>
      </c>
    </row>
    <row r="116" spans="7:11" x14ac:dyDescent="0.2">
      <c r="G116" s="216" t="s">
        <v>252</v>
      </c>
      <c r="H116" s="271">
        <f>SUM(H115:H115)</f>
        <v>7</v>
      </c>
      <c r="I116" s="271">
        <f>SUM(I115:I115)</f>
        <v>73</v>
      </c>
      <c r="J116" s="271">
        <f>SUM(J115:J115)</f>
        <v>1543.5299976804758</v>
      </c>
      <c r="K116" s="271">
        <f>SUM(K115:K115)</f>
        <v>1548.9215122264309</v>
      </c>
    </row>
    <row r="1048343" spans="4:4" x14ac:dyDescent="0.2">
      <c r="D1048343" s="37"/>
    </row>
  </sheetData>
  <mergeCells count="24">
    <mergeCell ref="K29:M29"/>
    <mergeCell ref="K27:W27"/>
    <mergeCell ref="D5:K5"/>
    <mergeCell ref="D17:D18"/>
    <mergeCell ref="C103:E103"/>
    <mergeCell ref="G28:G29"/>
    <mergeCell ref="J28:J29"/>
    <mergeCell ref="I28:I29"/>
    <mergeCell ref="H28:H29"/>
    <mergeCell ref="D16:I16"/>
    <mergeCell ref="K109:M109"/>
    <mergeCell ref="K107:W107"/>
    <mergeCell ref="G108:G109"/>
    <mergeCell ref="C111:E111"/>
    <mergeCell ref="J108:J109"/>
    <mergeCell ref="A91:A98"/>
    <mergeCell ref="A99:A102"/>
    <mergeCell ref="A30:A41"/>
    <mergeCell ref="A42:A44"/>
    <mergeCell ref="A45:A46"/>
    <mergeCell ref="A47:A53"/>
    <mergeCell ref="A54:A59"/>
    <mergeCell ref="A60:A83"/>
    <mergeCell ref="A84:A90"/>
  </mergeCells>
  <pageMargins left="0.70866141732283472" right="0.70866141732283472" top="0.74803149606299213" bottom="0.74803149606299213" header="0.31496062992125984" footer="0.31496062992125984"/>
  <pageSetup paperSize="9" scale="42" orientation="landscape" horizontalDpi="4294967295" verticalDpi="4294967295" r:id="rId1"/>
  <rowBreaks count="2" manualBreakCount="2">
    <brk id="53" max="23" man="1"/>
    <brk id="10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34</vt:i4>
      </vt:variant>
      <vt:variant>
        <vt:lpstr>Rangos con nombre</vt:lpstr>
      </vt:variant>
      <vt:variant>
        <vt:i4>31</vt:i4>
      </vt:variant>
    </vt:vector>
  </HeadingPairs>
  <TitlesOfParts>
    <vt:vector size="65" baseType="lpstr">
      <vt:lpstr>2007 QUINQUENALES</vt:lpstr>
      <vt:lpstr>1993 QUINQUENALES</vt:lpstr>
      <vt:lpstr>HOR_EVA</vt:lpstr>
      <vt:lpstr>TC</vt:lpstr>
      <vt:lpstr>DATA</vt:lpstr>
      <vt:lpstr>POB TOTAL</vt:lpstr>
      <vt:lpstr>DEM REFER</vt:lpstr>
      <vt:lpstr>DEM POT</vt:lpstr>
      <vt:lpstr>DEM EFEC</vt:lpstr>
      <vt:lpstr>ACT ECON</vt:lpstr>
      <vt:lpstr>DEM - DESN</vt:lpstr>
      <vt:lpstr>OFE</vt:lpstr>
      <vt:lpstr>BRECHA</vt:lpstr>
      <vt:lpstr>ANÁ TEC</vt:lpstr>
      <vt:lpstr>COSTOS - INFRA.</vt:lpstr>
      <vt:lpstr>COSTOS - EQUIP.</vt:lpstr>
      <vt:lpstr>EQUI. PLANTA PILOTO</vt:lpstr>
      <vt:lpstr>COSTOS - CAPACI - 3,4 Y 5.</vt:lpstr>
      <vt:lpstr>COSTOS DE MIT. AMB.</vt:lpstr>
      <vt:lpstr>COSTOS DE GESTIÓN DE Py</vt:lpstr>
      <vt:lpstr>COSTOS - E.T.</vt:lpstr>
      <vt:lpstr>G.G.</vt:lpstr>
      <vt:lpstr>C. SUP.</vt:lpstr>
      <vt:lpstr>C. LIQU.</vt:lpstr>
      <vt:lpstr>M.O.EH</vt:lpstr>
      <vt:lpstr>RES COST</vt:lpstr>
      <vt:lpstr>PERS - O&amp;M</vt:lpstr>
      <vt:lpstr>O&amp;M</vt:lpstr>
      <vt:lpstr>RES. O&amp;M</vt:lpstr>
      <vt:lpstr>C.I.</vt:lpstr>
      <vt:lpstr>C. PRODUC.</vt:lpstr>
      <vt:lpstr>BENEFICIOS</vt:lpstr>
      <vt:lpstr>B.I.</vt:lpstr>
      <vt:lpstr>EVAL. PP.PS y SENSIB.</vt:lpstr>
      <vt:lpstr>'ACT ECON'!Área_de_impresión</vt:lpstr>
      <vt:lpstr>'ANÁ TEC'!Área_de_impresión</vt:lpstr>
      <vt:lpstr>B.I.!Área_de_impresión</vt:lpstr>
      <vt:lpstr>BENEFICIOS!Área_de_impresión</vt:lpstr>
      <vt:lpstr>BRECHA!Área_de_impresión</vt:lpstr>
      <vt:lpstr>'C. LIQU.'!Área_de_impresión</vt:lpstr>
      <vt:lpstr>'C. PRODUC.'!Área_de_impresión</vt:lpstr>
      <vt:lpstr>'C. SUP.'!Área_de_impresión</vt:lpstr>
      <vt:lpstr>C.I.!Área_de_impresión</vt:lpstr>
      <vt:lpstr>'COSTOS - CAPACI - 3,4 Y 5.'!Área_de_impresión</vt:lpstr>
      <vt:lpstr>'COSTOS - E.T.'!Área_de_impresión</vt:lpstr>
      <vt:lpstr>'COSTOS - EQUIP.'!Área_de_impresión</vt:lpstr>
      <vt:lpstr>'COSTOS - INFRA.'!Área_de_impresión</vt:lpstr>
      <vt:lpstr>'COSTOS DE GESTIÓN DE Py'!Área_de_impresión</vt:lpstr>
      <vt:lpstr>'COSTOS DE MIT. AMB.'!Área_de_impresión</vt:lpstr>
      <vt:lpstr>DATA!Área_de_impresión</vt:lpstr>
      <vt:lpstr>'DEM - DESN'!Área_de_impresión</vt:lpstr>
      <vt:lpstr>'DEM EFEC'!Área_de_impresión</vt:lpstr>
      <vt:lpstr>'DEM POT'!Área_de_impresión</vt:lpstr>
      <vt:lpstr>'DEM REFER'!Área_de_impresión</vt:lpstr>
      <vt:lpstr>'EQUI. PLANTA PILOTO'!Área_de_impresión</vt:lpstr>
      <vt:lpstr>'EVAL. PP.PS y SENSIB.'!Área_de_impresión</vt:lpstr>
      <vt:lpstr>G.G.!Área_de_impresión</vt:lpstr>
      <vt:lpstr>HOR_EVA!Área_de_impresión</vt:lpstr>
      <vt:lpstr>'O&amp;M'!Área_de_impresión</vt:lpstr>
      <vt:lpstr>OFE!Área_de_impresión</vt:lpstr>
      <vt:lpstr>'PERS - O&amp;M'!Área_de_impresión</vt:lpstr>
      <vt:lpstr>'POB TOTAL'!Área_de_impresión</vt:lpstr>
      <vt:lpstr>'RES COST'!Área_de_impresión</vt:lpstr>
      <vt:lpstr>'RES. O&amp;M'!Área_de_impresión</vt:lpstr>
      <vt:lpstr>TC!Área_de_impresión</vt:lpstr>
    </vt:vector>
  </TitlesOfParts>
  <Company>Windows XP Titan Ultimate Edition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Anghineth</dc:creator>
  <cp:lastModifiedBy>ORFEI-GERMUT</cp:lastModifiedBy>
  <cp:lastPrinted>2020-02-25T20:57:31Z</cp:lastPrinted>
  <dcterms:created xsi:type="dcterms:W3CDTF">2014-03-18T03:00:40Z</dcterms:created>
  <dcterms:modified xsi:type="dcterms:W3CDTF">2020-07-22T15:11:32Z</dcterms:modified>
</cp:coreProperties>
</file>