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4240" windowHeight="13740" tabRatio="930"/>
  </bookViews>
  <sheets>
    <sheet name="Generalidades" sheetId="3" r:id="rId1"/>
    <sheet name="Area de Estudio" sheetId="2" r:id="rId2"/>
    <sheet name="TC% CONS PERCAP" sheetId="4" r:id="rId3"/>
    <sheet name="HOR-EVA" sheetId="23" r:id="rId4"/>
    <sheet name="DEMANDA" sheetId="5" r:id="rId5"/>
    <sheet name="OFERTA" sheetId="6" r:id="rId6"/>
    <sheet name="Dem_Ofe" sheetId="7" r:id="rId7"/>
    <sheet name="BENEFICIARIOS" sheetId="16" r:id="rId8"/>
    <sheet name="BRECHA" sheetId="17" r:id="rId9"/>
    <sheet name="ANA TECNICO" sheetId="25" r:id="rId10"/>
    <sheet name="PPGG" sheetId="10" r:id="rId11"/>
    <sheet name="COSTOS1" sheetId="9" r:id="rId12"/>
    <sheet name="GG" sheetId="11" r:id="rId13"/>
    <sheet name="GSUPERVISION" sheetId="13" r:id="rId14"/>
    <sheet name="GGESTION" sheetId="12" r:id="rId15"/>
    <sheet name="GLIQUIDACION" sheetId="14" r:id="rId16"/>
    <sheet name="GEXPTEC" sheetId="15" r:id="rId17"/>
    <sheet name="O &amp; M" sheetId="20" r:id="rId18"/>
    <sheet name="Flujo de Costos Privados" sheetId="22" r:id="rId19"/>
    <sheet name="Evaluacion social" sheetId="21" r:id="rId20"/>
    <sheet name="EVALUACIÓN SOCIAL" sheetId="26" r:id="rId21"/>
  </sheets>
  <externalReferences>
    <externalReference r:id="rId22"/>
    <externalReference r:id="rId23"/>
    <externalReference r:id="rId24"/>
  </externalReferenc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0" i="21" l="1"/>
  <c r="U24" i="26"/>
  <c r="V24" i="26"/>
  <c r="W24" i="26"/>
  <c r="X24" i="26"/>
  <c r="Y24" i="26"/>
  <c r="Z24" i="26"/>
  <c r="AA24" i="26"/>
  <c r="AB24" i="26"/>
  <c r="AC24" i="26"/>
  <c r="T24" i="26"/>
  <c r="U23" i="26"/>
  <c r="V23" i="26"/>
  <c r="W23" i="26"/>
  <c r="X23" i="26"/>
  <c r="Y23" i="26"/>
  <c r="Z23" i="26"/>
  <c r="AA23" i="26"/>
  <c r="AB23" i="26"/>
  <c r="AC23" i="26"/>
  <c r="T23" i="26"/>
  <c r="U15" i="26"/>
  <c r="V15" i="26"/>
  <c r="W15" i="26"/>
  <c r="X15" i="26"/>
  <c r="Y15" i="26"/>
  <c r="Z15" i="26"/>
  <c r="AA15" i="26"/>
  <c r="AA14" i="26" s="1"/>
  <c r="AB15" i="26"/>
  <c r="AB14" i="26" s="1"/>
  <c r="AC15" i="26"/>
  <c r="T15" i="26"/>
  <c r="U12" i="26"/>
  <c r="V12" i="26"/>
  <c r="W12" i="26"/>
  <c r="X12" i="26"/>
  <c r="Y12" i="26"/>
  <c r="Z12" i="26"/>
  <c r="AA12" i="26"/>
  <c r="AB12" i="26"/>
  <c r="AB10" i="26" s="1"/>
  <c r="AC12" i="26"/>
  <c r="AC10" i="26" s="1"/>
  <c r="T12" i="26"/>
  <c r="AA13" i="26"/>
  <c r="V13" i="26"/>
  <c r="AA25" i="26"/>
  <c r="S11" i="26"/>
  <c r="S10" i="26" s="1"/>
  <c r="S16" i="26" s="1"/>
  <c r="V36" i="20"/>
  <c r="V35" i="20"/>
  <c r="R36" i="20"/>
  <c r="R35" i="20"/>
  <c r="T34" i="20"/>
  <c r="U34" i="20" s="1"/>
  <c r="S34" i="20"/>
  <c r="R34" i="20"/>
  <c r="T31" i="20"/>
  <c r="U31" i="20" s="1"/>
  <c r="V31" i="20" s="1"/>
  <c r="W31" i="20" s="1"/>
  <c r="X31" i="20" s="1"/>
  <c r="Y31" i="20" s="1"/>
  <c r="Z31" i="20" s="1"/>
  <c r="AA31" i="20" s="1"/>
  <c r="S31" i="20"/>
  <c r="R31" i="20"/>
  <c r="S30" i="20"/>
  <c r="T30" i="20"/>
  <c r="U30" i="20"/>
  <c r="V30" i="20"/>
  <c r="W30" i="20"/>
  <c r="X30" i="20"/>
  <c r="Y30" i="20"/>
  <c r="Z30" i="20"/>
  <c r="AA30" i="20"/>
  <c r="R30" i="20"/>
  <c r="T29" i="20"/>
  <c r="U29" i="20" s="1"/>
  <c r="S29" i="20"/>
  <c r="R29" i="20"/>
  <c r="T27" i="20"/>
  <c r="U27" i="20" s="1"/>
  <c r="S27" i="20"/>
  <c r="R27" i="20"/>
  <c r="R26" i="20" s="1"/>
  <c r="T24" i="20"/>
  <c r="U24" i="20" s="1"/>
  <c r="V24" i="20" s="1"/>
  <c r="W24" i="20" s="1"/>
  <c r="X24" i="20" s="1"/>
  <c r="Y24" i="20" s="1"/>
  <c r="Z24" i="20" s="1"/>
  <c r="AA24" i="20" s="1"/>
  <c r="S24" i="20"/>
  <c r="R24" i="20"/>
  <c r="T22" i="20"/>
  <c r="U22" i="20" s="1"/>
  <c r="S22" i="20"/>
  <c r="R22" i="20"/>
  <c r="S33" i="20"/>
  <c r="R33" i="20"/>
  <c r="T28" i="20"/>
  <c r="S28" i="20"/>
  <c r="R28" i="20"/>
  <c r="T26" i="20"/>
  <c r="S26" i="20"/>
  <c r="S21" i="20"/>
  <c r="R21" i="20"/>
  <c r="T21" i="20"/>
  <c r="H15" i="20"/>
  <c r="H13" i="20" s="1"/>
  <c r="H14" i="20"/>
  <c r="H12" i="20"/>
  <c r="H10" i="20" s="1"/>
  <c r="H11" i="20"/>
  <c r="H8" i="20"/>
  <c r="H7" i="20"/>
  <c r="D21" i="20"/>
  <c r="AC25" i="26"/>
  <c r="AE25" i="26" s="1"/>
  <c r="AB25" i="26"/>
  <c r="Z25" i="26"/>
  <c r="Y25" i="26"/>
  <c r="X25" i="26"/>
  <c r="W25" i="26"/>
  <c r="U25" i="26"/>
  <c r="T25" i="26"/>
  <c r="AC14" i="26"/>
  <c r="Z14" i="26"/>
  <c r="Y14" i="26"/>
  <c r="X14" i="26"/>
  <c r="W14" i="26"/>
  <c r="V14" i="26"/>
  <c r="U14" i="26"/>
  <c r="T14" i="26"/>
  <c r="V25" i="26"/>
  <c r="E25" i="26"/>
  <c r="G25" i="26"/>
  <c r="H25" i="26"/>
  <c r="I25" i="26"/>
  <c r="J25" i="26"/>
  <c r="L25" i="26"/>
  <c r="M25" i="26"/>
  <c r="D25" i="26"/>
  <c r="AB16" i="26" l="1"/>
  <c r="AC26" i="26"/>
  <c r="U33" i="20"/>
  <c r="U36" i="20" s="1"/>
  <c r="V34" i="20"/>
  <c r="T33" i="20"/>
  <c r="V29" i="20"/>
  <c r="U28" i="20"/>
  <c r="V27" i="20"/>
  <c r="U26" i="20"/>
  <c r="S36" i="20"/>
  <c r="V22" i="20"/>
  <c r="W22" i="20" s="1"/>
  <c r="U21" i="20"/>
  <c r="T35" i="20"/>
  <c r="T26" i="26" s="1"/>
  <c r="R37" i="20"/>
  <c r="S35" i="20"/>
  <c r="S37" i="20" s="1"/>
  <c r="T36" i="20"/>
  <c r="T10" i="26"/>
  <c r="T16" i="26" s="1"/>
  <c r="U10" i="26"/>
  <c r="U16" i="26" s="1"/>
  <c r="H6" i="20"/>
  <c r="H5" i="20" s="1"/>
  <c r="H16" i="20" s="1"/>
  <c r="AC16" i="26"/>
  <c r="AB26" i="26"/>
  <c r="W34" i="20" l="1"/>
  <c r="V33" i="20"/>
  <c r="U35" i="20"/>
  <c r="U26" i="26" s="1"/>
  <c r="T37" i="20"/>
  <c r="V28" i="20"/>
  <c r="W29" i="20"/>
  <c r="W27" i="20"/>
  <c r="V26" i="20"/>
  <c r="V10" i="26"/>
  <c r="V16" i="26" s="1"/>
  <c r="V21" i="20"/>
  <c r="W21" i="20"/>
  <c r="X22" i="20"/>
  <c r="X34" i="20" l="1"/>
  <c r="W33" i="20"/>
  <c r="U37" i="20"/>
  <c r="V26" i="26"/>
  <c r="X29" i="20"/>
  <c r="W28" i="20"/>
  <c r="W35" i="20" s="1"/>
  <c r="W26" i="26" s="1"/>
  <c r="W26" i="20"/>
  <c r="X27" i="20"/>
  <c r="W10" i="26"/>
  <c r="W16" i="26" s="1"/>
  <c r="X21" i="20"/>
  <c r="Y22" i="20"/>
  <c r="W36" i="20" l="1"/>
  <c r="X33" i="20"/>
  <c r="Y34" i="20"/>
  <c r="V37" i="20"/>
  <c r="W37" i="20"/>
  <c r="X28" i="20"/>
  <c r="X35" i="20" s="1"/>
  <c r="Y29" i="20"/>
  <c r="X26" i="20"/>
  <c r="X10" i="26"/>
  <c r="X16" i="26" s="1"/>
  <c r="Y27" i="20"/>
  <c r="Z22" i="20"/>
  <c r="Y21" i="20"/>
  <c r="Y33" i="20" l="1"/>
  <c r="Z34" i="20"/>
  <c r="X36" i="20"/>
  <c r="X26" i="26"/>
  <c r="X37" i="20"/>
  <c r="Y28" i="20"/>
  <c r="Y35" i="20" s="1"/>
  <c r="Z29" i="20"/>
  <c r="Y10" i="26"/>
  <c r="Y16" i="26" s="1"/>
  <c r="Y26" i="20"/>
  <c r="Y36" i="20" s="1"/>
  <c r="Z27" i="20"/>
  <c r="Z21" i="20"/>
  <c r="AA22" i="20"/>
  <c r="AA21" i="20" s="1"/>
  <c r="AA34" i="20" l="1"/>
  <c r="Z33" i="20"/>
  <c r="Y37" i="20"/>
  <c r="Y26" i="26"/>
  <c r="Z28" i="20"/>
  <c r="Z35" i="20" s="1"/>
  <c r="AA29" i="20"/>
  <c r="AA28" i="20" s="1"/>
  <c r="AA35" i="20" s="1"/>
  <c r="AA27" i="20"/>
  <c r="Z26" i="20"/>
  <c r="Z10" i="26"/>
  <c r="Z16" i="26" s="1"/>
  <c r="AA26" i="26" l="1"/>
  <c r="Z37" i="20"/>
  <c r="Z36" i="20"/>
  <c r="AA33" i="20"/>
  <c r="Z26" i="26"/>
  <c r="S27" i="26" s="1"/>
  <c r="AA26" i="20"/>
  <c r="AA36" i="20" s="1"/>
  <c r="AA37" i="20" s="1"/>
  <c r="AA10" i="26"/>
  <c r="AA16" i="26" s="1"/>
  <c r="S18" i="26" s="1"/>
  <c r="S20" i="26" l="1"/>
  <c r="E15" i="26" l="1"/>
  <c r="E14" i="26" s="1"/>
  <c r="F15" i="26"/>
  <c r="F14" i="26" s="1"/>
  <c r="G15" i="26"/>
  <c r="G14" i="26" s="1"/>
  <c r="H15" i="26"/>
  <c r="H14" i="26" s="1"/>
  <c r="I15" i="26"/>
  <c r="I14" i="26" s="1"/>
  <c r="J15" i="26"/>
  <c r="K15" i="26"/>
  <c r="L15" i="26"/>
  <c r="L14" i="26" s="1"/>
  <c r="M15" i="26"/>
  <c r="M14" i="26" s="1"/>
  <c r="D15" i="26"/>
  <c r="D14" i="26" s="1"/>
  <c r="K13" i="26"/>
  <c r="K25" i="26" s="1"/>
  <c r="F13" i="26"/>
  <c r="F25" i="26" s="1"/>
  <c r="C11" i="26"/>
  <c r="O25" i="26" s="1"/>
  <c r="K14" i="26"/>
  <c r="J14" i="26"/>
  <c r="C10" i="26" l="1"/>
  <c r="C16" i="26" s="1"/>
  <c r="F14" i="21" l="1"/>
  <c r="F15" i="21"/>
  <c r="F16" i="21"/>
  <c r="F17" i="21"/>
  <c r="F18" i="21"/>
  <c r="F13" i="21"/>
  <c r="F12" i="21" s="1"/>
  <c r="F6" i="21"/>
  <c r="F5" i="21" s="1"/>
  <c r="F19" i="21" s="1"/>
  <c r="D5" i="21"/>
  <c r="D12" i="21"/>
  <c r="D19" i="21" s="1"/>
  <c r="I80" i="13" l="1"/>
  <c r="H118" i="13"/>
  <c r="I61" i="13"/>
  <c r="H61" i="13" s="1"/>
  <c r="I81" i="13"/>
  <c r="H81" i="13" s="1"/>
  <c r="I82" i="13"/>
  <c r="H82" i="13" s="1"/>
  <c r="I83" i="13"/>
  <c r="H83" i="13" s="1"/>
  <c r="I84" i="13"/>
  <c r="H84" i="13" s="1"/>
  <c r="B21" i="13"/>
  <c r="G122" i="9"/>
  <c r="H122" i="9" s="1"/>
  <c r="K122" i="9" s="1"/>
  <c r="G121" i="9"/>
  <c r="H121" i="9" s="1"/>
  <c r="K121" i="9" s="1"/>
  <c r="G120" i="9"/>
  <c r="H120" i="9" s="1"/>
  <c r="K120" i="9" s="1"/>
  <c r="G119" i="9"/>
  <c r="H119" i="9" s="1"/>
  <c r="K119" i="9" s="1"/>
  <c r="G118" i="9"/>
  <c r="H118" i="9" s="1"/>
  <c r="K118" i="9" s="1"/>
  <c r="G117" i="9"/>
  <c r="H117" i="9" s="1"/>
  <c r="K117" i="9" s="1"/>
  <c r="G116" i="9"/>
  <c r="H116" i="9" s="1"/>
  <c r="K116" i="9" s="1"/>
  <c r="G115" i="9"/>
  <c r="H115" i="9" s="1"/>
  <c r="K115" i="9" s="1"/>
  <c r="G114" i="9"/>
  <c r="H114" i="9" s="1"/>
  <c r="K114" i="9" s="1"/>
  <c r="G113" i="9"/>
  <c r="H113" i="9" s="1"/>
  <c r="K113" i="9" s="1"/>
  <c r="G112" i="9"/>
  <c r="H112" i="9" s="1"/>
  <c r="K112" i="9" s="1"/>
  <c r="G111" i="9"/>
  <c r="H111" i="9" s="1"/>
  <c r="K111" i="9" s="1"/>
  <c r="G110" i="9"/>
  <c r="H110" i="9" s="1"/>
  <c r="K110" i="9" s="1"/>
  <c r="G109" i="9"/>
  <c r="H109" i="9" s="1"/>
  <c r="K109" i="9" s="1"/>
  <c r="G108" i="9"/>
  <c r="H108" i="9" s="1"/>
  <c r="K108" i="9" s="1"/>
  <c r="G107" i="9"/>
  <c r="H107" i="9" s="1"/>
  <c r="K107" i="9" s="1"/>
  <c r="G106" i="9"/>
  <c r="H106" i="9" s="1"/>
  <c r="K106" i="9" s="1"/>
  <c r="G105" i="9"/>
  <c r="H105" i="9" s="1"/>
  <c r="K105" i="9" s="1"/>
  <c r="G104" i="9"/>
  <c r="H104" i="9" s="1"/>
  <c r="K104" i="9" s="1"/>
  <c r="G103" i="9"/>
  <c r="H103" i="9" s="1"/>
  <c r="K103" i="9" s="1"/>
  <c r="G102" i="9"/>
  <c r="H102" i="9" s="1"/>
  <c r="K102" i="9" s="1"/>
  <c r="G101" i="9"/>
  <c r="H101" i="9" s="1"/>
  <c r="K101" i="9" s="1"/>
  <c r="G100" i="9"/>
  <c r="H100" i="9" s="1"/>
  <c r="K100" i="9" s="1"/>
  <c r="G99" i="9"/>
  <c r="H99" i="9" s="1"/>
  <c r="G97" i="9"/>
  <c r="H97" i="9" s="1"/>
  <c r="G96" i="9"/>
  <c r="H96" i="9" s="1"/>
  <c r="K96" i="9" s="1"/>
  <c r="G95" i="9"/>
  <c r="H95" i="9" s="1"/>
  <c r="K95" i="9" s="1"/>
  <c r="G94" i="9"/>
  <c r="H94" i="9" s="1"/>
  <c r="K94" i="9" s="1"/>
  <c r="G93" i="9"/>
  <c r="H93" i="9" s="1"/>
  <c r="G91" i="9"/>
  <c r="H91" i="9" s="1"/>
  <c r="G90" i="9"/>
  <c r="H90" i="9" s="1"/>
  <c r="K90" i="9" s="1"/>
  <c r="G88" i="9"/>
  <c r="H88" i="9" s="1"/>
  <c r="K88" i="9" s="1"/>
  <c r="G87" i="9"/>
  <c r="H87" i="9" s="1"/>
  <c r="K87" i="9" s="1"/>
  <c r="G86" i="9"/>
  <c r="H86" i="9" s="1"/>
  <c r="K86" i="9" s="1"/>
  <c r="G84" i="9"/>
  <c r="H84" i="9" s="1"/>
  <c r="K84" i="9" s="1"/>
  <c r="G83" i="9"/>
  <c r="H83" i="9" s="1"/>
  <c r="K83" i="9" s="1"/>
  <c r="G82" i="9"/>
  <c r="H82" i="9" s="1"/>
  <c r="G80" i="9"/>
  <c r="H80" i="9" s="1"/>
  <c r="K80" i="9" s="1"/>
  <c r="G79" i="9"/>
  <c r="H79" i="9" s="1"/>
  <c r="K79" i="9" s="1"/>
  <c r="G78" i="9"/>
  <c r="H78" i="9" s="1"/>
  <c r="I118" i="13"/>
  <c r="I117" i="13"/>
  <c r="I105" i="13"/>
  <c r="H105" i="13" s="1"/>
  <c r="I104" i="13"/>
  <c r="I97" i="13"/>
  <c r="H97" i="13" s="1"/>
  <c r="I96" i="13"/>
  <c r="H96" i="13" s="1"/>
  <c r="I95" i="13"/>
  <c r="H95" i="13" s="1"/>
  <c r="I94" i="13"/>
  <c r="H94" i="13" s="1"/>
  <c r="I93" i="13"/>
  <c r="H93" i="13" s="1"/>
  <c r="I87" i="13"/>
  <c r="H87" i="13" s="1"/>
  <c r="I86" i="13"/>
  <c r="H86" i="13"/>
  <c r="I78" i="13"/>
  <c r="I77" i="13"/>
  <c r="H77" i="13" s="1"/>
  <c r="I76" i="13"/>
  <c r="H76" i="13" s="1"/>
  <c r="I75" i="13"/>
  <c r="H75" i="13" s="1"/>
  <c r="I74" i="13"/>
  <c r="H74" i="13" s="1"/>
  <c r="I73" i="13"/>
  <c r="H73" i="13" s="1"/>
  <c r="I72" i="13"/>
  <c r="H72" i="13" s="1"/>
  <c r="I71" i="13"/>
  <c r="H71" i="13" s="1"/>
  <c r="I70" i="13"/>
  <c r="H70" i="13" s="1"/>
  <c r="I69" i="13"/>
  <c r="H69" i="13" s="1"/>
  <c r="I68" i="13"/>
  <c r="H68" i="13" s="1"/>
  <c r="I67" i="13"/>
  <c r="H67" i="13" s="1"/>
  <c r="I66" i="13"/>
  <c r="H66" i="13" s="1"/>
  <c r="I65" i="13"/>
  <c r="H65" i="13" s="1"/>
  <c r="I64" i="13"/>
  <c r="H64" i="13" s="1"/>
  <c r="I63" i="13"/>
  <c r="H63" i="13" s="1"/>
  <c r="I62" i="13"/>
  <c r="H62" i="13" s="1"/>
  <c r="I60" i="13"/>
  <c r="H60" i="13" s="1"/>
  <c r="I59" i="13"/>
  <c r="H59" i="13" s="1"/>
  <c r="I58" i="13"/>
  <c r="H58" i="13" s="1"/>
  <c r="I57" i="13"/>
  <c r="H57" i="13" s="1"/>
  <c r="I56" i="13"/>
  <c r="H56" i="13" s="1"/>
  <c r="I55" i="13"/>
  <c r="H55" i="13" s="1"/>
  <c r="G47" i="13"/>
  <c r="J47" i="13" s="1"/>
  <c r="G46" i="13"/>
  <c r="J46" i="13" s="1"/>
  <c r="G45" i="13"/>
  <c r="J45" i="13" s="1"/>
  <c r="H39" i="13"/>
  <c r="B39" i="13"/>
  <c r="B47" i="13" s="1"/>
  <c r="H38" i="13"/>
  <c r="B38" i="13"/>
  <c r="B46" i="13" s="1"/>
  <c r="H37" i="13"/>
  <c r="B37" i="13"/>
  <c r="B45" i="13" s="1"/>
  <c r="C31" i="13"/>
  <c r="D31" i="13" s="1"/>
  <c r="I31" i="13" s="1"/>
  <c r="H22" i="13" s="1"/>
  <c r="I22" i="13" s="1"/>
  <c r="F30" i="13"/>
  <c r="D30" i="13"/>
  <c r="F29" i="13"/>
  <c r="D29" i="13"/>
  <c r="B22" i="13"/>
  <c r="B20" i="13"/>
  <c r="D13" i="13"/>
  <c r="D12" i="13"/>
  <c r="D11" i="13"/>
  <c r="D10" i="13"/>
  <c r="C10" i="13"/>
  <c r="D9" i="13"/>
  <c r="C9" i="13"/>
  <c r="D8" i="13"/>
  <c r="C8" i="13"/>
  <c r="D7" i="13"/>
  <c r="L85" i="9" l="1"/>
  <c r="I79" i="13"/>
  <c r="H80" i="13"/>
  <c r="H29" i="13"/>
  <c r="I106" i="13"/>
  <c r="H13" i="13" s="1"/>
  <c r="H30" i="13"/>
  <c r="J48" i="13"/>
  <c r="H10" i="13" s="1"/>
  <c r="I98" i="13"/>
  <c r="H12" i="13" s="1"/>
  <c r="I119" i="13"/>
  <c r="I29" i="13"/>
  <c r="H20" i="13" s="1"/>
  <c r="I20" i="13" s="1"/>
  <c r="I30" i="13"/>
  <c r="H21" i="13" s="1"/>
  <c r="I21" i="13" s="1"/>
  <c r="H40" i="13"/>
  <c r="H9" i="13" s="1"/>
  <c r="I54" i="13"/>
  <c r="H104" i="13"/>
  <c r="H77" i="9"/>
  <c r="K82" i="9"/>
  <c r="L81" i="9" s="1"/>
  <c r="H81" i="9"/>
  <c r="K93" i="9"/>
  <c r="L92" i="9" s="1"/>
  <c r="H92" i="9"/>
  <c r="K91" i="9"/>
  <c r="L89" i="9" s="1"/>
  <c r="H89" i="9"/>
  <c r="K99" i="9"/>
  <c r="L98" i="9" s="1"/>
  <c r="H98" i="9"/>
  <c r="K78" i="9"/>
  <c r="L77" i="9" s="1"/>
  <c r="H85" i="9"/>
  <c r="H14" i="13"/>
  <c r="H31" i="13"/>
  <c r="H117" i="13"/>
  <c r="I85" i="13"/>
  <c r="O29" i="9" l="1"/>
  <c r="I88" i="13"/>
  <c r="H11" i="13" s="1"/>
  <c r="H32" i="13"/>
  <c r="H8" i="13" s="1"/>
  <c r="I23" i="13"/>
  <c r="H7" i="13" s="1"/>
  <c r="I122" i="13" l="1"/>
  <c r="H15" i="13"/>
  <c r="G76" i="9" l="1"/>
  <c r="G75" i="9"/>
  <c r="H75" i="9" s="1"/>
  <c r="G73" i="9"/>
  <c r="H73" i="9" s="1"/>
  <c r="K73" i="9" s="1"/>
  <c r="G64" i="9"/>
  <c r="H64" i="9" s="1"/>
  <c r="K64" i="9" s="1"/>
  <c r="G63" i="9"/>
  <c r="H63" i="9" s="1"/>
  <c r="K63" i="9" s="1"/>
  <c r="G62" i="9"/>
  <c r="H62" i="9" s="1"/>
  <c r="K62" i="9" s="1"/>
  <c r="G61" i="9"/>
  <c r="H61" i="9" s="1"/>
  <c r="K61" i="9" s="1"/>
  <c r="G60" i="9"/>
  <c r="H60" i="9" s="1"/>
  <c r="K60" i="9" s="1"/>
  <c r="G59" i="9"/>
  <c r="H59" i="9" s="1"/>
  <c r="K59" i="9" s="1"/>
  <c r="G58" i="9"/>
  <c r="H58" i="9" s="1"/>
  <c r="K58" i="9" s="1"/>
  <c r="G57" i="9"/>
  <c r="H57" i="9" s="1"/>
  <c r="K57" i="9" s="1"/>
  <c r="G56" i="9"/>
  <c r="H56" i="9" s="1"/>
  <c r="K56" i="9" s="1"/>
  <c r="G55" i="9"/>
  <c r="H55" i="9" s="1"/>
  <c r="K55" i="9" s="1"/>
  <c r="G54" i="9"/>
  <c r="H54" i="9" s="1"/>
  <c r="K54" i="9" s="1"/>
  <c r="G53" i="9"/>
  <c r="H53" i="9" s="1"/>
  <c r="K53" i="9" s="1"/>
  <c r="G52" i="9"/>
  <c r="H52" i="9" s="1"/>
  <c r="K52" i="9" s="1"/>
  <c r="G51" i="9"/>
  <c r="H51" i="9" s="1"/>
  <c r="K51" i="9" s="1"/>
  <c r="G50" i="9"/>
  <c r="H50" i="9" s="1"/>
  <c r="K50" i="9" s="1"/>
  <c r="G49" i="9"/>
  <c r="H49" i="9" s="1"/>
  <c r="K49" i="9" s="1"/>
  <c r="G48" i="9"/>
  <c r="H48" i="9" s="1"/>
  <c r="K48" i="9" s="1"/>
  <c r="G47" i="9"/>
  <c r="H47" i="9" s="1"/>
  <c r="K47" i="9" s="1"/>
  <c r="G46" i="9"/>
  <c r="H46" i="9" s="1"/>
  <c r="K46" i="9" s="1"/>
  <c r="G45" i="9"/>
  <c r="H45" i="9" s="1"/>
  <c r="K45" i="9" s="1"/>
  <c r="G44" i="9"/>
  <c r="H44" i="9" s="1"/>
  <c r="K44" i="9" s="1"/>
  <c r="G43" i="9"/>
  <c r="H43" i="9" s="1"/>
  <c r="K43" i="9" s="1"/>
  <c r="G42" i="9"/>
  <c r="H42" i="9" s="1"/>
  <c r="K42" i="9" s="1"/>
  <c r="G41" i="9"/>
  <c r="H41" i="9" s="1"/>
  <c r="G36" i="9"/>
  <c r="H36" i="9" s="1"/>
  <c r="G37" i="9"/>
  <c r="H37" i="9" s="1"/>
  <c r="K37" i="9" s="1"/>
  <c r="G38" i="9"/>
  <c r="H38" i="9" s="1"/>
  <c r="K38" i="9" s="1"/>
  <c r="G39" i="9"/>
  <c r="H39" i="9" s="1"/>
  <c r="G35" i="9"/>
  <c r="H35" i="9" s="1"/>
  <c r="G28" i="9"/>
  <c r="H28" i="9" s="1"/>
  <c r="K28" i="9" s="1"/>
  <c r="G27" i="9"/>
  <c r="H27" i="9" s="1"/>
  <c r="K27" i="9" s="1"/>
  <c r="G26" i="9"/>
  <c r="G25" i="9"/>
  <c r="H25" i="9" s="1"/>
  <c r="K25" i="9" s="1"/>
  <c r="G23" i="9"/>
  <c r="H23" i="9" s="1"/>
  <c r="K23" i="9" s="1"/>
  <c r="G22" i="9"/>
  <c r="H22" i="9" s="1"/>
  <c r="K22" i="9" s="1"/>
  <c r="G21" i="9"/>
  <c r="H21" i="9" s="1"/>
  <c r="K21" i="9" s="1"/>
  <c r="G20" i="9"/>
  <c r="H20" i="9" s="1"/>
  <c r="K20" i="9" s="1"/>
  <c r="H128" i="11"/>
  <c r="I128" i="11" s="1"/>
  <c r="I129" i="11" s="1"/>
  <c r="H14" i="11" s="1"/>
  <c r="I127" i="11"/>
  <c r="H127" i="11"/>
  <c r="I115" i="11"/>
  <c r="H115" i="11" s="1"/>
  <c r="I114" i="11"/>
  <c r="I116" i="11" s="1"/>
  <c r="H13" i="11" s="1"/>
  <c r="H114" i="11"/>
  <c r="I107" i="11"/>
  <c r="H107" i="11" s="1"/>
  <c r="I106" i="11"/>
  <c r="H106" i="11"/>
  <c r="I105" i="11"/>
  <c r="H105" i="11" s="1"/>
  <c r="I104" i="11"/>
  <c r="H104" i="11"/>
  <c r="I103" i="11"/>
  <c r="I108" i="11" s="1"/>
  <c r="H12" i="11" s="1"/>
  <c r="I97" i="11"/>
  <c r="H97" i="11" s="1"/>
  <c r="I96" i="11"/>
  <c r="H96" i="11" s="1"/>
  <c r="I95" i="11"/>
  <c r="H95" i="11" s="1"/>
  <c r="I94" i="11"/>
  <c r="H94" i="11" s="1"/>
  <c r="I93" i="11"/>
  <c r="H93" i="11" s="1"/>
  <c r="I92" i="11"/>
  <c r="H92" i="11" s="1"/>
  <c r="I90" i="11"/>
  <c r="H90" i="11" s="1"/>
  <c r="I89" i="11"/>
  <c r="H89" i="11" s="1"/>
  <c r="I88" i="11"/>
  <c r="H88" i="11" s="1"/>
  <c r="I87" i="11"/>
  <c r="H87" i="11" s="1"/>
  <c r="I86" i="11"/>
  <c r="I84" i="11"/>
  <c r="I83" i="11"/>
  <c r="H83" i="11" s="1"/>
  <c r="I82" i="11"/>
  <c r="H82" i="11" s="1"/>
  <c r="I81" i="11"/>
  <c r="H81" i="11" s="1"/>
  <c r="I80" i="11"/>
  <c r="H80" i="11" s="1"/>
  <c r="I79" i="11"/>
  <c r="H79" i="11" s="1"/>
  <c r="I78" i="11"/>
  <c r="H78" i="11" s="1"/>
  <c r="I77" i="11"/>
  <c r="H77" i="11" s="1"/>
  <c r="I76" i="11"/>
  <c r="H76" i="11" s="1"/>
  <c r="I75" i="11"/>
  <c r="H75" i="11" s="1"/>
  <c r="I74" i="11"/>
  <c r="H74" i="11" s="1"/>
  <c r="I73" i="11"/>
  <c r="H73" i="11" s="1"/>
  <c r="I72" i="11"/>
  <c r="H72" i="11" s="1"/>
  <c r="I71" i="11"/>
  <c r="H71" i="11" s="1"/>
  <c r="I70" i="11"/>
  <c r="H70" i="11" s="1"/>
  <c r="I69" i="11"/>
  <c r="H69" i="11" s="1"/>
  <c r="I68" i="11"/>
  <c r="H68" i="11" s="1"/>
  <c r="I67" i="11"/>
  <c r="H67" i="11" s="1"/>
  <c r="I66" i="11"/>
  <c r="H66" i="11" s="1"/>
  <c r="I65" i="11"/>
  <c r="H65" i="11" s="1"/>
  <c r="I64" i="11"/>
  <c r="H64" i="11" s="1"/>
  <c r="I63" i="11"/>
  <c r="H63" i="11" s="1"/>
  <c r="I62" i="11"/>
  <c r="H62" i="11" s="1"/>
  <c r="I61" i="11"/>
  <c r="H61" i="11" s="1"/>
  <c r="G54" i="11"/>
  <c r="J54" i="11" s="1"/>
  <c r="G53" i="11"/>
  <c r="J53" i="11" s="1"/>
  <c r="G52" i="11"/>
  <c r="J52" i="11" s="1"/>
  <c r="G51" i="11"/>
  <c r="J51" i="11" s="1"/>
  <c r="H44" i="11"/>
  <c r="H43" i="11"/>
  <c r="H42" i="11"/>
  <c r="H41" i="11"/>
  <c r="H35" i="11"/>
  <c r="H8" i="11" s="1"/>
  <c r="H45" i="11" l="1"/>
  <c r="H9" i="11" s="1"/>
  <c r="L19" i="9"/>
  <c r="H76" i="9"/>
  <c r="K76" i="9" s="1"/>
  <c r="K75" i="9"/>
  <c r="L74" i="9" s="1"/>
  <c r="K36" i="9"/>
  <c r="H34" i="9"/>
  <c r="K41" i="9"/>
  <c r="L40" i="9" s="1"/>
  <c r="H40" i="9"/>
  <c r="K35" i="9"/>
  <c r="H26" i="9"/>
  <c r="H19" i="9"/>
  <c r="H103" i="11"/>
  <c r="I91" i="11"/>
  <c r="I85" i="11"/>
  <c r="I60" i="11"/>
  <c r="H86" i="11"/>
  <c r="J55" i="11"/>
  <c r="H10" i="11" s="1"/>
  <c r="I98" i="11" l="1"/>
  <c r="H11" i="11" s="1"/>
  <c r="L34" i="9"/>
  <c r="H74" i="9"/>
  <c r="H24" i="9"/>
  <c r="K26" i="9"/>
  <c r="L24" i="9" s="1"/>
  <c r="D4" i="17"/>
  <c r="D8" i="17" s="1"/>
  <c r="D12" i="17" s="1"/>
  <c r="N8" i="17"/>
  <c r="M8" i="17"/>
  <c r="L8" i="17"/>
  <c r="K8" i="17"/>
  <c r="J8" i="17"/>
  <c r="I8" i="17"/>
  <c r="H8" i="17"/>
  <c r="G8" i="17"/>
  <c r="F8" i="17"/>
  <c r="E8" i="17"/>
  <c r="F86" i="17"/>
  <c r="G86" i="17"/>
  <c r="H86" i="17"/>
  <c r="I86" i="17"/>
  <c r="J86" i="17"/>
  <c r="K86" i="17"/>
  <c r="L86" i="17"/>
  <c r="M86" i="17"/>
  <c r="N86" i="17"/>
  <c r="O86" i="17"/>
  <c r="F87" i="17"/>
  <c r="G87" i="17"/>
  <c r="H87" i="17"/>
  <c r="I87" i="17"/>
  <c r="J87" i="17"/>
  <c r="K87" i="17"/>
  <c r="L87" i="17"/>
  <c r="M87" i="17"/>
  <c r="N87" i="17"/>
  <c r="O87" i="17"/>
  <c r="F88" i="17"/>
  <c r="G88" i="17"/>
  <c r="H88" i="17"/>
  <c r="I88" i="17"/>
  <c r="J88" i="17"/>
  <c r="K88" i="17"/>
  <c r="L88" i="17"/>
  <c r="M88" i="17"/>
  <c r="N88" i="17"/>
  <c r="O88" i="17"/>
  <c r="F89" i="17"/>
  <c r="G89" i="17"/>
  <c r="H89" i="17"/>
  <c r="I89" i="17"/>
  <c r="J89" i="17"/>
  <c r="K89" i="17"/>
  <c r="L89" i="17"/>
  <c r="M89" i="17"/>
  <c r="N89" i="17"/>
  <c r="O89" i="17"/>
  <c r="F90" i="17"/>
  <c r="G90" i="17"/>
  <c r="H90" i="17"/>
  <c r="I90" i="17"/>
  <c r="J90" i="17"/>
  <c r="K90" i="17"/>
  <c r="L90" i="17"/>
  <c r="M90" i="17"/>
  <c r="N90" i="17"/>
  <c r="O90" i="17"/>
  <c r="F91" i="17"/>
  <c r="G91" i="17"/>
  <c r="H91" i="17"/>
  <c r="I91" i="17"/>
  <c r="J91" i="17"/>
  <c r="K91" i="17"/>
  <c r="L91" i="17"/>
  <c r="M91" i="17"/>
  <c r="N91" i="17"/>
  <c r="O91" i="17"/>
  <c r="F92" i="17"/>
  <c r="G92" i="17"/>
  <c r="H92" i="17"/>
  <c r="I92" i="17"/>
  <c r="J92" i="17"/>
  <c r="K92" i="17"/>
  <c r="L92" i="17"/>
  <c r="M92" i="17"/>
  <c r="N92" i="17"/>
  <c r="O92" i="17"/>
  <c r="F93" i="17"/>
  <c r="G93" i="17"/>
  <c r="H93" i="17"/>
  <c r="I93" i="17"/>
  <c r="J93" i="17"/>
  <c r="K93" i="17"/>
  <c r="L93" i="17"/>
  <c r="M93" i="17"/>
  <c r="N93" i="17"/>
  <c r="O93" i="17"/>
  <c r="F94" i="17"/>
  <c r="G94" i="17"/>
  <c r="H94" i="17"/>
  <c r="I94" i="17"/>
  <c r="J94" i="17"/>
  <c r="K94" i="17"/>
  <c r="L94" i="17"/>
  <c r="M94" i="17"/>
  <c r="N94" i="17"/>
  <c r="O94" i="17"/>
  <c r="F95" i="17"/>
  <c r="G95" i="17"/>
  <c r="H95" i="17"/>
  <c r="I95" i="17"/>
  <c r="J95" i="17"/>
  <c r="K95" i="17"/>
  <c r="L95" i="17"/>
  <c r="M95" i="17"/>
  <c r="N95" i="17"/>
  <c r="O95" i="17"/>
  <c r="F96" i="17"/>
  <c r="G96" i="17"/>
  <c r="H96" i="17"/>
  <c r="I96" i="17"/>
  <c r="J96" i="17"/>
  <c r="K96" i="17"/>
  <c r="L96" i="17"/>
  <c r="M96" i="17"/>
  <c r="N96" i="17"/>
  <c r="O96" i="17"/>
  <c r="F97" i="17"/>
  <c r="G97" i="17"/>
  <c r="H97" i="17"/>
  <c r="I97" i="17"/>
  <c r="J97" i="17"/>
  <c r="K97" i="17"/>
  <c r="L97" i="17"/>
  <c r="M97" i="17"/>
  <c r="N97" i="17"/>
  <c r="O97" i="17"/>
  <c r="F98" i="17"/>
  <c r="G98" i="17"/>
  <c r="H98" i="17"/>
  <c r="I98" i="17"/>
  <c r="J98" i="17"/>
  <c r="K98" i="17"/>
  <c r="L98" i="17"/>
  <c r="M98" i="17"/>
  <c r="N98" i="17"/>
  <c r="O98" i="17"/>
  <c r="F99" i="17"/>
  <c r="G99" i="17"/>
  <c r="H99" i="17"/>
  <c r="I99" i="17"/>
  <c r="J99" i="17"/>
  <c r="K99" i="17"/>
  <c r="L99" i="17"/>
  <c r="M99" i="17"/>
  <c r="N99" i="17"/>
  <c r="O99" i="17"/>
  <c r="F100" i="17"/>
  <c r="G100" i="17"/>
  <c r="H100" i="17"/>
  <c r="I100" i="17"/>
  <c r="J100" i="17"/>
  <c r="K100" i="17"/>
  <c r="L100" i="17"/>
  <c r="M100" i="17"/>
  <c r="N100" i="17"/>
  <c r="O100" i="17"/>
  <c r="F101" i="17"/>
  <c r="G101" i="17"/>
  <c r="H101" i="17"/>
  <c r="I101" i="17"/>
  <c r="J101" i="17"/>
  <c r="K101" i="17"/>
  <c r="L101" i="17"/>
  <c r="M101" i="17"/>
  <c r="N101" i="17"/>
  <c r="O101" i="17"/>
  <c r="F102" i="17"/>
  <c r="G102" i="17"/>
  <c r="H102" i="17"/>
  <c r="I102" i="17"/>
  <c r="J102" i="17"/>
  <c r="K102" i="17"/>
  <c r="L102" i="17"/>
  <c r="M102" i="17"/>
  <c r="N102" i="17"/>
  <c r="O102" i="17"/>
  <c r="F103" i="17"/>
  <c r="G103" i="17"/>
  <c r="H103" i="17"/>
  <c r="I103" i="17"/>
  <c r="J103" i="17"/>
  <c r="K103" i="17"/>
  <c r="L103" i="17"/>
  <c r="M103" i="17"/>
  <c r="N103" i="17"/>
  <c r="O103" i="17"/>
  <c r="F104" i="17"/>
  <c r="G104" i="17"/>
  <c r="H104" i="17"/>
  <c r="I104" i="17"/>
  <c r="J104" i="17"/>
  <c r="K104" i="17"/>
  <c r="L104" i="17"/>
  <c r="M104" i="17"/>
  <c r="N104" i="17"/>
  <c r="O104" i="17"/>
  <c r="F105" i="17"/>
  <c r="G105" i="17"/>
  <c r="H105" i="17"/>
  <c r="I105" i="17"/>
  <c r="J105" i="17"/>
  <c r="K105" i="17"/>
  <c r="L105" i="17"/>
  <c r="M105" i="17"/>
  <c r="N105" i="17"/>
  <c r="O105" i="17"/>
  <c r="F106" i="17"/>
  <c r="G106" i="17"/>
  <c r="H106" i="17"/>
  <c r="I106" i="17"/>
  <c r="J106" i="17"/>
  <c r="K106" i="17"/>
  <c r="L106" i="17"/>
  <c r="M106" i="17"/>
  <c r="N106" i="17"/>
  <c r="O106" i="17"/>
  <c r="F107" i="17"/>
  <c r="G107" i="17"/>
  <c r="H107" i="17"/>
  <c r="I107" i="17"/>
  <c r="J107" i="17"/>
  <c r="K107" i="17"/>
  <c r="L107" i="17"/>
  <c r="M107" i="17"/>
  <c r="N107" i="17"/>
  <c r="O107" i="17"/>
  <c r="F108" i="17"/>
  <c r="G108" i="17"/>
  <c r="H108" i="17"/>
  <c r="I108" i="17"/>
  <c r="J108" i="17"/>
  <c r="K108" i="17"/>
  <c r="L108" i="17"/>
  <c r="M108" i="17"/>
  <c r="N108" i="17"/>
  <c r="O108" i="17"/>
  <c r="F109" i="17"/>
  <c r="G109" i="17"/>
  <c r="H109" i="17"/>
  <c r="I109" i="17"/>
  <c r="J109" i="17"/>
  <c r="K109" i="17"/>
  <c r="L109" i="17"/>
  <c r="M109" i="17"/>
  <c r="N109" i="17"/>
  <c r="O109" i="17"/>
  <c r="F110" i="17"/>
  <c r="G110" i="17"/>
  <c r="H110" i="17"/>
  <c r="I110" i="17"/>
  <c r="J110" i="17"/>
  <c r="K110" i="17"/>
  <c r="L110" i="17"/>
  <c r="M110" i="17"/>
  <c r="N110" i="17"/>
  <c r="O110" i="17"/>
  <c r="F111" i="17"/>
  <c r="G111" i="17"/>
  <c r="H111" i="17"/>
  <c r="I111" i="17"/>
  <c r="J111" i="17"/>
  <c r="K111" i="17"/>
  <c r="L111" i="17"/>
  <c r="M111" i="17"/>
  <c r="N111" i="17"/>
  <c r="O111" i="17"/>
  <c r="F112" i="17"/>
  <c r="G112" i="17"/>
  <c r="H112" i="17"/>
  <c r="I112" i="17"/>
  <c r="J112" i="17"/>
  <c r="K112" i="17"/>
  <c r="L112" i="17"/>
  <c r="M112" i="17"/>
  <c r="N112" i="17"/>
  <c r="O112" i="17"/>
  <c r="F113" i="17"/>
  <c r="G113" i="17"/>
  <c r="H113" i="17"/>
  <c r="I113" i="17"/>
  <c r="J113" i="17"/>
  <c r="K113" i="17"/>
  <c r="L113" i="17"/>
  <c r="M113" i="17"/>
  <c r="N113" i="17"/>
  <c r="O113" i="17"/>
  <c r="F114" i="17"/>
  <c r="G114" i="17"/>
  <c r="H114" i="17"/>
  <c r="I114" i="17"/>
  <c r="J114" i="17"/>
  <c r="K114" i="17"/>
  <c r="L114" i="17"/>
  <c r="M114" i="17"/>
  <c r="N114" i="17"/>
  <c r="O114" i="17"/>
  <c r="F115" i="17"/>
  <c r="G115" i="17"/>
  <c r="H115" i="17"/>
  <c r="I115" i="17"/>
  <c r="J115" i="17"/>
  <c r="K115" i="17"/>
  <c r="L115" i="17"/>
  <c r="M115" i="17"/>
  <c r="N115" i="17"/>
  <c r="O115" i="17"/>
  <c r="G85" i="17"/>
  <c r="H85" i="17"/>
  <c r="I85" i="17"/>
  <c r="J85" i="17"/>
  <c r="K85" i="17"/>
  <c r="L85" i="17"/>
  <c r="M85" i="17"/>
  <c r="N85" i="17"/>
  <c r="O85" i="17"/>
  <c r="F85" i="17"/>
  <c r="F50" i="17"/>
  <c r="F84" i="17" s="1"/>
  <c r="G50" i="17"/>
  <c r="G84" i="17" s="1"/>
  <c r="H50" i="17"/>
  <c r="H84" i="17" s="1"/>
  <c r="I50" i="17"/>
  <c r="I84" i="17" s="1"/>
  <c r="J50" i="17"/>
  <c r="J84" i="17" s="1"/>
  <c r="K50" i="17"/>
  <c r="K84" i="17" s="1"/>
  <c r="L50" i="17"/>
  <c r="L84" i="17" s="1"/>
  <c r="M50" i="17"/>
  <c r="M84" i="17" s="1"/>
  <c r="N50" i="17"/>
  <c r="N84" i="17" s="1"/>
  <c r="O50" i="17"/>
  <c r="O84" i="17" s="1"/>
  <c r="E50" i="17"/>
  <c r="E84" i="17" s="1"/>
  <c r="F49" i="3" l="1"/>
  <c r="C52" i="3" s="1"/>
  <c r="K55" i="5" l="1"/>
  <c r="K56" i="5"/>
  <c r="L56" i="5" s="1"/>
  <c r="L55" i="5"/>
  <c r="R85" i="5"/>
  <c r="D134" i="21" l="1"/>
  <c r="E134" i="21"/>
  <c r="F134" i="21"/>
  <c r="G134" i="21"/>
  <c r="H134" i="21"/>
  <c r="I134" i="21"/>
  <c r="J134" i="21"/>
  <c r="K134" i="21"/>
  <c r="L134" i="21"/>
  <c r="M134" i="21"/>
  <c r="C134" i="21"/>
  <c r="E153" i="21"/>
  <c r="F153" i="21"/>
  <c r="G153" i="21"/>
  <c r="H153" i="21"/>
  <c r="I153" i="21"/>
  <c r="J153" i="21"/>
  <c r="K153" i="21"/>
  <c r="L153" i="21"/>
  <c r="M153" i="21"/>
  <c r="D153" i="21"/>
  <c r="C153" i="21"/>
  <c r="B108" i="21" l="1"/>
  <c r="B107" i="21"/>
  <c r="B106" i="21"/>
  <c r="B105" i="21"/>
  <c r="B104" i="21"/>
  <c r="B103" i="21"/>
  <c r="B102" i="21"/>
  <c r="B101" i="21"/>
  <c r="B100" i="21"/>
  <c r="B99" i="21"/>
  <c r="C11" i="22" l="1"/>
  <c r="F90" i="21"/>
  <c r="F89" i="21" s="1"/>
  <c r="F88" i="21" s="1"/>
  <c r="F87" i="21" s="1"/>
  <c r="F86" i="21" s="1"/>
  <c r="F85" i="21" s="1"/>
  <c r="G90" i="21"/>
  <c r="G89" i="21" s="1"/>
  <c r="G88" i="21" s="1"/>
  <c r="G87" i="21" s="1"/>
  <c r="G86" i="21" s="1"/>
  <c r="G85" i="21" s="1"/>
  <c r="H90" i="21"/>
  <c r="H89" i="21" s="1"/>
  <c r="H88" i="21" s="1"/>
  <c r="H87" i="21" s="1"/>
  <c r="H86" i="21" s="1"/>
  <c r="H85" i="21" s="1"/>
  <c r="I90" i="21"/>
  <c r="I89" i="21" s="1"/>
  <c r="I88" i="21" s="1"/>
  <c r="I87" i="21" s="1"/>
  <c r="I86" i="21" s="1"/>
  <c r="I85" i="21" s="1"/>
  <c r="J90" i="21"/>
  <c r="J89" i="21" s="1"/>
  <c r="J88" i="21" s="1"/>
  <c r="J87" i="21" s="1"/>
  <c r="J86" i="21" s="1"/>
  <c r="J85" i="21" s="1"/>
  <c r="K90" i="21"/>
  <c r="K89" i="21" s="1"/>
  <c r="K88" i="21" s="1"/>
  <c r="K87" i="21" s="1"/>
  <c r="K86" i="21" s="1"/>
  <c r="K85" i="21" s="1"/>
  <c r="L90" i="21"/>
  <c r="L89" i="21" s="1"/>
  <c r="L88" i="21" s="1"/>
  <c r="L87" i="21" s="1"/>
  <c r="L86" i="21" s="1"/>
  <c r="L85" i="21" s="1"/>
  <c r="M90" i="21"/>
  <c r="M89" i="21" s="1"/>
  <c r="M88" i="21" s="1"/>
  <c r="M87" i="21" s="1"/>
  <c r="M86" i="21" s="1"/>
  <c r="M85" i="21" s="1"/>
  <c r="N90" i="21"/>
  <c r="N89" i="21" s="1"/>
  <c r="N88" i="21" s="1"/>
  <c r="N87" i="21" s="1"/>
  <c r="N86" i="21" s="1"/>
  <c r="N85" i="21" s="1"/>
  <c r="E90" i="21"/>
  <c r="C91" i="21"/>
  <c r="C85" i="21" l="1"/>
  <c r="D85" i="21" s="1"/>
  <c r="C86" i="21"/>
  <c r="D86" i="21" s="1"/>
  <c r="C89" i="21"/>
  <c r="C88" i="21"/>
  <c r="D88" i="21" s="1"/>
  <c r="P88" i="21" s="1"/>
  <c r="F102" i="21" s="1"/>
  <c r="C95" i="21"/>
  <c r="D95" i="21" s="1"/>
  <c r="D90" i="21"/>
  <c r="C87" i="21"/>
  <c r="D87" i="21" s="1"/>
  <c r="C93" i="21"/>
  <c r="D93" i="21" s="1"/>
  <c r="C92" i="21"/>
  <c r="D92" i="21" s="1"/>
  <c r="I91" i="21"/>
  <c r="H92" i="21"/>
  <c r="G93" i="21"/>
  <c r="F94" i="21"/>
  <c r="N94" i="21"/>
  <c r="M95" i="21"/>
  <c r="H93" i="21"/>
  <c r="F95" i="21"/>
  <c r="J92" i="21"/>
  <c r="E89" i="21"/>
  <c r="E88" i="21" s="1"/>
  <c r="E87" i="21" s="1"/>
  <c r="E86" i="21" s="1"/>
  <c r="E85" i="21" s="1"/>
  <c r="I92" i="21"/>
  <c r="G94" i="21"/>
  <c r="K95" i="21"/>
  <c r="I93" i="21"/>
  <c r="G95" i="21"/>
  <c r="L91" i="21"/>
  <c r="K92" i="21"/>
  <c r="J93" i="21"/>
  <c r="I94" i="21"/>
  <c r="H95" i="21"/>
  <c r="E92" i="21"/>
  <c r="K93" i="21"/>
  <c r="E93" i="21"/>
  <c r="N92" i="21"/>
  <c r="E95" i="21"/>
  <c r="M91" i="21"/>
  <c r="L92" i="21"/>
  <c r="J94" i="21"/>
  <c r="I95" i="21"/>
  <c r="L94" i="21"/>
  <c r="F91" i="21"/>
  <c r="N91" i="21"/>
  <c r="M92" i="21"/>
  <c r="L93" i="21"/>
  <c r="K94" i="21"/>
  <c r="J95" i="21"/>
  <c r="E94" i="21"/>
  <c r="G91" i="21"/>
  <c r="F92" i="21"/>
  <c r="M93" i="21"/>
  <c r="H91" i="21"/>
  <c r="G92" i="21"/>
  <c r="F93" i="21"/>
  <c r="N93" i="21"/>
  <c r="M94" i="21"/>
  <c r="L95" i="21"/>
  <c r="E91" i="21"/>
  <c r="J91" i="21"/>
  <c r="N95" i="21"/>
  <c r="K91" i="21"/>
  <c r="H94" i="21"/>
  <c r="O88" i="21"/>
  <c r="E102" i="21" s="1"/>
  <c r="O85" i="21"/>
  <c r="E99" i="21" s="1"/>
  <c r="O86" i="21"/>
  <c r="E100" i="21" s="1"/>
  <c r="C94" i="21"/>
  <c r="D94" i="21" s="1"/>
  <c r="D91" i="21"/>
  <c r="O95" i="21" l="1"/>
  <c r="P95" i="21"/>
  <c r="P90" i="21"/>
  <c r="F104" i="21" s="1"/>
  <c r="F116" i="21" s="1"/>
  <c r="O90" i="21"/>
  <c r="E104" i="21" s="1"/>
  <c r="D104" i="21"/>
  <c r="D89" i="21"/>
  <c r="P91" i="21"/>
  <c r="F105" i="21" s="1"/>
  <c r="O91" i="21"/>
  <c r="E105" i="21" s="1"/>
  <c r="P92" i="21"/>
  <c r="F106" i="21" s="1"/>
  <c r="O92" i="21"/>
  <c r="E106" i="21" s="1"/>
  <c r="P94" i="21"/>
  <c r="F108" i="21" s="1"/>
  <c r="O94" i="21"/>
  <c r="E108" i="21" s="1"/>
  <c r="O93" i="21"/>
  <c r="E107" i="21" s="1"/>
  <c r="P93" i="21"/>
  <c r="F107" i="21" s="1"/>
  <c r="P85" i="21"/>
  <c r="F99" i="21" s="1"/>
  <c r="P86" i="21"/>
  <c r="F100" i="21" s="1"/>
  <c r="P89" i="21" l="1"/>
  <c r="F103" i="21" s="1"/>
  <c r="O89" i="21"/>
  <c r="E103" i="21" s="1"/>
  <c r="D105" i="21"/>
  <c r="D100" i="21"/>
  <c r="G100" i="21" s="1"/>
  <c r="D103" i="21"/>
  <c r="D99" i="21"/>
  <c r="G99" i="21" s="1"/>
  <c r="D107" i="21"/>
  <c r="G107" i="21" s="1"/>
  <c r="D106" i="21"/>
  <c r="G106" i="21" s="1"/>
  <c r="D102" i="21"/>
  <c r="G102" i="21" s="1"/>
  <c r="D101" i="21"/>
  <c r="D108" i="21"/>
  <c r="G108" i="21" s="1"/>
  <c r="G104" i="21"/>
  <c r="F117" i="21" s="1"/>
  <c r="F115" i="21"/>
  <c r="G105" i="21"/>
  <c r="P87" i="21"/>
  <c r="F101" i="21" s="1"/>
  <c r="G103" i="21" l="1"/>
  <c r="O87" i="21"/>
  <c r="E101" i="21" s="1"/>
  <c r="G101" i="21" s="1"/>
  <c r="C449" i="21" l="1"/>
  <c r="C444" i="21"/>
  <c r="M443" i="21"/>
  <c r="L443" i="21"/>
  <c r="K443" i="21"/>
  <c r="J443" i="21"/>
  <c r="I443" i="21"/>
  <c r="H443" i="21"/>
  <c r="G443" i="21"/>
  <c r="F443" i="21"/>
  <c r="E443" i="21"/>
  <c r="D443" i="21"/>
  <c r="C443" i="21"/>
  <c r="M439" i="21"/>
  <c r="L439" i="21"/>
  <c r="K439" i="21"/>
  <c r="J439" i="21"/>
  <c r="I439" i="21"/>
  <c r="H439" i="21"/>
  <c r="G439" i="21"/>
  <c r="F439" i="21"/>
  <c r="E439" i="21"/>
  <c r="D439" i="21"/>
  <c r="M436" i="21"/>
  <c r="L436" i="21"/>
  <c r="K436" i="21"/>
  <c r="J436" i="21"/>
  <c r="I436" i="21"/>
  <c r="I442" i="21" s="1"/>
  <c r="H436" i="21"/>
  <c r="G436" i="21"/>
  <c r="F436" i="21"/>
  <c r="E436" i="21"/>
  <c r="D436" i="21"/>
  <c r="C429" i="21"/>
  <c r="C424" i="21"/>
  <c r="M423" i="21"/>
  <c r="L423" i="21"/>
  <c r="K423" i="21"/>
  <c r="J423" i="21"/>
  <c r="I423" i="21"/>
  <c r="H423" i="21"/>
  <c r="G423" i="21"/>
  <c r="F423" i="21"/>
  <c r="E423" i="21"/>
  <c r="D423" i="21"/>
  <c r="C423" i="21"/>
  <c r="M419" i="21"/>
  <c r="L419" i="21"/>
  <c r="K419" i="21"/>
  <c r="J419" i="21"/>
  <c r="I419" i="21"/>
  <c r="H419" i="21"/>
  <c r="G419" i="21"/>
  <c r="F419" i="21"/>
  <c r="E419" i="21"/>
  <c r="D419" i="21"/>
  <c r="M416" i="21"/>
  <c r="L416" i="21"/>
  <c r="K416" i="21"/>
  <c r="J416" i="21"/>
  <c r="J422" i="21" s="1"/>
  <c r="I416" i="21"/>
  <c r="H416" i="21"/>
  <c r="G416" i="21"/>
  <c r="F416" i="21"/>
  <c r="E416" i="21"/>
  <c r="D416" i="21"/>
  <c r="C410" i="21"/>
  <c r="C405" i="21"/>
  <c r="M404" i="21"/>
  <c r="L404" i="21"/>
  <c r="K404" i="21"/>
  <c r="J404" i="21"/>
  <c r="I404" i="21"/>
  <c r="H404" i="21"/>
  <c r="G404" i="21"/>
  <c r="F404" i="21"/>
  <c r="E404" i="21"/>
  <c r="D404" i="21"/>
  <c r="C404" i="21"/>
  <c r="M400" i="21"/>
  <c r="L400" i="21"/>
  <c r="K400" i="21"/>
  <c r="J400" i="21"/>
  <c r="I400" i="21"/>
  <c r="H400" i="21"/>
  <c r="G400" i="21"/>
  <c r="F400" i="21"/>
  <c r="E400" i="21"/>
  <c r="D400" i="21"/>
  <c r="M397" i="21"/>
  <c r="L397" i="21"/>
  <c r="K397" i="21"/>
  <c r="K403" i="21" s="1"/>
  <c r="J397" i="21"/>
  <c r="I397" i="21"/>
  <c r="H397" i="21"/>
  <c r="G397" i="21"/>
  <c r="F397" i="21"/>
  <c r="E397" i="21"/>
  <c r="D397" i="21"/>
  <c r="C391" i="21"/>
  <c r="C386" i="21"/>
  <c r="M385" i="21"/>
  <c r="L385" i="21"/>
  <c r="K385" i="21"/>
  <c r="J385" i="21"/>
  <c r="I385" i="21"/>
  <c r="H385" i="21"/>
  <c r="G385" i="21"/>
  <c r="F385" i="21"/>
  <c r="E385" i="21"/>
  <c r="D385" i="21"/>
  <c r="C385" i="21"/>
  <c r="M381" i="21"/>
  <c r="L381" i="21"/>
  <c r="K381" i="21"/>
  <c r="J381" i="21"/>
  <c r="I381" i="21"/>
  <c r="H381" i="21"/>
  <c r="G381" i="21"/>
  <c r="F381" i="21"/>
  <c r="E381" i="21"/>
  <c r="D381" i="21"/>
  <c r="M378" i="21"/>
  <c r="L378" i="21"/>
  <c r="L384" i="21" s="1"/>
  <c r="K378" i="21"/>
  <c r="J378" i="21"/>
  <c r="I378" i="21"/>
  <c r="H378" i="21"/>
  <c r="G378" i="21"/>
  <c r="F378" i="21"/>
  <c r="E378" i="21"/>
  <c r="D378" i="21"/>
  <c r="D384" i="21" s="1"/>
  <c r="C372" i="21"/>
  <c r="C367" i="21"/>
  <c r="M366" i="21"/>
  <c r="L366" i="21"/>
  <c r="K366" i="21"/>
  <c r="J366" i="21"/>
  <c r="I366" i="21"/>
  <c r="H366" i="21"/>
  <c r="G366" i="21"/>
  <c r="F366" i="21"/>
  <c r="E366" i="21"/>
  <c r="D366" i="21"/>
  <c r="C366" i="21"/>
  <c r="M362" i="21"/>
  <c r="L362" i="21"/>
  <c r="K362" i="21"/>
  <c r="J362" i="21"/>
  <c r="I362" i="21"/>
  <c r="H362" i="21"/>
  <c r="G362" i="21"/>
  <c r="F362" i="21"/>
  <c r="E362" i="21"/>
  <c r="D362" i="21"/>
  <c r="M359" i="21"/>
  <c r="M365" i="21" s="1"/>
  <c r="L359" i="21"/>
  <c r="K359" i="21"/>
  <c r="J359" i="21"/>
  <c r="I359" i="21"/>
  <c r="H359" i="21"/>
  <c r="G359" i="21"/>
  <c r="F359" i="21"/>
  <c r="E359" i="21"/>
  <c r="E365" i="21" s="1"/>
  <c r="D359" i="21"/>
  <c r="C353" i="21"/>
  <c r="C348" i="21"/>
  <c r="M347" i="21"/>
  <c r="L347" i="21"/>
  <c r="K347" i="21"/>
  <c r="J347" i="21"/>
  <c r="I347" i="21"/>
  <c r="H347" i="21"/>
  <c r="G347" i="21"/>
  <c r="F347" i="21"/>
  <c r="E347" i="21"/>
  <c r="D347" i="21"/>
  <c r="C347" i="21"/>
  <c r="M343" i="21"/>
  <c r="L343" i="21"/>
  <c r="K343" i="21"/>
  <c r="J343" i="21"/>
  <c r="I343" i="21"/>
  <c r="H343" i="21"/>
  <c r="G343" i="21"/>
  <c r="F343" i="21"/>
  <c r="E343" i="21"/>
  <c r="D343" i="21"/>
  <c r="M340" i="21"/>
  <c r="L340" i="21"/>
  <c r="K340" i="21"/>
  <c r="J340" i="21"/>
  <c r="I340" i="21"/>
  <c r="H340" i="21"/>
  <c r="G340" i="21"/>
  <c r="F340" i="21"/>
  <c r="F346" i="21" s="1"/>
  <c r="E340" i="21"/>
  <c r="D340" i="21"/>
  <c r="C334" i="21"/>
  <c r="C329" i="21"/>
  <c r="M328" i="21"/>
  <c r="L328" i="21"/>
  <c r="K328" i="21"/>
  <c r="J328" i="21"/>
  <c r="I328" i="21"/>
  <c r="H328" i="21"/>
  <c r="G328" i="21"/>
  <c r="F328" i="21"/>
  <c r="E328" i="21"/>
  <c r="D328" i="21"/>
  <c r="C328" i="21"/>
  <c r="M324" i="21"/>
  <c r="L324" i="21"/>
  <c r="K324" i="21"/>
  <c r="J324" i="21"/>
  <c r="I324" i="21"/>
  <c r="H324" i="21"/>
  <c r="G324" i="21"/>
  <c r="F324" i="21"/>
  <c r="E324" i="21"/>
  <c r="D324" i="21"/>
  <c r="M321" i="21"/>
  <c r="L321" i="21"/>
  <c r="K321" i="21"/>
  <c r="J321" i="21"/>
  <c r="I321" i="21"/>
  <c r="H321" i="21"/>
  <c r="G321" i="21"/>
  <c r="G327" i="21" s="1"/>
  <c r="F321" i="21"/>
  <c r="E321" i="21"/>
  <c r="D321" i="21"/>
  <c r="C315" i="21"/>
  <c r="C310" i="21"/>
  <c r="M309" i="21"/>
  <c r="L309" i="21"/>
  <c r="K309" i="21"/>
  <c r="J309" i="21"/>
  <c r="I309" i="21"/>
  <c r="H309" i="21"/>
  <c r="G309" i="21"/>
  <c r="F309" i="21"/>
  <c r="E309" i="21"/>
  <c r="D309" i="21"/>
  <c r="C309" i="21"/>
  <c r="M305" i="21"/>
  <c r="L305" i="21"/>
  <c r="K305" i="21"/>
  <c r="J305" i="21"/>
  <c r="I305" i="21"/>
  <c r="H305" i="21"/>
  <c r="G305" i="21"/>
  <c r="F305" i="21"/>
  <c r="E305" i="21"/>
  <c r="D305" i="21"/>
  <c r="M302" i="21"/>
  <c r="L302" i="21"/>
  <c r="K302" i="21"/>
  <c r="J302" i="21"/>
  <c r="I302" i="21"/>
  <c r="H302" i="21"/>
  <c r="H308" i="21" s="1"/>
  <c r="G302" i="21"/>
  <c r="F302" i="21"/>
  <c r="E302" i="21"/>
  <c r="D302" i="21"/>
  <c r="C291" i="21"/>
  <c r="C296" i="21"/>
  <c r="M290" i="21"/>
  <c r="L290" i="21"/>
  <c r="K290" i="21"/>
  <c r="J290" i="21"/>
  <c r="I290" i="21"/>
  <c r="H290" i="21"/>
  <c r="G290" i="21"/>
  <c r="F290" i="21"/>
  <c r="E290" i="21"/>
  <c r="D290" i="21"/>
  <c r="C290" i="21"/>
  <c r="M286" i="21"/>
  <c r="L286" i="21"/>
  <c r="K286" i="21"/>
  <c r="J286" i="21"/>
  <c r="I286" i="21"/>
  <c r="H286" i="21"/>
  <c r="G286" i="21"/>
  <c r="F286" i="21"/>
  <c r="E286" i="21"/>
  <c r="D286" i="21"/>
  <c r="M283" i="21"/>
  <c r="L283" i="21"/>
  <c r="K283" i="21"/>
  <c r="J283" i="21"/>
  <c r="I283" i="21"/>
  <c r="I289" i="21" s="1"/>
  <c r="H283" i="21"/>
  <c r="G283" i="21"/>
  <c r="F283" i="21"/>
  <c r="E283" i="21"/>
  <c r="E289" i="21" s="1"/>
  <c r="D283" i="21"/>
  <c r="C272" i="21"/>
  <c r="M271" i="21"/>
  <c r="L271" i="21"/>
  <c r="K271" i="21"/>
  <c r="J271" i="21"/>
  <c r="I271" i="21"/>
  <c r="H271" i="21"/>
  <c r="G271" i="21"/>
  <c r="F271" i="21"/>
  <c r="E271" i="21"/>
  <c r="D271" i="21"/>
  <c r="C271" i="21"/>
  <c r="M267" i="21"/>
  <c r="L267" i="21"/>
  <c r="K267" i="21"/>
  <c r="J267" i="21"/>
  <c r="I267" i="21"/>
  <c r="H267" i="21"/>
  <c r="G267" i="21"/>
  <c r="F267" i="21"/>
  <c r="E267" i="21"/>
  <c r="D267" i="21"/>
  <c r="M264" i="21"/>
  <c r="M270" i="21" s="1"/>
  <c r="L264" i="21"/>
  <c r="K264" i="21"/>
  <c r="J264" i="21"/>
  <c r="I264" i="21"/>
  <c r="I270" i="21" s="1"/>
  <c r="H264" i="21"/>
  <c r="G264" i="21"/>
  <c r="F264" i="21"/>
  <c r="E264" i="21"/>
  <c r="E270" i="21" s="1"/>
  <c r="D264" i="21"/>
  <c r="C253" i="21"/>
  <c r="M252" i="21"/>
  <c r="L252" i="21"/>
  <c r="K252" i="21"/>
  <c r="J252" i="21"/>
  <c r="I252" i="21"/>
  <c r="H252" i="21"/>
  <c r="G252" i="21"/>
  <c r="F252" i="21"/>
  <c r="E252" i="21"/>
  <c r="D252" i="21"/>
  <c r="C252" i="21"/>
  <c r="M248" i="21"/>
  <c r="L248" i="21"/>
  <c r="K248" i="21"/>
  <c r="J248" i="21"/>
  <c r="I248" i="21"/>
  <c r="H248" i="21"/>
  <c r="G248" i="21"/>
  <c r="F248" i="21"/>
  <c r="E248" i="21"/>
  <c r="D248" i="21"/>
  <c r="M245" i="21"/>
  <c r="M251" i="21" s="1"/>
  <c r="L245" i="21"/>
  <c r="K245" i="21"/>
  <c r="J245" i="21"/>
  <c r="I245" i="21"/>
  <c r="I251" i="21" s="1"/>
  <c r="H245" i="21"/>
  <c r="G245" i="21"/>
  <c r="F245" i="21"/>
  <c r="E245" i="21"/>
  <c r="E251" i="21" s="1"/>
  <c r="D245" i="21"/>
  <c r="C233" i="21"/>
  <c r="M232" i="21"/>
  <c r="L232" i="21"/>
  <c r="K232" i="21"/>
  <c r="J232" i="21"/>
  <c r="I232" i="21"/>
  <c r="H232" i="21"/>
  <c r="G232" i="21"/>
  <c r="F232" i="21"/>
  <c r="E232" i="21"/>
  <c r="D232" i="21"/>
  <c r="C232" i="21"/>
  <c r="M228" i="21"/>
  <c r="L228" i="21"/>
  <c r="K228" i="21"/>
  <c r="J228" i="21"/>
  <c r="I228" i="21"/>
  <c r="H228" i="21"/>
  <c r="G228" i="21"/>
  <c r="F228" i="21"/>
  <c r="E228" i="21"/>
  <c r="D228" i="21"/>
  <c r="M225" i="21"/>
  <c r="M231" i="21" s="1"/>
  <c r="L225" i="21"/>
  <c r="K225" i="21"/>
  <c r="J225" i="21"/>
  <c r="I225" i="21"/>
  <c r="I231" i="21" s="1"/>
  <c r="H225" i="21"/>
  <c r="G225" i="21"/>
  <c r="F225" i="21"/>
  <c r="E225" i="21"/>
  <c r="E231" i="21" s="1"/>
  <c r="D225" i="21"/>
  <c r="C213" i="21"/>
  <c r="M212" i="21"/>
  <c r="L212" i="21"/>
  <c r="K212" i="21"/>
  <c r="J212" i="21"/>
  <c r="I212" i="21"/>
  <c r="H212" i="21"/>
  <c r="G212" i="21"/>
  <c r="F212" i="21"/>
  <c r="E212" i="21"/>
  <c r="D212" i="21"/>
  <c r="C212" i="21"/>
  <c r="M208" i="21"/>
  <c r="L208" i="21"/>
  <c r="K208" i="21"/>
  <c r="J208" i="21"/>
  <c r="I208" i="21"/>
  <c r="H208" i="21"/>
  <c r="G208" i="21"/>
  <c r="F208" i="21"/>
  <c r="E208" i="21"/>
  <c r="D208" i="21"/>
  <c r="M205" i="21"/>
  <c r="M211" i="21" s="1"/>
  <c r="L205" i="21"/>
  <c r="K205" i="21"/>
  <c r="J205" i="21"/>
  <c r="I205" i="21"/>
  <c r="I211" i="21" s="1"/>
  <c r="H205" i="21"/>
  <c r="G205" i="21"/>
  <c r="F205" i="21"/>
  <c r="E205" i="21"/>
  <c r="E211" i="21" s="1"/>
  <c r="D205" i="21"/>
  <c r="C193" i="21"/>
  <c r="M192" i="21"/>
  <c r="L192" i="21"/>
  <c r="K192" i="21"/>
  <c r="J192" i="21"/>
  <c r="I192" i="21"/>
  <c r="H192" i="21"/>
  <c r="G192" i="21"/>
  <c r="F192" i="21"/>
  <c r="E192" i="21"/>
  <c r="D192" i="21"/>
  <c r="C192" i="21"/>
  <c r="M188" i="21"/>
  <c r="L188" i="21"/>
  <c r="K188" i="21"/>
  <c r="J188" i="21"/>
  <c r="I188" i="21"/>
  <c r="H188" i="21"/>
  <c r="G188" i="21"/>
  <c r="F188" i="21"/>
  <c r="E188" i="21"/>
  <c r="D188" i="21"/>
  <c r="M185" i="21"/>
  <c r="M191" i="21" s="1"/>
  <c r="L185" i="21"/>
  <c r="K185" i="21"/>
  <c r="J185" i="21"/>
  <c r="I185" i="21"/>
  <c r="I191" i="21" s="1"/>
  <c r="H185" i="21"/>
  <c r="G185" i="21"/>
  <c r="F185" i="21"/>
  <c r="E185" i="21"/>
  <c r="E191" i="21" s="1"/>
  <c r="D185" i="21"/>
  <c r="C174" i="21"/>
  <c r="M173" i="21"/>
  <c r="L173" i="21"/>
  <c r="K173" i="21"/>
  <c r="J173" i="21"/>
  <c r="I173" i="21"/>
  <c r="H173" i="21"/>
  <c r="G173" i="21"/>
  <c r="F173" i="21"/>
  <c r="E173" i="21"/>
  <c r="D173" i="21"/>
  <c r="C173" i="21"/>
  <c r="M169" i="21"/>
  <c r="L169" i="21"/>
  <c r="K169" i="21"/>
  <c r="J169" i="21"/>
  <c r="I169" i="21"/>
  <c r="H169" i="21"/>
  <c r="G169" i="21"/>
  <c r="F169" i="21"/>
  <c r="E169" i="21"/>
  <c r="D169" i="21"/>
  <c r="M166" i="21"/>
  <c r="M172" i="21" s="1"/>
  <c r="L166" i="21"/>
  <c r="K166" i="21"/>
  <c r="J166" i="21"/>
  <c r="I166" i="21"/>
  <c r="I172" i="21" s="1"/>
  <c r="H166" i="21"/>
  <c r="G166" i="21"/>
  <c r="F166" i="21"/>
  <c r="E166" i="21"/>
  <c r="E172" i="21" s="1"/>
  <c r="D166" i="21"/>
  <c r="C154" i="21"/>
  <c r="M149" i="21"/>
  <c r="L149" i="21"/>
  <c r="K149" i="21"/>
  <c r="J149" i="21"/>
  <c r="I149" i="21"/>
  <c r="H149" i="21"/>
  <c r="G149" i="21"/>
  <c r="F149" i="21"/>
  <c r="E149" i="21"/>
  <c r="D149" i="21"/>
  <c r="M146" i="21"/>
  <c r="L146" i="21"/>
  <c r="K146" i="21"/>
  <c r="J146" i="21"/>
  <c r="J152" i="21" s="1"/>
  <c r="J154" i="21" s="1"/>
  <c r="I146" i="21"/>
  <c r="H146" i="21"/>
  <c r="G146" i="21"/>
  <c r="F146" i="21"/>
  <c r="F152" i="21" s="1"/>
  <c r="F154" i="21" s="1"/>
  <c r="E146" i="21"/>
  <c r="D146" i="21"/>
  <c r="M130" i="21"/>
  <c r="I130" i="21"/>
  <c r="E130" i="21"/>
  <c r="K130" i="21"/>
  <c r="J130" i="21"/>
  <c r="G130" i="21"/>
  <c r="F130" i="21"/>
  <c r="L130" i="21"/>
  <c r="H130" i="21"/>
  <c r="D130" i="21"/>
  <c r="I127" i="21"/>
  <c r="E127" i="21"/>
  <c r="L127" i="21"/>
  <c r="K127" i="21"/>
  <c r="H127" i="21"/>
  <c r="D127" i="21"/>
  <c r="M127" i="21"/>
  <c r="J127" i="21"/>
  <c r="G127" i="21"/>
  <c r="F127" i="21"/>
  <c r="M289" i="21" l="1"/>
  <c r="D308" i="21"/>
  <c r="L308" i="21"/>
  <c r="K327" i="21"/>
  <c r="J346" i="21"/>
  <c r="I365" i="21"/>
  <c r="H384" i="21"/>
  <c r="G403" i="21"/>
  <c r="G405" i="21" s="1"/>
  <c r="F422" i="21"/>
  <c r="E442" i="21"/>
  <c r="M442" i="21"/>
  <c r="D133" i="21"/>
  <c r="D152" i="21"/>
  <c r="D154" i="21" s="1"/>
  <c r="H152" i="21"/>
  <c r="H154" i="21" s="1"/>
  <c r="L152" i="21"/>
  <c r="L154" i="21" s="1"/>
  <c r="G172" i="21"/>
  <c r="G174" i="21" s="1"/>
  <c r="K172" i="21"/>
  <c r="G191" i="21"/>
  <c r="K191" i="21"/>
  <c r="G211" i="21"/>
  <c r="K211" i="21"/>
  <c r="G231" i="21"/>
  <c r="G233" i="21" s="1"/>
  <c r="K231" i="21"/>
  <c r="G251" i="21"/>
  <c r="G253" i="21" s="1"/>
  <c r="K251" i="21"/>
  <c r="G270" i="21"/>
  <c r="K270" i="21"/>
  <c r="G289" i="21"/>
  <c r="K289" i="21"/>
  <c r="F308" i="21"/>
  <c r="F310" i="21" s="1"/>
  <c r="J308" i="21"/>
  <c r="E327" i="21"/>
  <c r="E329" i="21" s="1"/>
  <c r="I327" i="21"/>
  <c r="M327" i="21"/>
  <c r="D346" i="21"/>
  <c r="H346" i="21"/>
  <c r="L346" i="21"/>
  <c r="G365" i="21"/>
  <c r="G367" i="21" s="1"/>
  <c r="K365" i="21"/>
  <c r="F384" i="21"/>
  <c r="F386" i="21" s="1"/>
  <c r="J384" i="21"/>
  <c r="E403" i="21"/>
  <c r="I403" i="21"/>
  <c r="M403" i="21"/>
  <c r="D422" i="21"/>
  <c r="H422" i="21"/>
  <c r="H424" i="21" s="1"/>
  <c r="L422" i="21"/>
  <c r="G442" i="21"/>
  <c r="G444" i="21" s="1"/>
  <c r="E152" i="21"/>
  <c r="I152" i="21"/>
  <c r="I154" i="21" s="1"/>
  <c r="M152" i="21"/>
  <c r="M154" i="21" s="1"/>
  <c r="D172" i="21"/>
  <c r="D174" i="21" s="1"/>
  <c r="H172" i="21"/>
  <c r="H174" i="21" s="1"/>
  <c r="L172" i="21"/>
  <c r="L174" i="21" s="1"/>
  <c r="D191" i="21"/>
  <c r="D193" i="21" s="1"/>
  <c r="H191" i="21"/>
  <c r="H193" i="21" s="1"/>
  <c r="L191" i="21"/>
  <c r="L193" i="21" s="1"/>
  <c r="D211" i="21"/>
  <c r="D213" i="21" s="1"/>
  <c r="H211" i="21"/>
  <c r="H213" i="21" s="1"/>
  <c r="L211" i="21"/>
  <c r="L213" i="21" s="1"/>
  <c r="D231" i="21"/>
  <c r="D233" i="21" s="1"/>
  <c r="H231" i="21"/>
  <c r="H233" i="21" s="1"/>
  <c r="L231" i="21"/>
  <c r="L233" i="21" s="1"/>
  <c r="D251" i="21"/>
  <c r="D253" i="21" s="1"/>
  <c r="H251" i="21"/>
  <c r="H253" i="21" s="1"/>
  <c r="L251" i="21"/>
  <c r="L253" i="21" s="1"/>
  <c r="D270" i="21"/>
  <c r="D272" i="21" s="1"/>
  <c r="H270" i="21"/>
  <c r="H272" i="21" s="1"/>
  <c r="L270" i="21"/>
  <c r="L272" i="21" s="1"/>
  <c r="D289" i="21"/>
  <c r="D291" i="21" s="1"/>
  <c r="H289" i="21"/>
  <c r="H291" i="21" s="1"/>
  <c r="L289" i="21"/>
  <c r="L291" i="21" s="1"/>
  <c r="G308" i="21"/>
  <c r="G310" i="21" s="1"/>
  <c r="K308" i="21"/>
  <c r="K310" i="21" s="1"/>
  <c r="F327" i="21"/>
  <c r="F329" i="21" s="1"/>
  <c r="J327" i="21"/>
  <c r="J329" i="21" s="1"/>
  <c r="E346" i="21"/>
  <c r="E348" i="21" s="1"/>
  <c r="D365" i="21"/>
  <c r="D367" i="21" s="1"/>
  <c r="G384" i="21"/>
  <c r="G386" i="21" s="1"/>
  <c r="F403" i="21"/>
  <c r="F405" i="21" s="1"/>
  <c r="J403" i="21"/>
  <c r="J405" i="21" s="1"/>
  <c r="E422" i="21"/>
  <c r="E424" i="21" s="1"/>
  <c r="I422" i="21"/>
  <c r="I424" i="21" s="1"/>
  <c r="M422" i="21"/>
  <c r="M424" i="21" s="1"/>
  <c r="D442" i="21"/>
  <c r="D444" i="21" s="1"/>
  <c r="H442" i="21"/>
  <c r="H444" i="21" s="1"/>
  <c r="L442" i="21"/>
  <c r="L444" i="21" s="1"/>
  <c r="K152" i="21"/>
  <c r="K154" i="21" s="1"/>
  <c r="F172" i="21"/>
  <c r="F174" i="21" s="1"/>
  <c r="F191" i="21"/>
  <c r="F193" i="21" s="1"/>
  <c r="F211" i="21"/>
  <c r="F213" i="21" s="1"/>
  <c r="F231" i="21"/>
  <c r="F233" i="21" s="1"/>
  <c r="F251" i="21"/>
  <c r="F253" i="21" s="1"/>
  <c r="F270" i="21"/>
  <c r="F272" i="21" s="1"/>
  <c r="F289" i="21"/>
  <c r="F291" i="21" s="1"/>
  <c r="E308" i="21"/>
  <c r="E310" i="21" s="1"/>
  <c r="M308" i="21"/>
  <c r="M310" i="21" s="1"/>
  <c r="D327" i="21"/>
  <c r="D329" i="21" s="1"/>
  <c r="J365" i="21"/>
  <c r="J367" i="21" s="1"/>
  <c r="I384" i="21"/>
  <c r="I386" i="21" s="1"/>
  <c r="H403" i="21"/>
  <c r="H405" i="21" s="1"/>
  <c r="G422" i="21"/>
  <c r="G424" i="21" s="1"/>
  <c r="F442" i="21"/>
  <c r="F444" i="21" s="1"/>
  <c r="G152" i="21"/>
  <c r="G154" i="21" s="1"/>
  <c r="J172" i="21"/>
  <c r="J174" i="21" s="1"/>
  <c r="J191" i="21"/>
  <c r="J193" i="21" s="1"/>
  <c r="J211" i="21"/>
  <c r="J213" i="21" s="1"/>
  <c r="J231" i="21"/>
  <c r="J233" i="21" s="1"/>
  <c r="J251" i="21"/>
  <c r="J253" i="21" s="1"/>
  <c r="J270" i="21"/>
  <c r="J272" i="21" s="1"/>
  <c r="J289" i="21"/>
  <c r="J291" i="21" s="1"/>
  <c r="I308" i="21"/>
  <c r="I310" i="21" s="1"/>
  <c r="G346" i="21"/>
  <c r="G348" i="21" s="1"/>
  <c r="F365" i="21"/>
  <c r="F367" i="21" s="1"/>
  <c r="E384" i="21"/>
  <c r="E386" i="21" s="1"/>
  <c r="M384" i="21"/>
  <c r="M386" i="21" s="1"/>
  <c r="D403" i="21"/>
  <c r="D405" i="21" s="1"/>
  <c r="L403" i="21"/>
  <c r="L405" i="21" s="1"/>
  <c r="K422" i="21"/>
  <c r="K424" i="21" s="1"/>
  <c r="J442" i="21"/>
  <c r="J444" i="21" s="1"/>
  <c r="K442" i="21"/>
  <c r="I346" i="21"/>
  <c r="I348" i="21" s="1"/>
  <c r="M346" i="21"/>
  <c r="M348" i="21" s="1"/>
  <c r="K384" i="21"/>
  <c r="K386" i="21" s="1"/>
  <c r="F133" i="21"/>
  <c r="D135" i="21"/>
  <c r="E133" i="21"/>
  <c r="E135" i="21" s="1"/>
  <c r="E154" i="21"/>
  <c r="E174" i="21"/>
  <c r="I174" i="21"/>
  <c r="M174" i="21"/>
  <c r="E193" i="21"/>
  <c r="I193" i="21"/>
  <c r="M193" i="21"/>
  <c r="E213" i="21"/>
  <c r="I213" i="21"/>
  <c r="M213" i="21"/>
  <c r="E233" i="21"/>
  <c r="I233" i="21"/>
  <c r="M233" i="21"/>
  <c r="E253" i="21"/>
  <c r="I253" i="21"/>
  <c r="M253" i="21"/>
  <c r="E272" i="21"/>
  <c r="I272" i="21"/>
  <c r="M272" i="21"/>
  <c r="E291" i="21"/>
  <c r="I291" i="21"/>
  <c r="M291" i="21"/>
  <c r="D310" i="21"/>
  <c r="H310" i="21"/>
  <c r="L310" i="21"/>
  <c r="G329" i="21"/>
  <c r="K329" i="21"/>
  <c r="F348" i="21"/>
  <c r="J348" i="21"/>
  <c r="E367" i="21"/>
  <c r="I367" i="21"/>
  <c r="M367" i="21"/>
  <c r="D386" i="21"/>
  <c r="H386" i="21"/>
  <c r="L386" i="21"/>
  <c r="K405" i="21"/>
  <c r="F424" i="21"/>
  <c r="J424" i="21"/>
  <c r="E444" i="21"/>
  <c r="I444" i="21"/>
  <c r="M444" i="21"/>
  <c r="H327" i="21"/>
  <c r="H329" i="21" s="1"/>
  <c r="L327" i="21"/>
  <c r="L329" i="21" s="1"/>
  <c r="K346" i="21"/>
  <c r="K348" i="21" s="1"/>
  <c r="K174" i="21"/>
  <c r="G193" i="21"/>
  <c r="K193" i="21"/>
  <c r="G213" i="21"/>
  <c r="K213" i="21"/>
  <c r="K233" i="21"/>
  <c r="K253" i="21"/>
  <c r="G272" i="21"/>
  <c r="K272" i="21"/>
  <c r="G291" i="21"/>
  <c r="K291" i="21"/>
  <c r="J310" i="21"/>
  <c r="I329" i="21"/>
  <c r="M329" i="21"/>
  <c r="D348" i="21"/>
  <c r="H348" i="21"/>
  <c r="L348" i="21"/>
  <c r="K367" i="21"/>
  <c r="J386" i="21"/>
  <c r="E405" i="21"/>
  <c r="I405" i="21"/>
  <c r="M405" i="21"/>
  <c r="D424" i="21"/>
  <c r="L424" i="21"/>
  <c r="K444" i="21"/>
  <c r="H365" i="21"/>
  <c r="H367" i="21" s="1"/>
  <c r="L365" i="21"/>
  <c r="L367" i="21" s="1"/>
  <c r="I133" i="21"/>
  <c r="I135" i="21" s="1"/>
  <c r="K133" i="21"/>
  <c r="K135" i="21" s="1"/>
  <c r="L133" i="21"/>
  <c r="L135" i="21" s="1"/>
  <c r="M133" i="21"/>
  <c r="M135" i="21" s="1"/>
  <c r="H133" i="21"/>
  <c r="H135" i="21" s="1"/>
  <c r="G133" i="21"/>
  <c r="G135" i="21" s="1"/>
  <c r="F135" i="21"/>
  <c r="J133" i="21"/>
  <c r="J135" i="21" s="1"/>
  <c r="P8" i="20"/>
  <c r="P10" i="20"/>
  <c r="P13" i="20"/>
  <c r="P7" i="20"/>
  <c r="C276" i="21" l="1"/>
  <c r="C278" i="21" s="1"/>
  <c r="C197" i="21"/>
  <c r="C199" i="21" s="1"/>
  <c r="C237" i="21"/>
  <c r="C239" i="21" s="1"/>
  <c r="C390" i="21"/>
  <c r="C392" i="21" s="1"/>
  <c r="C409" i="21"/>
  <c r="C411" i="21" s="1"/>
  <c r="C295" i="21"/>
  <c r="C297" i="21" s="1"/>
  <c r="C333" i="21"/>
  <c r="C335" i="21" s="1"/>
  <c r="C257" i="21"/>
  <c r="C259" i="21" s="1"/>
  <c r="C178" i="21"/>
  <c r="C180" i="21" s="1"/>
  <c r="C217" i="21"/>
  <c r="C219" i="21" s="1"/>
  <c r="C158" i="21"/>
  <c r="C160" i="21" s="1"/>
  <c r="C352" i="21"/>
  <c r="C354" i="21" s="1"/>
  <c r="C371" i="21"/>
  <c r="C373" i="21" s="1"/>
  <c r="C448" i="21"/>
  <c r="C450" i="21" s="1"/>
  <c r="C314" i="21"/>
  <c r="C316" i="21" s="1"/>
  <c r="C428" i="21"/>
  <c r="C430" i="21" s="1"/>
  <c r="C139" i="21"/>
  <c r="U13" i="20"/>
  <c r="U5" i="20"/>
  <c r="T8" i="20"/>
  <c r="T9" i="20"/>
  <c r="T11" i="20"/>
  <c r="T12" i="20"/>
  <c r="T7" i="20"/>
  <c r="M8" i="20"/>
  <c r="M9" i="20"/>
  <c r="M7" i="20"/>
  <c r="Q16" i="20"/>
  <c r="S16" i="20" s="1"/>
  <c r="Q15" i="20"/>
  <c r="S15" i="20" s="1"/>
  <c r="Q14" i="20"/>
  <c r="S14" i="20" s="1"/>
  <c r="S13" i="20" s="1"/>
  <c r="Q12" i="20"/>
  <c r="S12" i="20" s="1"/>
  <c r="Q11" i="20"/>
  <c r="S11" i="20" s="1"/>
  <c r="S10" i="20" s="1"/>
  <c r="Q9" i="20"/>
  <c r="S9" i="20" s="1"/>
  <c r="Q8" i="20"/>
  <c r="S8" i="20" s="1"/>
  <c r="Q7" i="20"/>
  <c r="S7" i="20" s="1"/>
  <c r="P6" i="20"/>
  <c r="P5" i="20" s="1"/>
  <c r="P17" i="20" s="1"/>
  <c r="F15" i="20"/>
  <c r="F14" i="20"/>
  <c r="E13" i="20"/>
  <c r="F12" i="20"/>
  <c r="F11" i="20"/>
  <c r="E10" i="20"/>
  <c r="F9" i="20"/>
  <c r="F8" i="20"/>
  <c r="F7" i="20"/>
  <c r="E6" i="20"/>
  <c r="B595" i="9"/>
  <c r="B4" i="17"/>
  <c r="B8" i="17" s="1"/>
  <c r="B12" i="17" s="1"/>
  <c r="S96" i="5"/>
  <c r="T96" i="5" s="1"/>
  <c r="S6" i="20" l="1"/>
  <c r="S5" i="20" s="1"/>
  <c r="S17" i="20" s="1"/>
  <c r="S97" i="5"/>
  <c r="F10" i="20"/>
  <c r="J23" i="20" s="1"/>
  <c r="T99" i="5"/>
  <c r="U96" i="5"/>
  <c r="V96" i="5" s="1"/>
  <c r="W96" i="5" s="1"/>
  <c r="X96" i="5" s="1"/>
  <c r="Y96" i="5" s="1"/>
  <c r="Z96" i="5" s="1"/>
  <c r="AA96" i="5" s="1"/>
  <c r="AB96" i="5" s="1"/>
  <c r="AC96" i="5" s="1"/>
  <c r="AC99" i="5" s="1"/>
  <c r="N4" i="17" s="1"/>
  <c r="N12" i="17" s="1"/>
  <c r="T97" i="5"/>
  <c r="U97" i="5" s="1"/>
  <c r="V97" i="5" s="1"/>
  <c r="W97" i="5" s="1"/>
  <c r="X97" i="5" s="1"/>
  <c r="Y97" i="5" s="1"/>
  <c r="Z97" i="5" s="1"/>
  <c r="AA97" i="5" s="1"/>
  <c r="AB97" i="5" s="1"/>
  <c r="AC97" i="5" s="1"/>
  <c r="I23" i="20"/>
  <c r="E23" i="20"/>
  <c r="D23" i="20"/>
  <c r="E5" i="20"/>
  <c r="E16" i="20" s="1"/>
  <c r="F13" i="20"/>
  <c r="C141" i="21"/>
  <c r="F121" i="21" s="1"/>
  <c r="F118" i="21"/>
  <c r="Q13" i="20"/>
  <c r="Q10" i="20"/>
  <c r="Q6" i="20"/>
  <c r="F6" i="20"/>
  <c r="W99" i="5"/>
  <c r="H4" i="17" s="1"/>
  <c r="H12" i="17" s="1"/>
  <c r="V99" i="5"/>
  <c r="G4" i="17" s="1"/>
  <c r="G12" i="17" s="1"/>
  <c r="Y99" i="5"/>
  <c r="J4" i="17" s="1"/>
  <c r="J12" i="17" s="1"/>
  <c r="U99" i="5"/>
  <c r="F4" i="17" s="1"/>
  <c r="F12" i="17" s="1"/>
  <c r="AB99" i="5"/>
  <c r="M4" i="17" s="1"/>
  <c r="M12" i="17" s="1"/>
  <c r="E4" i="17" l="1"/>
  <c r="E12" i="17" s="1"/>
  <c r="D17" i="22"/>
  <c r="AA99" i="5"/>
  <c r="L4" i="17" s="1"/>
  <c r="L12" i="17" s="1"/>
  <c r="Z99" i="5"/>
  <c r="K4" i="17" s="1"/>
  <c r="K12" i="17" s="1"/>
  <c r="X99" i="5"/>
  <c r="I4" i="17" s="1"/>
  <c r="I12" i="17" s="1"/>
  <c r="F23" i="20"/>
  <c r="L23" i="20"/>
  <c r="H23" i="20"/>
  <c r="K23" i="20"/>
  <c r="G23" i="20"/>
  <c r="M23" i="20"/>
  <c r="E26" i="20"/>
  <c r="E25" i="20" s="1"/>
  <c r="M26" i="20"/>
  <c r="M25" i="20" s="1"/>
  <c r="F26" i="20"/>
  <c r="F25" i="20" s="1"/>
  <c r="D26" i="20"/>
  <c r="D25" i="20" s="1"/>
  <c r="H26" i="20"/>
  <c r="H25" i="20" s="1"/>
  <c r="G26" i="20"/>
  <c r="G25" i="20" s="1"/>
  <c r="I26" i="20"/>
  <c r="I25" i="20" s="1"/>
  <c r="L26" i="20"/>
  <c r="L25" i="20" s="1"/>
  <c r="J26" i="20"/>
  <c r="J25" i="20" s="1"/>
  <c r="K26" i="20"/>
  <c r="K25" i="20" s="1"/>
  <c r="I28" i="20"/>
  <c r="J28" i="20"/>
  <c r="K28" i="20"/>
  <c r="L28" i="20"/>
  <c r="E28" i="20"/>
  <c r="M28" i="20"/>
  <c r="F28" i="20"/>
  <c r="D28" i="20"/>
  <c r="G28" i="20"/>
  <c r="H28" i="20"/>
  <c r="F5" i="20"/>
  <c r="F16" i="20" s="1"/>
  <c r="G21" i="20"/>
  <c r="G20" i="20" s="1"/>
  <c r="G10" i="22" s="1"/>
  <c r="G11" i="22" s="1"/>
  <c r="H21" i="20"/>
  <c r="I21" i="20"/>
  <c r="I20" i="20" s="1"/>
  <c r="I10" i="22" s="1"/>
  <c r="I11" i="22" s="1"/>
  <c r="J21" i="20"/>
  <c r="J20" i="20" s="1"/>
  <c r="J10" i="22" s="1"/>
  <c r="J11" i="22" s="1"/>
  <c r="K21" i="20"/>
  <c r="K20" i="20" s="1"/>
  <c r="K10" i="22" s="1"/>
  <c r="K11" i="22" s="1"/>
  <c r="L21" i="20"/>
  <c r="L20" i="20" s="1"/>
  <c r="L10" i="22" s="1"/>
  <c r="L11" i="22" s="1"/>
  <c r="F21" i="20"/>
  <c r="E21" i="20"/>
  <c r="E20" i="20" s="1"/>
  <c r="E10" i="22" s="1"/>
  <c r="E11" i="22" s="1"/>
  <c r="M21" i="20"/>
  <c r="M20" i="20" s="1"/>
  <c r="M10" i="22" s="1"/>
  <c r="M11" i="22" s="1"/>
  <c r="D20" i="20"/>
  <c r="D10" i="22" s="1"/>
  <c r="D11" i="22" s="1"/>
  <c r="K30" i="20"/>
  <c r="F30" i="20"/>
  <c r="L30" i="20"/>
  <c r="D30" i="20"/>
  <c r="E30" i="20"/>
  <c r="M30" i="20"/>
  <c r="G30" i="20"/>
  <c r="J30" i="20"/>
  <c r="H30" i="20"/>
  <c r="I30" i="20"/>
  <c r="E33" i="20"/>
  <c r="E32" i="20" s="1"/>
  <c r="M33" i="20"/>
  <c r="M32" i="20" s="1"/>
  <c r="F33" i="20"/>
  <c r="F32" i="20" s="1"/>
  <c r="D33" i="20"/>
  <c r="D32" i="20" s="1"/>
  <c r="H33" i="20"/>
  <c r="H32" i="20" s="1"/>
  <c r="G33" i="20"/>
  <c r="G32" i="20" s="1"/>
  <c r="I33" i="20"/>
  <c r="I32" i="20" s="1"/>
  <c r="J33" i="20"/>
  <c r="J32" i="20" s="1"/>
  <c r="K33" i="20"/>
  <c r="K32" i="20" s="1"/>
  <c r="L33" i="20"/>
  <c r="L32" i="20" s="1"/>
  <c r="Q5" i="20"/>
  <c r="Q17" i="20" s="1"/>
  <c r="G4" i="16"/>
  <c r="H4" i="16"/>
  <c r="F4" i="16"/>
  <c r="J2" i="16"/>
  <c r="J4" i="16" s="1"/>
  <c r="J6" i="16" s="1"/>
  <c r="K2" i="16"/>
  <c r="K4" i="16" s="1"/>
  <c r="K6" i="16" s="1"/>
  <c r="I2" i="16"/>
  <c r="I4" i="16" s="1"/>
  <c r="I6" i="16" s="1"/>
  <c r="I7" i="16" s="1"/>
  <c r="I8" i="16" s="1"/>
  <c r="I9" i="16" s="1"/>
  <c r="D3" i="16"/>
  <c r="L35" i="20" l="1"/>
  <c r="L24" i="26" s="1"/>
  <c r="K35" i="20"/>
  <c r="K24" i="26" s="1"/>
  <c r="E35" i="20"/>
  <c r="E24" i="26" s="1"/>
  <c r="E12" i="26"/>
  <c r="E10" i="26" s="1"/>
  <c r="E16" i="26" s="1"/>
  <c r="D35" i="20"/>
  <c r="D24" i="26" s="1"/>
  <c r="J35" i="20"/>
  <c r="J24" i="26" s="1"/>
  <c r="I35" i="20"/>
  <c r="I24" i="26" s="1"/>
  <c r="G12" i="26"/>
  <c r="G10" i="26" s="1"/>
  <c r="G16" i="26" s="1"/>
  <c r="H35" i="20"/>
  <c r="H24" i="26" s="1"/>
  <c r="F35" i="20"/>
  <c r="F24" i="26" s="1"/>
  <c r="F20" i="20"/>
  <c r="F10" i="22" s="1"/>
  <c r="F11" i="22" s="1"/>
  <c r="H20" i="20"/>
  <c r="G35" i="20"/>
  <c r="G24" i="26" s="1"/>
  <c r="M35" i="20"/>
  <c r="M24" i="26" s="1"/>
  <c r="M27" i="20"/>
  <c r="M34" i="20" s="1"/>
  <c r="M23" i="26" s="1"/>
  <c r="M26" i="26" s="1"/>
  <c r="H10" i="22"/>
  <c r="H11" i="22" s="1"/>
  <c r="E27" i="20"/>
  <c r="E34" i="20" s="1"/>
  <c r="L27" i="20"/>
  <c r="L34" i="20" s="1"/>
  <c r="K27" i="20"/>
  <c r="K34" i="20" s="1"/>
  <c r="H27" i="20"/>
  <c r="H34" i="20" s="1"/>
  <c r="J27" i="20"/>
  <c r="J34" i="20" s="1"/>
  <c r="G27" i="20"/>
  <c r="G34" i="20" s="1"/>
  <c r="I27" i="20"/>
  <c r="I34" i="20" s="1"/>
  <c r="D27" i="20"/>
  <c r="D34" i="20" s="1"/>
  <c r="F27" i="20"/>
  <c r="F34" i="20" s="1"/>
  <c r="I30" i="10"/>
  <c r="B29" i="10"/>
  <c r="B26" i="10"/>
  <c r="B25" i="10"/>
  <c r="B24" i="10"/>
  <c r="B23" i="10"/>
  <c r="B14" i="10"/>
  <c r="B13" i="10"/>
  <c r="B12" i="10"/>
  <c r="B11" i="10"/>
  <c r="I12" i="26" l="1"/>
  <c r="I10" i="26" s="1"/>
  <c r="I16" i="26" s="1"/>
  <c r="K12" i="26"/>
  <c r="K10" i="26" s="1"/>
  <c r="K16" i="26" s="1"/>
  <c r="I36" i="20"/>
  <c r="I23" i="26"/>
  <c r="I26" i="26" s="1"/>
  <c r="J36" i="20"/>
  <c r="J23" i="26"/>
  <c r="J26" i="26" s="1"/>
  <c r="H36" i="20"/>
  <c r="H23" i="26"/>
  <c r="H26" i="26" s="1"/>
  <c r="M12" i="26"/>
  <c r="M10" i="26" s="1"/>
  <c r="M16" i="26" s="1"/>
  <c r="D36" i="20"/>
  <c r="D23" i="26"/>
  <c r="D26" i="26" s="1"/>
  <c r="K36" i="20"/>
  <c r="K23" i="26"/>
  <c r="K26" i="26" s="1"/>
  <c r="J12" i="26"/>
  <c r="J10" i="26" s="1"/>
  <c r="J16" i="26" s="1"/>
  <c r="L12" i="26"/>
  <c r="L10" i="26" s="1"/>
  <c r="L16" i="26" s="1"/>
  <c r="G36" i="20"/>
  <c r="G23" i="26"/>
  <c r="G26" i="26" s="1"/>
  <c r="L36" i="20"/>
  <c r="L23" i="26"/>
  <c r="L26" i="26" s="1"/>
  <c r="F36" i="20"/>
  <c r="F23" i="26"/>
  <c r="F26" i="26" s="1"/>
  <c r="E36" i="20"/>
  <c r="E23" i="26"/>
  <c r="E26" i="26" s="1"/>
  <c r="H12" i="26"/>
  <c r="H10" i="26" s="1"/>
  <c r="H16" i="26" s="1"/>
  <c r="D12" i="26"/>
  <c r="D10" i="26" s="1"/>
  <c r="D16" i="26" s="1"/>
  <c r="F12" i="26"/>
  <c r="F10" i="26" s="1"/>
  <c r="F16" i="26" s="1"/>
  <c r="M36" i="20"/>
  <c r="J7" i="22"/>
  <c r="J8" i="22" s="1"/>
  <c r="J12" i="22" s="1"/>
  <c r="J14" i="22" s="1"/>
  <c r="H7" i="22"/>
  <c r="H8" i="22" s="1"/>
  <c r="H12" i="22" s="1"/>
  <c r="H14" i="22" s="1"/>
  <c r="K7" i="22"/>
  <c r="K8" i="22" s="1"/>
  <c r="K12" i="22" s="1"/>
  <c r="K14" i="22" s="1"/>
  <c r="F7" i="22"/>
  <c r="F8" i="22" s="1"/>
  <c r="F12" i="22" s="1"/>
  <c r="F14" i="22" s="1"/>
  <c r="E7" i="22"/>
  <c r="E8" i="22" s="1"/>
  <c r="E12" i="22" s="1"/>
  <c r="E14" i="22" s="1"/>
  <c r="D7" i="22"/>
  <c r="D8" i="22" s="1"/>
  <c r="D12" i="22" s="1"/>
  <c r="D14" i="22" s="1"/>
  <c r="L7" i="22"/>
  <c r="L8" i="22" s="1"/>
  <c r="L12" i="22" s="1"/>
  <c r="L14" i="22" s="1"/>
  <c r="I7" i="22"/>
  <c r="I8" i="22" s="1"/>
  <c r="I12" i="22" s="1"/>
  <c r="I14" i="22" s="1"/>
  <c r="G7" i="22"/>
  <c r="G8" i="22" s="1"/>
  <c r="G12" i="22" s="1"/>
  <c r="G14" i="22" s="1"/>
  <c r="M7" i="22"/>
  <c r="M8" i="22" s="1"/>
  <c r="M12" i="22" s="1"/>
  <c r="M14" i="22" s="1"/>
  <c r="F489" i="9"/>
  <c r="H489" i="9" s="1"/>
  <c r="K489" i="9" s="1"/>
  <c r="F488" i="9"/>
  <c r="H488" i="9" s="1"/>
  <c r="K488" i="9" s="1"/>
  <c r="F487" i="9"/>
  <c r="H487" i="9" s="1"/>
  <c r="K487" i="9" s="1"/>
  <c r="L486" i="9" s="1"/>
  <c r="F593" i="9"/>
  <c r="H593" i="9" s="1"/>
  <c r="H592" i="9" s="1"/>
  <c r="F227" i="9"/>
  <c r="H227" i="9" s="1"/>
  <c r="K227" i="9" s="1"/>
  <c r="F226" i="9"/>
  <c r="H226" i="9" s="1"/>
  <c r="K226" i="9" s="1"/>
  <c r="F225" i="9"/>
  <c r="H225" i="9" s="1"/>
  <c r="K225" i="9" s="1"/>
  <c r="L224" i="9" s="1"/>
  <c r="F223" i="9"/>
  <c r="H223" i="9" s="1"/>
  <c r="K223" i="9" s="1"/>
  <c r="F222" i="9"/>
  <c r="H222" i="9" s="1"/>
  <c r="K222" i="9" s="1"/>
  <c r="F221" i="9"/>
  <c r="H221" i="9" s="1"/>
  <c r="K221" i="9" s="1"/>
  <c r="F220" i="9"/>
  <c r="H220" i="9" s="1"/>
  <c r="K220" i="9" s="1"/>
  <c r="F219" i="9"/>
  <c r="H219" i="9" s="1"/>
  <c r="F216" i="9"/>
  <c r="H216" i="9" s="1"/>
  <c r="K216" i="9" s="1"/>
  <c r="F215" i="9"/>
  <c r="H215" i="9" s="1"/>
  <c r="K215" i="9" s="1"/>
  <c r="F214" i="9"/>
  <c r="H214" i="9" s="1"/>
  <c r="K214" i="9" s="1"/>
  <c r="F213" i="9"/>
  <c r="H213" i="9" s="1"/>
  <c r="K213" i="9" s="1"/>
  <c r="F212" i="9"/>
  <c r="H212" i="9" s="1"/>
  <c r="K212" i="9" s="1"/>
  <c r="F210" i="9"/>
  <c r="H210" i="9" s="1"/>
  <c r="K210" i="9" s="1"/>
  <c r="F209" i="9"/>
  <c r="H209" i="9" s="1"/>
  <c r="K209" i="9" s="1"/>
  <c r="F208" i="9"/>
  <c r="H208" i="9" s="1"/>
  <c r="K208" i="9" s="1"/>
  <c r="F207" i="9"/>
  <c r="H207" i="9" s="1"/>
  <c r="K207" i="9" s="1"/>
  <c r="F206" i="9"/>
  <c r="H206" i="9" s="1"/>
  <c r="K206" i="9" s="1"/>
  <c r="F205" i="9"/>
  <c r="H205" i="9" s="1"/>
  <c r="K205" i="9" s="1"/>
  <c r="F204" i="9"/>
  <c r="H204" i="9" s="1"/>
  <c r="K204" i="9" s="1"/>
  <c r="F203" i="9"/>
  <c r="H203" i="9" s="1"/>
  <c r="K203" i="9" s="1"/>
  <c r="F202" i="9"/>
  <c r="H202" i="9" s="1"/>
  <c r="K202" i="9" s="1"/>
  <c r="F201" i="9"/>
  <c r="H201" i="9" s="1"/>
  <c r="K201" i="9" s="1"/>
  <c r="F200" i="9"/>
  <c r="H200" i="9" s="1"/>
  <c r="K200" i="9" s="1"/>
  <c r="F199" i="9"/>
  <c r="H199" i="9" s="1"/>
  <c r="K199" i="9" s="1"/>
  <c r="F198" i="9"/>
  <c r="H198" i="9" s="1"/>
  <c r="K198" i="9" s="1"/>
  <c r="F197" i="9"/>
  <c r="H197" i="9" s="1"/>
  <c r="K197" i="9" s="1"/>
  <c r="F196" i="9"/>
  <c r="H196" i="9" s="1"/>
  <c r="K196" i="9" s="1"/>
  <c r="F195" i="9"/>
  <c r="H195" i="9" s="1"/>
  <c r="K195" i="9" s="1"/>
  <c r="F194" i="9"/>
  <c r="H194" i="9" s="1"/>
  <c r="K194" i="9" s="1"/>
  <c r="F193" i="9"/>
  <c r="H193" i="9" s="1"/>
  <c r="K193" i="9" s="1"/>
  <c r="F192" i="9"/>
  <c r="H192" i="9" s="1"/>
  <c r="K192" i="9" s="1"/>
  <c r="F191" i="9"/>
  <c r="H191" i="9" s="1"/>
  <c r="K191" i="9" s="1"/>
  <c r="F190" i="9"/>
  <c r="H190" i="9" s="1"/>
  <c r="K190" i="9" s="1"/>
  <c r="F189" i="9"/>
  <c r="H189" i="9" s="1"/>
  <c r="K189" i="9" s="1"/>
  <c r="F188" i="9"/>
  <c r="H188" i="9" s="1"/>
  <c r="K188" i="9" s="1"/>
  <c r="F187" i="9"/>
  <c r="H187" i="9" s="1"/>
  <c r="K187" i="9" s="1"/>
  <c r="C27" i="26" l="1"/>
  <c r="C18" i="26"/>
  <c r="L186" i="9"/>
  <c r="L211" i="9"/>
  <c r="I57" i="10"/>
  <c r="K592" i="9"/>
  <c r="H218" i="9"/>
  <c r="H186" i="9"/>
  <c r="H224" i="9"/>
  <c r="H486" i="9"/>
  <c r="K219" i="9"/>
  <c r="L218" i="9" s="1"/>
  <c r="H211" i="9"/>
  <c r="C20" i="26" l="1"/>
  <c r="H217" i="9"/>
  <c r="J28" i="10" s="1"/>
  <c r="H185" i="9"/>
  <c r="F590" i="9"/>
  <c r="H590" i="9" s="1"/>
  <c r="K590" i="9" s="1"/>
  <c r="F591" i="9"/>
  <c r="H591" i="9" s="1"/>
  <c r="K591" i="9" s="1"/>
  <c r="F579" i="9"/>
  <c r="H579" i="9" s="1"/>
  <c r="F580" i="9"/>
  <c r="H580" i="9" s="1"/>
  <c r="K580" i="9" s="1"/>
  <c r="F581" i="9"/>
  <c r="H581" i="9" s="1"/>
  <c r="K581" i="9" s="1"/>
  <c r="F582" i="9"/>
  <c r="H582" i="9" s="1"/>
  <c r="K582" i="9" s="1"/>
  <c r="F583" i="9"/>
  <c r="H583" i="9" s="1"/>
  <c r="F584" i="9"/>
  <c r="H584" i="9" s="1"/>
  <c r="K584" i="9" s="1"/>
  <c r="F585" i="9"/>
  <c r="H585" i="9" s="1"/>
  <c r="K585" i="9" s="1"/>
  <c r="F586" i="9"/>
  <c r="H586" i="9" s="1"/>
  <c r="K586" i="9" s="1"/>
  <c r="F575" i="9"/>
  <c r="H575" i="9" s="1"/>
  <c r="F572" i="9"/>
  <c r="H572" i="9" s="1"/>
  <c r="K572" i="9" s="1"/>
  <c r="F568" i="9"/>
  <c r="H568" i="9" s="1"/>
  <c r="K568" i="9" s="1"/>
  <c r="F569" i="9"/>
  <c r="F563" i="9"/>
  <c r="H563" i="9" s="1"/>
  <c r="F564" i="9"/>
  <c r="H564" i="9" s="1"/>
  <c r="K564" i="9" s="1"/>
  <c r="F565" i="9"/>
  <c r="H565" i="9" s="1"/>
  <c r="K565" i="9" s="1"/>
  <c r="F555" i="9"/>
  <c r="H555" i="9" s="1"/>
  <c r="K555" i="9" s="1"/>
  <c r="F556" i="9"/>
  <c r="F557" i="9"/>
  <c r="H557" i="9" s="1"/>
  <c r="K557" i="9" s="1"/>
  <c r="F558" i="9"/>
  <c r="H558" i="9" s="1"/>
  <c r="K558" i="9" s="1"/>
  <c r="F559" i="9"/>
  <c r="H559" i="9" s="1"/>
  <c r="K559" i="9" s="1"/>
  <c r="F550" i="9"/>
  <c r="H550" i="9" s="1"/>
  <c r="F551" i="9"/>
  <c r="H551" i="9" s="1"/>
  <c r="K551" i="9" s="1"/>
  <c r="F552" i="9"/>
  <c r="H552" i="9" s="1"/>
  <c r="K552" i="9" s="1"/>
  <c r="F546" i="9"/>
  <c r="H546" i="9" s="1"/>
  <c r="K546" i="9" s="1"/>
  <c r="F547" i="9"/>
  <c r="H547" i="9" s="1"/>
  <c r="F535" i="9"/>
  <c r="H535" i="9" s="1"/>
  <c r="K535" i="9" s="1"/>
  <c r="F536" i="9"/>
  <c r="H536" i="9" s="1"/>
  <c r="K536" i="9" s="1"/>
  <c r="F537" i="9"/>
  <c r="H537" i="9" s="1"/>
  <c r="K537" i="9" s="1"/>
  <c r="F538" i="9"/>
  <c r="H538" i="9" s="1"/>
  <c r="F539" i="9"/>
  <c r="H539" i="9" s="1"/>
  <c r="K539" i="9" s="1"/>
  <c r="F540" i="9"/>
  <c r="H540" i="9" s="1"/>
  <c r="K540" i="9" s="1"/>
  <c r="F541" i="9"/>
  <c r="H541" i="9" s="1"/>
  <c r="K541" i="9" s="1"/>
  <c r="F542" i="9"/>
  <c r="H542" i="9" s="1"/>
  <c r="F543" i="9"/>
  <c r="H543" i="9" s="1"/>
  <c r="K543" i="9" s="1"/>
  <c r="F526" i="9"/>
  <c r="H526" i="9" s="1"/>
  <c r="K526" i="9" s="1"/>
  <c r="F527" i="9"/>
  <c r="H527" i="9" s="1"/>
  <c r="F528" i="9"/>
  <c r="H528" i="9" s="1"/>
  <c r="F523" i="9"/>
  <c r="H523" i="9" s="1"/>
  <c r="F519" i="9"/>
  <c r="F520" i="9"/>
  <c r="H520" i="9" s="1"/>
  <c r="K520" i="9" s="1"/>
  <c r="F510" i="9"/>
  <c r="H510" i="9" s="1"/>
  <c r="F511" i="9"/>
  <c r="H511" i="9" s="1"/>
  <c r="K511" i="9" s="1"/>
  <c r="F512" i="9"/>
  <c r="H512" i="9" s="1"/>
  <c r="K512" i="9" s="1"/>
  <c r="F513" i="9"/>
  <c r="H513" i="9" s="1"/>
  <c r="K513" i="9" s="1"/>
  <c r="F514" i="9"/>
  <c r="H514" i="9" s="1"/>
  <c r="K514" i="9" s="1"/>
  <c r="F515" i="9"/>
  <c r="H515" i="9" s="1"/>
  <c r="K515" i="9" s="1"/>
  <c r="F516" i="9"/>
  <c r="H516" i="9" s="1"/>
  <c r="K516" i="9" s="1"/>
  <c r="F500" i="9"/>
  <c r="H500" i="9" s="1"/>
  <c r="K500" i="9" s="1"/>
  <c r="F501" i="9"/>
  <c r="H501" i="9" s="1"/>
  <c r="F502" i="9"/>
  <c r="H502" i="9" s="1"/>
  <c r="F503" i="9"/>
  <c r="H503" i="9" s="1"/>
  <c r="K503" i="9" s="1"/>
  <c r="F504" i="9"/>
  <c r="H504" i="9" s="1"/>
  <c r="K504" i="9" s="1"/>
  <c r="F505" i="9"/>
  <c r="H505" i="9" s="1"/>
  <c r="F506" i="9"/>
  <c r="H506" i="9" s="1"/>
  <c r="K506" i="9" s="1"/>
  <c r="F507" i="9"/>
  <c r="H507" i="9" s="1"/>
  <c r="K507" i="9" s="1"/>
  <c r="F493" i="9"/>
  <c r="H493" i="9" s="1"/>
  <c r="K493" i="9" s="1"/>
  <c r="F494" i="9"/>
  <c r="H494" i="9" s="1"/>
  <c r="F478" i="9"/>
  <c r="H478" i="9" s="1"/>
  <c r="K478" i="9" s="1"/>
  <c r="F479" i="9"/>
  <c r="H479" i="9" s="1"/>
  <c r="K479" i="9" s="1"/>
  <c r="F473" i="9"/>
  <c r="F474" i="9"/>
  <c r="H474" i="9" s="1"/>
  <c r="K474" i="9" s="1"/>
  <c r="F475" i="9"/>
  <c r="H475" i="9" s="1"/>
  <c r="K475" i="9" s="1"/>
  <c r="F450" i="9"/>
  <c r="H450" i="9" s="1"/>
  <c r="K450" i="9" s="1"/>
  <c r="F451" i="9"/>
  <c r="H451" i="9" s="1"/>
  <c r="K451" i="9" s="1"/>
  <c r="F452" i="9"/>
  <c r="H452" i="9" s="1"/>
  <c r="F453" i="9"/>
  <c r="H453" i="9" s="1"/>
  <c r="K453" i="9" s="1"/>
  <c r="F454" i="9"/>
  <c r="H454" i="9" s="1"/>
  <c r="K454" i="9" s="1"/>
  <c r="F455" i="9"/>
  <c r="H455" i="9" s="1"/>
  <c r="K455" i="9" s="1"/>
  <c r="F456" i="9"/>
  <c r="H456" i="9" s="1"/>
  <c r="F457" i="9"/>
  <c r="H457" i="9" s="1"/>
  <c r="K457" i="9" s="1"/>
  <c r="F458" i="9"/>
  <c r="H458" i="9" s="1"/>
  <c r="K458" i="9" s="1"/>
  <c r="F459" i="9"/>
  <c r="H459" i="9" s="1"/>
  <c r="K459" i="9" s="1"/>
  <c r="F460" i="9"/>
  <c r="H460" i="9" s="1"/>
  <c r="F461" i="9"/>
  <c r="H461" i="9" s="1"/>
  <c r="K461" i="9" s="1"/>
  <c r="F462" i="9"/>
  <c r="H462" i="9" s="1"/>
  <c r="K462" i="9" s="1"/>
  <c r="F463" i="9"/>
  <c r="H463" i="9" s="1"/>
  <c r="K463" i="9" s="1"/>
  <c r="F464" i="9"/>
  <c r="H464" i="9" s="1"/>
  <c r="F465" i="9"/>
  <c r="H465" i="9" s="1"/>
  <c r="K465" i="9" s="1"/>
  <c r="F466" i="9"/>
  <c r="H466" i="9" s="1"/>
  <c r="K466" i="9" s="1"/>
  <c r="F467" i="9"/>
  <c r="H467" i="9" s="1"/>
  <c r="K467" i="9" s="1"/>
  <c r="F468" i="9"/>
  <c r="H468" i="9" s="1"/>
  <c r="F469" i="9"/>
  <c r="H469" i="9" s="1"/>
  <c r="K469" i="9" s="1"/>
  <c r="F470" i="9"/>
  <c r="F440" i="9"/>
  <c r="H440" i="9" s="1"/>
  <c r="K440" i="9" s="1"/>
  <c r="F441" i="9"/>
  <c r="H441" i="9" s="1"/>
  <c r="F442" i="9"/>
  <c r="H442" i="9" s="1"/>
  <c r="K442" i="9" s="1"/>
  <c r="F443" i="9"/>
  <c r="H443" i="9" s="1"/>
  <c r="K443" i="9" s="1"/>
  <c r="F444" i="9"/>
  <c r="H444" i="9" s="1"/>
  <c r="K444" i="9" s="1"/>
  <c r="F445" i="9"/>
  <c r="H445" i="9" s="1"/>
  <c r="K445" i="9" s="1"/>
  <c r="F446" i="9"/>
  <c r="H446" i="9" s="1"/>
  <c r="K446" i="9" s="1"/>
  <c r="F447" i="9"/>
  <c r="H447" i="9" s="1"/>
  <c r="K447" i="9" s="1"/>
  <c r="F429" i="9"/>
  <c r="H429" i="9" s="1"/>
  <c r="K429" i="9" s="1"/>
  <c r="F430" i="9"/>
  <c r="H430" i="9" s="1"/>
  <c r="K430" i="9" s="1"/>
  <c r="F431" i="9"/>
  <c r="H431" i="9" s="1"/>
  <c r="K431" i="9" s="1"/>
  <c r="F432" i="9"/>
  <c r="H432" i="9" s="1"/>
  <c r="K432" i="9" s="1"/>
  <c r="F433" i="9"/>
  <c r="H433" i="9" s="1"/>
  <c r="K433" i="9" s="1"/>
  <c r="F434" i="9"/>
  <c r="H434" i="9" s="1"/>
  <c r="K434" i="9" s="1"/>
  <c r="F435" i="9"/>
  <c r="H435" i="9" s="1"/>
  <c r="K435" i="9" s="1"/>
  <c r="F436" i="9"/>
  <c r="H436" i="9" s="1"/>
  <c r="K436" i="9" s="1"/>
  <c r="F437" i="9"/>
  <c r="H437" i="9" s="1"/>
  <c r="K437" i="9" s="1"/>
  <c r="F415" i="9"/>
  <c r="H415" i="9" s="1"/>
  <c r="F416" i="9"/>
  <c r="H416" i="9" s="1"/>
  <c r="K416" i="9" s="1"/>
  <c r="F417" i="9"/>
  <c r="H417" i="9" s="1"/>
  <c r="K417" i="9" s="1"/>
  <c r="F418" i="9"/>
  <c r="H418" i="9" s="1"/>
  <c r="K418" i="9" s="1"/>
  <c r="F419" i="9"/>
  <c r="H419" i="9" s="1"/>
  <c r="F420" i="9"/>
  <c r="H420" i="9" s="1"/>
  <c r="K420" i="9" s="1"/>
  <c r="F421" i="9"/>
  <c r="H421" i="9" s="1"/>
  <c r="K421" i="9" s="1"/>
  <c r="F422" i="9"/>
  <c r="H422" i="9" s="1"/>
  <c r="K422" i="9" s="1"/>
  <c r="F411" i="9"/>
  <c r="H411" i="9" s="1"/>
  <c r="K411" i="9" s="1"/>
  <c r="F412" i="9"/>
  <c r="H412" i="9" s="1"/>
  <c r="K412" i="9" s="1"/>
  <c r="F401" i="9"/>
  <c r="H401" i="9" s="1"/>
  <c r="K401" i="9" s="1"/>
  <c r="F402" i="9"/>
  <c r="H402" i="9" s="1"/>
  <c r="K402" i="9" s="1"/>
  <c r="F403" i="9"/>
  <c r="H403" i="9" s="1"/>
  <c r="F404" i="9"/>
  <c r="H404" i="9" s="1"/>
  <c r="K404" i="9" s="1"/>
  <c r="F405" i="9"/>
  <c r="H405" i="9" s="1"/>
  <c r="K405" i="9" s="1"/>
  <c r="F406" i="9"/>
  <c r="H406" i="9" s="1"/>
  <c r="K406" i="9" s="1"/>
  <c r="F407" i="9"/>
  <c r="H407" i="9" s="1"/>
  <c r="K407" i="9" s="1"/>
  <c r="F408" i="9"/>
  <c r="H408" i="9" s="1"/>
  <c r="K408" i="9" s="1"/>
  <c r="F397" i="9"/>
  <c r="H397" i="9" s="1"/>
  <c r="K397" i="9" s="1"/>
  <c r="F398" i="9"/>
  <c r="H398" i="9" s="1"/>
  <c r="K398" i="9" s="1"/>
  <c r="F387" i="9"/>
  <c r="H387" i="9" s="1"/>
  <c r="F388" i="9"/>
  <c r="H388" i="9" s="1"/>
  <c r="K388" i="9" s="1"/>
  <c r="F389" i="9"/>
  <c r="H389" i="9" s="1"/>
  <c r="K389" i="9" s="1"/>
  <c r="F390" i="9"/>
  <c r="H390" i="9" s="1"/>
  <c r="K390" i="9" s="1"/>
  <c r="F391" i="9"/>
  <c r="H391" i="9" s="1"/>
  <c r="F392" i="9"/>
  <c r="H392" i="9" s="1"/>
  <c r="K392" i="9" s="1"/>
  <c r="F393" i="9"/>
  <c r="H393" i="9" s="1"/>
  <c r="K393" i="9" s="1"/>
  <c r="F394" i="9"/>
  <c r="H394" i="9" s="1"/>
  <c r="K394" i="9" s="1"/>
  <c r="F383" i="9"/>
  <c r="H383" i="9" s="1"/>
  <c r="K383" i="9" s="1"/>
  <c r="F384" i="9"/>
  <c r="H384" i="9" s="1"/>
  <c r="K384" i="9" s="1"/>
  <c r="F373" i="9"/>
  <c r="H373" i="9" s="1"/>
  <c r="K373" i="9" s="1"/>
  <c r="F374" i="9"/>
  <c r="H374" i="9" s="1"/>
  <c r="K374" i="9" s="1"/>
  <c r="F375" i="9"/>
  <c r="H375" i="9" s="1"/>
  <c r="F376" i="9"/>
  <c r="H376" i="9" s="1"/>
  <c r="K376" i="9" s="1"/>
  <c r="F377" i="9"/>
  <c r="H377" i="9" s="1"/>
  <c r="K377" i="9" s="1"/>
  <c r="F378" i="9"/>
  <c r="H378" i="9" s="1"/>
  <c r="K378" i="9" s="1"/>
  <c r="F379" i="9"/>
  <c r="H379" i="9" s="1"/>
  <c r="K379" i="9" s="1"/>
  <c r="F380" i="9"/>
  <c r="H380" i="9" s="1"/>
  <c r="K380" i="9" s="1"/>
  <c r="F369" i="9"/>
  <c r="H369" i="9" s="1"/>
  <c r="K369" i="9" s="1"/>
  <c r="F370" i="9"/>
  <c r="H370" i="9" s="1"/>
  <c r="K370" i="9" s="1"/>
  <c r="F359" i="9"/>
  <c r="H359" i="9" s="1"/>
  <c r="K359" i="9" s="1"/>
  <c r="F360" i="9"/>
  <c r="H360" i="9" s="1"/>
  <c r="K360" i="9" s="1"/>
  <c r="F361" i="9"/>
  <c r="H361" i="9" s="1"/>
  <c r="K361" i="9" s="1"/>
  <c r="F362" i="9"/>
  <c r="H362" i="9" s="1"/>
  <c r="K362" i="9" s="1"/>
  <c r="F363" i="9"/>
  <c r="H363" i="9" s="1"/>
  <c r="K363" i="9" s="1"/>
  <c r="F364" i="9"/>
  <c r="H364" i="9" s="1"/>
  <c r="K364" i="9" s="1"/>
  <c r="F365" i="9"/>
  <c r="H365" i="9" s="1"/>
  <c r="K365" i="9" s="1"/>
  <c r="F366" i="9"/>
  <c r="H366" i="9" s="1"/>
  <c r="K366" i="9" s="1"/>
  <c r="F355" i="9"/>
  <c r="H355" i="9" s="1"/>
  <c r="K355" i="9" s="1"/>
  <c r="F356" i="9"/>
  <c r="H356" i="9" s="1"/>
  <c r="F345" i="9"/>
  <c r="H345" i="9" s="1"/>
  <c r="K345" i="9" s="1"/>
  <c r="F346" i="9"/>
  <c r="H346" i="9" s="1"/>
  <c r="K346" i="9" s="1"/>
  <c r="F347" i="9"/>
  <c r="H347" i="9" s="1"/>
  <c r="K347" i="9" s="1"/>
  <c r="F348" i="9"/>
  <c r="H348" i="9" s="1"/>
  <c r="K348" i="9" s="1"/>
  <c r="F349" i="9"/>
  <c r="H349" i="9" s="1"/>
  <c r="K349" i="9" s="1"/>
  <c r="F350" i="9"/>
  <c r="H350" i="9" s="1"/>
  <c r="K350" i="9" s="1"/>
  <c r="F351" i="9"/>
  <c r="H351" i="9" s="1"/>
  <c r="F352" i="9"/>
  <c r="H352" i="9" s="1"/>
  <c r="K352" i="9" s="1"/>
  <c r="F341" i="9"/>
  <c r="H341" i="9" s="1"/>
  <c r="K341" i="9" s="1"/>
  <c r="F342" i="9"/>
  <c r="H342" i="9" s="1"/>
  <c r="K342" i="9" s="1"/>
  <c r="F331" i="9"/>
  <c r="H331" i="9" s="1"/>
  <c r="F332" i="9"/>
  <c r="H332" i="9" s="1"/>
  <c r="K332" i="9" s="1"/>
  <c r="F333" i="9"/>
  <c r="H333" i="9" s="1"/>
  <c r="K333" i="9" s="1"/>
  <c r="F334" i="9"/>
  <c r="H334" i="9" s="1"/>
  <c r="K334" i="9" s="1"/>
  <c r="F335" i="9"/>
  <c r="H335" i="9" s="1"/>
  <c r="F336" i="9"/>
  <c r="H336" i="9" s="1"/>
  <c r="K336" i="9" s="1"/>
  <c r="F337" i="9"/>
  <c r="H337" i="9" s="1"/>
  <c r="K337" i="9" s="1"/>
  <c r="F338" i="9"/>
  <c r="H338" i="9" s="1"/>
  <c r="K338" i="9" s="1"/>
  <c r="F327" i="9"/>
  <c r="H327" i="9" s="1"/>
  <c r="K327" i="9" s="1"/>
  <c r="F328" i="9"/>
  <c r="H328" i="9" s="1"/>
  <c r="K328" i="9" s="1"/>
  <c r="F311" i="9"/>
  <c r="H311" i="9" s="1"/>
  <c r="K311" i="9" s="1"/>
  <c r="F312" i="9"/>
  <c r="H312" i="9" s="1"/>
  <c r="K312" i="9" s="1"/>
  <c r="F313" i="9"/>
  <c r="H313" i="9" s="1"/>
  <c r="F314" i="9"/>
  <c r="H314" i="9" s="1"/>
  <c r="K314" i="9" s="1"/>
  <c r="F315" i="9"/>
  <c r="H315" i="9" s="1"/>
  <c r="K315" i="9" s="1"/>
  <c r="F316" i="9"/>
  <c r="H316" i="9" s="1"/>
  <c r="K316" i="9" s="1"/>
  <c r="F317" i="9"/>
  <c r="H317" i="9" s="1"/>
  <c r="F318" i="9"/>
  <c r="H318" i="9" s="1"/>
  <c r="K318" i="9" s="1"/>
  <c r="F319" i="9"/>
  <c r="H319" i="9" s="1"/>
  <c r="K319" i="9" s="1"/>
  <c r="F320" i="9"/>
  <c r="H320" i="9" s="1"/>
  <c r="K320" i="9" s="1"/>
  <c r="F321" i="9"/>
  <c r="H321" i="9" s="1"/>
  <c r="F322" i="9"/>
  <c r="H322" i="9" s="1"/>
  <c r="K322" i="9" s="1"/>
  <c r="F323" i="9"/>
  <c r="H323" i="9" s="1"/>
  <c r="K323" i="9" s="1"/>
  <c r="F307" i="9"/>
  <c r="H307" i="9" s="1"/>
  <c r="F308" i="9"/>
  <c r="H308" i="9" s="1"/>
  <c r="F292" i="9"/>
  <c r="H292" i="9" s="1"/>
  <c r="K292" i="9" s="1"/>
  <c r="F293" i="9"/>
  <c r="H293" i="9" s="1"/>
  <c r="K293" i="9" s="1"/>
  <c r="F294" i="9"/>
  <c r="H294" i="9" s="1"/>
  <c r="K294" i="9" s="1"/>
  <c r="F295" i="9"/>
  <c r="H295" i="9" s="1"/>
  <c r="K295" i="9" s="1"/>
  <c r="F296" i="9"/>
  <c r="H296" i="9" s="1"/>
  <c r="K296" i="9" s="1"/>
  <c r="F297" i="9"/>
  <c r="F298" i="9"/>
  <c r="H298" i="9" s="1"/>
  <c r="K298" i="9" s="1"/>
  <c r="F299" i="9"/>
  <c r="H299" i="9" s="1"/>
  <c r="F300" i="9"/>
  <c r="H300" i="9" s="1"/>
  <c r="K300" i="9" s="1"/>
  <c r="F301" i="9"/>
  <c r="H301" i="9" s="1"/>
  <c r="K301" i="9" s="1"/>
  <c r="F302" i="9"/>
  <c r="H302" i="9" s="1"/>
  <c r="K302" i="9" s="1"/>
  <c r="F303" i="9"/>
  <c r="H303" i="9" s="1"/>
  <c r="F304" i="9"/>
  <c r="H304" i="9" s="1"/>
  <c r="K304" i="9" s="1"/>
  <c r="F288" i="9"/>
  <c r="H288" i="9" s="1"/>
  <c r="F289" i="9"/>
  <c r="H289" i="9" s="1"/>
  <c r="K289" i="9" s="1"/>
  <c r="F282" i="9"/>
  <c r="H282" i="9" s="1"/>
  <c r="F283" i="9"/>
  <c r="H283" i="9" s="1"/>
  <c r="K283" i="9" s="1"/>
  <c r="F278" i="9"/>
  <c r="H278" i="9" s="1"/>
  <c r="K278" i="9" s="1"/>
  <c r="F279" i="9"/>
  <c r="H279" i="9" s="1"/>
  <c r="K279" i="9" s="1"/>
  <c r="F273" i="9"/>
  <c r="H273" i="9" s="1"/>
  <c r="F274" i="9"/>
  <c r="H274" i="9" s="1"/>
  <c r="K274" i="9" s="1"/>
  <c r="F269" i="9"/>
  <c r="H269" i="9" s="1"/>
  <c r="K269" i="9" s="1"/>
  <c r="F270" i="9"/>
  <c r="H270" i="9" s="1"/>
  <c r="K270" i="9" s="1"/>
  <c r="F264" i="9"/>
  <c r="H264" i="9" s="1"/>
  <c r="F265" i="9"/>
  <c r="H265" i="9" s="1"/>
  <c r="K265" i="9" s="1"/>
  <c r="F260" i="9"/>
  <c r="H260" i="9" s="1"/>
  <c r="K260" i="9" s="1"/>
  <c r="F261" i="9"/>
  <c r="H261" i="9" s="1"/>
  <c r="K261" i="9" s="1"/>
  <c r="F255" i="9"/>
  <c r="H255" i="9" s="1"/>
  <c r="K255" i="9" s="1"/>
  <c r="F256" i="9"/>
  <c r="H256" i="9" s="1"/>
  <c r="K256" i="9" s="1"/>
  <c r="F251" i="9"/>
  <c r="H251" i="9" s="1"/>
  <c r="K251" i="9" s="1"/>
  <c r="F252" i="9"/>
  <c r="H252" i="9" s="1"/>
  <c r="K252" i="9" s="1"/>
  <c r="F246" i="9"/>
  <c r="H246" i="9" s="1"/>
  <c r="F247" i="9"/>
  <c r="H247" i="9" s="1"/>
  <c r="K247" i="9" s="1"/>
  <c r="F242" i="9"/>
  <c r="H242" i="9" s="1"/>
  <c r="K242" i="9" s="1"/>
  <c r="F243" i="9"/>
  <c r="H243" i="9" s="1"/>
  <c r="K243" i="9" s="1"/>
  <c r="F237" i="9"/>
  <c r="H237" i="9" s="1"/>
  <c r="F238" i="9"/>
  <c r="H238" i="9" s="1"/>
  <c r="K238" i="9" s="1"/>
  <c r="F233" i="9"/>
  <c r="H233" i="9" s="1"/>
  <c r="F234" i="9"/>
  <c r="H234" i="9" s="1"/>
  <c r="K234" i="9" s="1"/>
  <c r="F183" i="9"/>
  <c r="H183" i="9" s="1"/>
  <c r="K183" i="9" s="1"/>
  <c r="F178" i="9"/>
  <c r="H178" i="9" s="1"/>
  <c r="K178" i="9" s="1"/>
  <c r="F141" i="9"/>
  <c r="H141" i="9" s="1"/>
  <c r="F142" i="9"/>
  <c r="H142" i="9" s="1"/>
  <c r="K142" i="9" s="1"/>
  <c r="F143" i="9"/>
  <c r="H143" i="9" s="1"/>
  <c r="K143" i="9" s="1"/>
  <c r="F144" i="9"/>
  <c r="H144" i="9" s="1"/>
  <c r="K144" i="9" s="1"/>
  <c r="F145" i="9"/>
  <c r="H145" i="9" s="1"/>
  <c r="K145" i="9" s="1"/>
  <c r="F146" i="9"/>
  <c r="H146" i="9" s="1"/>
  <c r="K146" i="9" s="1"/>
  <c r="F147" i="9"/>
  <c r="H147" i="9" s="1"/>
  <c r="K147" i="9" s="1"/>
  <c r="F148" i="9"/>
  <c r="H148" i="9" s="1"/>
  <c r="K148" i="9" s="1"/>
  <c r="F149" i="9"/>
  <c r="H149" i="9" s="1"/>
  <c r="K149" i="9" s="1"/>
  <c r="F150" i="9"/>
  <c r="H150" i="9" s="1"/>
  <c r="K150" i="9" s="1"/>
  <c r="F151" i="9"/>
  <c r="H151" i="9" s="1"/>
  <c r="K151" i="9" s="1"/>
  <c r="F152" i="9"/>
  <c r="H152" i="9" s="1"/>
  <c r="K152" i="9" s="1"/>
  <c r="F153" i="9"/>
  <c r="H153" i="9" s="1"/>
  <c r="F154" i="9"/>
  <c r="H154" i="9" s="1"/>
  <c r="K154" i="9" s="1"/>
  <c r="F155" i="9"/>
  <c r="H155" i="9" s="1"/>
  <c r="K155" i="9" s="1"/>
  <c r="F156" i="9"/>
  <c r="H156" i="9" s="1"/>
  <c r="K156" i="9" s="1"/>
  <c r="F157" i="9"/>
  <c r="H157" i="9" s="1"/>
  <c r="K157" i="9" s="1"/>
  <c r="F158" i="9"/>
  <c r="H158" i="9" s="1"/>
  <c r="K158" i="9" s="1"/>
  <c r="F159" i="9"/>
  <c r="H159" i="9" s="1"/>
  <c r="K159" i="9" s="1"/>
  <c r="F160" i="9"/>
  <c r="H160" i="9" s="1"/>
  <c r="K160" i="9" s="1"/>
  <c r="F161" i="9"/>
  <c r="H161" i="9" s="1"/>
  <c r="K161" i="9" s="1"/>
  <c r="F162" i="9"/>
  <c r="H162" i="9" s="1"/>
  <c r="K162" i="9" s="1"/>
  <c r="F163" i="9"/>
  <c r="H163" i="9" s="1"/>
  <c r="K163" i="9" s="1"/>
  <c r="F164" i="9"/>
  <c r="H164" i="9" s="1"/>
  <c r="K164" i="9" s="1"/>
  <c r="F165" i="9"/>
  <c r="H165" i="9" s="1"/>
  <c r="K165" i="9" s="1"/>
  <c r="F166" i="9"/>
  <c r="H166" i="9" s="1"/>
  <c r="K166" i="9" s="1"/>
  <c r="G67" i="9"/>
  <c r="H67" i="9" s="1"/>
  <c r="K67" i="9" s="1"/>
  <c r="G68" i="9"/>
  <c r="H68" i="9" s="1"/>
  <c r="K68" i="9" s="1"/>
  <c r="G69" i="9"/>
  <c r="H69" i="9" s="1"/>
  <c r="K69" i="9" s="1"/>
  <c r="G70" i="9"/>
  <c r="H70" i="9" s="1"/>
  <c r="K70" i="9" s="1"/>
  <c r="G134" i="9"/>
  <c r="H134" i="9" s="1"/>
  <c r="K134" i="9" s="1"/>
  <c r="C656" i="9" s="1"/>
  <c r="G125" i="9"/>
  <c r="H125" i="9" s="1"/>
  <c r="K125" i="9" s="1"/>
  <c r="G126" i="9"/>
  <c r="H126" i="9" s="1"/>
  <c r="K126" i="9" s="1"/>
  <c r="G127" i="9"/>
  <c r="H127" i="9" s="1"/>
  <c r="K127" i="9" s="1"/>
  <c r="G128" i="9"/>
  <c r="H128" i="9" s="1"/>
  <c r="G129" i="9"/>
  <c r="H129" i="9" s="1"/>
  <c r="K129" i="9" s="1"/>
  <c r="G130" i="9"/>
  <c r="H130" i="9" s="1"/>
  <c r="K130" i="9" s="1"/>
  <c r="G131" i="9"/>
  <c r="H131" i="9" s="1"/>
  <c r="K131" i="9" s="1"/>
  <c r="G31" i="9"/>
  <c r="H31" i="9" s="1"/>
  <c r="K31" i="9" s="1"/>
  <c r="G32" i="9"/>
  <c r="H32" i="9" s="1"/>
  <c r="K32" i="9" s="1"/>
  <c r="G33" i="9"/>
  <c r="H33" i="9" s="1"/>
  <c r="K33" i="9" s="1"/>
  <c r="G16" i="9"/>
  <c r="H16" i="9" s="1"/>
  <c r="K16" i="9" s="1"/>
  <c r="G17" i="9"/>
  <c r="H17" i="9" s="1"/>
  <c r="K17" i="9" s="1"/>
  <c r="G18" i="9"/>
  <c r="H18" i="9" s="1"/>
  <c r="K18" i="9" s="1"/>
  <c r="F250" i="9"/>
  <c r="H250" i="9" s="1"/>
  <c r="K250" i="9" s="1"/>
  <c r="L249" i="9" s="1"/>
  <c r="F245" i="9"/>
  <c r="H245" i="9" s="1"/>
  <c r="K245" i="9" s="1"/>
  <c r="F241" i="9"/>
  <c r="H241" i="9" s="1"/>
  <c r="F236" i="9"/>
  <c r="H236" i="9" s="1"/>
  <c r="K236" i="9" s="1"/>
  <c r="F232" i="9"/>
  <c r="H232" i="9" s="1"/>
  <c r="K232" i="9" s="1"/>
  <c r="F177" i="9"/>
  <c r="H177" i="9" s="1"/>
  <c r="F180" i="9"/>
  <c r="H180" i="9" s="1"/>
  <c r="K180" i="9" s="1"/>
  <c r="L179" i="9" s="1"/>
  <c r="F170" i="9"/>
  <c r="H170" i="9" s="1"/>
  <c r="H169" i="9" s="1"/>
  <c r="F534" i="9"/>
  <c r="H534" i="9" s="1"/>
  <c r="K534" i="9" s="1"/>
  <c r="F545" i="9"/>
  <c r="H545" i="9" s="1"/>
  <c r="K545" i="9" s="1"/>
  <c r="F549" i="9"/>
  <c r="H549" i="9" s="1"/>
  <c r="K549" i="9" s="1"/>
  <c r="F554" i="9"/>
  <c r="H554" i="9" s="1"/>
  <c r="K554" i="9" s="1"/>
  <c r="L553" i="9" s="1"/>
  <c r="H556" i="9"/>
  <c r="K556" i="9" s="1"/>
  <c r="F574" i="9"/>
  <c r="H574" i="9" s="1"/>
  <c r="H573" i="9" s="1"/>
  <c r="F571" i="9"/>
  <c r="H571" i="9" s="1"/>
  <c r="F567" i="9"/>
  <c r="H567" i="9" s="1"/>
  <c r="H569" i="9"/>
  <c r="K569" i="9" s="1"/>
  <c r="F562" i="9"/>
  <c r="H562" i="9" s="1"/>
  <c r="K562" i="9" s="1"/>
  <c r="F578" i="9"/>
  <c r="H578" i="9" s="1"/>
  <c r="F140" i="9"/>
  <c r="H140" i="9" s="1"/>
  <c r="F589" i="9"/>
  <c r="H589" i="9" s="1"/>
  <c r="K589" i="9" s="1"/>
  <c r="L588" i="9" s="1"/>
  <c r="F138" i="9"/>
  <c r="H519" i="9"/>
  <c r="K519" i="9" s="1"/>
  <c r="H473" i="9"/>
  <c r="K473" i="9" s="1"/>
  <c r="H470" i="9"/>
  <c r="K470" i="9" s="1"/>
  <c r="F414" i="9"/>
  <c r="H414" i="9" s="1"/>
  <c r="K414" i="9" s="1"/>
  <c r="H297" i="9"/>
  <c r="K297" i="9" s="1"/>
  <c r="F291" i="9"/>
  <c r="H291" i="9" s="1"/>
  <c r="F310" i="9"/>
  <c r="H310" i="9" s="1"/>
  <c r="F449" i="9"/>
  <c r="H449" i="9" s="1"/>
  <c r="F254" i="9"/>
  <c r="H254" i="9" s="1"/>
  <c r="F259" i="9"/>
  <c r="H259" i="9" s="1"/>
  <c r="K259" i="9" s="1"/>
  <c r="L258" i="9" s="1"/>
  <c r="F263" i="9"/>
  <c r="H263" i="9" s="1"/>
  <c r="F268" i="9"/>
  <c r="H268" i="9" s="1"/>
  <c r="K268" i="9" s="1"/>
  <c r="L267" i="9" s="1"/>
  <c r="F272" i="9"/>
  <c r="H272" i="9" s="1"/>
  <c r="F277" i="9"/>
  <c r="H277" i="9" s="1"/>
  <c r="K277" i="9" s="1"/>
  <c r="L276" i="9" s="1"/>
  <c r="F281" i="9"/>
  <c r="H281" i="9" s="1"/>
  <c r="F172" i="9"/>
  <c r="H172" i="9" s="1"/>
  <c r="H171" i="9" s="1"/>
  <c r="F174" i="9"/>
  <c r="H174" i="9" s="1"/>
  <c r="K174" i="9" s="1"/>
  <c r="L173" i="9" s="1"/>
  <c r="F182" i="9"/>
  <c r="H182" i="9" s="1"/>
  <c r="F287" i="9"/>
  <c r="H287" i="9" s="1"/>
  <c r="F306" i="9"/>
  <c r="H306" i="9" s="1"/>
  <c r="K306" i="9" s="1"/>
  <c r="F326" i="9"/>
  <c r="H326" i="9" s="1"/>
  <c r="K326" i="9" s="1"/>
  <c r="F330" i="9"/>
  <c r="H330" i="9" s="1"/>
  <c r="F340" i="9"/>
  <c r="H340" i="9" s="1"/>
  <c r="F344" i="9"/>
  <c r="H344" i="9" s="1"/>
  <c r="F354" i="9"/>
  <c r="H354" i="9" s="1"/>
  <c r="K354" i="9" s="1"/>
  <c r="F358" i="9"/>
  <c r="H358" i="9" s="1"/>
  <c r="F368" i="9"/>
  <c r="H368" i="9" s="1"/>
  <c r="F372" i="9"/>
  <c r="H372" i="9" s="1"/>
  <c r="F382" i="9"/>
  <c r="H382" i="9" s="1"/>
  <c r="F386" i="9"/>
  <c r="H386" i="9" s="1"/>
  <c r="F396" i="9"/>
  <c r="H396" i="9" s="1"/>
  <c r="K396" i="9" s="1"/>
  <c r="L395" i="9" s="1"/>
  <c r="F400" i="9"/>
  <c r="H400" i="9" s="1"/>
  <c r="F410" i="9"/>
  <c r="H410" i="9" s="1"/>
  <c r="K410" i="9" s="1"/>
  <c r="L409" i="9" s="1"/>
  <c r="F426" i="9"/>
  <c r="H426" i="9" s="1"/>
  <c r="F428" i="9"/>
  <c r="H428" i="9" s="1"/>
  <c r="K428" i="9" s="1"/>
  <c r="F439" i="9"/>
  <c r="H439" i="9" s="1"/>
  <c r="K439" i="9" s="1"/>
  <c r="F472" i="9"/>
  <c r="H472" i="9" s="1"/>
  <c r="K472" i="9" s="1"/>
  <c r="L471" i="9" s="1"/>
  <c r="F477" i="9"/>
  <c r="H477" i="9" s="1"/>
  <c r="K477" i="9" s="1"/>
  <c r="L476" i="9" s="1"/>
  <c r="F483" i="9"/>
  <c r="H483" i="9" s="1"/>
  <c r="K483" i="9" s="1"/>
  <c r="L482" i="9" s="1"/>
  <c r="F485" i="9"/>
  <c r="H485" i="9" s="1"/>
  <c r="H484" i="9" s="1"/>
  <c r="F492" i="9"/>
  <c r="H492" i="9" s="1"/>
  <c r="K492" i="9" s="1"/>
  <c r="F496" i="9"/>
  <c r="H496" i="9" s="1"/>
  <c r="F499" i="9"/>
  <c r="H499" i="9" s="1"/>
  <c r="F509" i="9"/>
  <c r="H509" i="9" s="1"/>
  <c r="K509" i="9" s="1"/>
  <c r="F518" i="9"/>
  <c r="H518" i="9" s="1"/>
  <c r="F522" i="9"/>
  <c r="H522" i="9" s="1"/>
  <c r="K522" i="9" s="1"/>
  <c r="F525" i="9"/>
  <c r="H525" i="9" s="1"/>
  <c r="K525" i="9" s="1"/>
  <c r="F530" i="9"/>
  <c r="H530" i="9" s="1"/>
  <c r="H529" i="9" s="1"/>
  <c r="F595" i="9"/>
  <c r="H595" i="9" s="1"/>
  <c r="H594" i="9" s="1"/>
  <c r="F597" i="9"/>
  <c r="H597" i="9" s="1"/>
  <c r="G15" i="9"/>
  <c r="G30" i="9"/>
  <c r="H30" i="9" s="1"/>
  <c r="G124" i="9"/>
  <c r="H124" i="9" s="1"/>
  <c r="K124" i="9" s="1"/>
  <c r="G133" i="9"/>
  <c r="H133" i="9" s="1"/>
  <c r="G66" i="9"/>
  <c r="H66" i="9" s="1"/>
  <c r="K66" i="9" s="1"/>
  <c r="L65" i="9" s="1"/>
  <c r="G72" i="9"/>
  <c r="H72" i="9" s="1"/>
  <c r="H71" i="9" s="1"/>
  <c r="K246" i="9"/>
  <c r="F13" i="12"/>
  <c r="F14" i="12"/>
  <c r="F15" i="12"/>
  <c r="F16" i="12"/>
  <c r="F17" i="12"/>
  <c r="F18" i="12"/>
  <c r="F19" i="12"/>
  <c r="F12" i="12"/>
  <c r="F20" i="12" s="1"/>
  <c r="C605" i="9"/>
  <c r="C634" i="9" s="1"/>
  <c r="K264" i="9"/>
  <c r="C612" i="9"/>
  <c r="C641" i="9" s="1"/>
  <c r="C611" i="9"/>
  <c r="C640" i="9" s="1"/>
  <c r="C613" i="9"/>
  <c r="C642" i="9" s="1"/>
  <c r="K579" i="9"/>
  <c r="K583" i="9"/>
  <c r="K308" i="9"/>
  <c r="K419" i="9"/>
  <c r="K415" i="9"/>
  <c r="K403" i="9"/>
  <c r="K391" i="9"/>
  <c r="K387" i="9"/>
  <c r="K375" i="9"/>
  <c r="K351" i="9"/>
  <c r="K321" i="9"/>
  <c r="K317" i="9"/>
  <c r="K313" i="9"/>
  <c r="K241" i="9"/>
  <c r="L240" i="9" s="1"/>
  <c r="K282" i="9"/>
  <c r="K273" i="9"/>
  <c r="C607" i="9"/>
  <c r="C636" i="9" s="1"/>
  <c r="K237" i="9"/>
  <c r="C609" i="9"/>
  <c r="C638" i="9" s="1"/>
  <c r="C610" i="9"/>
  <c r="C639" i="9" s="1"/>
  <c r="G58" i="15"/>
  <c r="G57" i="15"/>
  <c r="G56" i="15"/>
  <c r="G49" i="15"/>
  <c r="G48" i="15"/>
  <c r="G42" i="15"/>
  <c r="G41" i="15"/>
  <c r="G40" i="15"/>
  <c r="G39" i="15"/>
  <c r="G38" i="15"/>
  <c r="G37" i="15"/>
  <c r="G36" i="15"/>
  <c r="G35" i="15"/>
  <c r="G34" i="15"/>
  <c r="G33" i="15"/>
  <c r="G32" i="15"/>
  <c r="G25" i="15"/>
  <c r="G24" i="15"/>
  <c r="G23" i="15"/>
  <c r="G22" i="15"/>
  <c r="C13" i="15"/>
  <c r="C12" i="15"/>
  <c r="C11" i="15"/>
  <c r="C10" i="15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0" i="14"/>
  <c r="G51" i="14" s="1"/>
  <c r="G13" i="14" s="1"/>
  <c r="F41" i="14"/>
  <c r="G41" i="14"/>
  <c r="F40" i="14"/>
  <c r="G40" i="14" s="1"/>
  <c r="F34" i="14"/>
  <c r="G34" i="14" s="1"/>
  <c r="B34" i="14"/>
  <c r="F33" i="14"/>
  <c r="D33" i="14"/>
  <c r="G33" i="14" s="1"/>
  <c r="B33" i="14"/>
  <c r="G25" i="14"/>
  <c r="G26" i="14" s="1"/>
  <c r="G10" i="14" s="1"/>
  <c r="G24" i="14"/>
  <c r="C617" i="9"/>
  <c r="C646" i="9" s="1"/>
  <c r="C618" i="9"/>
  <c r="C647" i="9" s="1"/>
  <c r="C625" i="9"/>
  <c r="C654" i="9" s="1"/>
  <c r="C624" i="9"/>
  <c r="C653" i="9" s="1"/>
  <c r="C623" i="9"/>
  <c r="C652" i="9" s="1"/>
  <c r="F11" i="12"/>
  <c r="C621" i="9"/>
  <c r="C650" i="9" s="1"/>
  <c r="I32" i="11"/>
  <c r="I31" i="11"/>
  <c r="D13" i="11"/>
  <c r="D12" i="11"/>
  <c r="D11" i="11"/>
  <c r="D10" i="11"/>
  <c r="C10" i="11"/>
  <c r="D9" i="11"/>
  <c r="C9" i="11"/>
  <c r="D8" i="11"/>
  <c r="C8" i="11"/>
  <c r="D7" i="11"/>
  <c r="C622" i="9"/>
  <c r="C651" i="9" s="1"/>
  <c r="C615" i="9"/>
  <c r="C644" i="9" s="1"/>
  <c r="G73" i="14"/>
  <c r="G14" i="14" s="1"/>
  <c r="C619" i="9"/>
  <c r="C648" i="9" s="1"/>
  <c r="C616" i="9"/>
  <c r="C645" i="9" s="1"/>
  <c r="K494" i="9"/>
  <c r="K505" i="9"/>
  <c r="K501" i="9"/>
  <c r="K460" i="9"/>
  <c r="K456" i="9"/>
  <c r="K452" i="9"/>
  <c r="C572" i="9"/>
  <c r="B572" i="9"/>
  <c r="C571" i="9"/>
  <c r="B571" i="9"/>
  <c r="K468" i="9"/>
  <c r="K464" i="9"/>
  <c r="K563" i="9"/>
  <c r="K441" i="9"/>
  <c r="K550" i="9"/>
  <c r="K547" i="9"/>
  <c r="C547" i="9"/>
  <c r="B547" i="9"/>
  <c r="C546" i="9"/>
  <c r="B546" i="9"/>
  <c r="C545" i="9"/>
  <c r="B545" i="9"/>
  <c r="C543" i="9"/>
  <c r="B543" i="9"/>
  <c r="C542" i="9"/>
  <c r="B542" i="9"/>
  <c r="C541" i="9"/>
  <c r="B541" i="9"/>
  <c r="C540" i="9"/>
  <c r="B540" i="9"/>
  <c r="C539" i="9"/>
  <c r="B539" i="9"/>
  <c r="C538" i="9"/>
  <c r="B538" i="9"/>
  <c r="C537" i="9"/>
  <c r="B537" i="9"/>
  <c r="C536" i="9"/>
  <c r="B536" i="9"/>
  <c r="C535" i="9"/>
  <c r="B535" i="9"/>
  <c r="C534" i="9"/>
  <c r="B534" i="9"/>
  <c r="K528" i="9"/>
  <c r="C528" i="9"/>
  <c r="B528" i="9"/>
  <c r="C527" i="9"/>
  <c r="B527" i="9"/>
  <c r="C526" i="9"/>
  <c r="B526" i="9"/>
  <c r="C525" i="9"/>
  <c r="B525" i="9"/>
  <c r="C437" i="9"/>
  <c r="B437" i="9"/>
  <c r="C436" i="9"/>
  <c r="B436" i="9"/>
  <c r="C435" i="9"/>
  <c r="B435" i="9"/>
  <c r="C434" i="9"/>
  <c r="B434" i="9"/>
  <c r="C433" i="9"/>
  <c r="B433" i="9"/>
  <c r="C432" i="9"/>
  <c r="B432" i="9"/>
  <c r="C431" i="9"/>
  <c r="B431" i="9"/>
  <c r="C430" i="9"/>
  <c r="B430" i="9"/>
  <c r="C429" i="9"/>
  <c r="B429" i="9"/>
  <c r="C428" i="9"/>
  <c r="B428" i="9"/>
  <c r="C304" i="9"/>
  <c r="B304" i="9"/>
  <c r="K303" i="9"/>
  <c r="C303" i="9"/>
  <c r="B303" i="9"/>
  <c r="C302" i="9"/>
  <c r="B302" i="9"/>
  <c r="C301" i="9"/>
  <c r="B301" i="9"/>
  <c r="C300" i="9"/>
  <c r="B300" i="9"/>
  <c r="K299" i="9"/>
  <c r="C299" i="9"/>
  <c r="B299" i="9"/>
  <c r="C298" i="9"/>
  <c r="B298" i="9"/>
  <c r="C297" i="9"/>
  <c r="B297" i="9"/>
  <c r="C296" i="9"/>
  <c r="B296" i="9"/>
  <c r="C295" i="9"/>
  <c r="B295" i="9"/>
  <c r="C294" i="9"/>
  <c r="B294" i="9"/>
  <c r="C293" i="9"/>
  <c r="B293" i="9"/>
  <c r="C292" i="9"/>
  <c r="B292" i="9"/>
  <c r="C291" i="9"/>
  <c r="B291" i="9"/>
  <c r="K567" i="9"/>
  <c r="L566" i="9" s="1"/>
  <c r="K331" i="9"/>
  <c r="K335" i="9"/>
  <c r="K538" i="9"/>
  <c r="K542" i="9"/>
  <c r="K510" i="9"/>
  <c r="K575" i="9"/>
  <c r="J63" i="10"/>
  <c r="T106" i="4"/>
  <c r="U106" i="4" s="1"/>
  <c r="Q106" i="4" s="1"/>
  <c r="T107" i="4"/>
  <c r="U107" i="4" s="1"/>
  <c r="Q107" i="4" s="1"/>
  <c r="T108" i="4"/>
  <c r="U108" i="4" s="1"/>
  <c r="Q108" i="4" s="1"/>
  <c r="T109" i="4"/>
  <c r="U109" i="4" s="1"/>
  <c r="Q109" i="4" s="1"/>
  <c r="T110" i="4"/>
  <c r="U110" i="4"/>
  <c r="Q110" i="4" s="1"/>
  <c r="T111" i="4"/>
  <c r="U111" i="4" s="1"/>
  <c r="Q111" i="4" s="1"/>
  <c r="T112" i="4"/>
  <c r="U112" i="4" s="1"/>
  <c r="Q112" i="4" s="1"/>
  <c r="T113" i="4"/>
  <c r="U113" i="4" s="1"/>
  <c r="Q113" i="4" s="1"/>
  <c r="T114" i="4"/>
  <c r="U114" i="4" s="1"/>
  <c r="Q114" i="4" s="1"/>
  <c r="T115" i="4"/>
  <c r="U115" i="4" s="1"/>
  <c r="Q115" i="4" s="1"/>
  <c r="T116" i="4"/>
  <c r="U116" i="4"/>
  <c r="Q116" i="4" s="1"/>
  <c r="T117" i="4"/>
  <c r="U117" i="4" s="1"/>
  <c r="Q117" i="4" s="1"/>
  <c r="T118" i="4"/>
  <c r="U118" i="4" s="1"/>
  <c r="Q118" i="4" s="1"/>
  <c r="T119" i="4"/>
  <c r="U119" i="4" s="1"/>
  <c r="Q119" i="4" s="1"/>
  <c r="T120" i="4"/>
  <c r="U120" i="4" s="1"/>
  <c r="Q120" i="4" s="1"/>
  <c r="T121" i="4"/>
  <c r="U121" i="4" s="1"/>
  <c r="Q121" i="4" s="1"/>
  <c r="T122" i="4"/>
  <c r="U122" i="4" s="1"/>
  <c r="Q122" i="4" s="1"/>
  <c r="T123" i="4"/>
  <c r="U123" i="4" s="1"/>
  <c r="Q123" i="4" s="1"/>
  <c r="T124" i="4"/>
  <c r="U124" i="4" s="1"/>
  <c r="Q124" i="4" s="1"/>
  <c r="T125" i="4"/>
  <c r="U125" i="4"/>
  <c r="Q125" i="4" s="1"/>
  <c r="T126" i="4"/>
  <c r="U126" i="4" s="1"/>
  <c r="Q126" i="4" s="1"/>
  <c r="T105" i="4"/>
  <c r="U105" i="4" s="1"/>
  <c r="Q105" i="4" s="1"/>
  <c r="Q127" i="4"/>
  <c r="S106" i="4" s="1"/>
  <c r="F24" i="7"/>
  <c r="F23" i="7"/>
  <c r="F22" i="7"/>
  <c r="M17" i="7"/>
  <c r="C16" i="7"/>
  <c r="C15" i="7"/>
  <c r="C14" i="7"/>
  <c r="C13" i="7"/>
  <c r="C17" i="7"/>
  <c r="C31" i="7"/>
  <c r="C30" i="7"/>
  <c r="M13" i="7"/>
  <c r="D13" i="7" s="1"/>
  <c r="E13" i="7" s="1"/>
  <c r="F13" i="7" s="1"/>
  <c r="G13" i="7" s="1"/>
  <c r="H13" i="7" s="1"/>
  <c r="I13" i="7" s="1"/>
  <c r="J13" i="7" s="1"/>
  <c r="K13" i="7" s="1"/>
  <c r="L13" i="7" s="1"/>
  <c r="C29" i="7"/>
  <c r="B211" i="6"/>
  <c r="B210" i="6"/>
  <c r="B209" i="6"/>
  <c r="B208" i="6"/>
  <c r="B207" i="6"/>
  <c r="B206" i="6"/>
  <c r="B205" i="6"/>
  <c r="B204" i="6"/>
  <c r="B203" i="6"/>
  <c r="C307" i="6"/>
  <c r="B307" i="6"/>
  <c r="E306" i="6"/>
  <c r="F306" i="6" s="1"/>
  <c r="G306" i="6" s="1"/>
  <c r="H306" i="6" s="1"/>
  <c r="J306" i="6" s="1"/>
  <c r="D306" i="6"/>
  <c r="D305" i="6"/>
  <c r="E305" i="6" s="1"/>
  <c r="E304" i="6"/>
  <c r="F304" i="6" s="1"/>
  <c r="D304" i="6"/>
  <c r="E303" i="6"/>
  <c r="D303" i="6"/>
  <c r="D302" i="6"/>
  <c r="I264" i="6"/>
  <c r="I263" i="6"/>
  <c r="I262" i="6"/>
  <c r="I261" i="6"/>
  <c r="I260" i="6"/>
  <c r="I259" i="6"/>
  <c r="I258" i="6"/>
  <c r="I257" i="6"/>
  <c r="I256" i="6"/>
  <c r="I255" i="6"/>
  <c r="I254" i="6"/>
  <c r="H253" i="6"/>
  <c r="G253" i="6"/>
  <c r="F253" i="6"/>
  <c r="E253" i="6"/>
  <c r="I253" i="6" s="1"/>
  <c r="D253" i="6"/>
  <c r="C253" i="6"/>
  <c r="B253" i="6"/>
  <c r="D248" i="6"/>
  <c r="D247" i="6"/>
  <c r="D246" i="6"/>
  <c r="D245" i="6"/>
  <c r="D244" i="6"/>
  <c r="D243" i="6"/>
  <c r="D231" i="6"/>
  <c r="G196" i="6"/>
  <c r="F196" i="6"/>
  <c r="H196" i="6" s="1"/>
  <c r="E196" i="6"/>
  <c r="D196" i="6"/>
  <c r="G195" i="6"/>
  <c r="F195" i="6"/>
  <c r="E195" i="6"/>
  <c r="D195" i="6"/>
  <c r="G194" i="6"/>
  <c r="F194" i="6"/>
  <c r="H194" i="6" s="1"/>
  <c r="E194" i="6"/>
  <c r="D194" i="6"/>
  <c r="G192" i="6"/>
  <c r="F192" i="6"/>
  <c r="E192" i="6"/>
  <c r="D192" i="6"/>
  <c r="G183" i="6"/>
  <c r="F183" i="6"/>
  <c r="E183" i="6"/>
  <c r="D183" i="6"/>
  <c r="K150" i="6"/>
  <c r="J150" i="6"/>
  <c r="I150" i="6"/>
  <c r="H150" i="6"/>
  <c r="G150" i="6"/>
  <c r="F150" i="6"/>
  <c r="E150" i="6"/>
  <c r="D150" i="6"/>
  <c r="C150" i="6"/>
  <c r="B150" i="6"/>
  <c r="B144" i="6" s="1"/>
  <c r="K145" i="6"/>
  <c r="J145" i="6"/>
  <c r="I145" i="6"/>
  <c r="H145" i="6"/>
  <c r="G145" i="6"/>
  <c r="G144" i="6" s="1"/>
  <c r="F145" i="6"/>
  <c r="E145" i="6"/>
  <c r="D145" i="6"/>
  <c r="D144" i="6" s="1"/>
  <c r="C145" i="6"/>
  <c r="B145" i="6"/>
  <c r="K73" i="6"/>
  <c r="J73" i="6"/>
  <c r="J70" i="6" s="1"/>
  <c r="I73" i="6"/>
  <c r="K72" i="6"/>
  <c r="J72" i="6"/>
  <c r="I72" i="6"/>
  <c r="I70" i="6" s="1"/>
  <c r="K71" i="6"/>
  <c r="J71" i="6"/>
  <c r="I71" i="6"/>
  <c r="H70" i="6"/>
  <c r="G70" i="6"/>
  <c r="F70" i="6"/>
  <c r="E70" i="6"/>
  <c r="D70" i="6"/>
  <c r="C70" i="6"/>
  <c r="B70" i="6"/>
  <c r="C144" i="6"/>
  <c r="K144" i="6"/>
  <c r="E193" i="6"/>
  <c r="G193" i="6"/>
  <c r="D193" i="6"/>
  <c r="H144" i="6"/>
  <c r="K70" i="6"/>
  <c r="I144" i="6"/>
  <c r="C33" i="7"/>
  <c r="C58" i="7" s="1"/>
  <c r="M14" i="7"/>
  <c r="D30" i="7"/>
  <c r="C32" i="7"/>
  <c r="C57" i="7" s="1"/>
  <c r="H195" i="6"/>
  <c r="F303" i="6"/>
  <c r="G303" i="6" s="1"/>
  <c r="H303" i="6" s="1"/>
  <c r="J303" i="6" s="1"/>
  <c r="F209" i="6"/>
  <c r="F203" i="6"/>
  <c r="F210" i="6"/>
  <c r="F211" i="6"/>
  <c r="F204" i="6"/>
  <c r="F212" i="6"/>
  <c r="F205" i="6"/>
  <c r="F213" i="6"/>
  <c r="F206" i="6"/>
  <c r="F214" i="6"/>
  <c r="F207" i="6"/>
  <c r="F215" i="6"/>
  <c r="F208" i="6"/>
  <c r="F216" i="6"/>
  <c r="H104" i="5"/>
  <c r="B80" i="4"/>
  <c r="R88" i="5"/>
  <c r="AC88" i="5" s="1"/>
  <c r="I82" i="5"/>
  <c r="I83" i="5"/>
  <c r="J83" i="5" s="1"/>
  <c r="K83" i="5" s="1"/>
  <c r="I84" i="5"/>
  <c r="J84" i="5" s="1"/>
  <c r="I85" i="5"/>
  <c r="J85" i="5" s="1"/>
  <c r="I86" i="5"/>
  <c r="J86" i="5" s="1"/>
  <c r="K86" i="5" s="1"/>
  <c r="L86" i="5" s="1"/>
  <c r="M86" i="5" s="1"/>
  <c r="N86" i="5" s="1"/>
  <c r="I87" i="5"/>
  <c r="J87" i="5" s="1"/>
  <c r="I88" i="5"/>
  <c r="J88" i="5" s="1"/>
  <c r="K88" i="5" s="1"/>
  <c r="L88" i="5" s="1"/>
  <c r="M88" i="5" s="1"/>
  <c r="N88" i="5" s="1"/>
  <c r="I89" i="5"/>
  <c r="J89" i="5"/>
  <c r="K89" i="5" s="1"/>
  <c r="L89" i="5" s="1"/>
  <c r="M89" i="5" s="1"/>
  <c r="N89" i="5" s="1"/>
  <c r="I90" i="5"/>
  <c r="J90" i="5" s="1"/>
  <c r="I91" i="5"/>
  <c r="J91" i="5" s="1"/>
  <c r="K91" i="5" s="1"/>
  <c r="L91" i="5" s="1"/>
  <c r="M91" i="5" s="1"/>
  <c r="N91" i="5" s="1"/>
  <c r="I92" i="5"/>
  <c r="J92" i="5" s="1"/>
  <c r="K92" i="5" s="1"/>
  <c r="L92" i="5" s="1"/>
  <c r="M92" i="5" s="1"/>
  <c r="N92" i="5" s="1"/>
  <c r="I93" i="5"/>
  <c r="J93" i="5" s="1"/>
  <c r="K93" i="5" s="1"/>
  <c r="L93" i="5" s="1"/>
  <c r="I94" i="5"/>
  <c r="J94" i="5" s="1"/>
  <c r="K94" i="5" s="1"/>
  <c r="L94" i="5" s="1"/>
  <c r="M94" i="5" s="1"/>
  <c r="N94" i="5" s="1"/>
  <c r="I95" i="5"/>
  <c r="J95" i="5" s="1"/>
  <c r="K95" i="5" s="1"/>
  <c r="L95" i="5" s="1"/>
  <c r="M95" i="5" s="1"/>
  <c r="N95" i="5" s="1"/>
  <c r="I96" i="5"/>
  <c r="J96" i="5" s="1"/>
  <c r="K96" i="5" s="1"/>
  <c r="L96" i="5" s="1"/>
  <c r="M96" i="5" s="1"/>
  <c r="N96" i="5" s="1"/>
  <c r="I97" i="5"/>
  <c r="J97" i="5" s="1"/>
  <c r="K97" i="5" s="1"/>
  <c r="L97" i="5" s="1"/>
  <c r="M97" i="5" s="1"/>
  <c r="N97" i="5" s="1"/>
  <c r="I98" i="5"/>
  <c r="J98" i="5" s="1"/>
  <c r="K98" i="5" s="1"/>
  <c r="L98" i="5" s="1"/>
  <c r="M98" i="5" s="1"/>
  <c r="N98" i="5" s="1"/>
  <c r="I99" i="5"/>
  <c r="J99" i="5" s="1"/>
  <c r="K99" i="5" s="1"/>
  <c r="L99" i="5" s="1"/>
  <c r="M99" i="5" s="1"/>
  <c r="N99" i="5" s="1"/>
  <c r="I100" i="5"/>
  <c r="J100" i="5" s="1"/>
  <c r="I101" i="5"/>
  <c r="I102" i="5"/>
  <c r="J102" i="5" s="1"/>
  <c r="K102" i="5" s="1"/>
  <c r="L102" i="5" s="1"/>
  <c r="M102" i="5" s="1"/>
  <c r="N102" i="5" s="1"/>
  <c r="I103" i="5"/>
  <c r="J103" i="5" s="1"/>
  <c r="I81" i="5"/>
  <c r="J81" i="5" s="1"/>
  <c r="K81" i="5" s="1"/>
  <c r="L81" i="5" s="1"/>
  <c r="M81" i="5" s="1"/>
  <c r="N81" i="5" s="1"/>
  <c r="B125" i="5" s="1"/>
  <c r="H107" i="5"/>
  <c r="H106" i="5"/>
  <c r="H105" i="5"/>
  <c r="M55" i="5"/>
  <c r="K57" i="5"/>
  <c r="L57" i="5" s="1"/>
  <c r="K58" i="5"/>
  <c r="L58" i="5" s="1"/>
  <c r="M58" i="5" s="1"/>
  <c r="K59" i="5"/>
  <c r="L59" i="5" s="1"/>
  <c r="M59" i="5" s="1"/>
  <c r="K60" i="5"/>
  <c r="L60" i="5" s="1"/>
  <c r="K61" i="5"/>
  <c r="L61" i="5" s="1"/>
  <c r="K62" i="5"/>
  <c r="L62" i="5" s="1"/>
  <c r="R62" i="5" s="1"/>
  <c r="K63" i="5"/>
  <c r="L63" i="5" s="1"/>
  <c r="K64" i="5"/>
  <c r="L64" i="5" s="1"/>
  <c r="K65" i="5"/>
  <c r="L65" i="5" s="1"/>
  <c r="K66" i="5"/>
  <c r="K67" i="5"/>
  <c r="K68" i="5"/>
  <c r="L68" i="5" s="1"/>
  <c r="K69" i="5"/>
  <c r="L69" i="5" s="1"/>
  <c r="K70" i="5"/>
  <c r="K71" i="5"/>
  <c r="L71" i="5" s="1"/>
  <c r="K72" i="5"/>
  <c r="L72" i="5" s="1"/>
  <c r="K73" i="5"/>
  <c r="L73" i="5" s="1"/>
  <c r="K74" i="5"/>
  <c r="K75" i="5"/>
  <c r="K76" i="5"/>
  <c r="K54" i="5"/>
  <c r="L54" i="5" s="1"/>
  <c r="I77" i="5"/>
  <c r="K77" i="5" s="1"/>
  <c r="L77" i="5" s="1"/>
  <c r="M77" i="5" s="1"/>
  <c r="N77" i="5" s="1"/>
  <c r="O77" i="5" s="1"/>
  <c r="P77" i="5" s="1"/>
  <c r="H77" i="5"/>
  <c r="K37" i="5"/>
  <c r="L37" i="5" s="1"/>
  <c r="K29" i="5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K46" i="5"/>
  <c r="L46" i="5"/>
  <c r="M46" i="5" s="1"/>
  <c r="K45" i="5"/>
  <c r="L45" i="5" s="1"/>
  <c r="M45" i="5" s="1"/>
  <c r="N45" i="5" s="1"/>
  <c r="O45" i="5" s="1"/>
  <c r="P45" i="5" s="1"/>
  <c r="Q45" i="5" s="1"/>
  <c r="R45" i="5" s="1"/>
  <c r="S45" i="5" s="1"/>
  <c r="T45" i="5" s="1"/>
  <c r="U45" i="5" s="1"/>
  <c r="K44" i="5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K42" i="5"/>
  <c r="K41" i="5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K40" i="5"/>
  <c r="K38" i="5"/>
  <c r="K35" i="5"/>
  <c r="L35" i="5" s="1"/>
  <c r="M35" i="5"/>
  <c r="N35" i="5" s="1"/>
  <c r="O35" i="5" s="1"/>
  <c r="P35" i="5" s="1"/>
  <c r="Q35" i="5"/>
  <c r="R35" i="5" s="1"/>
  <c r="S35" i="5" s="1"/>
  <c r="T35" i="5" s="1"/>
  <c r="U35" i="5" s="1"/>
  <c r="K34" i="5"/>
  <c r="L34" i="5"/>
  <c r="M34" i="5" s="1"/>
  <c r="K32" i="5"/>
  <c r="L32" i="5"/>
  <c r="M32" i="5" s="1"/>
  <c r="N32" i="5"/>
  <c r="O32" i="5" s="1"/>
  <c r="P32" i="5" s="1"/>
  <c r="Q32" i="5" s="1"/>
  <c r="R32" i="5" s="1"/>
  <c r="S32" i="5" s="1"/>
  <c r="T32" i="5" s="1"/>
  <c r="U32" i="5" s="1"/>
  <c r="K31" i="5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K28" i="5"/>
  <c r="L28" i="5"/>
  <c r="M28" i="5" s="1"/>
  <c r="N28" i="5" s="1"/>
  <c r="O28" i="5" s="1"/>
  <c r="P28" i="5" s="1"/>
  <c r="Q28" i="5" s="1"/>
  <c r="R28" i="5" s="1"/>
  <c r="S28" i="5" s="1"/>
  <c r="T28" i="5" s="1"/>
  <c r="U28" i="5" s="1"/>
  <c r="K27" i="5"/>
  <c r="K26" i="5"/>
  <c r="L26" i="5"/>
  <c r="M26" i="5" s="1"/>
  <c r="N26" i="5" s="1"/>
  <c r="O26" i="5" s="1"/>
  <c r="P26" i="5" s="1"/>
  <c r="Q26" i="5" s="1"/>
  <c r="R26" i="5" s="1"/>
  <c r="S26" i="5" s="1"/>
  <c r="T26" i="5" s="1"/>
  <c r="U26" i="5" s="1"/>
  <c r="K25" i="5"/>
  <c r="K23" i="5"/>
  <c r="L23" i="5"/>
  <c r="M23" i="5" s="1"/>
  <c r="N23" i="5" s="1"/>
  <c r="O23" i="5" s="1"/>
  <c r="P23" i="5" s="1"/>
  <c r="Q23" i="5" s="1"/>
  <c r="R23" i="5" s="1"/>
  <c r="S23" i="5" s="1"/>
  <c r="T23" i="5" s="1"/>
  <c r="U23" i="5" s="1"/>
  <c r="K22" i="5"/>
  <c r="L22" i="5" s="1"/>
  <c r="K21" i="5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K20" i="5"/>
  <c r="L20" i="5"/>
  <c r="M20" i="5" s="1"/>
  <c r="N20" i="5" s="1"/>
  <c r="O20" i="5" s="1"/>
  <c r="P20" i="5"/>
  <c r="Q20" i="5" s="1"/>
  <c r="R20" i="5" s="1"/>
  <c r="S20" i="5" s="1"/>
  <c r="T20" i="5" s="1"/>
  <c r="U20" i="5" s="1"/>
  <c r="K19" i="5"/>
  <c r="L19" i="5" s="1"/>
  <c r="M19" i="5" s="1"/>
  <c r="I6" i="5"/>
  <c r="I7" i="5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I8" i="5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I9" i="5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I10" i="5"/>
  <c r="K10" i="5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I11" i="5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I5" i="5"/>
  <c r="K5" i="5" s="1"/>
  <c r="L5" i="5" s="1"/>
  <c r="H6" i="5"/>
  <c r="H7" i="5"/>
  <c r="H8" i="5"/>
  <c r="H9" i="5"/>
  <c r="H10" i="5"/>
  <c r="H11" i="5"/>
  <c r="H5" i="5"/>
  <c r="E109" i="5"/>
  <c r="E108" i="5"/>
  <c r="E107" i="5"/>
  <c r="E106" i="5"/>
  <c r="E105" i="5"/>
  <c r="E104" i="5"/>
  <c r="E103" i="5"/>
  <c r="E102" i="5"/>
  <c r="E101" i="5"/>
  <c r="E100" i="5"/>
  <c r="E99" i="5"/>
  <c r="E95" i="5" s="1"/>
  <c r="E98" i="5"/>
  <c r="E97" i="5"/>
  <c r="E96" i="5"/>
  <c r="D95" i="5"/>
  <c r="C95" i="5"/>
  <c r="E91" i="5"/>
  <c r="E90" i="5"/>
  <c r="E89" i="5"/>
  <c r="E88" i="5"/>
  <c r="E87" i="5"/>
  <c r="E86" i="5"/>
  <c r="E85" i="5"/>
  <c r="E84" i="5"/>
  <c r="D83" i="5"/>
  <c r="C83" i="5"/>
  <c r="E83" i="5" s="1"/>
  <c r="E82" i="5"/>
  <c r="E81" i="5"/>
  <c r="E80" i="5"/>
  <c r="E79" i="5"/>
  <c r="E78" i="5"/>
  <c r="E77" i="5"/>
  <c r="D76" i="5"/>
  <c r="C76" i="5"/>
  <c r="E76" i="5" s="1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 s="1"/>
  <c r="D58" i="5"/>
  <c r="C58" i="5"/>
  <c r="E57" i="5"/>
  <c r="E56" i="5"/>
  <c r="E55" i="5"/>
  <c r="E54" i="5"/>
  <c r="E53" i="5"/>
  <c r="E52" i="5"/>
  <c r="E51" i="5"/>
  <c r="D50" i="5"/>
  <c r="C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D29" i="5"/>
  <c r="C29" i="5"/>
  <c r="E28" i="5"/>
  <c r="E27" i="5"/>
  <c r="E26" i="5"/>
  <c r="E25" i="5"/>
  <c r="E24" i="5"/>
  <c r="E23" i="5"/>
  <c r="E22" i="5"/>
  <c r="E21" i="5"/>
  <c r="E20" i="5"/>
  <c r="D19" i="5"/>
  <c r="C19" i="5"/>
  <c r="E13" i="5"/>
  <c r="E12" i="5"/>
  <c r="E11" i="5"/>
  <c r="E10" i="5"/>
  <c r="E9" i="5"/>
  <c r="E8" i="5"/>
  <c r="E7" i="5"/>
  <c r="D6" i="5"/>
  <c r="C6" i="5"/>
  <c r="I106" i="5"/>
  <c r="AC87" i="5"/>
  <c r="K39" i="5"/>
  <c r="M71" i="5"/>
  <c r="S71" i="5" s="1"/>
  <c r="R71" i="5"/>
  <c r="M63" i="5"/>
  <c r="R54" i="5"/>
  <c r="M54" i="5"/>
  <c r="M62" i="5"/>
  <c r="N62" i="5" s="1"/>
  <c r="M64" i="5"/>
  <c r="S64" i="5" s="1"/>
  <c r="R64" i="5"/>
  <c r="M69" i="5"/>
  <c r="N69" i="5" s="1"/>
  <c r="R69" i="5"/>
  <c r="M61" i="5"/>
  <c r="S61" i="5" s="1"/>
  <c r="M68" i="5"/>
  <c r="S68" i="5" s="1"/>
  <c r="R68" i="5"/>
  <c r="M60" i="5"/>
  <c r="M56" i="5"/>
  <c r="R56" i="5"/>
  <c r="M37" i="5"/>
  <c r="M39" i="5" s="1"/>
  <c r="M72" i="5"/>
  <c r="S72" i="5" s="1"/>
  <c r="R72" i="5"/>
  <c r="M73" i="5"/>
  <c r="N73" i="5" s="1"/>
  <c r="M65" i="5"/>
  <c r="S65" i="5" s="1"/>
  <c r="R65" i="5"/>
  <c r="M57" i="5"/>
  <c r="K24" i="5"/>
  <c r="K36" i="5"/>
  <c r="L36" i="5"/>
  <c r="R59" i="5"/>
  <c r="L83" i="5"/>
  <c r="M83" i="5" s="1"/>
  <c r="N83" i="5" s="1"/>
  <c r="N71" i="5"/>
  <c r="O71" i="5" s="1"/>
  <c r="N63" i="5"/>
  <c r="O63" i="5" s="1"/>
  <c r="P63" i="5" s="1"/>
  <c r="AC86" i="5"/>
  <c r="Q64" i="5"/>
  <c r="Q71" i="5"/>
  <c r="Q59" i="5"/>
  <c r="Q68" i="5"/>
  <c r="Q56" i="5"/>
  <c r="Q65" i="5"/>
  <c r="Q72" i="5"/>
  <c r="Q69" i="5"/>
  <c r="Q54" i="5"/>
  <c r="L40" i="5"/>
  <c r="L25" i="5"/>
  <c r="M25" i="5" s="1"/>
  <c r="N25" i="5" s="1"/>
  <c r="O25" i="5" s="1"/>
  <c r="L38" i="5"/>
  <c r="M38" i="5" s="1"/>
  <c r="N38" i="5" s="1"/>
  <c r="O38" i="5" s="1"/>
  <c r="P38" i="5" s="1"/>
  <c r="Q38" i="5" s="1"/>
  <c r="R38" i="5" s="1"/>
  <c r="S38" i="5" s="1"/>
  <c r="T38" i="5" s="1"/>
  <c r="U38" i="5" s="1"/>
  <c r="N64" i="5"/>
  <c r="T64" i="5" s="1"/>
  <c r="N57" i="5"/>
  <c r="O57" i="5" s="1"/>
  <c r="P57" i="5" s="1"/>
  <c r="N65" i="5"/>
  <c r="T65" i="5" s="1"/>
  <c r="N54" i="5"/>
  <c r="O54" i="5" s="1"/>
  <c r="P54" i="5" s="1"/>
  <c r="S54" i="5"/>
  <c r="T71" i="5"/>
  <c r="M40" i="5"/>
  <c r="N40" i="5" s="1"/>
  <c r="T54" i="5"/>
  <c r="U54" i="5"/>
  <c r="D100" i="4"/>
  <c r="B92" i="4" s="1"/>
  <c r="D99" i="4"/>
  <c r="B91" i="4" s="1"/>
  <c r="D98" i="4"/>
  <c r="J61" i="4"/>
  <c r="T63" i="4" s="1"/>
  <c r="B83" i="4"/>
  <c r="B82" i="4"/>
  <c r="B81" i="4"/>
  <c r="B84" i="4" s="1"/>
  <c r="D26" i="4"/>
  <c r="D33" i="4"/>
  <c r="E33" i="4" s="1"/>
  <c r="F33" i="4" s="1"/>
  <c r="G33" i="4" s="1"/>
  <c r="C52" i="4"/>
  <c r="B52" i="4"/>
  <c r="D52" i="4" s="1"/>
  <c r="D49" i="4"/>
  <c r="C77" i="4" s="1"/>
  <c r="D77" i="4" s="1"/>
  <c r="E77" i="4" s="1"/>
  <c r="F77" i="4" s="1"/>
  <c r="G77" i="4" s="1"/>
  <c r="D41" i="4"/>
  <c r="E41" i="4" s="1"/>
  <c r="F41" i="4" s="1"/>
  <c r="G41" i="4" s="1"/>
  <c r="D29" i="4"/>
  <c r="E29" i="4" s="1"/>
  <c r="F29" i="4" s="1"/>
  <c r="G29" i="4" s="1"/>
  <c r="D48" i="4"/>
  <c r="C76" i="4" s="1"/>
  <c r="D76" i="4"/>
  <c r="E76" i="4" s="1"/>
  <c r="F76" i="4" s="1"/>
  <c r="G76" i="4" s="1"/>
  <c r="D44" i="4"/>
  <c r="D40" i="4"/>
  <c r="E40" i="4" s="1"/>
  <c r="F40" i="4" s="1"/>
  <c r="D36" i="4"/>
  <c r="D32" i="4"/>
  <c r="C60" i="4" s="1"/>
  <c r="D60" i="4" s="1"/>
  <c r="E60" i="4" s="1"/>
  <c r="F60" i="4" s="1"/>
  <c r="G60" i="4" s="1"/>
  <c r="B90" i="4"/>
  <c r="H90" i="4" s="1"/>
  <c r="D43" i="4"/>
  <c r="D35" i="4"/>
  <c r="C63" i="4" s="1"/>
  <c r="D63" i="4" s="1"/>
  <c r="D51" i="4"/>
  <c r="D47" i="4"/>
  <c r="C75" i="4" s="1"/>
  <c r="D75" i="4" s="1"/>
  <c r="E75" i="4" s="1"/>
  <c r="F75" i="4" s="1"/>
  <c r="G75" i="4" s="1"/>
  <c r="D39" i="4"/>
  <c r="C67" i="4" s="1"/>
  <c r="D67" i="4" s="1"/>
  <c r="E67" i="4" s="1"/>
  <c r="F67" i="4" s="1"/>
  <c r="G67" i="4" s="1"/>
  <c r="D31" i="4"/>
  <c r="C59" i="4" s="1"/>
  <c r="D59" i="4" s="1"/>
  <c r="E59" i="4" s="1"/>
  <c r="D50" i="4"/>
  <c r="E50" i="4" s="1"/>
  <c r="F50" i="4" s="1"/>
  <c r="D46" i="4"/>
  <c r="C74" i="4" s="1"/>
  <c r="D74" i="4" s="1"/>
  <c r="E74" i="4" s="1"/>
  <c r="F74" i="4" s="1"/>
  <c r="G74" i="4" s="1"/>
  <c r="D42" i="4"/>
  <c r="E42" i="4" s="1"/>
  <c r="F42" i="4" s="1"/>
  <c r="D38" i="4"/>
  <c r="E38" i="4" s="1"/>
  <c r="F38" i="4" s="1"/>
  <c r="D34" i="4"/>
  <c r="E34" i="4" s="1"/>
  <c r="F34" i="4" s="1"/>
  <c r="D30" i="4"/>
  <c r="E30" i="4" s="1"/>
  <c r="F30" i="4" s="1"/>
  <c r="G30" i="4" s="1"/>
  <c r="D45" i="4"/>
  <c r="D37" i="4"/>
  <c r="C65" i="4" s="1"/>
  <c r="D65" i="4" s="1"/>
  <c r="E65" i="4" s="1"/>
  <c r="T62" i="4"/>
  <c r="K62" i="4" s="1"/>
  <c r="C62" i="4"/>
  <c r="D62" i="4" s="1"/>
  <c r="E62" i="4" s="1"/>
  <c r="F62" i="4" s="1"/>
  <c r="G62" i="4" s="1"/>
  <c r="E31" i="4"/>
  <c r="F31" i="4" s="1"/>
  <c r="E35" i="4"/>
  <c r="F35" i="4" s="1"/>
  <c r="E32" i="4"/>
  <c r="F32" i="4" s="1"/>
  <c r="G32" i="4" s="1"/>
  <c r="H32" i="4" s="1"/>
  <c r="C70" i="4"/>
  <c r="D70" i="4" s="1"/>
  <c r="E70" i="4" s="1"/>
  <c r="F70" i="4" s="1"/>
  <c r="G70" i="4" s="1"/>
  <c r="E49" i="4"/>
  <c r="F49" i="4" s="1"/>
  <c r="G49" i="4" s="1"/>
  <c r="C79" i="4"/>
  <c r="D79" i="4" s="1"/>
  <c r="E79" i="4" s="1"/>
  <c r="F79" i="4" s="1"/>
  <c r="G79" i="4" s="1"/>
  <c r="E51" i="4"/>
  <c r="F51" i="4"/>
  <c r="G51" i="4" s="1"/>
  <c r="C71" i="4"/>
  <c r="D71" i="4" s="1"/>
  <c r="E71" i="4" s="1"/>
  <c r="F71" i="4" s="1"/>
  <c r="G71" i="4" s="1"/>
  <c r="E43" i="4"/>
  <c r="F43" i="4"/>
  <c r="G90" i="4"/>
  <c r="F90" i="4"/>
  <c r="C64" i="4"/>
  <c r="D64" i="4"/>
  <c r="E64" i="4" s="1"/>
  <c r="F64" i="4" s="1"/>
  <c r="G64" i="4" s="1"/>
  <c r="E36" i="4"/>
  <c r="F36" i="4" s="1"/>
  <c r="E48" i="4"/>
  <c r="F48" i="4"/>
  <c r="E47" i="4"/>
  <c r="F47" i="4"/>
  <c r="G47" i="4" s="1"/>
  <c r="F65" i="4"/>
  <c r="G65" i="4" s="1"/>
  <c r="C73" i="4"/>
  <c r="D73" i="4"/>
  <c r="E73" i="4" s="1"/>
  <c r="F73" i="4" s="1"/>
  <c r="G73" i="4" s="1"/>
  <c r="E45" i="4"/>
  <c r="F45" i="4" s="1"/>
  <c r="C72" i="4"/>
  <c r="D72" i="4"/>
  <c r="E44" i="4"/>
  <c r="F44" i="4" s="1"/>
  <c r="L47" i="4"/>
  <c r="F59" i="4"/>
  <c r="G59" i="4" s="1"/>
  <c r="N32" i="4"/>
  <c r="M230" i="2"/>
  <c r="M193" i="2"/>
  <c r="M204" i="2" s="1"/>
  <c r="L230" i="2"/>
  <c r="L204" i="2"/>
  <c r="N68" i="5" l="1"/>
  <c r="T68" i="5" s="1"/>
  <c r="I107" i="5"/>
  <c r="O64" i="5"/>
  <c r="P64" i="5" s="1"/>
  <c r="V64" i="5" s="1"/>
  <c r="I105" i="5"/>
  <c r="I108" i="5" s="1"/>
  <c r="D17" i="7"/>
  <c r="E17" i="7" s="1"/>
  <c r="F17" i="7" s="1"/>
  <c r="G17" i="7" s="1"/>
  <c r="H17" i="7" s="1"/>
  <c r="I17" i="7" s="1"/>
  <c r="J17" i="7" s="1"/>
  <c r="K17" i="7" s="1"/>
  <c r="L17" i="7" s="1"/>
  <c r="E210" i="6"/>
  <c r="E206" i="6"/>
  <c r="H206" i="6" s="1"/>
  <c r="E214" i="6"/>
  <c r="E216" i="6"/>
  <c r="E209" i="6"/>
  <c r="G210" i="6"/>
  <c r="G211" i="6"/>
  <c r="G213" i="6"/>
  <c r="G207" i="6"/>
  <c r="G204" i="6"/>
  <c r="G215" i="6"/>
  <c r="G212" i="6"/>
  <c r="G216" i="6"/>
  <c r="G208" i="6"/>
  <c r="G205" i="6"/>
  <c r="G209" i="6"/>
  <c r="H209" i="6" s="1"/>
  <c r="G206" i="6"/>
  <c r="G203" i="6"/>
  <c r="G214" i="6"/>
  <c r="F305" i="6"/>
  <c r="G305" i="6" s="1"/>
  <c r="H305" i="6" s="1"/>
  <c r="J305" i="6" s="1"/>
  <c r="E307" i="6"/>
  <c r="K85" i="5"/>
  <c r="L85" i="5" s="1"/>
  <c r="M85" i="5" s="1"/>
  <c r="N85" i="5" s="1"/>
  <c r="Q58" i="5"/>
  <c r="R58" i="5"/>
  <c r="N58" i="5"/>
  <c r="N34" i="5"/>
  <c r="M36" i="5"/>
  <c r="E91" i="4"/>
  <c r="I91" i="4"/>
  <c r="K91" i="4"/>
  <c r="L91" i="4"/>
  <c r="L45" i="4"/>
  <c r="N37" i="5"/>
  <c r="Q62" i="5"/>
  <c r="Q61" i="5"/>
  <c r="I12" i="5"/>
  <c r="F144" i="6"/>
  <c r="D14" i="7"/>
  <c r="E14" i="7" s="1"/>
  <c r="F14" i="7" s="1"/>
  <c r="G14" i="7" s="1"/>
  <c r="H14" i="7" s="1"/>
  <c r="I14" i="7" s="1"/>
  <c r="J14" i="7" s="1"/>
  <c r="K14" i="7" s="1"/>
  <c r="L14" i="7" s="1"/>
  <c r="S120" i="4"/>
  <c r="G35" i="14"/>
  <c r="G11" i="14" s="1"/>
  <c r="C69" i="4"/>
  <c r="D69" i="4" s="1"/>
  <c r="E69" i="4" s="1"/>
  <c r="F69" i="4" s="1"/>
  <c r="G69" i="4" s="1"/>
  <c r="C90" i="4"/>
  <c r="D90" i="4"/>
  <c r="J90" i="4"/>
  <c r="K90" i="4"/>
  <c r="C66" i="4"/>
  <c r="D66" i="4" s="1"/>
  <c r="E66" i="4" s="1"/>
  <c r="F66" i="4" s="1"/>
  <c r="G66" i="4" s="1"/>
  <c r="C61" i="4"/>
  <c r="D61" i="4" s="1"/>
  <c r="E61" i="4" s="1"/>
  <c r="F61" i="4" s="1"/>
  <c r="G61" i="4" s="1"/>
  <c r="U64" i="5"/>
  <c r="N61" i="5"/>
  <c r="N55" i="5"/>
  <c r="L47" i="5"/>
  <c r="R61" i="5"/>
  <c r="J101" i="5"/>
  <c r="K101" i="5" s="1"/>
  <c r="L101" i="5" s="1"/>
  <c r="M101" i="5" s="1"/>
  <c r="N101" i="5" s="1"/>
  <c r="J82" i="5"/>
  <c r="S116" i="4"/>
  <c r="G42" i="14"/>
  <c r="G12" i="14" s="1"/>
  <c r="I104" i="5"/>
  <c r="K47" i="5"/>
  <c r="E19" i="5"/>
  <c r="E29" i="5"/>
  <c r="E50" i="5"/>
  <c r="H108" i="5"/>
  <c r="Q73" i="5"/>
  <c r="L325" i="9"/>
  <c r="M70" i="5"/>
  <c r="S70" i="5" s="1"/>
  <c r="L70" i="5"/>
  <c r="R70" i="5" s="1"/>
  <c r="I90" i="4"/>
  <c r="L76" i="5"/>
  <c r="M76" i="5" s="1"/>
  <c r="N76" i="5" s="1"/>
  <c r="J144" i="6"/>
  <c r="L49" i="4"/>
  <c r="E90" i="4"/>
  <c r="N90" i="4" s="1"/>
  <c r="E98" i="4" s="1"/>
  <c r="F98" i="4" s="1"/>
  <c r="H98" i="4" s="1"/>
  <c r="E6" i="5"/>
  <c r="K6" i="5"/>
  <c r="L75" i="5"/>
  <c r="M75" i="5" s="1"/>
  <c r="L67" i="5"/>
  <c r="M67" i="5" s="1"/>
  <c r="D33" i="7"/>
  <c r="D58" i="7" s="1"/>
  <c r="L427" i="9"/>
  <c r="L90" i="4"/>
  <c r="L74" i="5"/>
  <c r="L66" i="5"/>
  <c r="C125" i="5"/>
  <c r="F193" i="6"/>
  <c r="H193" i="6" s="1"/>
  <c r="D242" i="6"/>
  <c r="M90" i="4"/>
  <c r="E52" i="4"/>
  <c r="F52" i="4" s="1"/>
  <c r="L39" i="5"/>
  <c r="L24" i="5"/>
  <c r="E144" i="6"/>
  <c r="S127" i="4"/>
  <c r="L508" i="9"/>
  <c r="L438" i="9"/>
  <c r="L413" i="9"/>
  <c r="L561" i="9"/>
  <c r="L544" i="9"/>
  <c r="L244" i="9"/>
  <c r="L533" i="9"/>
  <c r="C626" i="9"/>
  <c r="O31" i="9"/>
  <c r="L235" i="9"/>
  <c r="L491" i="9"/>
  <c r="L548" i="9"/>
  <c r="G43" i="15"/>
  <c r="G11" i="15" s="1"/>
  <c r="G50" i="15"/>
  <c r="G59" i="15"/>
  <c r="G13" i="15" s="1"/>
  <c r="G26" i="15"/>
  <c r="G10" i="15" s="1"/>
  <c r="K153" i="9"/>
  <c r="D29" i="7"/>
  <c r="K128" i="9"/>
  <c r="L123" i="9" s="1"/>
  <c r="H262" i="9"/>
  <c r="H596" i="9"/>
  <c r="I59" i="10" s="1"/>
  <c r="K596" i="9"/>
  <c r="L595" i="9" s="1"/>
  <c r="I58" i="10"/>
  <c r="K594" i="9"/>
  <c r="L593" i="9" s="1"/>
  <c r="I33" i="11"/>
  <c r="I24" i="11" s="1"/>
  <c r="D31" i="7"/>
  <c r="M15" i="7"/>
  <c r="D15" i="7" s="1"/>
  <c r="E15" i="7" s="1"/>
  <c r="F15" i="7" s="1"/>
  <c r="G15" i="7" s="1"/>
  <c r="H15" i="7" s="1"/>
  <c r="I15" i="7" s="1"/>
  <c r="J15" i="7" s="1"/>
  <c r="K15" i="7" s="1"/>
  <c r="L15" i="7" s="1"/>
  <c r="N72" i="5"/>
  <c r="O68" i="5"/>
  <c r="P68" i="5" s="1"/>
  <c r="V68" i="5" s="1"/>
  <c r="O62" i="5"/>
  <c r="T62" i="5"/>
  <c r="T69" i="5"/>
  <c r="O69" i="5"/>
  <c r="S69" i="5"/>
  <c r="S62" i="5"/>
  <c r="O65" i="5"/>
  <c r="U65" i="5" s="1"/>
  <c r="D82" i="4"/>
  <c r="E63" i="4"/>
  <c r="E72" i="4"/>
  <c r="N51" i="4"/>
  <c r="H51" i="4"/>
  <c r="L41" i="4"/>
  <c r="L35" i="4"/>
  <c r="G35" i="4"/>
  <c r="N41" i="4"/>
  <c r="H41" i="4"/>
  <c r="L42" i="4"/>
  <c r="G42" i="4"/>
  <c r="G92" i="4"/>
  <c r="M92" i="4"/>
  <c r="C92" i="4"/>
  <c r="L92" i="4"/>
  <c r="I92" i="4"/>
  <c r="D92" i="4"/>
  <c r="H92" i="4"/>
  <c r="E92" i="4"/>
  <c r="J92" i="4"/>
  <c r="F92" i="4"/>
  <c r="K92" i="4"/>
  <c r="L32" i="4"/>
  <c r="G45" i="4"/>
  <c r="G48" i="4"/>
  <c r="L48" i="4"/>
  <c r="K63" i="4"/>
  <c r="G50" i="4"/>
  <c r="H29" i="4"/>
  <c r="G43" i="4"/>
  <c r="L43" i="4"/>
  <c r="H30" i="4"/>
  <c r="G40" i="4"/>
  <c r="N33" i="4"/>
  <c r="C82" i="4"/>
  <c r="N47" i="4"/>
  <c r="H47" i="4"/>
  <c r="L36" i="4"/>
  <c r="G36" i="4"/>
  <c r="G31" i="4"/>
  <c r="L31" i="4"/>
  <c r="G34" i="4"/>
  <c r="L34" i="4"/>
  <c r="G52" i="4"/>
  <c r="N49" i="4"/>
  <c r="H49" i="4"/>
  <c r="L44" i="4"/>
  <c r="G44" i="4"/>
  <c r="I32" i="4"/>
  <c r="P32" i="4" s="1"/>
  <c r="O32" i="4"/>
  <c r="L38" i="4"/>
  <c r="G38" i="4"/>
  <c r="L51" i="4"/>
  <c r="C58" i="4"/>
  <c r="E46" i="4"/>
  <c r="F46" i="4" s="1"/>
  <c r="H33" i="4"/>
  <c r="D101" i="4"/>
  <c r="U71" i="5"/>
  <c r="P71" i="5"/>
  <c r="V71" i="5" s="1"/>
  <c r="S56" i="5"/>
  <c r="N56" i="5"/>
  <c r="L42" i="5"/>
  <c r="K43" i="5"/>
  <c r="K84" i="5"/>
  <c r="R57" i="5"/>
  <c r="J104" i="5"/>
  <c r="Q57" i="5"/>
  <c r="J105" i="5"/>
  <c r="E37" i="4"/>
  <c r="F37" i="4" s="1"/>
  <c r="H91" i="4"/>
  <c r="C91" i="4"/>
  <c r="M91" i="4"/>
  <c r="N60" i="5"/>
  <c r="M5" i="5"/>
  <c r="N19" i="5"/>
  <c r="K90" i="5"/>
  <c r="Q63" i="5"/>
  <c r="R63" i="5"/>
  <c r="C68" i="4"/>
  <c r="D68" i="4" s="1"/>
  <c r="E68" i="4" s="1"/>
  <c r="F68" i="4" s="1"/>
  <c r="G68" i="4" s="1"/>
  <c r="D91" i="4"/>
  <c r="P25" i="5"/>
  <c r="M22" i="5"/>
  <c r="N22" i="5" s="1"/>
  <c r="O22" i="5" s="1"/>
  <c r="P22" i="5" s="1"/>
  <c r="Q22" i="5" s="1"/>
  <c r="R22" i="5" s="1"/>
  <c r="S22" i="5" s="1"/>
  <c r="T22" i="5" s="1"/>
  <c r="U22" i="5" s="1"/>
  <c r="N46" i="5"/>
  <c r="M47" i="5"/>
  <c r="S59" i="5"/>
  <c r="N59" i="5"/>
  <c r="K100" i="5"/>
  <c r="R73" i="5"/>
  <c r="M93" i="5"/>
  <c r="E29" i="7"/>
  <c r="K87" i="5"/>
  <c r="Q60" i="5"/>
  <c r="R60" i="5"/>
  <c r="J106" i="5"/>
  <c r="C57" i="4"/>
  <c r="D57" i="4" s="1"/>
  <c r="E57" i="4" s="1"/>
  <c r="F57" i="4" s="1"/>
  <c r="G57" i="4" s="1"/>
  <c r="L33" i="4"/>
  <c r="C78" i="4"/>
  <c r="G91" i="4"/>
  <c r="V54" i="5"/>
  <c r="Q70" i="5"/>
  <c r="O34" i="5"/>
  <c r="N36" i="5"/>
  <c r="T72" i="5"/>
  <c r="O72" i="5"/>
  <c r="E39" i="4"/>
  <c r="F39" i="4" s="1"/>
  <c r="J64" i="4"/>
  <c r="T64" i="4" s="1"/>
  <c r="K64" i="4" s="1"/>
  <c r="J91" i="4"/>
  <c r="Q76" i="5"/>
  <c r="R76" i="5"/>
  <c r="K12" i="5"/>
  <c r="L6" i="5"/>
  <c r="M6" i="5" s="1"/>
  <c r="N6" i="5" s="1"/>
  <c r="O6" i="5" s="1"/>
  <c r="P6" i="5" s="1"/>
  <c r="Q6" i="5" s="1"/>
  <c r="R6" i="5" s="1"/>
  <c r="S6" i="5" s="1"/>
  <c r="T6" i="5" s="1"/>
  <c r="U6" i="5" s="1"/>
  <c r="F91" i="4"/>
  <c r="N30" i="5"/>
  <c r="L27" i="5"/>
  <c r="M27" i="5" s="1"/>
  <c r="N27" i="5" s="1"/>
  <c r="O27" i="5" s="1"/>
  <c r="P27" i="5" s="1"/>
  <c r="Q27" i="5" s="1"/>
  <c r="R27" i="5" s="1"/>
  <c r="S27" i="5" s="1"/>
  <c r="T27" i="5" s="1"/>
  <c r="U27" i="5" s="1"/>
  <c r="K30" i="5"/>
  <c r="K103" i="5"/>
  <c r="J107" i="5"/>
  <c r="G304" i="6"/>
  <c r="F307" i="6"/>
  <c r="M30" i="5"/>
  <c r="O40" i="5"/>
  <c r="O73" i="5"/>
  <c r="C59" i="7"/>
  <c r="P127" i="4"/>
  <c r="E33" i="7"/>
  <c r="E58" i="7" s="1"/>
  <c r="I34" i="11"/>
  <c r="G12" i="15"/>
  <c r="G62" i="15"/>
  <c r="E203" i="6"/>
  <c r="H203" i="6" s="1"/>
  <c r="E213" i="6"/>
  <c r="S107" i="4"/>
  <c r="S124" i="4"/>
  <c r="E205" i="6"/>
  <c r="H205" i="6" s="1"/>
  <c r="S110" i="4"/>
  <c r="S111" i="4"/>
  <c r="S109" i="4"/>
  <c r="E212" i="6"/>
  <c r="H212" i="6" s="1"/>
  <c r="S114" i="4"/>
  <c r="S115" i="4"/>
  <c r="S121" i="4"/>
  <c r="E208" i="6"/>
  <c r="H208" i="6" s="1"/>
  <c r="E204" i="6"/>
  <c r="H204" i="6" s="1"/>
  <c r="S118" i="4"/>
  <c r="S119" i="4"/>
  <c r="S113" i="4"/>
  <c r="E215" i="6"/>
  <c r="H215" i="6" s="1"/>
  <c r="E211" i="6"/>
  <c r="H211" i="6" s="1"/>
  <c r="S122" i="4"/>
  <c r="S123" i="4"/>
  <c r="S117" i="4"/>
  <c r="E207" i="6"/>
  <c r="H207" i="6" s="1"/>
  <c r="S126" i="4"/>
  <c r="S105" i="4"/>
  <c r="S125" i="4"/>
  <c r="S112" i="4"/>
  <c r="S108" i="4"/>
  <c r="I28" i="10"/>
  <c r="K170" i="9"/>
  <c r="L169" i="9" s="1"/>
  <c r="J18" i="10"/>
  <c r="I18" i="10"/>
  <c r="I17" i="10"/>
  <c r="J17" i="10"/>
  <c r="J27" i="10"/>
  <c r="I27" i="10"/>
  <c r="H184" i="9"/>
  <c r="I24" i="10"/>
  <c r="J24" i="10"/>
  <c r="I25" i="10"/>
  <c r="J25" i="10"/>
  <c r="H235" i="9"/>
  <c r="L231" i="2"/>
  <c r="K499" i="9"/>
  <c r="H498" i="9"/>
  <c r="H329" i="9"/>
  <c r="K386" i="9"/>
  <c r="L385" i="9" s="1"/>
  <c r="H385" i="9"/>
  <c r="K307" i="9"/>
  <c r="L305" i="9" s="1"/>
  <c r="H305" i="9"/>
  <c r="K233" i="9"/>
  <c r="L231" i="9" s="1"/>
  <c r="H231" i="9"/>
  <c r="K288" i="9"/>
  <c r="H286" i="9"/>
  <c r="H357" i="9"/>
  <c r="K291" i="9"/>
  <c r="L290" i="9" s="1"/>
  <c r="H290" i="9"/>
  <c r="K330" i="9"/>
  <c r="L329" i="9" s="1"/>
  <c r="H399" i="9"/>
  <c r="K141" i="9"/>
  <c r="H139" i="9"/>
  <c r="K177" i="9"/>
  <c r="L176" i="9" s="1"/>
  <c r="H309" i="9"/>
  <c r="H482" i="9"/>
  <c r="H481" i="9" s="1"/>
  <c r="I48" i="10" s="1"/>
  <c r="K527" i="9"/>
  <c r="L524" i="9" s="1"/>
  <c r="H524" i="9"/>
  <c r="H267" i="9"/>
  <c r="H448" i="9"/>
  <c r="H491" i="9"/>
  <c r="H409" i="9"/>
  <c r="H517" i="9"/>
  <c r="K574" i="9"/>
  <c r="K502" i="9"/>
  <c r="H521" i="9"/>
  <c r="K523" i="9"/>
  <c r="L521" i="9" s="1"/>
  <c r="H570" i="9"/>
  <c r="K518" i="9"/>
  <c r="L517" i="9" s="1"/>
  <c r="O32" i="9"/>
  <c r="C643" i="9"/>
  <c r="K182" i="9"/>
  <c r="L181" i="9" s="1"/>
  <c r="H339" i="9"/>
  <c r="H276" i="9"/>
  <c r="H325" i="9"/>
  <c r="H395" i="9"/>
  <c r="K72" i="9"/>
  <c r="L71" i="9" s="1"/>
  <c r="C627" i="9"/>
  <c r="H29" i="9"/>
  <c r="K30" i="9"/>
  <c r="L29" i="9" s="1"/>
  <c r="C649" i="9"/>
  <c r="K133" i="9"/>
  <c r="L132" i="9" s="1"/>
  <c r="H179" i="9"/>
  <c r="K426" i="9"/>
  <c r="L425" i="9" s="1"/>
  <c r="K287" i="9"/>
  <c r="L286" i="9" s="1"/>
  <c r="C614" i="9"/>
  <c r="H132" i="9"/>
  <c r="H471" i="9"/>
  <c r="H381" i="9"/>
  <c r="H173" i="9"/>
  <c r="H548" i="9"/>
  <c r="K571" i="9"/>
  <c r="L570" i="9" s="1"/>
  <c r="K340" i="9"/>
  <c r="L339" i="9" s="1"/>
  <c r="H258" i="9"/>
  <c r="K263" i="9"/>
  <c r="L262" i="9" s="1"/>
  <c r="H438" i="9"/>
  <c r="K449" i="9"/>
  <c r="L448" i="9" s="1"/>
  <c r="C604" i="9"/>
  <c r="C633" i="9" s="1"/>
  <c r="H65" i="9"/>
  <c r="H427" i="9"/>
  <c r="H425" i="9" s="1"/>
  <c r="I42" i="10" s="1"/>
  <c r="K344" i="9"/>
  <c r="L343" i="9" s="1"/>
  <c r="H343" i="9"/>
  <c r="H561" i="9"/>
  <c r="H476" i="9"/>
  <c r="I46" i="10" s="1"/>
  <c r="H181" i="9"/>
  <c r="H553" i="9"/>
  <c r="H588" i="9"/>
  <c r="I56" i="10" s="1"/>
  <c r="H544" i="9"/>
  <c r="H249" i="9"/>
  <c r="H508" i="9"/>
  <c r="K485" i="9"/>
  <c r="L484" i="9" s="1"/>
  <c r="K400" i="9"/>
  <c r="L399" i="9" s="1"/>
  <c r="K382" i="9"/>
  <c r="L381" i="9" s="1"/>
  <c r="H15" i="9"/>
  <c r="H14" i="9" s="1"/>
  <c r="K172" i="9"/>
  <c r="L171" i="9" s="1"/>
  <c r="K254" i="9"/>
  <c r="L253" i="9" s="1"/>
  <c r="H253" i="9"/>
  <c r="K358" i="9"/>
  <c r="L357" i="9" s="1"/>
  <c r="K272" i="9"/>
  <c r="L271" i="9" s="1"/>
  <c r="H271" i="9"/>
  <c r="K530" i="9"/>
  <c r="L529" i="9" s="1"/>
  <c r="K496" i="9"/>
  <c r="L495" i="9" s="1"/>
  <c r="H495" i="9"/>
  <c r="H490" i="9" s="1"/>
  <c r="I49" i="10" s="1"/>
  <c r="H371" i="9"/>
  <c r="K372" i="9"/>
  <c r="L371" i="9" s="1"/>
  <c r="H280" i="9"/>
  <c r="K281" i="9"/>
  <c r="L280" i="9" s="1"/>
  <c r="K356" i="9"/>
  <c r="L353" i="9" s="1"/>
  <c r="H353" i="9"/>
  <c r="K140" i="9"/>
  <c r="L139" i="9" s="1"/>
  <c r="H533" i="9"/>
  <c r="C620" i="9"/>
  <c r="H367" i="9"/>
  <c r="K368" i="9"/>
  <c r="L367" i="9" s="1"/>
  <c r="K310" i="9"/>
  <c r="L309" i="9" s="1"/>
  <c r="H577" i="9"/>
  <c r="H576" i="9" s="1"/>
  <c r="I54" i="10" s="1"/>
  <c r="K578" i="9"/>
  <c r="L577" i="9" s="1"/>
  <c r="H413" i="9"/>
  <c r="H566" i="9"/>
  <c r="H176" i="9"/>
  <c r="H244" i="9"/>
  <c r="J30" i="10"/>
  <c r="H123" i="9"/>
  <c r="O30" i="9" s="1"/>
  <c r="H138" i="9"/>
  <c r="F598" i="9"/>
  <c r="H240" i="9"/>
  <c r="U68" i="5" l="1"/>
  <c r="D125" i="5"/>
  <c r="N91" i="4"/>
  <c r="E99" i="4" s="1"/>
  <c r="Q66" i="5"/>
  <c r="R66" i="5"/>
  <c r="R67" i="5"/>
  <c r="N70" i="5"/>
  <c r="M66" i="5"/>
  <c r="Q75" i="5"/>
  <c r="R75" i="5"/>
  <c r="O55" i="5"/>
  <c r="Q74" i="5"/>
  <c r="R74" i="5"/>
  <c r="S75" i="5"/>
  <c r="N75" i="5"/>
  <c r="E30" i="7"/>
  <c r="T61" i="5"/>
  <c r="O61" i="5"/>
  <c r="N39" i="5"/>
  <c r="O37" i="5"/>
  <c r="M74" i="5"/>
  <c r="H216" i="6"/>
  <c r="N92" i="4"/>
  <c r="E100" i="4" s="1"/>
  <c r="F100" i="4" s="1"/>
  <c r="H100" i="4" s="1"/>
  <c r="S58" i="5"/>
  <c r="H214" i="6"/>
  <c r="H213" i="6"/>
  <c r="Q67" i="5"/>
  <c r="I132" i="11"/>
  <c r="H7" i="11"/>
  <c r="K82" i="5"/>
  <c r="R55" i="5"/>
  <c r="Q55" i="5"/>
  <c r="O58" i="5"/>
  <c r="T58" i="5"/>
  <c r="H210" i="6"/>
  <c r="L573" i="9"/>
  <c r="C606" i="9" s="1"/>
  <c r="C635" i="9" s="1"/>
  <c r="L498" i="9"/>
  <c r="H137" i="9"/>
  <c r="K138" i="9"/>
  <c r="L137" i="9" s="1"/>
  <c r="O28" i="9"/>
  <c r="O33" i="9" s="1"/>
  <c r="G14" i="15"/>
  <c r="I64" i="10" s="1"/>
  <c r="H136" i="9"/>
  <c r="H257" i="9"/>
  <c r="J34" i="10" s="1"/>
  <c r="M16" i="7"/>
  <c r="H15" i="11"/>
  <c r="P65" i="5"/>
  <c r="V65" i="5" s="1"/>
  <c r="P69" i="5"/>
  <c r="V69" i="5" s="1"/>
  <c r="U69" i="5"/>
  <c r="U62" i="5"/>
  <c r="P62" i="5"/>
  <c r="V62" i="5" s="1"/>
  <c r="F99" i="4"/>
  <c r="H99" i="4" s="1"/>
  <c r="E101" i="4"/>
  <c r="F101" i="4" s="1"/>
  <c r="H101" i="4" s="1"/>
  <c r="P34" i="5"/>
  <c r="O36" i="5"/>
  <c r="N93" i="5"/>
  <c r="O46" i="5"/>
  <c r="N47" i="5"/>
  <c r="L12" i="5"/>
  <c r="L84" i="5"/>
  <c r="K104" i="5"/>
  <c r="U85" i="5" s="1"/>
  <c r="S57" i="5"/>
  <c r="K105" i="5"/>
  <c r="N43" i="4"/>
  <c r="H43" i="4"/>
  <c r="H48" i="4"/>
  <c r="N48" i="4"/>
  <c r="I51" i="4"/>
  <c r="P51" i="4" s="1"/>
  <c r="O51" i="4"/>
  <c r="N5" i="5"/>
  <c r="M12" i="5"/>
  <c r="N29" i="4"/>
  <c r="N45" i="4"/>
  <c r="H45" i="4"/>
  <c r="O41" i="4"/>
  <c r="I41" i="4"/>
  <c r="P41" i="4" s="1"/>
  <c r="I55" i="10"/>
  <c r="E31" i="7"/>
  <c r="P73" i="5"/>
  <c r="L103" i="5"/>
  <c r="K107" i="5"/>
  <c r="L100" i="5"/>
  <c r="S73" i="5"/>
  <c r="O60" i="5"/>
  <c r="M42" i="5"/>
  <c r="L43" i="5"/>
  <c r="N34" i="4"/>
  <c r="H34" i="4"/>
  <c r="I29" i="4"/>
  <c r="P29" i="4" s="1"/>
  <c r="O29" i="4"/>
  <c r="G39" i="4"/>
  <c r="L39" i="4"/>
  <c r="L87" i="5"/>
  <c r="K106" i="5"/>
  <c r="T59" i="5"/>
  <c r="O59" i="5"/>
  <c r="S60" i="5"/>
  <c r="L37" i="4"/>
  <c r="G37" i="4"/>
  <c r="T56" i="5"/>
  <c r="O56" i="5"/>
  <c r="I33" i="4"/>
  <c r="P33" i="4" s="1"/>
  <c r="O33" i="4"/>
  <c r="N44" i="4"/>
  <c r="H44" i="4"/>
  <c r="N40" i="4"/>
  <c r="H40" i="4"/>
  <c r="L29" i="4"/>
  <c r="F72" i="4"/>
  <c r="G307" i="6"/>
  <c r="H304" i="6"/>
  <c r="S67" i="5"/>
  <c r="N67" i="5"/>
  <c r="U72" i="5"/>
  <c r="P72" i="5"/>
  <c r="V72" i="5" s="1"/>
  <c r="F29" i="7"/>
  <c r="O30" i="5"/>
  <c r="J108" i="5"/>
  <c r="G46" i="4"/>
  <c r="L46" i="4"/>
  <c r="N31" i="4"/>
  <c r="H31" i="4"/>
  <c r="L40" i="4"/>
  <c r="H50" i="4"/>
  <c r="H35" i="4"/>
  <c r="N35" i="4"/>
  <c r="F63" i="4"/>
  <c r="E82" i="4"/>
  <c r="J46" i="10"/>
  <c r="P40" i="5"/>
  <c r="C83" i="4"/>
  <c r="D78" i="4"/>
  <c r="T76" i="5"/>
  <c r="O76" i="5"/>
  <c r="Q25" i="5"/>
  <c r="P30" i="5"/>
  <c r="L90" i="5"/>
  <c r="S63" i="5"/>
  <c r="L30" i="5"/>
  <c r="C80" i="4"/>
  <c r="C81" i="4"/>
  <c r="D58" i="4"/>
  <c r="I49" i="4"/>
  <c r="P49" i="4" s="1"/>
  <c r="O49" i="4"/>
  <c r="H36" i="4"/>
  <c r="N36" i="4"/>
  <c r="F33" i="7"/>
  <c r="F58" i="7" s="1"/>
  <c r="S76" i="5"/>
  <c r="M24" i="5"/>
  <c r="R77" i="5"/>
  <c r="T80" i="5" s="1"/>
  <c r="S85" i="5"/>
  <c r="S88" i="5" s="1"/>
  <c r="Q77" i="5"/>
  <c r="I30" i="4"/>
  <c r="R127" i="4"/>
  <c r="O19" i="5"/>
  <c r="N24" i="5"/>
  <c r="O70" i="5"/>
  <c r="T70" i="5"/>
  <c r="N38" i="4"/>
  <c r="H38" i="4"/>
  <c r="H52" i="4"/>
  <c r="I47" i="4"/>
  <c r="P47" i="4" s="1"/>
  <c r="O47" i="4"/>
  <c r="H42" i="4"/>
  <c r="N42" i="4"/>
  <c r="I23" i="10"/>
  <c r="I26" i="10"/>
  <c r="H230" i="9"/>
  <c r="J31" i="10" s="1"/>
  <c r="I63" i="10"/>
  <c r="H168" i="9"/>
  <c r="I19" i="10"/>
  <c r="J19" i="10"/>
  <c r="I22" i="10"/>
  <c r="J22" i="10"/>
  <c r="J48" i="10"/>
  <c r="J62" i="10"/>
  <c r="I62" i="10"/>
  <c r="J58" i="10"/>
  <c r="I43" i="10"/>
  <c r="I45" i="10"/>
  <c r="I14" i="10"/>
  <c r="J14" i="10"/>
  <c r="I13" i="10"/>
  <c r="J13" i="10"/>
  <c r="I21" i="10"/>
  <c r="J21" i="10"/>
  <c r="J64" i="10"/>
  <c r="J42" i="10"/>
  <c r="J65" i="10"/>
  <c r="I65" i="10"/>
  <c r="J59" i="10"/>
  <c r="I44" i="10"/>
  <c r="H285" i="9"/>
  <c r="I38" i="10" s="1"/>
  <c r="H324" i="9"/>
  <c r="H175" i="9"/>
  <c r="H424" i="9"/>
  <c r="H275" i="9"/>
  <c r="J36" i="10" s="1"/>
  <c r="H560" i="9"/>
  <c r="I53" i="10" s="1"/>
  <c r="C655" i="9"/>
  <c r="H239" i="9"/>
  <c r="J32" i="10" s="1"/>
  <c r="H266" i="9"/>
  <c r="J35" i="10" s="1"/>
  <c r="H497" i="9"/>
  <c r="I50" i="10" s="1"/>
  <c r="C603" i="9"/>
  <c r="C632" i="9" s="1"/>
  <c r="J57" i="10"/>
  <c r="H532" i="9"/>
  <c r="H248" i="9"/>
  <c r="J33" i="10" s="1"/>
  <c r="H587" i="9"/>
  <c r="C602" i="9"/>
  <c r="H5" i="9"/>
  <c r="K15" i="9"/>
  <c r="H135" i="9"/>
  <c r="G598" i="9"/>
  <c r="C84" i="4" l="1"/>
  <c r="P37" i="5"/>
  <c r="O39" i="5"/>
  <c r="P61" i="5"/>
  <c r="V61" i="5" s="1"/>
  <c r="U61" i="5"/>
  <c r="U58" i="5"/>
  <c r="P58" i="5"/>
  <c r="V58" i="5" s="1"/>
  <c r="P55" i="5"/>
  <c r="F30" i="7"/>
  <c r="L82" i="5"/>
  <c r="S55" i="5"/>
  <c r="T75" i="5"/>
  <c r="O75" i="5"/>
  <c r="N66" i="5"/>
  <c r="S66" i="5"/>
  <c r="N74" i="5"/>
  <c r="S74" i="5"/>
  <c r="E125" i="5"/>
  <c r="L14" i="9"/>
  <c r="L599" i="9" s="1"/>
  <c r="K599" i="9"/>
  <c r="D32" i="7"/>
  <c r="D57" i="7" s="1"/>
  <c r="D59" i="7" s="1"/>
  <c r="D16" i="7"/>
  <c r="E16" i="7" s="1"/>
  <c r="F16" i="7" s="1"/>
  <c r="G16" i="7" s="1"/>
  <c r="H16" i="7" s="1"/>
  <c r="I16" i="7" s="1"/>
  <c r="J16" i="7" s="1"/>
  <c r="K16" i="7" s="1"/>
  <c r="L16" i="7" s="1"/>
  <c r="E22" i="7"/>
  <c r="E23" i="7" s="1"/>
  <c r="E24" i="7" s="1"/>
  <c r="J44" i="10"/>
  <c r="I52" i="4"/>
  <c r="T85" i="5"/>
  <c r="S86" i="5"/>
  <c r="S87" i="5" s="1"/>
  <c r="O36" i="4"/>
  <c r="I36" i="4"/>
  <c r="P36" i="4" s="1"/>
  <c r="M90" i="5"/>
  <c r="T63" i="5"/>
  <c r="J12" i="10"/>
  <c r="P19" i="5"/>
  <c r="O24" i="5"/>
  <c r="G29" i="7"/>
  <c r="G72" i="4"/>
  <c r="P56" i="5"/>
  <c r="V56" i="5" s="1"/>
  <c r="U56" i="5"/>
  <c r="M87" i="5"/>
  <c r="U60" i="5" s="1"/>
  <c r="L106" i="5"/>
  <c r="N42" i="5"/>
  <c r="M43" i="5"/>
  <c r="S77" i="5"/>
  <c r="U80" i="5" s="1"/>
  <c r="Q34" i="5"/>
  <c r="P36" i="5"/>
  <c r="I12" i="10"/>
  <c r="J26" i="10"/>
  <c r="O38" i="4"/>
  <c r="I38" i="4"/>
  <c r="P38" i="4" s="1"/>
  <c r="R25" i="5"/>
  <c r="Q30" i="5"/>
  <c r="I31" i="4"/>
  <c r="P31" i="4" s="1"/>
  <c r="O31" i="4"/>
  <c r="P60" i="5"/>
  <c r="M103" i="5"/>
  <c r="U76" i="5" s="1"/>
  <c r="L107" i="5"/>
  <c r="M84" i="5"/>
  <c r="L104" i="5"/>
  <c r="L105" i="5"/>
  <c r="L108" i="5" s="1"/>
  <c r="T57" i="5"/>
  <c r="E58" i="4"/>
  <c r="D81" i="4"/>
  <c r="L30" i="4"/>
  <c r="D80" i="4"/>
  <c r="L52" i="4" s="1"/>
  <c r="L56" i="4" s="1"/>
  <c r="P76" i="5"/>
  <c r="O40" i="4"/>
  <c r="I40" i="4"/>
  <c r="P40" i="4" s="1"/>
  <c r="H37" i="4"/>
  <c r="N37" i="4"/>
  <c r="N39" i="4"/>
  <c r="H39" i="4"/>
  <c r="T60" i="5"/>
  <c r="I45" i="4"/>
  <c r="P45" i="4" s="1"/>
  <c r="O45" i="4"/>
  <c r="F82" i="4"/>
  <c r="G63" i="4"/>
  <c r="G82" i="4" s="1"/>
  <c r="T67" i="5"/>
  <c r="O67" i="5"/>
  <c r="I48" i="4"/>
  <c r="P48" i="4" s="1"/>
  <c r="O48" i="4"/>
  <c r="J45" i="10"/>
  <c r="I42" i="4"/>
  <c r="P42" i="4" s="1"/>
  <c r="O42" i="4"/>
  <c r="U70" i="5"/>
  <c r="P70" i="5"/>
  <c r="V70" i="5" s="1"/>
  <c r="G33" i="7"/>
  <c r="G58" i="7" s="1"/>
  <c r="E78" i="4"/>
  <c r="L50" i="4"/>
  <c r="D83" i="4"/>
  <c r="H46" i="4"/>
  <c r="N46" i="4"/>
  <c r="O44" i="4"/>
  <c r="I44" i="4"/>
  <c r="M100" i="5"/>
  <c r="T73" i="5"/>
  <c r="I43" i="4"/>
  <c r="P43" i="4" s="1"/>
  <c r="O43" i="4"/>
  <c r="P46" i="5"/>
  <c r="O47" i="5"/>
  <c r="J50" i="10"/>
  <c r="J43" i="10"/>
  <c r="I16" i="10"/>
  <c r="O35" i="4"/>
  <c r="I35" i="4"/>
  <c r="J304" i="6"/>
  <c r="J307" i="6" s="1"/>
  <c r="B314" i="6" s="1"/>
  <c r="H307" i="6"/>
  <c r="U59" i="5"/>
  <c r="P59" i="5"/>
  <c r="V59" i="5" s="1"/>
  <c r="I34" i="4"/>
  <c r="P34" i="4" s="1"/>
  <c r="O34" i="4"/>
  <c r="F31" i="7"/>
  <c r="Q40" i="5"/>
  <c r="I50" i="4"/>
  <c r="N12" i="5"/>
  <c r="O5" i="5"/>
  <c r="K108" i="5"/>
  <c r="H167" i="9"/>
  <c r="H531" i="9"/>
  <c r="I52" i="10"/>
  <c r="I20" i="10"/>
  <c r="I41" i="10"/>
  <c r="J55" i="10"/>
  <c r="I39" i="10"/>
  <c r="I47" i="10"/>
  <c r="H480" i="9"/>
  <c r="H229" i="9"/>
  <c r="H284" i="9"/>
  <c r="J54" i="10"/>
  <c r="C631" i="9"/>
  <c r="C608" i="9"/>
  <c r="C637" i="9" s="1"/>
  <c r="H6" i="9"/>
  <c r="H9" i="9" s="1"/>
  <c r="H599" i="9"/>
  <c r="G30" i="7" l="1"/>
  <c r="P35" i="4"/>
  <c r="O74" i="5"/>
  <c r="T74" i="5"/>
  <c r="O66" i="5"/>
  <c r="T66" i="5"/>
  <c r="P75" i="5"/>
  <c r="V75" i="5" s="1"/>
  <c r="U75" i="5"/>
  <c r="Q37" i="5"/>
  <c r="P39" i="5"/>
  <c r="P44" i="4"/>
  <c r="F125" i="5"/>
  <c r="M82" i="5"/>
  <c r="T55" i="5"/>
  <c r="J16" i="10"/>
  <c r="J15" i="10" s="1"/>
  <c r="J11" i="10" s="1"/>
  <c r="E32" i="7"/>
  <c r="E57" i="7" s="1"/>
  <c r="Q46" i="5"/>
  <c r="P47" i="5"/>
  <c r="O46" i="4"/>
  <c r="I46" i="4"/>
  <c r="P46" i="4" s="1"/>
  <c r="I11" i="10"/>
  <c r="N87" i="5"/>
  <c r="M106" i="5"/>
  <c r="Q19" i="5"/>
  <c r="P24" i="5"/>
  <c r="T86" i="5"/>
  <c r="T87" i="5" s="1"/>
  <c r="T88" i="5"/>
  <c r="G31" i="7"/>
  <c r="P67" i="5"/>
  <c r="V67" i="5" s="1"/>
  <c r="U67" i="5"/>
  <c r="I39" i="4"/>
  <c r="P39" i="4" s="1"/>
  <c r="O39" i="4"/>
  <c r="L61" i="4"/>
  <c r="L62" i="4"/>
  <c r="L64" i="4"/>
  <c r="L63" i="4"/>
  <c r="T77" i="5"/>
  <c r="V80" i="5" s="1"/>
  <c r="W85" i="5"/>
  <c r="I51" i="10"/>
  <c r="I40" i="10" s="1"/>
  <c r="R40" i="5"/>
  <c r="F78" i="4"/>
  <c r="E83" i="4"/>
  <c r="N50" i="4"/>
  <c r="N84" i="5"/>
  <c r="M104" i="5"/>
  <c r="U57" i="5"/>
  <c r="M105" i="5"/>
  <c r="S25" i="5"/>
  <c r="R30" i="5"/>
  <c r="Q36" i="5"/>
  <c r="R34" i="5"/>
  <c r="O12" i="5"/>
  <c r="P5" i="5"/>
  <c r="J47" i="10"/>
  <c r="N100" i="5"/>
  <c r="V73" i="5" s="1"/>
  <c r="U73" i="5"/>
  <c r="D84" i="4"/>
  <c r="U88" i="5"/>
  <c r="U86" i="5"/>
  <c r="U87" i="5" s="1"/>
  <c r="V85" i="5"/>
  <c r="I37" i="10"/>
  <c r="H33" i="7"/>
  <c r="H58" i="7" s="1"/>
  <c r="O37" i="4"/>
  <c r="I37" i="4"/>
  <c r="P37" i="4" s="1"/>
  <c r="E80" i="4"/>
  <c r="F58" i="4"/>
  <c r="E81" i="4"/>
  <c r="N30" i="4"/>
  <c r="N103" i="5"/>
  <c r="N107" i="5" s="1"/>
  <c r="M107" i="5"/>
  <c r="N90" i="5"/>
  <c r="V63" i="5" s="1"/>
  <c r="U63" i="5"/>
  <c r="O42" i="5"/>
  <c r="N43" i="5"/>
  <c r="I15" i="10"/>
  <c r="D330" i="6"/>
  <c r="E330" i="6" s="1"/>
  <c r="F330" i="6" s="1"/>
  <c r="G330" i="6" s="1"/>
  <c r="H330" i="6" s="1"/>
  <c r="I330" i="6" s="1"/>
  <c r="J330" i="6" s="1"/>
  <c r="K330" i="6" s="1"/>
  <c r="L330" i="6" s="1"/>
  <c r="M330" i="6" s="1"/>
  <c r="N330" i="6" s="1"/>
  <c r="O330" i="6" s="1"/>
  <c r="P330" i="6" s="1"/>
  <c r="Q330" i="6" s="1"/>
  <c r="B315" i="6"/>
  <c r="B316" i="6" s="1"/>
  <c r="B317" i="6" s="1"/>
  <c r="H29" i="7"/>
  <c r="H423" i="9"/>
  <c r="J53" i="10"/>
  <c r="H228" i="9"/>
  <c r="H598" i="9" s="1"/>
  <c r="I61" i="10"/>
  <c r="J41" i="10"/>
  <c r="C657" i="9"/>
  <c r="J61" i="10"/>
  <c r="C628" i="9"/>
  <c r="Q39" i="5" l="1"/>
  <c r="R37" i="5"/>
  <c r="N82" i="5"/>
  <c r="V55" i="5" s="1"/>
  <c r="U55" i="5"/>
  <c r="P74" i="5"/>
  <c r="V74" i="5" s="1"/>
  <c r="U74" i="5"/>
  <c r="P66" i="5"/>
  <c r="V66" i="5" s="1"/>
  <c r="U66" i="5"/>
  <c r="G125" i="5"/>
  <c r="H30" i="7"/>
  <c r="B66" i="7"/>
  <c r="C66" i="7" s="1"/>
  <c r="D66" i="7" s="1"/>
  <c r="E66" i="7" s="1"/>
  <c r="F66" i="7" s="1"/>
  <c r="G66" i="7" s="1"/>
  <c r="H66" i="7" s="1"/>
  <c r="I66" i="7" s="1"/>
  <c r="J66" i="7" s="1"/>
  <c r="K66" i="7" s="1"/>
  <c r="E59" i="7"/>
  <c r="F32" i="7"/>
  <c r="F57" i="7" s="1"/>
  <c r="F59" i="7" s="1"/>
  <c r="N106" i="5"/>
  <c r="G78" i="4"/>
  <c r="F83" i="4"/>
  <c r="O50" i="4"/>
  <c r="H31" i="7"/>
  <c r="I29" i="10"/>
  <c r="B318" i="6"/>
  <c r="B319" i="6" s="1"/>
  <c r="B65" i="7"/>
  <c r="S30" i="5"/>
  <c r="T25" i="5"/>
  <c r="V88" i="5"/>
  <c r="V86" i="5"/>
  <c r="V87" i="5" s="1"/>
  <c r="M108" i="5"/>
  <c r="S40" i="5"/>
  <c r="V76" i="5"/>
  <c r="I33" i="7"/>
  <c r="I58" i="7" s="1"/>
  <c r="N61" i="4"/>
  <c r="N52" i="4"/>
  <c r="N56" i="4" s="1"/>
  <c r="I29" i="7"/>
  <c r="Q5" i="5"/>
  <c r="P12" i="5"/>
  <c r="U77" i="5"/>
  <c r="W80" i="5" s="1"/>
  <c r="Y85" i="5"/>
  <c r="J51" i="10"/>
  <c r="J49" i="10" s="1"/>
  <c r="E84" i="4"/>
  <c r="V57" i="5"/>
  <c r="N105" i="5"/>
  <c r="N108" i="5" s="1"/>
  <c r="N104" i="5"/>
  <c r="W86" i="5"/>
  <c r="W87" i="5" s="1"/>
  <c r="X85" i="5"/>
  <c r="W88" i="5"/>
  <c r="Q24" i="5"/>
  <c r="R19" i="5"/>
  <c r="P42" i="5"/>
  <c r="O43" i="5"/>
  <c r="J40" i="10"/>
  <c r="J39" i="10" s="1"/>
  <c r="V60" i="5"/>
  <c r="F80" i="4"/>
  <c r="G58" i="4"/>
  <c r="F81" i="4"/>
  <c r="F84" i="4" s="1"/>
  <c r="O30" i="4"/>
  <c r="S34" i="5"/>
  <c r="R36" i="5"/>
  <c r="R46" i="5"/>
  <c r="Q47" i="5"/>
  <c r="I66" i="10"/>
  <c r="J66" i="10"/>
  <c r="J67" i="10" s="1"/>
  <c r="B67" i="7" l="1"/>
  <c r="B93" i="7" s="1"/>
  <c r="I30" i="7"/>
  <c r="H125" i="5"/>
  <c r="R39" i="5"/>
  <c r="S37" i="5"/>
  <c r="I60" i="10"/>
  <c r="J60" i="10" s="1"/>
  <c r="J56" i="10" s="1"/>
  <c r="G32" i="7"/>
  <c r="G57" i="7" s="1"/>
  <c r="G59" i="7" s="1"/>
  <c r="J38" i="10"/>
  <c r="X88" i="5"/>
  <c r="X86" i="5"/>
  <c r="X87" i="5" s="1"/>
  <c r="Z85" i="5"/>
  <c r="Y88" i="5"/>
  <c r="Y86" i="5"/>
  <c r="Y87" i="5" s="1"/>
  <c r="B126" i="5"/>
  <c r="AA85" i="5"/>
  <c r="V77" i="5"/>
  <c r="X80" i="5" s="1"/>
  <c r="J33" i="7"/>
  <c r="J58" i="7" s="1"/>
  <c r="I31" i="7"/>
  <c r="R5" i="5"/>
  <c r="Q12" i="5"/>
  <c r="G80" i="4"/>
  <c r="G81" i="4"/>
  <c r="G84" i="4" s="1"/>
  <c r="P30" i="4"/>
  <c r="Q42" i="5"/>
  <c r="P43" i="5"/>
  <c r="J29" i="7"/>
  <c r="U25" i="5"/>
  <c r="U30" i="5" s="1"/>
  <c r="T30" i="5"/>
  <c r="T34" i="5"/>
  <c r="S36" i="5"/>
  <c r="R24" i="5"/>
  <c r="S19" i="5"/>
  <c r="T40" i="5"/>
  <c r="P61" i="4"/>
  <c r="O52" i="4"/>
  <c r="O56" i="4" s="1"/>
  <c r="P50" i="4"/>
  <c r="G83" i="4"/>
  <c r="S46" i="5"/>
  <c r="R47" i="5"/>
  <c r="O61" i="4"/>
  <c r="N64" i="4"/>
  <c r="O64" i="4" s="1"/>
  <c r="N62" i="4"/>
  <c r="B320" i="6"/>
  <c r="C65" i="7"/>
  <c r="C67" i="7" s="1"/>
  <c r="C93" i="7" s="1"/>
  <c r="S39" i="5" l="1"/>
  <c r="T37" i="5"/>
  <c r="AB85" i="5"/>
  <c r="I125" i="5"/>
  <c r="C126" i="5"/>
  <c r="J30" i="7"/>
  <c r="I67" i="10"/>
  <c r="K59" i="10" s="1"/>
  <c r="H32" i="7"/>
  <c r="H57" i="7" s="1"/>
  <c r="H59" i="7" s="1"/>
  <c r="B321" i="6"/>
  <c r="D65" i="7"/>
  <c r="D67" i="7" s="1"/>
  <c r="D93" i="7" s="1"/>
  <c r="J52" i="10"/>
  <c r="J31" i="7"/>
  <c r="R61" i="4"/>
  <c r="P52" i="4"/>
  <c r="P56" i="4" s="1"/>
  <c r="Z88" i="5"/>
  <c r="Z86" i="5"/>
  <c r="Z87" i="5" s="1"/>
  <c r="P62" i="4"/>
  <c r="Q61" i="4"/>
  <c r="P64" i="4"/>
  <c r="Q64" i="4" s="1"/>
  <c r="K33" i="7"/>
  <c r="K58" i="7" s="1"/>
  <c r="L33" i="7"/>
  <c r="L58" i="7" s="1"/>
  <c r="R42" i="5"/>
  <c r="Q43" i="5"/>
  <c r="T46" i="5"/>
  <c r="S47" i="5"/>
  <c r="U40" i="5"/>
  <c r="K29" i="7"/>
  <c r="L29" i="7"/>
  <c r="N63" i="4"/>
  <c r="O63" i="4" s="1"/>
  <c r="O62" i="4"/>
  <c r="T36" i="5"/>
  <c r="U34" i="5"/>
  <c r="U36" i="5" s="1"/>
  <c r="T19" i="5"/>
  <c r="S24" i="5"/>
  <c r="S5" i="5"/>
  <c r="R12" i="5"/>
  <c r="AA88" i="5"/>
  <c r="B128" i="5" s="1"/>
  <c r="AA86" i="5"/>
  <c r="J125" i="5" l="1"/>
  <c r="D126" i="5"/>
  <c r="U37" i="5"/>
  <c r="U39" i="5" s="1"/>
  <c r="T39" i="5"/>
  <c r="L30" i="7"/>
  <c r="K30" i="7"/>
  <c r="K63" i="10"/>
  <c r="K58" i="10"/>
  <c r="K64" i="10"/>
  <c r="K61" i="10"/>
  <c r="K65" i="10"/>
  <c r="K57" i="10"/>
  <c r="C6" i="22"/>
  <c r="C8" i="22" s="1"/>
  <c r="C12" i="22" s="1"/>
  <c r="C14" i="22" s="1"/>
  <c r="K62" i="10"/>
  <c r="I32" i="7"/>
  <c r="I57" i="7" s="1"/>
  <c r="I59" i="7" s="1"/>
  <c r="AA87" i="5"/>
  <c r="R62" i="4"/>
  <c r="S61" i="4"/>
  <c r="R64" i="4"/>
  <c r="S64" i="4" s="1"/>
  <c r="L31" i="7"/>
  <c r="K31" i="7"/>
  <c r="U19" i="5"/>
  <c r="U24" i="5" s="1"/>
  <c r="T24" i="5"/>
  <c r="C128" i="5"/>
  <c r="B129" i="5"/>
  <c r="AB86" i="5"/>
  <c r="AB87" i="5" s="1"/>
  <c r="AB88" i="5"/>
  <c r="U46" i="5"/>
  <c r="U47" i="5" s="1"/>
  <c r="T47" i="5"/>
  <c r="P63" i="4"/>
  <c r="Q63" i="4" s="1"/>
  <c r="Q62" i="4"/>
  <c r="T5" i="5"/>
  <c r="S12" i="5"/>
  <c r="S42" i="5"/>
  <c r="R43" i="5"/>
  <c r="B322" i="6"/>
  <c r="E65" i="7"/>
  <c r="E67" i="7" s="1"/>
  <c r="E93" i="7" s="1"/>
  <c r="D128" i="5" l="1"/>
  <c r="K125" i="5"/>
  <c r="B127" i="5"/>
  <c r="E126" i="5"/>
  <c r="J32" i="7"/>
  <c r="J57" i="7" s="1"/>
  <c r="J59" i="7" s="1"/>
  <c r="T42" i="5"/>
  <c r="S43" i="5"/>
  <c r="C129" i="5"/>
  <c r="U5" i="5"/>
  <c r="U12" i="5" s="1"/>
  <c r="T12" i="5"/>
  <c r="B323" i="6"/>
  <c r="F65" i="7"/>
  <c r="F67" i="7" s="1"/>
  <c r="F93" i="7" s="1"/>
  <c r="R63" i="4"/>
  <c r="S63" i="4" s="1"/>
  <c r="S62" i="4"/>
  <c r="C127" i="5" l="1"/>
  <c r="F126" i="5"/>
  <c r="E128" i="5"/>
  <c r="L32" i="7"/>
  <c r="L57" i="7" s="1"/>
  <c r="L59" i="7" s="1"/>
  <c r="M59" i="7" s="1"/>
  <c r="B94" i="7" s="1"/>
  <c r="K32" i="7"/>
  <c r="K57" i="7" s="1"/>
  <c r="K59" i="7" s="1"/>
  <c r="D129" i="5"/>
  <c r="G65" i="7"/>
  <c r="G67" i="7" s="1"/>
  <c r="G93" i="7" s="1"/>
  <c r="B324" i="6"/>
  <c r="U42" i="5"/>
  <c r="U43" i="5" s="1"/>
  <c r="T43" i="5"/>
  <c r="F128" i="5" l="1"/>
  <c r="G126" i="5"/>
  <c r="D127" i="5"/>
  <c r="C94" i="7"/>
  <c r="B95" i="7"/>
  <c r="E129" i="5"/>
  <c r="B325" i="6"/>
  <c r="H65" i="7"/>
  <c r="H67" i="7" s="1"/>
  <c r="H93" i="7" s="1"/>
  <c r="E127" i="5" l="1"/>
  <c r="H126" i="5"/>
  <c r="G128" i="5"/>
  <c r="D94" i="7"/>
  <c r="C95" i="7"/>
  <c r="B326" i="6"/>
  <c r="I65" i="7"/>
  <c r="I67" i="7" s="1"/>
  <c r="I93" i="7" s="1"/>
  <c r="F129" i="5"/>
  <c r="H128" i="5" l="1"/>
  <c r="I126" i="5"/>
  <c r="F127" i="5"/>
  <c r="E94" i="7"/>
  <c r="D95" i="7"/>
  <c r="G129" i="5"/>
  <c r="B327" i="6"/>
  <c r="K65" i="7" s="1"/>
  <c r="K67" i="7" s="1"/>
  <c r="K93" i="7" s="1"/>
  <c r="J65" i="7"/>
  <c r="J67" i="7" s="1"/>
  <c r="J93" i="7" s="1"/>
  <c r="G127" i="5" l="1"/>
  <c r="J126" i="5"/>
  <c r="I128" i="5"/>
  <c r="F94" i="7"/>
  <c r="E95" i="7"/>
  <c r="H129" i="5"/>
  <c r="J128" i="5" l="1"/>
  <c r="K126" i="5"/>
  <c r="H127" i="5"/>
  <c r="G94" i="7"/>
  <c r="F95" i="7"/>
  <c r="I129" i="5"/>
  <c r="I127" i="5" l="1"/>
  <c r="K128" i="5"/>
  <c r="H94" i="7"/>
  <c r="G95" i="7"/>
  <c r="J129" i="5"/>
  <c r="J127" i="5" l="1"/>
  <c r="H95" i="7"/>
  <c r="I94" i="7"/>
  <c r="K129" i="5"/>
  <c r="K127" i="5" l="1"/>
  <c r="J94" i="7"/>
  <c r="I95" i="7"/>
  <c r="K94" i="7" l="1"/>
  <c r="K95" i="7" s="1"/>
  <c r="J95" i="7"/>
  <c r="G78" i="14"/>
  <c r="G79" i="14" s="1"/>
  <c r="G82" i="14" l="1"/>
  <c r="G15" i="14"/>
  <c r="G17" i="14" s="1"/>
  <c r="T48" i="5"/>
  <c r="T33" i="5"/>
  <c r="K33" i="5"/>
  <c r="K48" i="5"/>
  <c r="O33" i="5"/>
  <c r="O48" i="5"/>
  <c r="U48" i="5"/>
  <c r="U33" i="5"/>
  <c r="P33" i="5"/>
  <c r="P48" i="5"/>
  <c r="N33" i="5"/>
  <c r="N48" i="5"/>
  <c r="Q48" i="5"/>
  <c r="Q33" i="5"/>
  <c r="M33" i="5"/>
  <c r="M48" i="5"/>
  <c r="R48" i="5"/>
  <c r="R33" i="5"/>
  <c r="L48" i="5"/>
  <c r="L33" i="5"/>
  <c r="S48" i="5"/>
  <c r="S33" i="5"/>
</calcChain>
</file>

<file path=xl/sharedStrings.xml><?xml version="1.0" encoding="utf-8"?>
<sst xmlns="http://schemas.openxmlformats.org/spreadsheetml/2006/main" count="5866" uniqueCount="1888">
  <si>
    <t>NOMBDEP</t>
  </si>
  <si>
    <t>NOMBPROV</t>
  </si>
  <si>
    <t>NOMBDIST</t>
  </si>
  <si>
    <t>CAPITAL</t>
  </si>
  <si>
    <t>UBIGEO</t>
  </si>
  <si>
    <t>AREA_KM2</t>
  </si>
  <si>
    <t>Lat_Cent</t>
  </si>
  <si>
    <t>Long_cent</t>
  </si>
  <si>
    <t>Este_cent</t>
  </si>
  <si>
    <t>Norte_Cent</t>
  </si>
  <si>
    <t>APURIMAC</t>
  </si>
  <si>
    <t>ABANCAY</t>
  </si>
  <si>
    <t>-13.635842°</t>
  </si>
  <si>
    <t>CHACOCHE</t>
  </si>
  <si>
    <t>-13.997426°</t>
  </si>
  <si>
    <t>CIRCA</t>
  </si>
  <si>
    <t>-13.974194°</t>
  </si>
  <si>
    <t>CURAHUASI</t>
  </si>
  <si>
    <t>-13.638853°</t>
  </si>
  <si>
    <t>HUANIPACA</t>
  </si>
  <si>
    <t>-13.476092°</t>
  </si>
  <si>
    <t>LAMBRAMA</t>
  </si>
  <si>
    <t>-13.80402°</t>
  </si>
  <si>
    <t>PICHIRHUA</t>
  </si>
  <si>
    <t>-13.784788°</t>
  </si>
  <si>
    <t>SAN PEDRO DE CACHORA</t>
  </si>
  <si>
    <t>CACHORA</t>
  </si>
  <si>
    <t>-13.488846°</t>
  </si>
  <si>
    <t>TAMBURCO</t>
  </si>
  <si>
    <t>-13.578137°</t>
  </si>
  <si>
    <t>ANDAHUAYLAS</t>
  </si>
  <si>
    <t>-13.768378°</t>
  </si>
  <si>
    <t>ANDARAPA</t>
  </si>
  <si>
    <t>-13.497293°</t>
  </si>
  <si>
    <t>CHIARA</t>
  </si>
  <si>
    <t>-13.879845°</t>
  </si>
  <si>
    <t>HUANCARAMA</t>
  </si>
  <si>
    <t>-13.656863°</t>
  </si>
  <si>
    <t>HUANCARAY</t>
  </si>
  <si>
    <t>-13.769623°</t>
  </si>
  <si>
    <t>HUAYANA</t>
  </si>
  <si>
    <t>-13.98959°</t>
  </si>
  <si>
    <t>KISHUARA</t>
  </si>
  <si>
    <t>-13.665252°</t>
  </si>
  <si>
    <t>PACOBAMBA</t>
  </si>
  <si>
    <t>-13.536041°</t>
  </si>
  <si>
    <t>PACUCHA</t>
  </si>
  <si>
    <t>-13.598191°</t>
  </si>
  <si>
    <t>PAMPACHIRI</t>
  </si>
  <si>
    <t>-14.296043°</t>
  </si>
  <si>
    <t>POMACOCHA</t>
  </si>
  <si>
    <t>-14.09628°</t>
  </si>
  <si>
    <t>SAN ANTONIO DE CACHI</t>
  </si>
  <si>
    <t>-13.789481°</t>
  </si>
  <si>
    <t>SAN JERONIMO</t>
  </si>
  <si>
    <t>-13.716632°</t>
  </si>
  <si>
    <t>SAN MIGUEL DE CHACCRAMPA</t>
  </si>
  <si>
    <t>CHACCRAMPA</t>
  </si>
  <si>
    <t>-13.962148°</t>
  </si>
  <si>
    <t>SANTA MARIA DE CHICMO</t>
  </si>
  <si>
    <t>-13.661157°</t>
  </si>
  <si>
    <t>TALAVERA</t>
  </si>
  <si>
    <t>-13.627505°</t>
  </si>
  <si>
    <t>TUMAY HUARACA</t>
  </si>
  <si>
    <t>UMAMARCA</t>
  </si>
  <si>
    <t>-13.969235°</t>
  </si>
  <si>
    <t>TURPO</t>
  </si>
  <si>
    <t>-13.790594°</t>
  </si>
  <si>
    <t>KAQUIABAMBA</t>
  </si>
  <si>
    <t>-13.511546°</t>
  </si>
  <si>
    <t>JOSE MARIA ARGUEDAS</t>
  </si>
  <si>
    <t>HUANCABAMBA</t>
  </si>
  <si>
    <t>-13.809255°</t>
  </si>
  <si>
    <t>ANTABAMBA</t>
  </si>
  <si>
    <t>-14.517997°</t>
  </si>
  <si>
    <t>EL ORO</t>
  </si>
  <si>
    <t>AYAHUAY</t>
  </si>
  <si>
    <t>-14.157809°</t>
  </si>
  <si>
    <t>HUAQUIRCA</t>
  </si>
  <si>
    <t>-14.340271°</t>
  </si>
  <si>
    <t>JUAN ESPINOZA MEDRANO</t>
  </si>
  <si>
    <t>MOLLEBAMBA</t>
  </si>
  <si>
    <t>-14.558611°</t>
  </si>
  <si>
    <t>OROPESA</t>
  </si>
  <si>
    <t>-14.435992°</t>
  </si>
  <si>
    <t>PACHACONAS</t>
  </si>
  <si>
    <t>-14.219006°</t>
  </si>
  <si>
    <t>SABAINO</t>
  </si>
  <si>
    <t>-14.322972°</t>
  </si>
  <si>
    <t>AYMARAES</t>
  </si>
  <si>
    <t>CHALHUANCA</t>
  </si>
  <si>
    <t>-14.294255°</t>
  </si>
  <si>
    <t>CAPAYA</t>
  </si>
  <si>
    <t>-14.115599°</t>
  </si>
  <si>
    <t>CARAYBAMBA</t>
  </si>
  <si>
    <t>-14.419368°</t>
  </si>
  <si>
    <t>CHAPIMARCA</t>
  </si>
  <si>
    <t>-14.007806°</t>
  </si>
  <si>
    <t>COLCABAMBA</t>
  </si>
  <si>
    <t>-13.976934°</t>
  </si>
  <si>
    <t>COTARUSE</t>
  </si>
  <si>
    <t>-14.58892°</t>
  </si>
  <si>
    <t>HUAYLLO</t>
  </si>
  <si>
    <t>-14.097938°</t>
  </si>
  <si>
    <t>JUSTO APU SAHUARAURA</t>
  </si>
  <si>
    <t>PICHIHUA</t>
  </si>
  <si>
    <t>-14.130439°</t>
  </si>
  <si>
    <t>LUCRE</t>
  </si>
  <si>
    <t>-13.915877°</t>
  </si>
  <si>
    <t>POCOHUANCA</t>
  </si>
  <si>
    <t>-14.224012°</t>
  </si>
  <si>
    <t>SAN JUAN DE CHACeA</t>
  </si>
  <si>
    <t>-13.884987°</t>
  </si>
  <si>
    <t>SAÑAYCA</t>
  </si>
  <si>
    <t>-14.332566°</t>
  </si>
  <si>
    <t>SORAYA</t>
  </si>
  <si>
    <t>-14.170751°</t>
  </si>
  <si>
    <t>TAPAIRIHUA</t>
  </si>
  <si>
    <t>-14.10562°</t>
  </si>
  <si>
    <t>TINTAY</t>
  </si>
  <si>
    <t>-13.903496°</t>
  </si>
  <si>
    <t>TORAYA</t>
  </si>
  <si>
    <t>-14.024655°</t>
  </si>
  <si>
    <t>YANACA</t>
  </si>
  <si>
    <t>-14.231325°</t>
  </si>
  <si>
    <t>CHINCHEROS</t>
  </si>
  <si>
    <t>-13.518639°</t>
  </si>
  <si>
    <t>ANCO_HUALLO</t>
  </si>
  <si>
    <t>URIPA</t>
  </si>
  <si>
    <t>-13.5443°</t>
  </si>
  <si>
    <t>COCHARCAS</t>
  </si>
  <si>
    <t>-13.611555°</t>
  </si>
  <si>
    <t>HUACCANA</t>
  </si>
  <si>
    <t>-13.319506°</t>
  </si>
  <si>
    <t>OCOBAMBA</t>
  </si>
  <si>
    <t>-13.506117°</t>
  </si>
  <si>
    <t>ONGOY</t>
  </si>
  <si>
    <t>-13.415322°</t>
  </si>
  <si>
    <t>URANMARCA</t>
  </si>
  <si>
    <t>-13.668459°</t>
  </si>
  <si>
    <t>RANRACANCHA</t>
  </si>
  <si>
    <t>-13.547638°</t>
  </si>
  <si>
    <t>ROCCHACC</t>
  </si>
  <si>
    <t>-13.455582°</t>
  </si>
  <si>
    <t>EL PORVENIR</t>
  </si>
  <si>
    <t>SAN PEDRO DE HUAMBURQUE</t>
  </si>
  <si>
    <t>-13.397706°</t>
  </si>
  <si>
    <t>LOS CHANKAS</t>
  </si>
  <si>
    <t>RIO BLANCO</t>
  </si>
  <si>
    <t>-13.390153°</t>
  </si>
  <si>
    <t>COTABAMBAS</t>
  </si>
  <si>
    <t>TAMBOBAMBA</t>
  </si>
  <si>
    <t>-13.917071°</t>
  </si>
  <si>
    <t>-13.751283°</t>
  </si>
  <si>
    <t>COYLLURQUI</t>
  </si>
  <si>
    <t>-13.91897°</t>
  </si>
  <si>
    <t>HAQUIRA</t>
  </si>
  <si>
    <t>-14.27717°</t>
  </si>
  <si>
    <t>MARA</t>
  </si>
  <si>
    <t>-14.045141°</t>
  </si>
  <si>
    <t>CHALLHUAHUACHO</t>
  </si>
  <si>
    <t>-14.171437°</t>
  </si>
  <si>
    <t>GRAU</t>
  </si>
  <si>
    <t>CHUQUIBAMBILLA</t>
  </si>
  <si>
    <t>-14.117372°</t>
  </si>
  <si>
    <t>CURPAHUASI</t>
  </si>
  <si>
    <t>-13.968879°</t>
  </si>
  <si>
    <t>GAMARRA</t>
  </si>
  <si>
    <t>PALPACACHI</t>
  </si>
  <si>
    <t>-13.830665°</t>
  </si>
  <si>
    <t>HUAYLLATI</t>
  </si>
  <si>
    <t>-13.966491°</t>
  </si>
  <si>
    <t>MAMARA</t>
  </si>
  <si>
    <t>-14.212017°</t>
  </si>
  <si>
    <t>MICAELA BASTIDAS</t>
  </si>
  <si>
    <t>AYRIHUANCA</t>
  </si>
  <si>
    <t>-14.139931°</t>
  </si>
  <si>
    <t>PATAYPAMPA</t>
  </si>
  <si>
    <t>-14.226059°</t>
  </si>
  <si>
    <t>PROGRESO</t>
  </si>
  <si>
    <t>-14.098684°</t>
  </si>
  <si>
    <t>SAN ANTONIO</t>
  </si>
  <si>
    <t>-14.17565°</t>
  </si>
  <si>
    <t>SANTA ROSA</t>
  </si>
  <si>
    <t>-14.125957°</t>
  </si>
  <si>
    <t>TURPAY</t>
  </si>
  <si>
    <t>-14.232004°</t>
  </si>
  <si>
    <t>VILCABAMBA</t>
  </si>
  <si>
    <t>-14.078646°</t>
  </si>
  <si>
    <t>VIRUNDO</t>
  </si>
  <si>
    <t>SAN JUAN DE VIRUNDO</t>
  </si>
  <si>
    <t>-14.291056°</t>
  </si>
  <si>
    <t>CURASCO</t>
  </si>
  <si>
    <t>-14.10278°</t>
  </si>
  <si>
    <t>N</t>
  </si>
  <si>
    <t>Apurímac:  03</t>
  </si>
  <si>
    <t>ORIENTACION</t>
  </si>
  <si>
    <t>NORTE</t>
  </si>
  <si>
    <t>ESTE</t>
  </si>
  <si>
    <t>Latitud Sur </t>
  </si>
  <si>
    <t>13º 10’ 00” </t>
  </si>
  <si>
    <t>14º 01’ 24.5” </t>
  </si>
  <si>
    <t>Longitud Oeste </t>
  </si>
  <si>
    <t>73º 45’ 20” </t>
  </si>
  <si>
    <t>72º 02’ 57”</t>
  </si>
  <si>
    <t>Lugar</t>
  </si>
  <si>
    <t>Río Pampas, punto intermedio, entre la quebrada Huacrahuilca y el río Torobamba.</t>
  </si>
  <si>
    <t>Confluencia de la quebrada Chuñunusa con el río Santo Tomás</t>
  </si>
  <si>
    <t>SUR</t>
  </si>
  <si>
    <t>OESTE</t>
  </si>
  <si>
    <t>14º 50’ 21”</t>
  </si>
  <si>
    <t>13º 23’ 43.5”</t>
  </si>
  <si>
    <t>73º 28’ 55”</t>
  </si>
  <si>
    <t>73º 50’ 44.5”</t>
  </si>
  <si>
    <t>Lugar.</t>
  </si>
  <si>
    <t>A 400 m. De la confluencia de los ríos Pisquicocha y Calpamayo y a 400 m. del C.P. Calpamayo.</t>
  </si>
  <si>
    <t>Confluencia del río Ocros con el río Pampas.</t>
  </si>
  <si>
    <t>N"</t>
  </si>
  <si>
    <t>PROVINCIA</t>
  </si>
  <si>
    <t>AREA (Km2)</t>
  </si>
  <si>
    <t>PORCENTAE</t>
  </si>
  <si>
    <t>Latitud</t>
  </si>
  <si>
    <t>Longitud</t>
  </si>
  <si>
    <t>Zona horaria</t>
  </si>
  <si>
    <t>13°38′02″S</t>
  </si>
  <si>
    <t>72°52′53″W</t>
  </si>
  <si>
    <t>UT-5:00</t>
  </si>
  <si>
    <t>13°39′20″S</t>
  </si>
  <si>
    <t>73°23′14″W</t>
  </si>
  <si>
    <t>14º21’55”S</t>
  </si>
  <si>
    <t>72º52’40”W</t>
  </si>
  <si>
    <t>14º17’42”S</t>
  </si>
  <si>
    <t>73º14’35”W</t>
  </si>
  <si>
    <t>13º56’42”S</t>
  </si>
  <si>
    <t>72º10’37”W</t>
  </si>
  <si>
    <t>13º31’03”S</t>
  </si>
  <si>
    <t>73º43’20”W</t>
  </si>
  <si>
    <t>14º06’15”S</t>
  </si>
  <si>
    <t>72º42’31”W</t>
  </si>
  <si>
    <t>TOTAL</t>
  </si>
  <si>
    <r>
      <t>Fuente</t>
    </r>
    <r>
      <rPr>
        <sz val="11"/>
        <color rgb="FF000000"/>
        <rFont val="Arial Narrow"/>
        <family val="2"/>
      </rPr>
      <t>:Elaboracion propia del proyecto PAPA, en base a los planes competitivos y concertados de la region Apurimac</t>
    </r>
  </si>
  <si>
    <t>referencia a la altura</t>
  </si>
  <si>
    <t>Descripcion</t>
  </si>
  <si>
    <t>Altura en m.s.n..m</t>
  </si>
  <si>
    <t>provincias</t>
  </si>
  <si>
    <t>porcentae %</t>
  </si>
  <si>
    <t>Zona Altoandina</t>
  </si>
  <si>
    <t xml:space="preserve">3700 a 5700 </t>
  </si>
  <si>
    <t>Cotabambas, Antabamba, Aymaraes, Andahuaylas, Grau</t>
  </si>
  <si>
    <t>Meso Andina</t>
  </si>
  <si>
    <t>2500 y 3700</t>
  </si>
  <si>
    <t>Abancay, Chimcheros, Grau</t>
  </si>
  <si>
    <t>Zona Inferior</t>
  </si>
  <si>
    <t>1050 a 3200</t>
  </si>
  <si>
    <t>Quebradas de Rios mas caudaloso: Apurimac, pampa, Pachachaca</t>
  </si>
  <si>
    <t>Nivel de Gobierno</t>
  </si>
  <si>
    <t>Gobiernos Regionales.</t>
  </si>
  <si>
    <t>Entidad</t>
  </si>
  <si>
    <t>Gobierno Regional de Apurímac.</t>
  </si>
  <si>
    <t>Nombre de la UF</t>
  </si>
  <si>
    <t>Oficina Regional de Formulación y Evaluación de Inversiones.</t>
  </si>
  <si>
    <t>Responsable de la UF</t>
  </si>
  <si>
    <t>Unidad Formuladora.</t>
  </si>
  <si>
    <t>Función</t>
  </si>
  <si>
    <t>Producción.</t>
  </si>
  <si>
    <t>Tipología de proyecto</t>
  </si>
  <si>
    <t>RESPONSABILIDAD FUNCIONAL Y TIPOLOGÌA DEL PROYECTO DE INVERSIÒN.</t>
  </si>
  <si>
    <t>Naturaleza de Intervención</t>
  </si>
  <si>
    <t>Mejoramiento</t>
  </si>
  <si>
    <t>Objeto de intervención</t>
  </si>
  <si>
    <t>Localización</t>
  </si>
  <si>
    <t>Región Apurímac.</t>
  </si>
  <si>
    <t>Proyecto:</t>
  </si>
  <si>
    <t>NOMBRE DEL PROYECTO DE INVERSIÓN</t>
  </si>
  <si>
    <t>Servicios públicos con brecha identificada y priorizada</t>
  </si>
  <si>
    <t>Nombre del indicador de brecha de acceso a servicios</t>
  </si>
  <si>
    <t>Unidad de medida</t>
  </si>
  <si>
    <t>Espacio Geográfico</t>
  </si>
  <si>
    <t>Año</t>
  </si>
  <si>
    <t>Valor</t>
  </si>
  <si>
    <t>Contribución del Cierre de Brecha</t>
  </si>
  <si>
    <t>ALINEAMIENTO Y CONTRIBUCIÓN AL CIERRE DE UNA BRECHA PRIORITARIA.</t>
  </si>
  <si>
    <t>Fuente: ZEE-Apurímac 2019.</t>
  </si>
  <si>
    <t>ÁREA DE ESTUDIO.</t>
  </si>
  <si>
    <t>poblacion</t>
  </si>
  <si>
    <t>Total</t>
  </si>
  <si>
    <t>ANEMIA</t>
  </si>
  <si>
    <t>Vias d Com</t>
  </si>
  <si>
    <t>DESNUTRICION</t>
  </si>
  <si>
    <t>AREA DE ESTUDIO</t>
  </si>
  <si>
    <t>AREA DE INFLUENCIA</t>
  </si>
  <si>
    <t>Años</t>
  </si>
  <si>
    <t>Tasa de Crecimiento Promedio Anual (%)</t>
  </si>
  <si>
    <t>1940-1961</t>
  </si>
  <si>
    <t>1961-1972</t>
  </si>
  <si>
    <t>1972-1981</t>
  </si>
  <si>
    <t>1981-1993</t>
  </si>
  <si>
    <t xml:space="preserve">1993-2007  </t>
  </si>
  <si>
    <t>Apurímac</t>
  </si>
  <si>
    <t xml:space="preserve">2007-2017  </t>
  </si>
  <si>
    <t>INEI</t>
  </si>
  <si>
    <t>Departamento, Distrito</t>
  </si>
  <si>
    <t>Población</t>
  </si>
  <si>
    <t>T.C.</t>
  </si>
  <si>
    <t>Abancay</t>
  </si>
  <si>
    <t>Curahuasi</t>
  </si>
  <si>
    <t>Huanipaca</t>
  </si>
  <si>
    <t>San Pedro de Cachora</t>
  </si>
  <si>
    <t>Tamburco</t>
  </si>
  <si>
    <t>Andahuaylas</t>
  </si>
  <si>
    <t>Huancarama</t>
  </si>
  <si>
    <t>San Jerónimo</t>
  </si>
  <si>
    <t>Santa María de Chicmo</t>
  </si>
  <si>
    <t>Talavera</t>
  </si>
  <si>
    <t>Antabamba</t>
  </si>
  <si>
    <t>Pachaconas</t>
  </si>
  <si>
    <t>Chalhuanca</t>
  </si>
  <si>
    <t>Cotaruse</t>
  </si>
  <si>
    <t>Tambobamba</t>
  </si>
  <si>
    <t>Challhuahuacho</t>
  </si>
  <si>
    <t>Chincheros</t>
  </si>
  <si>
    <t>Anccohuayllo</t>
  </si>
  <si>
    <t>Ranracancha</t>
  </si>
  <si>
    <t>Chuquibambilla</t>
  </si>
  <si>
    <t>Progreso</t>
  </si>
  <si>
    <t>Vilcabamba</t>
  </si>
  <si>
    <t>22 Distritos</t>
  </si>
  <si>
    <t>Zona 1</t>
  </si>
  <si>
    <t>Zona 2</t>
  </si>
  <si>
    <t>Zona 3</t>
  </si>
  <si>
    <t>Total Tres Zonas</t>
  </si>
  <si>
    <t>COMPOSICIONES FAMILIARES</t>
  </si>
  <si>
    <t>Promedio de Composición Familiar</t>
  </si>
  <si>
    <t>Variable</t>
  </si>
  <si>
    <t>Año 2019</t>
  </si>
  <si>
    <t>Año 2020</t>
  </si>
  <si>
    <t>Año 2021</t>
  </si>
  <si>
    <t>Muestra (familias)</t>
  </si>
  <si>
    <t>Familias</t>
  </si>
  <si>
    <t>Personas</t>
  </si>
  <si>
    <t>No consumen</t>
  </si>
  <si>
    <t>Desearían consumir</t>
  </si>
  <si>
    <t>Consumen</t>
  </si>
  <si>
    <t>Año 2022</t>
  </si>
  <si>
    <t>Estacionalización del Consumo de Pescado (Kilos X Familia)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</si>
  <si>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</si>
  <si>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</si>
  <si>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</si>
  <si>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</si>
  <si>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</si>
  <si>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</si>
  <si>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</si>
  <si>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</si>
  <si>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</si>
  <si>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</si>
  <si>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</si>
  <si>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</si>
  <si>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</t>
  </si>
  <si>
    <t>Valoración por mes, según reporte de ventas de los agentes que comercializan pescado*</t>
  </si>
  <si>
    <t>Variación del consumo de Jurel (en Kg.)</t>
  </si>
  <si>
    <t>Variación del consumo de Bonito (en Kg.)</t>
  </si>
  <si>
    <t>Variación del consumo de Caballa (En Kg.)</t>
  </si>
  <si>
    <t>* Determinado de las encuestas aplicadas a los agentes comercializadores de pescado</t>
  </si>
  <si>
    <t>Determinación del Consumo Per Cápita Anual de Pescado</t>
  </si>
  <si>
    <t>Consumo Semanal Mensualizado</t>
  </si>
  <si>
    <t>Consumo Mensual</t>
  </si>
  <si>
    <t>Consumo Mensual Representativo</t>
  </si>
  <si>
    <t>Consumo Mensual Estacionalizado</t>
  </si>
  <si>
    <t>Consumo Familiar Anual (Kg./Familia)</t>
  </si>
  <si>
    <t>Miembros X Familia</t>
  </si>
  <si>
    <t>Consumo Percápita Anual (Kg. X Persona)</t>
  </si>
  <si>
    <t>Consumo de Jurel (en kg.)</t>
  </si>
  <si>
    <t>Consumo de Bonito (en kg.)</t>
  </si>
  <si>
    <t>Consumo de Caballa (en kg.)</t>
  </si>
  <si>
    <t>Promedio General</t>
  </si>
  <si>
    <t>DEMANDA DE REFERENCIA - PROVINCIA INTERVENIDA</t>
  </si>
  <si>
    <t>Tasa de Crecimiento Intercensal Provincias a intevenir</t>
  </si>
  <si>
    <t>TC</t>
  </si>
  <si>
    <t>DEPARTAMENTO</t>
  </si>
  <si>
    <t>PROVINCIAS</t>
  </si>
  <si>
    <t>Fuente: INEI Censo de Población y Vivienda 2007 y 2017</t>
  </si>
  <si>
    <t>DEMANDA POTENCIAL - PROVINCIA INTERVENIDA</t>
  </si>
  <si>
    <t>Tasa de Crecimiento para Demanda Potencial</t>
  </si>
  <si>
    <t>DISTRITOS</t>
  </si>
  <si>
    <t>Chacoche</t>
  </si>
  <si>
    <t>Circa</t>
  </si>
  <si>
    <t>Lambrama</t>
  </si>
  <si>
    <t>Pichirhua</t>
  </si>
  <si>
    <t>SAN ANTONIO DE CHICMO</t>
  </si>
  <si>
    <t>JOSE MARIA ARGUEDAS (*)</t>
  </si>
  <si>
    <t>El Oro</t>
  </si>
  <si>
    <t>Huaquirca</t>
  </si>
  <si>
    <t>Juan Espinoza Medrano</t>
  </si>
  <si>
    <t xml:space="preserve">Oropesa </t>
  </si>
  <si>
    <t>Sabaino</t>
  </si>
  <si>
    <t xml:space="preserve">Capaya </t>
  </si>
  <si>
    <t>Caraybamba</t>
  </si>
  <si>
    <t>Chapimarca</t>
  </si>
  <si>
    <t>Colcabamba</t>
  </si>
  <si>
    <t>Huayllo</t>
  </si>
  <si>
    <t>Justo Apu Sahuaraura</t>
  </si>
  <si>
    <t>Lucre</t>
  </si>
  <si>
    <t>Pocohuanca</t>
  </si>
  <si>
    <t>San Juan de Chacña</t>
  </si>
  <si>
    <t>Soraya</t>
  </si>
  <si>
    <t>Sañayca</t>
  </si>
  <si>
    <t>Tapairihua</t>
  </si>
  <si>
    <t>Tintay</t>
  </si>
  <si>
    <t>Toraya</t>
  </si>
  <si>
    <t>Yanaca</t>
  </si>
  <si>
    <t>Cotabambas</t>
  </si>
  <si>
    <t>Coyllurqui</t>
  </si>
  <si>
    <t>Haquira</t>
  </si>
  <si>
    <t xml:space="preserve"> Mara</t>
  </si>
  <si>
    <t>Anco_Huallo</t>
  </si>
  <si>
    <t>Cocharcas</t>
  </si>
  <si>
    <t>Huaccana</t>
  </si>
  <si>
    <t xml:space="preserve"> Ocobamba</t>
  </si>
  <si>
    <t>Ongoy</t>
  </si>
  <si>
    <t>Uranmarca</t>
  </si>
  <si>
    <t>Rocchacc</t>
  </si>
  <si>
    <t>El Porvenir</t>
  </si>
  <si>
    <t>Los Chankas</t>
  </si>
  <si>
    <t>Curpahuasi</t>
  </si>
  <si>
    <t>Gamarra</t>
  </si>
  <si>
    <t>Huayllati</t>
  </si>
  <si>
    <t>Mamara</t>
  </si>
  <si>
    <t>Micaela Bastidas</t>
  </si>
  <si>
    <t>Pataypampa</t>
  </si>
  <si>
    <t>San Antonio</t>
  </si>
  <si>
    <t>Santa Rosa</t>
  </si>
  <si>
    <t>Turpay</t>
  </si>
  <si>
    <t>Virundo</t>
  </si>
  <si>
    <t>Curasco</t>
  </si>
  <si>
    <t>POBLACION TOTAL POR PROVINCIAS</t>
  </si>
  <si>
    <t>REGION</t>
  </si>
  <si>
    <t>Censo 2017</t>
  </si>
  <si>
    <t>Tasa de Crecimiento Distrital</t>
  </si>
  <si>
    <t>Proyección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</si>
  <si>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</si>
  <si>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</si>
  <si>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</si>
  <si>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</si>
  <si>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</si>
  <si>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</si>
  <si>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</si>
  <si>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</si>
  <si>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</si>
  <si>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</si>
  <si>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1/Corresponde a la tasa de crecimiento intercensal 2007-2017 a nivel Provincial.</t>
  </si>
  <si>
    <t>Fuente: INEI Censo de Población y Vivienda 2007 -2017.</t>
  </si>
  <si>
    <t>Provincia</t>
  </si>
  <si>
    <t>Distrito</t>
  </si>
  <si>
    <t>Tasa de Crecimiento Regional</t>
  </si>
  <si>
    <t>SUB TOTAL</t>
  </si>
  <si>
    <t>San antonio de chicmo</t>
  </si>
  <si>
    <t>San Jeronimo</t>
  </si>
  <si>
    <t>Departamento, Distrito POR FAMILIA</t>
  </si>
  <si>
    <t>Población:Proyección de la Demanda del Servicio</t>
  </si>
  <si>
    <t>Tipo de población</t>
  </si>
  <si>
    <t>Población total</t>
  </si>
  <si>
    <t>Población de referencia</t>
  </si>
  <si>
    <t>Población demandante potencial</t>
  </si>
  <si>
    <t>Población demandante efectiva</t>
  </si>
  <si>
    <t>Población demandante objetivo</t>
  </si>
  <si>
    <t>Familias: Proyección de la Demanda del Servicio</t>
  </si>
  <si>
    <t>Año 2023</t>
  </si>
  <si>
    <t>14.4  DESEMBARQUE DE RECURSOS MARÍTIMOS, SEGÚN ESPECIE, 2011-2017</t>
  </si>
  <si>
    <t xml:space="preserve">           (Toneladas métricas brutas)</t>
  </si>
  <si>
    <t>Especie</t>
  </si>
  <si>
    <t>2017 P/</t>
  </si>
  <si>
    <t xml:space="preserve">Total Pescados </t>
  </si>
  <si>
    <t>Pelágicos 1/</t>
  </si>
  <si>
    <t>Anchoveta</t>
  </si>
  <si>
    <t>Atún</t>
  </si>
  <si>
    <t>Bonito</t>
  </si>
  <si>
    <t>Caballa</t>
  </si>
  <si>
    <t>Jurel</t>
  </si>
  <si>
    <t>Perico</t>
  </si>
  <si>
    <t>Samasa</t>
  </si>
  <si>
    <t>Sardina</t>
  </si>
  <si>
    <t>Tiburón</t>
  </si>
  <si>
    <t>Demersales 2/</t>
  </si>
  <si>
    <t>Ayanque (Cachema)</t>
  </si>
  <si>
    <t>Cabrilla</t>
  </si>
  <si>
    <t>Coco</t>
  </si>
  <si>
    <t>Lenguado</t>
  </si>
  <si>
    <t>Merluza</t>
  </si>
  <si>
    <t>Raya</t>
  </si>
  <si>
    <t>Tollo</t>
  </si>
  <si>
    <t>Costeros (Pelágicos y Demersales)</t>
  </si>
  <si>
    <t>Cabinza</t>
  </si>
  <si>
    <t>Cojinova</t>
  </si>
  <si>
    <t>Corvina</t>
  </si>
  <si>
    <t>Chita</t>
  </si>
  <si>
    <t>Liza</t>
  </si>
  <si>
    <t>Lorna</t>
  </si>
  <si>
    <t>Machete</t>
  </si>
  <si>
    <t>Pejerrey</t>
  </si>
  <si>
    <t>Pintadilla</t>
  </si>
  <si>
    <t>Otros Peces</t>
  </si>
  <si>
    <t>Otros Grupos</t>
  </si>
  <si>
    <t>Quelonios</t>
  </si>
  <si>
    <t>Crustáceos</t>
  </si>
  <si>
    <t>Cangrejo</t>
  </si>
  <si>
    <t>Langosta</t>
  </si>
  <si>
    <t>Langostino</t>
  </si>
  <si>
    <t>Otros</t>
  </si>
  <si>
    <t>Moluscos</t>
  </si>
  <si>
    <t>Abalón</t>
  </si>
  <si>
    <t>Caracol</t>
  </si>
  <si>
    <t>Choro</t>
  </si>
  <si>
    <t>Concha de Abanico</t>
  </si>
  <si>
    <t>Macha</t>
  </si>
  <si>
    <t>Almeja</t>
  </si>
  <si>
    <t>Calamar</t>
  </si>
  <si>
    <t>Pota</t>
  </si>
  <si>
    <t>Pulpo</t>
  </si>
  <si>
    <t>Equinodermos</t>
  </si>
  <si>
    <t>Cetáceos Menores</t>
  </si>
  <si>
    <t>Vegetales</t>
  </si>
  <si>
    <r>
      <rPr>
        <b/>
        <sz val="6.5"/>
        <rFont val="Arial Narrow"/>
        <family val="2"/>
      </rPr>
      <t xml:space="preserve">Nota: </t>
    </r>
    <r>
      <rPr>
        <sz val="6.5"/>
        <rFont val="Arial Narrow"/>
        <family val="2"/>
      </rPr>
      <t>Los datos del año 2017 son cifras preliminares. Información disponible al 30-03-2018.</t>
    </r>
  </si>
  <si>
    <t>1/  Pelágicos: Son las especies cuyo hábitat de vivencia es la superficie del mar.</t>
  </si>
  <si>
    <t>2/  Demersales: Son las especies cuyo hábitat de vivencia son las profundidades del mar.</t>
  </si>
  <si>
    <t>Fuente: Ministerio de la Producción - Oficina General de Evaluación de Impacto y Estudios Económicos.</t>
  </si>
  <si>
    <t>1. PRODUCCIÓN NACIONAL</t>
  </si>
  <si>
    <t>DESEMBARQUE DE RECURSOS MARÍTIMOS SEGÚN ESPECIE, 2011-2019</t>
  </si>
  <si>
    <t>(Toneladas métricas brutas)</t>
  </si>
  <si>
    <t>2019 P/</t>
  </si>
  <si>
    <r>
      <rPr>
        <b/>
        <sz val="6.5"/>
        <rFont val="Arial Narrow"/>
        <family val="2"/>
      </rPr>
      <t xml:space="preserve">Nota: </t>
    </r>
    <r>
      <rPr>
        <sz val="6.5"/>
        <rFont val="Arial Narrow"/>
        <family val="2"/>
      </rPr>
      <t>Los datos del año 2019 son cifras preliminares. Información disponible al 31-08-2019.</t>
    </r>
  </si>
  <si>
    <t>VENTA INTERNA DE PRODUCTOS PESQUEROS SEGÚN UTILIZACIÓN, 2010-2019</t>
  </si>
  <si>
    <t xml:space="preserve">             (Miles de toneladas métricas brutas)</t>
  </si>
  <si>
    <t>Utilización</t>
  </si>
  <si>
    <t>Consumo Humano Directo 1/</t>
  </si>
  <si>
    <t xml:space="preserve">      Enlatado</t>
  </si>
  <si>
    <t xml:space="preserve">      Congelado</t>
  </si>
  <si>
    <t xml:space="preserve">      Curado</t>
  </si>
  <si>
    <t xml:space="preserve">      Fresco</t>
  </si>
  <si>
    <t>Consumo Humano Indirecto</t>
  </si>
  <si>
    <t>Harina de pescado</t>
  </si>
  <si>
    <t>Harina residual</t>
  </si>
  <si>
    <t>-</t>
  </si>
  <si>
    <t>Aceite crudo de pescado</t>
  </si>
  <si>
    <t>1/ Incluye Pesca Continental.</t>
  </si>
  <si>
    <t>DESEMBARQUE DE RECURSOS HIDROBIOLÓGICOS PARA CONGELADO SEGÚN ESPECIE</t>
  </si>
  <si>
    <t>Fuente: PRODUCE - Oficina Estudios Económicos (OEE).</t>
  </si>
  <si>
    <t>PARTICIPACIÓN PORCENTUAL POR ESPECIE, DEL TOTAL DE PESCADO CONGELADO DESTINADO A CONSUMO HUMANO</t>
  </si>
  <si>
    <t>PROMEDIO</t>
  </si>
  <si>
    <t>Total Congelado (Tn)</t>
  </si>
  <si>
    <t>Total Porcentual (%)</t>
  </si>
  <si>
    <t>Jurel (%)</t>
  </si>
  <si>
    <t>Bonito (%)</t>
  </si>
  <si>
    <t>Caballa (%)</t>
  </si>
  <si>
    <t>Fuente: Elaboración Propia en Base a PRODUCE - Oficina de Estudios Económicos (OEE).</t>
  </si>
  <si>
    <t>Pescado Congelado CHD</t>
  </si>
  <si>
    <t>Especie: Jurel</t>
  </si>
  <si>
    <t>Especie: Bonito</t>
  </si>
  <si>
    <t>Especie: Caballa</t>
  </si>
  <si>
    <t>Cantidad Total (Tn)</t>
  </si>
  <si>
    <t>Cantidad (Miles de Tn)</t>
  </si>
  <si>
    <t>Cantidad (Tn)</t>
  </si>
  <si>
    <t>2. OFERTA REGIONAL</t>
  </si>
  <si>
    <t>OFERTA POR CAMPAÑA DE PESCADO CONGELADO EN LA REGIÓN APURÍMAC</t>
  </si>
  <si>
    <t>REGIÓN / PROVINCIA</t>
  </si>
  <si>
    <t>CANTIDAD (Kg)</t>
  </si>
  <si>
    <t>Total Regional (Kg)</t>
  </si>
  <si>
    <t>Aymaraes</t>
  </si>
  <si>
    <t>Grau</t>
  </si>
  <si>
    <r>
      <t>Fuente:</t>
    </r>
    <r>
      <rPr>
        <sz val="7"/>
        <rFont val="Arial Narrow"/>
        <family val="2"/>
      </rPr>
      <t xml:space="preserve"> Distribuidores Mayoristas-Región Apurímac, 2019.</t>
    </r>
  </si>
  <si>
    <t>OFERTA MAYORISTA ANUAL DE PESCADO CONGELADO EN LA REGIÓN APURÍMAC</t>
  </si>
  <si>
    <t>CANTIDAD ANUAL (Tn)</t>
  </si>
  <si>
    <t>Total Regional (Tn)</t>
  </si>
  <si>
    <t>OFERTA DE PESCADO CONGELADO DEL PROGRAMA A COMER PESCADO EN LA REGIÓN APURÍMAC (TONELADAS)</t>
  </si>
  <si>
    <t>MES / PROVINCIA</t>
  </si>
  <si>
    <t>Total (Tn)</t>
  </si>
  <si>
    <r>
      <t>Fuente:</t>
    </r>
    <r>
      <rPr>
        <sz val="7"/>
        <rFont val="Arial Narrow"/>
        <family val="2"/>
      </rPr>
      <t xml:space="preserve"> Programa a Comer Pescado-Apurímac, 2019.</t>
    </r>
  </si>
  <si>
    <t>OFERTA DE PESCADO CONGELADO ADICIONAL EN LOS PRÓXIMOS AÑOS (TONELADAS)</t>
  </si>
  <si>
    <t>REGIÓN/DISTRITO</t>
  </si>
  <si>
    <t>POBLACIÓN 2007</t>
  </si>
  <si>
    <t>POBLACIÓN 2017</t>
  </si>
  <si>
    <t>TC (%)</t>
  </si>
  <si>
    <t>POBLACIÓN 2018</t>
  </si>
  <si>
    <t>POBLACIÓN 2019</t>
  </si>
  <si>
    <t>POBLACIÓN 2020</t>
  </si>
  <si>
    <t>POBLACIÓN DEMANDANTE POTENCIAL (3.5%)</t>
  </si>
  <si>
    <t>CONSUMO PER-CÁPITA (Kg-Hab/año)</t>
  </si>
  <si>
    <t>VOLUMEN ADICIONAL OFERTADO (Ton)</t>
  </si>
  <si>
    <t>APURÍMAC</t>
  </si>
  <si>
    <t>Chalhuahuacho</t>
  </si>
  <si>
    <t>Pescado Congelado (Tn)</t>
  </si>
  <si>
    <t>Año 0</t>
  </si>
  <si>
    <t>Año 11</t>
  </si>
  <si>
    <t>Año 12</t>
  </si>
  <si>
    <t>Año 13</t>
  </si>
  <si>
    <t>Población:Proyección de la Demanda del Servicio Individual</t>
  </si>
  <si>
    <t>Población Total</t>
  </si>
  <si>
    <t>Población de Referencia</t>
  </si>
  <si>
    <t>Población Demandante Potencial</t>
  </si>
  <si>
    <t>Población Demandante Efectiva</t>
  </si>
  <si>
    <t>Población Demandante Objetivo</t>
  </si>
  <si>
    <t>Familias: Proyección de la Demanda del Servicio Familiar</t>
  </si>
  <si>
    <t>Estimación de la Demanda</t>
  </si>
  <si>
    <t>Variables para la estimación de la demanda</t>
  </si>
  <si>
    <t>Tasa de crecimiento anual</t>
  </si>
  <si>
    <t>Consumo per cápita Anual</t>
  </si>
  <si>
    <t>Consumo de Pescado (Jurel)</t>
  </si>
  <si>
    <t>Consumo de Pescado (Bonito)</t>
  </si>
  <si>
    <t>Consumo de Pescado (Caballa)</t>
  </si>
  <si>
    <t>Volumen: Proyección de la Demanda de Pescado Congelado en Toneladas</t>
  </si>
  <si>
    <t>Volumen</t>
  </si>
  <si>
    <t>Demanda Total</t>
  </si>
  <si>
    <t>Demanda Referencial</t>
  </si>
  <si>
    <t>Demanda Potencial</t>
  </si>
  <si>
    <t>Demanda Efectiva</t>
  </si>
  <si>
    <t>Demanda Objetiva</t>
  </si>
  <si>
    <t>Representación Porcentual de la Demanda Objetiva Respecto a la Demanda Efectiva</t>
  </si>
  <si>
    <t>% Equivalente</t>
  </si>
  <si>
    <t>BRECHA DE CONSUMO DE PESCADO CONGELADO - AMBITO DEL PROYECTO</t>
  </si>
  <si>
    <t>OFERTA</t>
  </si>
  <si>
    <t>DEMANDA EFECTIVA</t>
  </si>
  <si>
    <t>BRECHA</t>
  </si>
  <si>
    <t>PARTICIPACIÓN DEL PROYECTO RESPECTO A LA BRECHA DE PESCADO CONGELADO</t>
  </si>
  <si>
    <t>INDICE DE PARTICIPACIÓN</t>
  </si>
  <si>
    <t xml:space="preserve">Consumo per capita </t>
  </si>
  <si>
    <t>Poblacion</t>
  </si>
  <si>
    <t>%</t>
  </si>
  <si>
    <t>Fuente: programa a comer pescado</t>
  </si>
  <si>
    <t>Por Distrito</t>
  </si>
  <si>
    <t>Per Capita</t>
  </si>
  <si>
    <t>PROYECTO :</t>
  </si>
  <si>
    <t>DESCRIPCION</t>
  </si>
  <si>
    <t>UNIDAD MEDIDA</t>
  </si>
  <si>
    <t>CANTIDAD</t>
  </si>
  <si>
    <t>COSTO UNITARIO S/.</t>
  </si>
  <si>
    <t>COSTO TOTAL S/.</t>
  </si>
  <si>
    <t>TOTAL INVERSION</t>
  </si>
  <si>
    <t>65.11.10</t>
  </si>
  <si>
    <t>PROFESIONAL II(Coordinador de proyecto)</t>
  </si>
  <si>
    <t>Global</t>
  </si>
  <si>
    <t>PROFESIONAL  IV(Profesional de planta)</t>
  </si>
  <si>
    <t>PROFESIONAL VI (Asistente tecnico administrativo)</t>
  </si>
  <si>
    <t>TECNICO I (Operador de camioneta y apoyo de campo)</t>
  </si>
  <si>
    <t>65.11.11</t>
  </si>
  <si>
    <t>Mes</t>
  </si>
  <si>
    <t>65.11.13</t>
  </si>
  <si>
    <t>65.11.20</t>
  </si>
  <si>
    <t>65.11.51</t>
  </si>
  <si>
    <t>Unidad</t>
  </si>
  <si>
    <t>OBLIGACIONES DEL EMPLEADOR (Essalud,ONP,AFP y Otros)</t>
  </si>
  <si>
    <t>GASTOS VARIABLES Y OCASIONALES</t>
  </si>
  <si>
    <t>VIATICOS</t>
  </si>
  <si>
    <t>65.11.23</t>
  </si>
  <si>
    <t>Legalización de libros de actas y cuaderno de obra</t>
  </si>
  <si>
    <t>Und</t>
  </si>
  <si>
    <t>Filmadora</t>
  </si>
  <si>
    <t>Cámara fotográfica digital</t>
  </si>
  <si>
    <t>Proyector Multimedia</t>
  </si>
  <si>
    <t>Equipo de cómputo PC</t>
  </si>
  <si>
    <t>Laptop</t>
  </si>
  <si>
    <t>Impresora Multifuncional</t>
  </si>
  <si>
    <t>Und.</t>
  </si>
  <si>
    <t>65.11.30</t>
  </si>
  <si>
    <t>Archivadores</t>
  </si>
  <si>
    <t xml:space="preserve">Borradores </t>
  </si>
  <si>
    <t>Cinta Maskin 1"x25</t>
  </si>
  <si>
    <t>Rollo</t>
  </si>
  <si>
    <t>Clips</t>
  </si>
  <si>
    <t>Caja</t>
  </si>
  <si>
    <t>Corrector</t>
  </si>
  <si>
    <t>Cuaderno Empastado legalizado</t>
  </si>
  <si>
    <t>Cuaderno espiral de 200 hojas</t>
  </si>
  <si>
    <t>Micas de color varios</t>
  </si>
  <si>
    <t>und</t>
  </si>
  <si>
    <t>Espirales de varios tamaños</t>
  </si>
  <si>
    <t>Post it</t>
  </si>
  <si>
    <t>paq</t>
  </si>
  <si>
    <t>Partes diarios</t>
  </si>
  <si>
    <t>talon</t>
  </si>
  <si>
    <t xml:space="preserve">Pegamento en barra </t>
  </si>
  <si>
    <t>Resaltadores</t>
  </si>
  <si>
    <t>Lapices</t>
  </si>
  <si>
    <t>Boligrafos</t>
  </si>
  <si>
    <t>CDs</t>
  </si>
  <si>
    <t xml:space="preserve">Emgrapador </t>
  </si>
  <si>
    <t>Perforador</t>
  </si>
  <si>
    <t>Fastener</t>
  </si>
  <si>
    <t>File folder</t>
  </si>
  <si>
    <t>Ciento</t>
  </si>
  <si>
    <t>Papel  A4</t>
  </si>
  <si>
    <t>Millar</t>
  </si>
  <si>
    <t>Tampón</t>
  </si>
  <si>
    <t>Pza</t>
  </si>
  <si>
    <t>Toner para impresora</t>
  </si>
  <si>
    <t>Libro de actas</t>
  </si>
  <si>
    <t>SERVICIOS(Gastos de gestión del proyecto)</t>
  </si>
  <si>
    <t>Consulta</t>
  </si>
  <si>
    <t>Pasajes</t>
  </si>
  <si>
    <t>Gastos de representación</t>
  </si>
  <si>
    <t>Viaticos</t>
  </si>
  <si>
    <t>SERVICIOS PROFESIONALES</t>
  </si>
  <si>
    <t>Expediente Tecnico</t>
  </si>
  <si>
    <t>Documento</t>
  </si>
  <si>
    <t>Liquidación</t>
  </si>
  <si>
    <t>Mobiliario</t>
  </si>
  <si>
    <t>Escobas sinteticas con mango</t>
  </si>
  <si>
    <t>Recogedor de plastico</t>
  </si>
  <si>
    <t>Tachos de basura pequeños</t>
  </si>
  <si>
    <t>Baldes vacios</t>
  </si>
  <si>
    <t>Gorras con logo</t>
  </si>
  <si>
    <t>Chalecos</t>
  </si>
  <si>
    <t>Casacas con logo</t>
  </si>
  <si>
    <t>Linternas</t>
  </si>
  <si>
    <t>Galon</t>
  </si>
  <si>
    <t>Lubricantes</t>
  </si>
  <si>
    <t xml:space="preserve">Papel bond A4 80 gr. </t>
  </si>
  <si>
    <t>Papel bond A1</t>
  </si>
  <si>
    <t>Papel Kraft</t>
  </si>
  <si>
    <t>Plumones de papelografo punta gruesa</t>
  </si>
  <si>
    <t>Plumones para pizarra acrilica</t>
  </si>
  <si>
    <t>Tablero acrilico</t>
  </si>
  <si>
    <t>Lapicero</t>
  </si>
  <si>
    <t>Cuaderno de trabajo de campo</t>
  </si>
  <si>
    <t>Cds</t>
  </si>
  <si>
    <t>Cinta masking de 3/4 x 40  Yrd.</t>
  </si>
  <si>
    <t>Cartulina</t>
  </si>
  <si>
    <t>Pizarra acrilica</t>
  </si>
  <si>
    <t>Folder manila A4</t>
  </si>
  <si>
    <t>Papel bond 80gr. A4</t>
  </si>
  <si>
    <t>Engrapador</t>
  </si>
  <si>
    <t>Grapas</t>
  </si>
  <si>
    <t>Caja.</t>
  </si>
  <si>
    <t>Papel bond 80 gr. A-4</t>
  </si>
  <si>
    <t>Cartulina de colores</t>
  </si>
  <si>
    <t>MATERIALES DE ESCRITORIO (Elaboracion participativa de bases del concurso)</t>
  </si>
  <si>
    <t>Lapiceros</t>
  </si>
  <si>
    <t>unidad</t>
  </si>
  <si>
    <t>Papelografo kraft</t>
  </si>
  <si>
    <t xml:space="preserve">Unidad   </t>
  </si>
  <si>
    <t>Plumon punta gruesa de colores</t>
  </si>
  <si>
    <t>Papel bon 80 gr. A - 4</t>
  </si>
  <si>
    <t xml:space="preserve">Unidad </t>
  </si>
  <si>
    <t>Gigantografia 3m X 2m</t>
  </si>
  <si>
    <t>Globos grandes de colores</t>
  </si>
  <si>
    <t>Bolsas</t>
  </si>
  <si>
    <t>Papel membretado</t>
  </si>
  <si>
    <t>Papel kraft</t>
  </si>
  <si>
    <t>Cuadernos de registro de 200 hojas</t>
  </si>
  <si>
    <t xml:space="preserve">Agendas </t>
  </si>
  <si>
    <t>Adquisición de Carpas para stands (3m x 2 m)</t>
  </si>
  <si>
    <t>Modulo</t>
  </si>
  <si>
    <t>Camara fotografica</t>
  </si>
  <si>
    <t>Premio al Primer lugar primaria y secundaria (computadora de escritorio)</t>
  </si>
  <si>
    <t>Premio al segundo lugar primaria y secundaria (impres multifuncional)</t>
  </si>
  <si>
    <t>Premio al tercer lugar primaria y secundaria (juego de camisetas)</t>
  </si>
  <si>
    <t>Jurados calificadores</t>
  </si>
  <si>
    <t>Retribucion</t>
  </si>
  <si>
    <t>Jurado</t>
  </si>
  <si>
    <t>Retribución</t>
  </si>
  <si>
    <t>Persona</t>
  </si>
  <si>
    <t xml:space="preserve">Evaluación inicial y final del proyecto </t>
  </si>
  <si>
    <t>Refrigerio</t>
  </si>
  <si>
    <t>Ración</t>
  </si>
  <si>
    <t>Movilidad</t>
  </si>
  <si>
    <t>Alquiler de local</t>
  </si>
  <si>
    <t>Almuerzo</t>
  </si>
  <si>
    <t>Alimentación</t>
  </si>
  <si>
    <t>Hospedaje</t>
  </si>
  <si>
    <t>Noche</t>
  </si>
  <si>
    <t>OTROS SERVICIOS (Movilizacion para la sensibilizacion en cultura de los recursos forestales a nivel distrital)</t>
  </si>
  <si>
    <t>Movilidad (alquiler de unidades vehiculares para desplazar a los participantes)</t>
  </si>
  <si>
    <t>Racion</t>
  </si>
  <si>
    <t>Dia</t>
  </si>
  <si>
    <t xml:space="preserve">Refrigerios </t>
  </si>
  <si>
    <t>Elaboracion de gigantografia en 3 m x 2 m</t>
  </si>
  <si>
    <t>Movilidad de los participantes</t>
  </si>
  <si>
    <t xml:space="preserve">Alquiler de Shou Infantil con temas de buenos valores </t>
  </si>
  <si>
    <t>Hora</t>
  </si>
  <si>
    <t>Diseño e Impresión de dipticos (29.6cmX21 cm)</t>
  </si>
  <si>
    <t>Diseño e Impresión de tripticos (26.5cm X21cm)</t>
  </si>
  <si>
    <t>Diseño e Impresión de folletos (15.2cm X10.9cm)</t>
  </si>
  <si>
    <t>Diseño e Impresión de calendarios (70cm X90cm)</t>
  </si>
  <si>
    <t>Diseño de spot radial</t>
  </si>
  <si>
    <t>Diseño de spot televisivo</t>
  </si>
  <si>
    <t>Elaboracion de plan de microprograma radial (diseño)</t>
  </si>
  <si>
    <t>Contrato para difucion de spot radial en emisora local (1vez por semana en 3 prov)</t>
  </si>
  <si>
    <t>Suscripcion de contrato para difucion de spot televisivo en espacios televisivos (1 vez por mes en 2 prov)</t>
  </si>
  <si>
    <t>mes</t>
  </si>
  <si>
    <t>Construccion  de mural a todo costo 5m de ancho x 3m de alto (material de concreto)</t>
  </si>
  <si>
    <t>Servicios de pintor/dibujante para pintado de murales</t>
  </si>
  <si>
    <t>servicios</t>
  </si>
  <si>
    <t>Diseño de gigantografia</t>
  </si>
  <si>
    <t>Elaboración de gigantografias 6m de largo x 4m de ancho</t>
  </si>
  <si>
    <t>Elaboracion de gigantografia en 4 m x 3m</t>
  </si>
  <si>
    <t>Servicios de facilitacion (moderador y facilitador)</t>
  </si>
  <si>
    <t xml:space="preserve">Movilidad </t>
  </si>
  <si>
    <t>Elaboracion de gigantografia en 3 m de largo x 2 metros de ancho</t>
  </si>
  <si>
    <t>Movilidad ida y vuelta (participantes)</t>
  </si>
  <si>
    <t>Especialista en sistematizacion (a todo costo)</t>
  </si>
  <si>
    <t>Refrigerios</t>
  </si>
  <si>
    <t>Alquiler de local (capacidad de 100 participantes)</t>
  </si>
  <si>
    <t>Facilitador</t>
  </si>
  <si>
    <t>FORMATO FF- 06</t>
  </si>
  <si>
    <t xml:space="preserve">CUADRO DE PRESUPUESTO ANALÍTICO GENERAL </t>
  </si>
  <si>
    <t>PROYECTO</t>
  </si>
  <si>
    <t>COMPONENT.</t>
  </si>
  <si>
    <t xml:space="preserve">COSTO DIRECTO </t>
  </si>
  <si>
    <t>SUB META</t>
  </si>
  <si>
    <t>COSTO INDIRECTO</t>
  </si>
  <si>
    <t>FTE.FTO</t>
  </si>
  <si>
    <t>RECURSOS ORDINARIOS</t>
  </si>
  <si>
    <t>MODALIDAD</t>
  </si>
  <si>
    <t>Administración directa</t>
  </si>
  <si>
    <t xml:space="preserve">AÑO </t>
  </si>
  <si>
    <t>CANT.</t>
  </si>
  <si>
    <t>COSTO DIRECTO S/.</t>
  </si>
  <si>
    <t>COSTO INDIRECTO S/.</t>
  </si>
  <si>
    <t xml:space="preserve">Resumen de costos a precios sociales </t>
  </si>
  <si>
    <t>COSTO DIRECTO</t>
  </si>
  <si>
    <t>MATERIALES</t>
  </si>
  <si>
    <t>MANO DE OBRA CALIFICADA</t>
  </si>
  <si>
    <t>EQUIPOS</t>
  </si>
  <si>
    <t>SERVICIOS</t>
  </si>
  <si>
    <t>INSUMOS Y SUMINISTROS</t>
  </si>
  <si>
    <t>GASTOS GENERALES</t>
  </si>
  <si>
    <t>GASTOS DE SUPERVISION</t>
  </si>
  <si>
    <t>GASTOS DE GESTION DEL PROYECTO</t>
  </si>
  <si>
    <t>EXPEDIENTE TECNICO</t>
  </si>
  <si>
    <t>LIQUIDACIÓN</t>
  </si>
  <si>
    <t>total</t>
  </si>
  <si>
    <t>“Mejoramiento de los Servicios Públicos para la Promoción del Consumo de Productos hidrobiológicos azules en 22 distritos de las 7 de la región Apurímac”</t>
  </si>
  <si>
    <t>2020 -  2022</t>
  </si>
  <si>
    <t>FACTOR DE CORRECCIÓN</t>
  </si>
  <si>
    <t>COSTOS SOCIALES S/.</t>
  </si>
  <si>
    <t>Tipo de Bienes</t>
  </si>
  <si>
    <t>FC</t>
  </si>
  <si>
    <t>Bienes de origen nacional</t>
  </si>
  <si>
    <t>Bienes Importados</t>
  </si>
  <si>
    <t xml:space="preserve">Mano de Obra Calificada </t>
  </si>
  <si>
    <t>Combustibles</t>
  </si>
  <si>
    <t>PRESUPUESTO GENERAL</t>
  </si>
  <si>
    <t xml:space="preserve">PROYECTO : </t>
  </si>
  <si>
    <t>MODALIDAD:</t>
  </si>
  <si>
    <t>AÑO             :</t>
  </si>
  <si>
    <t>Ítem</t>
  </si>
  <si>
    <t>Descripción</t>
  </si>
  <si>
    <t>Unid.</t>
  </si>
  <si>
    <t>Metrado</t>
  </si>
  <si>
    <t>Precio Unit.</t>
  </si>
  <si>
    <t>Total Ss/.)</t>
  </si>
  <si>
    <t>Mitigación ambiental</t>
  </si>
  <si>
    <t>Levantamiento de linea de base y evaluación final del proyecto</t>
  </si>
  <si>
    <t>COSTO TOTAL DIRECTO</t>
  </si>
  <si>
    <t xml:space="preserve">Gastos Generales </t>
  </si>
  <si>
    <t>Gastos de gestión del proyecto</t>
  </si>
  <si>
    <t>Gastos de supervisión</t>
  </si>
  <si>
    <t xml:space="preserve">Expediente Técnico </t>
  </si>
  <si>
    <t>COSTO TOTAL  INDIRECTO</t>
  </si>
  <si>
    <t>PRESUPUESTO TOTAL</t>
  </si>
  <si>
    <t>DESAGREGADO DEL PRESUPUESTO ANALÍTICO DE  GASTOS GENERALES</t>
  </si>
  <si>
    <t>CODIGO</t>
  </si>
  <si>
    <t>ESPECIFICA DE GASTOS</t>
  </si>
  <si>
    <t>G. GENERALES</t>
  </si>
  <si>
    <t>65.11.32</t>
  </si>
  <si>
    <t>65.11.22</t>
  </si>
  <si>
    <t>65.11.26</t>
  </si>
  <si>
    <t>SERVICIOS DE TERCEROS</t>
  </si>
  <si>
    <t>TOTAL GASTOS GENERALES</t>
  </si>
  <si>
    <t>RETRIBUCIONES COMPLEMENTARIAS-PLAZO FIJO</t>
  </si>
  <si>
    <t>Direccion Técnica y Administrativa</t>
  </si>
  <si>
    <t>CARGO</t>
  </si>
  <si>
    <t>Nº de personas</t>
  </si>
  <si>
    <t>Costo Base</t>
  </si>
  <si>
    <t>Coef. de Participación</t>
  </si>
  <si>
    <t>Meses</t>
  </si>
  <si>
    <t>Costo</t>
  </si>
  <si>
    <t>Costo Sub Total</t>
  </si>
  <si>
    <t>MONTO</t>
  </si>
  <si>
    <t xml:space="preserve"> AFP,Essalud,ONP</t>
  </si>
  <si>
    <t>5TA CATEGORIA</t>
  </si>
  <si>
    <t>Nº DE PERSONAS</t>
  </si>
  <si>
    <t>MESES</t>
  </si>
  <si>
    <t>COSTO</t>
  </si>
  <si>
    <t>DESCRIPCIÓN</t>
  </si>
  <si>
    <t>UND</t>
  </si>
  <si>
    <t>MONTO/DIA</t>
  </si>
  <si>
    <t>MONTO/MES</t>
  </si>
  <si>
    <t>PERSONAS</t>
  </si>
  <si>
    <t>POR PERSONA</t>
  </si>
  <si>
    <t>EQUIPO Y MATERIAL DURADERO</t>
  </si>
  <si>
    <t>Cantidad</t>
  </si>
  <si>
    <t>Número de meses</t>
  </si>
  <si>
    <t>MATERIALES DE ESCRITORIO</t>
  </si>
  <si>
    <t>Muebles</t>
  </si>
  <si>
    <t>EQUIPOS Y MAQUINARIAS</t>
  </si>
  <si>
    <t>VESTUARIO</t>
  </si>
  <si>
    <t>Unidad de Medida</t>
  </si>
  <si>
    <t>COMBUSTIBLE Y LUBRICANTES</t>
  </si>
  <si>
    <t>Concepto</t>
  </si>
  <si>
    <t>OTROS SERVICIOS DE TERCEROS</t>
  </si>
  <si>
    <t>Alquiler de local (Proyecto)</t>
  </si>
  <si>
    <t xml:space="preserve">Totales =  </t>
  </si>
  <si>
    <t>DESAGREGADO DEL PRESUPUESTO DE GASTOS DE GESTION DEL PROYECTO</t>
  </si>
  <si>
    <t>: ADMINISTRACION DIRECTA</t>
  </si>
  <si>
    <t>Codigo</t>
  </si>
  <si>
    <t>Descripción Gastos de gestión del proyecto</t>
  </si>
  <si>
    <t>Parcial (S/.)</t>
  </si>
  <si>
    <t>Mesas de trabajo con expertos</t>
  </si>
  <si>
    <t>Talleres de trabajo con equipo técnico</t>
  </si>
  <si>
    <t>TOTAL  DE GASTO</t>
  </si>
  <si>
    <t xml:space="preserve">: </t>
  </si>
  <si>
    <t>: ADMINISTRACIÓN DIRECTA</t>
  </si>
  <si>
    <t>RETRIBUCIONES COMPLEMENTARIAS</t>
  </si>
  <si>
    <t>BIENES DE CONSUMO</t>
  </si>
  <si>
    <t>DEL EMPLEADO EVENTUAL</t>
  </si>
  <si>
    <t>DESAGREGADO DE GASTOS DE LIQUIDACIÓN</t>
  </si>
  <si>
    <t>G. LIQUIDACIÓN</t>
  </si>
  <si>
    <t>REFRIGERIO Y MOVILIDAD</t>
  </si>
  <si>
    <t>COMBUSTIBLES Y LUBRICANTES</t>
  </si>
  <si>
    <t>65.11.39</t>
  </si>
  <si>
    <t>PASAJES Y GASTOS DE TRANSPORTE</t>
  </si>
  <si>
    <t>TOTAL GASTOS LIQUIDACION</t>
  </si>
  <si>
    <t xml:space="preserve"> % COSTO DIRECTO</t>
  </si>
  <si>
    <t>RETRIBUCIONES COMPLEMENTARIAS-CONTRATOS A PLAZO FIJO</t>
  </si>
  <si>
    <t xml:space="preserve"> </t>
  </si>
  <si>
    <t>N° DE PERSONAS</t>
  </si>
  <si>
    <t>COMISION LIQUIDADORA</t>
  </si>
  <si>
    <t>ASISENTE ADMINISTRATIVO</t>
  </si>
  <si>
    <t>MENSUAL</t>
  </si>
  <si>
    <t>VIATICOS COMISION LIQUIDADORA</t>
  </si>
  <si>
    <t>VIATICOS ASISTENTE ADMINISTRATIVO</t>
  </si>
  <si>
    <t>COMBUSTIBLES VARIOS</t>
  </si>
  <si>
    <t>P.U.</t>
  </si>
  <si>
    <t>GAS - DIESEL</t>
  </si>
  <si>
    <t>GLN</t>
  </si>
  <si>
    <t xml:space="preserve">ARCHIVADORES LOMO ANCHO </t>
  </si>
  <si>
    <t>CD RECARGABLE X 10 UND</t>
  </si>
  <si>
    <t>CLIPS PEQUEÑOS</t>
  </si>
  <si>
    <t>CJA</t>
  </si>
  <si>
    <t>CORRECTOR PENTEL LIQUIDO</t>
  </si>
  <si>
    <t>CUADERNO ESPIRAL DE 200 HOJAS</t>
  </si>
  <si>
    <t>PZA</t>
  </si>
  <si>
    <t>FILES</t>
  </si>
  <si>
    <t>CIENTO</t>
  </si>
  <si>
    <t>PAPEL BOND A-4  80 GR</t>
  </si>
  <si>
    <t>MILL</t>
  </si>
  <si>
    <t>TONER</t>
  </si>
  <si>
    <t xml:space="preserve">PEGAMENTO EN BARRA </t>
  </si>
  <si>
    <t>PORTAMINAS ROTRING 0.5</t>
  </si>
  <si>
    <t>RESALTADORES</t>
  </si>
  <si>
    <t>SELLOS</t>
  </si>
  <si>
    <t>PLOTEO DE PLANOS Y MAPAS</t>
  </si>
  <si>
    <t>POST IT</t>
  </si>
  <si>
    <t>PAQUETE</t>
  </si>
  <si>
    <t>FOTOCOPIAS</t>
  </si>
  <si>
    <t xml:space="preserve">PASAJES Y GASTOS DE TRANSPORTE </t>
  </si>
  <si>
    <t>ALQULER DE CAMIONETA MAQUINA SECA</t>
  </si>
  <si>
    <t>DIAS</t>
  </si>
  <si>
    <t>COSTO  TOTAL  GASTOS  DE  LIQUIDACIÓN</t>
  </si>
  <si>
    <t>S/.</t>
  </si>
  <si>
    <t>DESAGREGADO DE GASTOS DE EXPEDIENTE TECNICO</t>
  </si>
  <si>
    <t>TOTAL GASTOS EXPEDIENTE</t>
  </si>
  <si>
    <t>DESAGREGADO  DEL  PRESUPUESTO  ANALITICO</t>
  </si>
  <si>
    <t>PERSONAL</t>
  </si>
  <si>
    <t>Coordinador del equipo de trabajo</t>
  </si>
  <si>
    <t xml:space="preserve">Especialistas en formulacion de expedientes </t>
  </si>
  <si>
    <t>Tecnico de campo</t>
  </si>
  <si>
    <t>Personal de apoyo</t>
  </si>
  <si>
    <t>MATERIALES Y EQUIPOS</t>
  </si>
  <si>
    <t>Papelote</t>
  </si>
  <si>
    <t>Plumones</t>
  </si>
  <si>
    <t>Pepel bom A4 80 GM</t>
  </si>
  <si>
    <t>Copias</t>
  </si>
  <si>
    <t>Cuadernos</t>
  </si>
  <si>
    <t>Actas</t>
  </si>
  <si>
    <t>Viaticos comision para reunion distrital</t>
  </si>
  <si>
    <t>COMBUSTIBLE Y LUBRICANTE</t>
  </si>
  <si>
    <t xml:space="preserve">Lubricante </t>
  </si>
  <si>
    <t>Sobre</t>
  </si>
  <si>
    <t>Mantenimiento</t>
  </si>
  <si>
    <t>COSTO  TOTAL  GASTOS  DEL EXPEDIENTE</t>
  </si>
  <si>
    <t>1.0.0</t>
  </si>
  <si>
    <t>1.1.0</t>
  </si>
  <si>
    <t>1.1.1</t>
  </si>
  <si>
    <t>1.1.2</t>
  </si>
  <si>
    <t>2.0.0</t>
  </si>
  <si>
    <t>2.1.0</t>
  </si>
  <si>
    <t>2.2.0</t>
  </si>
  <si>
    <t>ADQUISICION DE VEHICULOS MOTORIZADOS con camaras isometricas (y/o) camiones frigorífico.</t>
  </si>
  <si>
    <t>2.3.0</t>
  </si>
  <si>
    <t>ACONDICIONAMIENTO De congeladoras industriales para productos hidrobiológicos azules.</t>
  </si>
  <si>
    <t>2.1.1</t>
  </si>
  <si>
    <t>2.1.2</t>
  </si>
  <si>
    <t>2.1.3</t>
  </si>
  <si>
    <t>Adquisición de una balanza rampa electrónica y enseres de equipamiento de manipulación para Abancay. 2 tn</t>
  </si>
  <si>
    <t>Adquisición de 1 camión isotérmico de bajo y mediano tonelaje Abancay. 1 tn</t>
  </si>
  <si>
    <t>Adquisición de 1 camión isotérmico de bajo y mediano tonelaje Andahuaylas. 1 tn</t>
  </si>
  <si>
    <t>2.3.1</t>
  </si>
  <si>
    <t>2.3.2</t>
  </si>
  <si>
    <t>3.0.0</t>
  </si>
  <si>
    <t>3.1.0</t>
  </si>
  <si>
    <t>3.2.0</t>
  </si>
  <si>
    <t>3.2.1</t>
  </si>
  <si>
    <t>Elaboración de afiches publicitarios para el consumo de productos  hidrobiológicos azules.</t>
  </si>
  <si>
    <t>3.2.2</t>
  </si>
  <si>
    <t>Elaboración de Folletos explicativos del por qué el consumo de hidrobiológicos azules.</t>
  </si>
  <si>
    <t>Producción e impresión de Gigantografias y murales publicitario para el consumo de productos hidrobiológicos azules.</t>
  </si>
  <si>
    <t>Elaboración de muñecos promocionales tamaño personal (Jurel man) publicitario para el consumo de productos hidrobiológicos azules.</t>
  </si>
  <si>
    <t>Áreas correctamente equipadas con equipos de cómputo, materiales y útiles de oficina.</t>
  </si>
  <si>
    <t>millar</t>
  </si>
  <si>
    <t>Lapicero tinta seca con diseño</t>
  </si>
  <si>
    <t>Paleógrafo</t>
  </si>
  <si>
    <t>Papel bond 80g tamaño A4</t>
  </si>
  <si>
    <t>emp x 500</t>
  </si>
  <si>
    <t>Informe</t>
  </si>
  <si>
    <t>SERVICIO MESA DE DIALOGO INTERINSTITUCIONAL.</t>
  </si>
  <si>
    <t xml:space="preserve">Curso taller  teórico práctico de la actividad pesquera y su Consumo/ Mesa de Dialogo. </t>
  </si>
  <si>
    <t xml:space="preserve">Curso taller  teórico práctico de la actividad pesquera y su Alamcenamiento/ Mesa de Dialogo. </t>
  </si>
  <si>
    <t xml:space="preserve">Curso taller  teórico práctico de la actividad pesquera y su Transporte/ Mesa de Dialogo. </t>
  </si>
  <si>
    <t xml:space="preserve">Curso taller  teórico práctico de la actividad pesquera y su Logistica/ Mesa de Dialogo. </t>
  </si>
  <si>
    <t>GLB</t>
  </si>
  <si>
    <t>M3</t>
  </si>
  <si>
    <t>RELLENO Y COMP. MANUAL MAT. DE PRESTAMO</t>
  </si>
  <si>
    <t>M2</t>
  </si>
  <si>
    <t>KG</t>
  </si>
  <si>
    <t>CARTEL DE IDENTIFICACION DE LA OBRA DE 3.60X2.40 M ABANCAY</t>
  </si>
  <si>
    <t>CERCO PROVISIONAL DURANTE LA EJECUCION DE LA OBRA ABANCAY</t>
  </si>
  <si>
    <t>CORTE PARA CONFORMACION DE TERRAPLENES ABANCAY</t>
  </si>
  <si>
    <t>ELIMINACION MATERIAL EXCEDENTE C/MAQUINARIA ABANCAY</t>
  </si>
  <si>
    <t>TRAZO Y NIVELES Y REPLANTEO ABANCAY</t>
  </si>
  <si>
    <t>MOVILIZACION Y DESMOLIZACION DE EQUIPO ABANCAY</t>
  </si>
  <si>
    <t>SEGURIDAD Y SALUD EN EL TRABAJO ABANCAY</t>
  </si>
  <si>
    <t>TRAZO Y REPLANTEO ABANCAY</t>
  </si>
  <si>
    <t>MOVIMIENTO DE TIERRA ABANCAY</t>
  </si>
  <si>
    <t xml:space="preserve"> ZAPATAS, CONCRETO f'c=210 kg/cm2  ABANCAY</t>
  </si>
  <si>
    <t xml:space="preserve"> ZAPATAS, ACERO F'Y=4200 KG/CM2  ABANCAY</t>
  </si>
  <si>
    <t>TIJERAL  METALICO  ABANCAY</t>
  </si>
  <si>
    <t>CORREAS NETALICAS ABANCAY</t>
  </si>
  <si>
    <t>ANCLAJE DE COLUMNAS DE TUBO  LAC ABANCAY</t>
  </si>
  <si>
    <t>VIGA ESTRUCTURAL METALICA ABANCAY</t>
  </si>
  <si>
    <t>ARRIOSTRES CENTRAL ENTRE  TIJERAL ABANCAY</t>
  </si>
  <si>
    <t>PISO DE CEMENTO PULIDO  (TRATAMIENTO SEGÚN INDICACIONES DEL ESPECIALISTA) ABANCAY</t>
  </si>
  <si>
    <t>MUROS DE POLIURETANO INYECTADO ABANCAY</t>
  </si>
  <si>
    <t>CIELO RASO CON POLIURETANO INYECTADO ABANCAY</t>
  </si>
  <si>
    <t>PUERTA  METALICA ABANCAY</t>
  </si>
  <si>
    <t>PIUNTADO DE ESTRUCTURAS METALICAS ABANCAY</t>
  </si>
  <si>
    <t>PINTADO DE PARES ABANCAY</t>
  </si>
  <si>
    <t>INSTALACION DE COBERTURA CON LAMINA TERMOACUSTICO 5.00 X 0.83M ABANCAY</t>
  </si>
  <si>
    <t>INSTALACION DE SERCO PERIMETRICO  CON MALLAS ABANCAY</t>
  </si>
  <si>
    <t xml:space="preserve">MEJORAMIENTO AREA ADMINISTRATIVA.  </t>
  </si>
  <si>
    <t>MATERIALES DE ESCRITORIO (Articulacion Representacion provincial Abancay comerciantes/Mesas de Concertacion)</t>
  </si>
  <si>
    <t>MATERIALES DE ESCRITORIO (Articulacion Representacion provincial Abancay Consumidores/Mesas de Concertacion)</t>
  </si>
  <si>
    <t>MATERIALES DE ESCRITORIO (Articulacion Representacion provincial Andahuaylas Consumidores/Mesas de Concertacion)</t>
  </si>
  <si>
    <t>MATERIALES DE ESCRITORIO (Articulacion Representacion provincial Antabamba Consumidores/Mesas de Concertacion)</t>
  </si>
  <si>
    <t>MATERIALES DE ESCRITORIO (Articulacion Representacion provincial Aymaraes Consumidores/Mesas de Concertacion)</t>
  </si>
  <si>
    <t>MATERIALES DE ESCRITORIO (Articulacion Representacion provincial Chincheros Consumidores/Mesas de Concertacion)</t>
  </si>
  <si>
    <t>MATERIALES DE ESCRITORIO (Articulacion Representacion provincial Cotabambas Consumidores/Mesas de Concertacion)</t>
  </si>
  <si>
    <t>MATERIALES DE ESCRITORIO (Articulacion Representacion provincial Grau Consumidores/Mesas de Concertacion)</t>
  </si>
  <si>
    <t>MATERIALES DE ESCRITORIO (Elaboracion de Material didactico Castellano/Quechua)</t>
  </si>
  <si>
    <t>Elaboracion de Material didactico Castellano/Quechua</t>
  </si>
  <si>
    <t>Afiches A3 Plastificado</t>
  </si>
  <si>
    <t>Manual de Productos Hidrobiologicos Azules</t>
  </si>
  <si>
    <t>Manual de Caracteristicas de los Productos Hidrobiologicos Azules</t>
  </si>
  <si>
    <t>Manual de cocina de Productos Hidrobiologicos Azules</t>
  </si>
  <si>
    <t>Manual de Salubridad de los Productos Hidrobiologicos Azules</t>
  </si>
  <si>
    <t>Manual de afianzamiento del Consumo de Productos Hidrobiologicos Azules</t>
  </si>
  <si>
    <t>Manual de Propiedades y Ventajas del Productos Hidrobiologicos Azules</t>
  </si>
  <si>
    <t>Manual de informacion Productos Hidrobiologicos Azules</t>
  </si>
  <si>
    <t>Manual de sensibilizacion para el consumo de Productos Hidrobiologicos Azules</t>
  </si>
  <si>
    <t>Manual de buenas practicas en la cocina de los Productos Hidrobiologicos Azules.</t>
  </si>
  <si>
    <t>Producción e impresión de material de difucion didáctico y educativo del consumo de productos  hidrobiológicos azules.</t>
  </si>
  <si>
    <t>Diseño de material audiovisual del consumo de productos  hidrobiológicos azules</t>
  </si>
  <si>
    <t>Diseño de material audiovisual de las experiencias exitosas del consumo de productos  hidrobiológicos azules</t>
  </si>
  <si>
    <t>Titeres de juego de peces bailarines (Jurel, Bonito, Anchoveta)</t>
  </si>
  <si>
    <t>Premio al primer puesto (Cocina con Productos hidrobiologicos azules)</t>
  </si>
  <si>
    <t>Premio al segundo puesto (Cocina con Productos hidrobiologicos azules)</t>
  </si>
  <si>
    <t>Premio al tercero puesto (Cocina con Productos hidrobiologicos azules)</t>
  </si>
  <si>
    <t>MATERIALES  Y UTILES DE ESCRITORIO (Concurso Cocina con Productos hidrobiologicos azules)</t>
  </si>
  <si>
    <t>MATERIALES  Y UTILES DE ESCRITORIO (Realización de ferias de Productos hidrobiologicos azules)</t>
  </si>
  <si>
    <t>OTROS SERVICIOS (Realización Ferial de Productos Hidrobiologicos azules a nivel regional)</t>
  </si>
  <si>
    <t>MATERIALES  Y UTILES DE ESCRITORIO (Realización Ferial de Productos Hidrobiologicos azules a nivel regional)</t>
  </si>
  <si>
    <t>EQUIPAMIENTO (Concuro Cocina con Productos hidrobiologicos azules)</t>
  </si>
  <si>
    <t>MANO DE OBRA  CALIFICADA (Ferias Distritales participativa)</t>
  </si>
  <si>
    <t>CONTRATACION PERSONAL (Elaboracion participativa de bases del concurso ferial)</t>
  </si>
  <si>
    <t>MATERIALES DE ESCRITORIO (Constitución tematica sensibilizacion en las Instituciones Educativas)</t>
  </si>
  <si>
    <t>MATERIALES  Y UTILES DE ESCRITORIO (Modulo de Sensibilizacion en el Consumo de Productos Hidrobilogicos azules)</t>
  </si>
  <si>
    <t>MATERIALES  Y UTILES DE ESCRITORIO (Modulo de conservacion de Productos hidrobilologicos Azules)</t>
  </si>
  <si>
    <t>MATERIALES  Y UTILES DE ESCRITORIO (Movilizacion para la sensibilizacion en cultura del consumo de porductos hidrobiologicos IE a nivel distrital)</t>
  </si>
  <si>
    <t>EQUIPAMIENTO (Realización Movilizacion de campañanas en cultura en consumo de productos hidrobilogicos en las instituciones educativas y organización a nivel provincial)</t>
  </si>
  <si>
    <t>MANO DE OBRA  CALIFICADA (participacion en la movilizacion y experiencia exitosa en el consumo de productos hidrobiologicos)</t>
  </si>
  <si>
    <t>IMPLEMENTACIÓN DE MANUALES DE BUENAS PRÁCTICAS.</t>
  </si>
  <si>
    <t>Coordinaciones técnicas-especializadas Regional</t>
  </si>
  <si>
    <t>Pasajes de especialista ida y vuelta a nivel regional</t>
  </si>
  <si>
    <t>Pasajes ida y vuelta Distritos-Abancay (terrestre)</t>
  </si>
  <si>
    <t>Viajes de reconocimiento inicial de experiencias de Consumo de Productos Hidrobiologicos Azules exitosos</t>
  </si>
  <si>
    <t>Ponchos impermeables con logo(Pescado)</t>
  </si>
  <si>
    <t>Articulacion Representacion provincial Abancay comerciantes/Mesas de Concertacion</t>
  </si>
  <si>
    <t>Articulacion Representacion provincial Andahuaylas comerciantes/Mesas de Concertacion</t>
  </si>
  <si>
    <t>MATERIALES DE ESCRITORIO (Articulacion Representacion provincial Andahuaylas comerciantes/Mesas de Concertacion)</t>
  </si>
  <si>
    <t>Articulacion Representacion provincial Abancay Consumidores/Mesas de Concertacion</t>
  </si>
  <si>
    <t>Articulacion Representacion provincial Andahuaylas Consumidores/Mesas de Concertacion</t>
  </si>
  <si>
    <t>Articulacion Representacion provincial Antabamba Consumidores/Mesas de Concertacion</t>
  </si>
  <si>
    <t>Articulacion Representacion provincial Aymaraes Consumidores/Mesas de Concertacion</t>
  </si>
  <si>
    <t>Articulacion Representacion provincial Chincheros Consumidores/Mesas de Concertacion</t>
  </si>
  <si>
    <t>Articulacion Representacion provincial Cotabambas Consumidores/Mesas de Concertacion</t>
  </si>
  <si>
    <t>Articulacion Representacion provincial Grau Consumidores/Mesas de Concertacion</t>
  </si>
  <si>
    <t>Lapiceros con diseño del proyecto</t>
  </si>
  <si>
    <t>Llaveros con diseño del proyecto</t>
  </si>
  <si>
    <t>Carpetas de documentos con diseño del proyecto</t>
  </si>
  <si>
    <t>Cuaderno espiral de 100 hojas con diseño del proyecto</t>
  </si>
  <si>
    <t>Agenda de 100 hojas  con diseño del proyecto</t>
  </si>
  <si>
    <t>Chalecos con diseño del proyecto</t>
  </si>
  <si>
    <t>Gorros con diseño del proyecto</t>
  </si>
  <si>
    <t>Polos con diseño del proyecto</t>
  </si>
  <si>
    <t>Suscripcion de contrato con emisora por un espacio de 5 minutos para difución de microprograma radial 1 vez a la semana (en 3 prov por tres años)</t>
  </si>
  <si>
    <t>Contrato de espacio radial para emitir programa por semana  1 hora (7 prov)</t>
  </si>
  <si>
    <t>OTROS SERVICIOS (Realización de Productos hidrobiologicos azules en las capitales de distrito  y provincia)</t>
  </si>
  <si>
    <t>OTROS SERVICIOS (Realización de campañanas en cultura de consumo de productos hidrobiologicos en las instituciones educativas y organización a nivel provincial)</t>
  </si>
  <si>
    <t>Difucion del codigo de practicas para el pescado y los productos pesqueros</t>
  </si>
  <si>
    <t>Manual del codigo de practicas para el pescado y los productos pesqueros</t>
  </si>
  <si>
    <t>Resumen de costos a precios Privados</t>
  </si>
  <si>
    <t>Factor Productivo</t>
  </si>
  <si>
    <t>Unidad Fisica</t>
  </si>
  <si>
    <t>Dimension Fisica</t>
  </si>
  <si>
    <t>Gestion</t>
  </si>
  <si>
    <t>Activos</t>
  </si>
  <si>
    <t>Accion</t>
  </si>
  <si>
    <t>Equipamiento</t>
  </si>
  <si>
    <t>Vehiculo</t>
  </si>
  <si>
    <t>Sensibilización en las Instituciones Educativas.</t>
  </si>
  <si>
    <t>Sistematización en la WEB.</t>
  </si>
  <si>
    <t>Activacion y enlazamientos en las redes sociales de experiencias exitosas en los comedores (Pescado)</t>
  </si>
  <si>
    <t>Enlaces</t>
  </si>
  <si>
    <t>Diseño, Lanzamiento y mantenimiento de una pagina Web.</t>
  </si>
  <si>
    <t>Instituciones Educativas sensibilizando al consumo de Productos Hidrobiológicos Azules</t>
  </si>
  <si>
    <t>2.2.2</t>
  </si>
  <si>
    <t>2.1.1.1</t>
  </si>
  <si>
    <t>2.1.2.1</t>
  </si>
  <si>
    <t>2.1.3.1</t>
  </si>
  <si>
    <t>Adquisición de una balanza rampa electrónica y enseres de equipamiento de manipulación. 2 tn</t>
  </si>
  <si>
    <t>Instalación de una cámara frigorífica de alto tonelaje.</t>
  </si>
  <si>
    <t xml:space="preserve">INSTALACION DE 2 CÁMARAS FRIGORÍFICAS DE ALTO TONELAJE. </t>
  </si>
  <si>
    <t>Instalación de una cámara frigorífica de alto tonelaje en Abancay, 25 tn</t>
  </si>
  <si>
    <t>FERIAS DE CONOCIMIENTO, CULTURA E INNOVACIÓN HIDROBIOLOGICO.</t>
  </si>
  <si>
    <t xml:space="preserve">Adquisición de una Camioneta para la supervisión, transporte e intervención inmediata de productos hidrobiológicos azules. </t>
  </si>
  <si>
    <t>USB de 64 Gz</t>
  </si>
  <si>
    <t>Adquisición de un monta cargas  Neumatica</t>
  </si>
  <si>
    <t>Concurso ferial de productos hidrobiológicos azules a nivel distrital.</t>
  </si>
  <si>
    <t>Concurso ferial de productos hidrobiológicos azules a nivel provincial.</t>
  </si>
  <si>
    <t>Concurso ferial de productos hidrobiológicos azules a nivel regional.</t>
  </si>
  <si>
    <t>Sistematizacion de experiencias exitosas de comedores de pescado en la region Apurimac, WEB</t>
  </si>
  <si>
    <t>Alquiler de local Multiuso</t>
  </si>
  <si>
    <t>Alquiler de local Ferial</t>
  </si>
  <si>
    <t>Movilidad (Zona 1)</t>
  </si>
  <si>
    <t>Movilidad (Zona 2)</t>
  </si>
  <si>
    <t>Movilidad (Zona 3)</t>
  </si>
  <si>
    <t>Muñeco "jurel man" de Esponja</t>
  </si>
  <si>
    <t>Muñeco "Bonito" de tripley de 1m x 0.5</t>
  </si>
  <si>
    <t>Petroleo</t>
  </si>
  <si>
    <t>GG</t>
  </si>
  <si>
    <t>GGP</t>
  </si>
  <si>
    <t>L</t>
  </si>
  <si>
    <t>USB de 16 GB</t>
  </si>
  <si>
    <t>RETRIBUCIONES COMPLEMENTARIAS -PLAZO FIJO GG</t>
  </si>
  <si>
    <t xml:space="preserve">Curso taller  teórico práctico de la actividad pesquera y su Comercializacion/ Mesa de Dialogo. </t>
  </si>
  <si>
    <t>COMPONENTE 1. INSTALACIONES ADECUADAS PARA LA PROVISIÓN DE LOS SERVICIOS.</t>
  </si>
  <si>
    <t>1.0.0.0</t>
  </si>
  <si>
    <t>1.1.0.0</t>
  </si>
  <si>
    <t>Adecuación de ambiente para el correcto funcionamiento de la Dirección de Pesquería DIREPRO.</t>
  </si>
  <si>
    <t>1.1.1.0</t>
  </si>
  <si>
    <t>INTSALCIONES ELECTRICAS ESPECIALES ABANCAY</t>
  </si>
  <si>
    <t>Adecuación de ambiente para el correcto funcionamiento de la Cámara frigorífica, DIREPRO.</t>
  </si>
  <si>
    <t>1.1.2.1</t>
  </si>
  <si>
    <t>1.1.2.2</t>
  </si>
  <si>
    <t>1.1.2.3</t>
  </si>
  <si>
    <t>1.1.2.4</t>
  </si>
  <si>
    <t>1.1.2.5</t>
  </si>
  <si>
    <t>1.1.2.6</t>
  </si>
  <si>
    <t>1.1.2.7</t>
  </si>
  <si>
    <t>1.1.2.8</t>
  </si>
  <si>
    <t>1.1.2.9</t>
  </si>
  <si>
    <t>1.1.2.10</t>
  </si>
  <si>
    <t>1.1.2.11</t>
  </si>
  <si>
    <t>1.1.2.12</t>
  </si>
  <si>
    <t>1.1.2.13</t>
  </si>
  <si>
    <t>1.1.2.14</t>
  </si>
  <si>
    <t>1.1.2.15</t>
  </si>
  <si>
    <t>1.1.2.16</t>
  </si>
  <si>
    <t>1.1.2.17</t>
  </si>
  <si>
    <t>1.1.2.18</t>
  </si>
  <si>
    <t>1.1.2.19</t>
  </si>
  <si>
    <t>1.1.2.20</t>
  </si>
  <si>
    <t>1.1.2.21</t>
  </si>
  <si>
    <t>1.1.2.22</t>
  </si>
  <si>
    <t>1.1.2.23</t>
  </si>
  <si>
    <t>1.1.2.24</t>
  </si>
  <si>
    <t>1.1.2.25</t>
  </si>
  <si>
    <t>1.1.2.26</t>
  </si>
  <si>
    <t>1.1.2.27</t>
  </si>
  <si>
    <t>1.1.2.0</t>
  </si>
  <si>
    <t>1.1.1.1</t>
  </si>
  <si>
    <t>Refaccion de ambientes de la direccion de pesqueria/DIREPRO</t>
  </si>
  <si>
    <t>COMPONENTE 2. SUFICIENTE EQUIPAMIENTO.</t>
  </si>
  <si>
    <t>2.0.0.0</t>
  </si>
  <si>
    <t>2.1.0.0</t>
  </si>
  <si>
    <t>2.1.1.0</t>
  </si>
  <si>
    <t>2.1.2.0</t>
  </si>
  <si>
    <t>2.1.3.0</t>
  </si>
  <si>
    <t>2.2.0.0</t>
  </si>
  <si>
    <t>2.2.1.0</t>
  </si>
  <si>
    <t>2.2.2.0</t>
  </si>
  <si>
    <t>2.3.0.0</t>
  </si>
  <si>
    <t>2.3.1.0</t>
  </si>
  <si>
    <t>2.3.2.0</t>
  </si>
  <si>
    <t>3.0.0.0</t>
  </si>
  <si>
    <t>3.1.0.0</t>
  </si>
  <si>
    <t>3.1.1.0</t>
  </si>
  <si>
    <t xml:space="preserve">CAPACITACIONES DEL PERSONAL PROFESIONAL TECNICO QUE LABORA EN LA DIRECCIÓN DE PESQUERIA/DIREPRO </t>
  </si>
  <si>
    <t>COMPONENTE 3. FORMALIDAD EN LOS PROCESOS Y PROCEDIMIENTOS INSTITUCIONALES.</t>
  </si>
  <si>
    <t>Curso taller  teórico práctico de la actividad pesquera y su legislación./ Mesa de Dialogo.</t>
  </si>
  <si>
    <t>CAPACITACIONES DEL PERSONAL VINCULADO CON LA ACTIVIDAD PESQUERA.</t>
  </si>
  <si>
    <t>3.2.0.0</t>
  </si>
  <si>
    <t>3.2.1.0</t>
  </si>
  <si>
    <t>Capacitación a los comerciantes de productos hidrobiológicos azules/ Articulación</t>
  </si>
  <si>
    <t>Capacitación a consumidores finales de productos hidrobiológicos azules./ Articulación.</t>
  </si>
  <si>
    <t>4.0.0.0</t>
  </si>
  <si>
    <t>4.1.0.0</t>
  </si>
  <si>
    <t>4.1.1.0</t>
  </si>
  <si>
    <t>4.1.2.0</t>
  </si>
  <si>
    <t>4.1.3.0</t>
  </si>
  <si>
    <t>4.1.4.0</t>
  </si>
  <si>
    <t>4.1.5.0</t>
  </si>
  <si>
    <t>4.2.0.0</t>
  </si>
  <si>
    <r>
      <t>CAMPAÑAS DE MOVILIZACION</t>
    </r>
    <r>
      <rPr>
        <sz val="10"/>
        <color theme="1"/>
        <rFont val="Arial"/>
        <family val="2"/>
      </rPr>
      <t xml:space="preserve"> </t>
    </r>
  </si>
  <si>
    <t>COMPONENTE 4. ADECUADAS ESTRATEGIAS DE INTEGRACIÓN CON LA POBLACIÓN.</t>
  </si>
  <si>
    <t>4.2.1.0</t>
  </si>
  <si>
    <t>4.2.3.0</t>
  </si>
  <si>
    <t>4.2.2.0</t>
  </si>
  <si>
    <t>4.3.0.0</t>
  </si>
  <si>
    <t>4.3.1.0</t>
  </si>
  <si>
    <t>4.3.2.0</t>
  </si>
  <si>
    <t>4.4.2.0</t>
  </si>
  <si>
    <t>4.5.0.0</t>
  </si>
  <si>
    <t>4.5.1.0</t>
  </si>
  <si>
    <t>2.4.0.0</t>
  </si>
  <si>
    <t>2.4.1.0</t>
  </si>
  <si>
    <t>2.4.2.0</t>
  </si>
  <si>
    <t xml:space="preserve">Archivador </t>
  </si>
  <si>
    <t>Bolígrafo (caja por 50)</t>
  </si>
  <si>
    <t>Plumón pizarra (caja por 12 unidades)</t>
  </si>
  <si>
    <t>Docena</t>
  </si>
  <si>
    <t>Plumón resaltador(caja por 12 unidades)</t>
  </si>
  <si>
    <t>Engrapador tipo alicate rapit</t>
  </si>
  <si>
    <t>Tijera</t>
  </si>
  <si>
    <t>Maskin tape 1,1/2 x 40 yd</t>
  </si>
  <si>
    <t>Cuaderno de cargo  56 gr. X 200 hja.</t>
  </si>
  <si>
    <t>Cuaderno cuadriculado empastado x 100 hojas.</t>
  </si>
  <si>
    <t>Sobre manila A4 PQT x50</t>
  </si>
  <si>
    <t>Tinta para plotter</t>
  </si>
  <si>
    <t>Tóner</t>
  </si>
  <si>
    <t xml:space="preserve">Perforador </t>
  </si>
  <si>
    <t>Grapas 26/6 x 5000</t>
  </si>
  <si>
    <t>caja</t>
  </si>
  <si>
    <t>CD ROM</t>
  </si>
  <si>
    <t>Plumones N° 47</t>
  </si>
  <si>
    <t>Franelas</t>
  </si>
  <si>
    <t>Cajas</t>
  </si>
  <si>
    <t>Sobre manila</t>
  </si>
  <si>
    <t>Paquete</t>
  </si>
  <si>
    <t>Separadores</t>
  </si>
  <si>
    <t>Papel a colores A4</t>
  </si>
  <si>
    <t>EQUIPAMIENTO Y BIENES DURADEROS (Muebles)</t>
  </si>
  <si>
    <t>Escritorio melanina</t>
  </si>
  <si>
    <t>Silla giratoria con brazo</t>
  </si>
  <si>
    <t>Estante archivador de melamina</t>
  </si>
  <si>
    <t>Pizarra acrílica 2 x 1.20</t>
  </si>
  <si>
    <t>Sillas de plástico</t>
  </si>
  <si>
    <t>EQUIPAMIENTO Y BIENES DURADEROS (Equipos)</t>
  </si>
  <si>
    <t>Computadora Portátil I</t>
  </si>
  <si>
    <t xml:space="preserve">Computador de Escritorio  I </t>
  </si>
  <si>
    <t>E cran</t>
  </si>
  <si>
    <t>Proyector multimedia</t>
  </si>
  <si>
    <t>SOFTWARES (LICENCIA)</t>
  </si>
  <si>
    <t xml:space="preserve">Antivirus </t>
  </si>
  <si>
    <t>Licencia Windows</t>
  </si>
  <si>
    <t>Licencia office</t>
  </si>
  <si>
    <t>Áreas correctamente equipadas con equipos de cómputo.</t>
  </si>
  <si>
    <t>Áreas correctamente equipadas con muebles, enseres, materiales y útiles de oficina.</t>
  </si>
  <si>
    <t>3.1.2.0</t>
  </si>
  <si>
    <t>3.1.3.0</t>
  </si>
  <si>
    <t>3.1.4.0</t>
  </si>
  <si>
    <t>3.1.5.0</t>
  </si>
  <si>
    <t>3.1.6.0</t>
  </si>
  <si>
    <t>3.2.2.0</t>
  </si>
  <si>
    <t>Reducion de Riesgos</t>
  </si>
  <si>
    <t>Estabilizacion de Taludes</t>
  </si>
  <si>
    <t>Adecuación de ambientes para el funcionamiento de la Dirección de pesquería-DIREPRO.</t>
  </si>
  <si>
    <t>Impresora multifuncional</t>
  </si>
  <si>
    <t>Unid</t>
  </si>
  <si>
    <t>Supervicion</t>
  </si>
  <si>
    <t>Infraestructura</t>
  </si>
  <si>
    <t>Nro estructuras físicas</t>
  </si>
  <si>
    <t>m2</t>
  </si>
  <si>
    <t>N° Equipamiento</t>
  </si>
  <si>
    <t>N° Vehiculos</t>
  </si>
  <si>
    <t>2.2.1</t>
  </si>
  <si>
    <t>2.4.0</t>
  </si>
  <si>
    <t>N° de Modulos</t>
  </si>
  <si>
    <t>3.1.1</t>
  </si>
  <si>
    <t>3.1.2</t>
  </si>
  <si>
    <t>3.1.3</t>
  </si>
  <si>
    <t>3.1.4</t>
  </si>
  <si>
    <t>3.1.5</t>
  </si>
  <si>
    <t>Curso taller  teórico práctico de Transporte de productos hidrobiológicos azules./ Mesa de Dialogo.</t>
  </si>
  <si>
    <t>Curso taller  teórico práctico de Almacenamiento de productos hidrobiológicos azules./ Mesa de Dialogo.</t>
  </si>
  <si>
    <t>Curso taller  teórico práctico de Comercialización de productos hidrobiológicos azules./ Mesa de Dialogo.</t>
  </si>
  <si>
    <t>Curso taller  teórico práctico de Consumo de productos hidrobiológicos azules./ Mesa de Dialogo.</t>
  </si>
  <si>
    <t>Curso taller  teórico práctico de Logística de productos hidrobiológicos azules./ Mesa de Dialogo.</t>
  </si>
  <si>
    <t>3.1.6</t>
  </si>
  <si>
    <t>Intangible</t>
  </si>
  <si>
    <t>N° de Eventos</t>
  </si>
  <si>
    <t>Capacitación a consumidores finales de productos hidrobiológicos azules./ Articulación</t>
  </si>
  <si>
    <t>4.0.0</t>
  </si>
  <si>
    <t>4.1.0</t>
  </si>
  <si>
    <t>Producción e impresión de material Difusión didáctico y educativo del consumo de productos  hidrobiológicos azules.</t>
  </si>
  <si>
    <t>Materiales</t>
  </si>
  <si>
    <t>N° Materiales</t>
  </si>
  <si>
    <t>4.1.1</t>
  </si>
  <si>
    <t>4.1.2</t>
  </si>
  <si>
    <t>4.1.3</t>
  </si>
  <si>
    <t>4.1.4</t>
  </si>
  <si>
    <t>4.1.5</t>
  </si>
  <si>
    <t>4.2.0</t>
  </si>
  <si>
    <t xml:space="preserve">CAMPAÑAS DE MOVILIZACION </t>
  </si>
  <si>
    <t>4.2.1</t>
  </si>
  <si>
    <t>4.2.2</t>
  </si>
  <si>
    <t>4.2.3</t>
  </si>
  <si>
    <t>4.3.0</t>
  </si>
  <si>
    <t>4.3.1</t>
  </si>
  <si>
    <t>4.3.2</t>
  </si>
  <si>
    <t>4.3.3</t>
  </si>
  <si>
    <t xml:space="preserve">N° Portal WEB </t>
  </si>
  <si>
    <t>4.4.0</t>
  </si>
  <si>
    <t>4.4.1</t>
  </si>
  <si>
    <t>Linea de Base</t>
  </si>
  <si>
    <t>Levantamiento de Linea de Base</t>
  </si>
  <si>
    <t>PROCEDENCIA DE LOS BENEFICIARIOS</t>
  </si>
  <si>
    <t xml:space="preserve">TIPO DE BENFICIARIOS </t>
  </si>
  <si>
    <t>PROCEDIMIENTO DE CALCULO</t>
  </si>
  <si>
    <t>Region Apurimac</t>
  </si>
  <si>
    <t>directos</t>
  </si>
  <si>
    <t>DESCRIPCION (Familias)</t>
  </si>
  <si>
    <t>Encuestas</t>
  </si>
  <si>
    <t>Indirectos</t>
  </si>
  <si>
    <t>P/U PESCADO</t>
  </si>
  <si>
    <t>P/U POLLO</t>
  </si>
  <si>
    <t>P/U RES</t>
  </si>
  <si>
    <t>TOTAL PESCADO</t>
  </si>
  <si>
    <t>TOTAL POLLO</t>
  </si>
  <si>
    <t>TOTAL RES</t>
  </si>
  <si>
    <t>FUENTES DE INFORMACION</t>
  </si>
  <si>
    <t>DIREPRO</t>
  </si>
  <si>
    <t>MUNICIPALIDADES</t>
  </si>
  <si>
    <t>PROVINCIALES</t>
  </si>
  <si>
    <t>DISTRITALES</t>
  </si>
  <si>
    <t>Servicio*</t>
  </si>
  <si>
    <t xml:space="preserve">Activos estratégicos esenciales </t>
  </si>
  <si>
    <t>Camión isotérmico de bajo y mediano tonelaje</t>
  </si>
  <si>
    <t>Camioneta para la supervisión, transporte e intervención inmediata de productos hidrobiológicos azules.</t>
  </si>
  <si>
    <t>Conservadoras industriales.</t>
  </si>
  <si>
    <t>Muebles y enseres</t>
  </si>
  <si>
    <t>Evento</t>
  </si>
  <si>
    <t>Conocimiento de la actividad pesquera y su legislación.</t>
  </si>
  <si>
    <t>Conocimiento del Transporte de productos hidrobiológicos azules.</t>
  </si>
  <si>
    <t>Conocimiento de Almacenamiento de productos hidrobiológicos azules.</t>
  </si>
  <si>
    <t>Conocimiento de Comercialización de productos hidrobiológicos azules.</t>
  </si>
  <si>
    <t>Conocimiento de Consumo de productos hidrobiológicos azules.</t>
  </si>
  <si>
    <t>Conocimiento de Logística de productos hidrobiológicos azules.</t>
  </si>
  <si>
    <t>Conocimiento de los comerciantes de productos hidrobiológicos azules</t>
  </si>
  <si>
    <t>Conocimiento de los consumidores finales de productos hidrobiológicos azules</t>
  </si>
  <si>
    <t>Difusión del código de prácticas para el pescado y los productos pesqueros FAO.</t>
  </si>
  <si>
    <t>Pliego</t>
  </si>
  <si>
    <t xml:space="preserve">Gobierno Regional de Apurimac/Dirección Regional de Pesquería/DIREPRO. </t>
  </si>
  <si>
    <t>Teléfono  ORPI</t>
  </si>
  <si>
    <t>(051) 083 321904</t>
  </si>
  <si>
    <t>Dirección</t>
  </si>
  <si>
    <t>Jr. Puno N° 107 – Abancay</t>
  </si>
  <si>
    <t>Personas responsables de formular el PIP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</si>
  <si>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Lic: en Adm: Waldo Joseph Salas Quispe,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</si>
  <si>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Eco: Katherine Pérez Lizarme,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</si>
  <si>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Ing: Héctor Junior Bazán Juro,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</si>
  <si>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MVZ: Carlos Enrique Alfaro Pinto,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</si>
  <si>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Bach. Rosa Marilia Aguirre Cahuana.</t>
    </r>
  </si>
  <si>
    <t>03 Planeamiento, Gestión y Reserva de Contingencia</t>
  </si>
  <si>
    <t>División funcional</t>
  </si>
  <si>
    <t>006 Gestión</t>
  </si>
  <si>
    <t>Grupo funcional</t>
  </si>
  <si>
    <t>0010 Infraestructura y Equipamiento</t>
  </si>
  <si>
    <t>Sector responsable</t>
  </si>
  <si>
    <t>Gobierno Regional de Apurímac</t>
  </si>
  <si>
    <t>Bien o Servicio</t>
  </si>
  <si>
    <t>Servicios Operativos o Misionales Institucionales</t>
  </si>
  <si>
    <t xml:space="preserve">Desarrollo Institucional  </t>
  </si>
  <si>
    <t>Brecha</t>
  </si>
  <si>
    <t>Atenciones/año</t>
  </si>
  <si>
    <t>Indicador brecha calidad/cobertura</t>
  </si>
  <si>
    <t>porcentaje de servicios operativos o misionales institucionales con capacidad operativa inadecuada</t>
  </si>
  <si>
    <t>Indicador de brecha</t>
  </si>
  <si>
    <t>servicios operativos o misionales institucionales</t>
  </si>
  <si>
    <t>En 22 distritos de las 7 provincias de la región Apurímac.</t>
  </si>
  <si>
    <t>Zona</t>
  </si>
  <si>
    <t>18 L</t>
  </si>
  <si>
    <t xml:space="preserve">Coordenadas Georreferenciadas </t>
  </si>
  <si>
    <t>Este</t>
  </si>
  <si>
    <t>Norte</t>
  </si>
  <si>
    <t xml:space="preserve">“Servicios de Promoción de Consumo de Productos hidrobiológicos azules </t>
  </si>
  <si>
    <t>“Porcentaje de Unidades de Abastecimiento con Capacidad Operativa Inadecuada”.</t>
  </si>
  <si>
    <t>Atenciones/año.</t>
  </si>
  <si>
    <t>Nombre del indicador de la brecha de acceso a servicios</t>
  </si>
  <si>
    <t>Espacio geográfico</t>
  </si>
  <si>
    <t xml:space="preserve">Porcentaje de Servicios Operativos o Misionales Institucionales con Capacidad Operativa Inadecuada. </t>
  </si>
  <si>
    <t xml:space="preserve">Atenciones /año  </t>
  </si>
  <si>
    <t xml:space="preserve">7 Provincia del Departamento de Apurímac </t>
  </si>
  <si>
    <t xml:space="preserve">Contribución de cierre de brechas </t>
  </si>
  <si>
    <t>Nombre</t>
  </si>
  <si>
    <t>Sector</t>
  </si>
  <si>
    <t>Gobierno Regional</t>
  </si>
  <si>
    <t>Nivel de gobierno</t>
  </si>
  <si>
    <t xml:space="preserve">Entidad </t>
  </si>
  <si>
    <r>
      <t>Gobierno Regional</t>
    </r>
    <r>
      <rPr>
        <b/>
        <sz val="10"/>
        <color rgb="FF000000"/>
        <rFont val="Arial"/>
        <family val="2"/>
      </rPr>
      <t xml:space="preserve">  </t>
    </r>
  </si>
  <si>
    <t xml:space="preserve">Nombre de la UEI                     </t>
  </si>
  <si>
    <t xml:space="preserve">Gerencia Regional de Desarrollo económico y Gerencia </t>
  </si>
  <si>
    <t xml:space="preserve">Regional de Desarrollo Social </t>
  </si>
  <si>
    <t>Responsable de la UE</t>
  </si>
  <si>
    <t>Ing. John Váscones Soria</t>
  </si>
  <si>
    <t xml:space="preserve">Dirección </t>
  </si>
  <si>
    <t>Jr. Puno Nº 107 – Abancay</t>
  </si>
  <si>
    <t xml:space="preserve">N° </t>
  </si>
  <si>
    <t>Departamento</t>
  </si>
  <si>
    <t>Localidad/Centro poblado</t>
  </si>
  <si>
    <t>Ubigeo</t>
  </si>
  <si>
    <t>Cachora</t>
  </si>
  <si>
    <t>Santa María  de Chicmo</t>
  </si>
  <si>
    <t>población</t>
  </si>
  <si>
    <t>Descripción.</t>
  </si>
  <si>
    <t>Población Potencial Total</t>
  </si>
  <si>
    <t>Área de estudio</t>
  </si>
  <si>
    <t>Ubicación</t>
  </si>
  <si>
    <t>DPTO. APURIMAC</t>
  </si>
  <si>
    <t>PROVINCIA: ABANCAY</t>
  </si>
  <si>
    <t>DISTRITO: ABANCAY</t>
  </si>
  <si>
    <t>Localización Geográfica del Distrito de Abancay</t>
  </si>
  <si>
    <t>Coordenadas</t>
  </si>
  <si>
    <t>Altitud</t>
  </si>
  <si>
    <t>(msnm)*</t>
  </si>
  <si>
    <t>Región natural</t>
  </si>
  <si>
    <t>Superficie (km2)</t>
  </si>
  <si>
    <t>Densidad poblacional (hab./km2)</t>
  </si>
  <si>
    <t>72° 52′ 52″ W</t>
  </si>
  <si>
    <t>13° 38′ 2″ S</t>
  </si>
  <si>
    <t>Sierra</t>
  </si>
  <si>
    <r>
      <t xml:space="preserve">COORDENADAS LATITUD </t>
    </r>
    <r>
      <rPr>
        <b/>
        <sz val="9"/>
        <color theme="1"/>
        <rFont val="Arial"/>
        <family val="2"/>
      </rPr>
      <t xml:space="preserve"> SU</t>
    </r>
    <r>
      <rPr>
        <sz val="9"/>
        <color theme="1"/>
        <rFont val="Arial"/>
        <family val="2"/>
      </rPr>
      <t>R Detalle</t>
    </r>
  </si>
  <si>
    <t>13º10’00”</t>
  </si>
  <si>
    <t>14º01’24.5”</t>
  </si>
  <si>
    <t>Sur</t>
  </si>
  <si>
    <t>14º50’21”</t>
  </si>
  <si>
    <t>Oeste</t>
  </si>
  <si>
    <t>13º23’43”</t>
  </si>
  <si>
    <t>COORDENADAS SEGÚN LONGITUD OESTE Detalle</t>
  </si>
  <si>
    <t>73º45’20”</t>
  </si>
  <si>
    <t>72º02’57”</t>
  </si>
  <si>
    <t>73º28’55”</t>
  </si>
  <si>
    <t>73º50’44.5”.</t>
  </si>
  <si>
    <t>Servicios</t>
  </si>
  <si>
    <t>Servicio</t>
  </si>
  <si>
    <t>Servicio 1: Infraestructura</t>
  </si>
  <si>
    <t xml:space="preserve">Servicios Institucionales </t>
  </si>
  <si>
    <t>Adquisición de un monta carga para Abancay 1 tn</t>
  </si>
  <si>
    <t>Acondicionamiento e Instalacion de conservadoras industriales de 500 kg para productos hidrobiológicos azules estacionario y Enseres: 0.5 tn a 1 tn</t>
  </si>
  <si>
    <t>Acondicionamiento  e Instalacion de congeladoras industriales 250 kg para productos hidrobiológicos azules Portátil y Enseres. 0.25 a 500 kg</t>
  </si>
  <si>
    <t>Adquisición de 2 camión isotérmico de bajo y mediano tonelaje.</t>
  </si>
  <si>
    <t>SIN PROYECTO</t>
  </si>
  <si>
    <t>OPERACIÓN</t>
  </si>
  <si>
    <t>Personal</t>
  </si>
  <si>
    <t>Bienes</t>
  </si>
  <si>
    <t>MANTENIMIENTO</t>
  </si>
  <si>
    <t>Actividades</t>
  </si>
  <si>
    <t>CON PROYECTO</t>
  </si>
  <si>
    <t>INCREMENTAL</t>
  </si>
  <si>
    <t>* Agregar anexo de costos</t>
  </si>
  <si>
    <t>COSTOS DE OPERACIÓN Y MANTENIMIENTO "CON PROYECTO"</t>
  </si>
  <si>
    <t>Rubros</t>
  </si>
  <si>
    <t>U.M.</t>
  </si>
  <si>
    <t>Monto (S/. Mes)</t>
  </si>
  <si>
    <t>Monto (S/. Año)</t>
  </si>
  <si>
    <t>Fuente de Financiamiento</t>
  </si>
  <si>
    <t>Documento compromiso o sustentatorio</t>
  </si>
  <si>
    <t>Total operación</t>
  </si>
  <si>
    <t>Remuneración:</t>
  </si>
  <si>
    <t>Director (a)</t>
  </si>
  <si>
    <t>Docente</t>
  </si>
  <si>
    <t>Servicios:</t>
  </si>
  <si>
    <t xml:space="preserve">Agua </t>
  </si>
  <si>
    <t>Luz</t>
  </si>
  <si>
    <t>Total Mantenimiento</t>
  </si>
  <si>
    <t>Material de limpieza</t>
  </si>
  <si>
    <t>Pintura y otros materiales</t>
  </si>
  <si>
    <t>Mantenimiento de equipos</t>
  </si>
  <si>
    <t>COSTOS DE OPERACIÓN Y MANTENIMIENTO "SIN PROYECTO"</t>
  </si>
  <si>
    <t>Acta de compromiso de parte de los involucrados</t>
  </si>
  <si>
    <t>Recursos propios</t>
  </si>
  <si>
    <t>Personal nombrado nombrados</t>
  </si>
  <si>
    <t>Actas de compromiso de la DIREPRO</t>
  </si>
  <si>
    <t>Personal operativo</t>
  </si>
  <si>
    <t>DIREPRO-Municipios</t>
  </si>
  <si>
    <t>Pintura y otros materiales (gases)</t>
  </si>
  <si>
    <t>Instalacion de transformador y puesta a tierra</t>
  </si>
  <si>
    <t>Inversión</t>
  </si>
  <si>
    <t>AÑOS (Horizonte de Evaluación)</t>
  </si>
  <si>
    <t>Operación y Mantenimiento "Con Proyecto"</t>
  </si>
  <si>
    <t>Operación</t>
  </si>
  <si>
    <t>Operación y Mantenimiento "Sin Proyecto"</t>
  </si>
  <si>
    <t>Total Costos Incrementales</t>
  </si>
  <si>
    <t>FA : 11%</t>
  </si>
  <si>
    <t>VAC Precios Privados</t>
  </si>
  <si>
    <t>Ratio</t>
  </si>
  <si>
    <t>INDICADOR</t>
  </si>
  <si>
    <t>VACT</t>
  </si>
  <si>
    <t>NUM. DE BENEFICIARIOS</t>
  </si>
  <si>
    <t>C/E</t>
  </si>
  <si>
    <t>A PRECIOS PRIVADOS Unica</t>
  </si>
  <si>
    <t xml:space="preserve">INSTALACION DE UNA CÁMARA FRIGORÍFICA DE ALTO TONELAJE. </t>
  </si>
  <si>
    <t>Adquisición de 2 camión isotérmico de bajo y mediano</t>
  </si>
  <si>
    <t>Acciones</t>
  </si>
  <si>
    <t>Composición porcentual</t>
  </si>
  <si>
    <t>Costo total a precios de mercado</t>
  </si>
  <si>
    <t xml:space="preserve">Factor de corrección* </t>
  </si>
  <si>
    <t xml:space="preserve">Costo a precios sociales </t>
  </si>
  <si>
    <t>Acción 1</t>
  </si>
  <si>
    <t>Insumo no transable</t>
  </si>
  <si>
    <t>Insumo transable**</t>
  </si>
  <si>
    <t>Mano de obra calificada</t>
  </si>
  <si>
    <t>Mano de obra semicalificada</t>
  </si>
  <si>
    <t>Mano de obra no calificada***</t>
  </si>
  <si>
    <t>Combustibles y Lubricantes</t>
  </si>
  <si>
    <t>…</t>
  </si>
  <si>
    <t>Gastos Generales</t>
  </si>
  <si>
    <t>Gestión del proyecto</t>
  </si>
  <si>
    <t>Expediente técnico</t>
  </si>
  <si>
    <t>Supervisión</t>
  </si>
  <si>
    <t>Composición</t>
  </si>
  <si>
    <t xml:space="preserve">Factor de corrección </t>
  </si>
  <si>
    <t>Costos de operación incremental</t>
  </si>
  <si>
    <t>Mano de obra no calificada</t>
  </si>
  <si>
    <t xml:space="preserve">Insumo transable </t>
  </si>
  <si>
    <t>Costos de mantenimiento incremental</t>
  </si>
  <si>
    <t>Actividades de mantenimiento en general</t>
  </si>
  <si>
    <t>I. Beneficios  (+)</t>
  </si>
  <si>
    <t>Beneficios directos</t>
  </si>
  <si>
    <t>Beneficios indirectos</t>
  </si>
  <si>
    <t>Externalidades positivas</t>
  </si>
  <si>
    <t>Total beneficios*</t>
  </si>
  <si>
    <t>* Sólo si corresponde a la tipología del proyecto</t>
  </si>
  <si>
    <t>II. Costos de inversión, operación y mantenimiento (-) a precios sociales</t>
  </si>
  <si>
    <t>1. Costos de inversión</t>
  </si>
  <si>
    <t>2. Costos de reinversión</t>
  </si>
  <si>
    <t>3. Costos de operación incremental</t>
  </si>
  <si>
    <t>4. Costos de mantenimiento incremental</t>
  </si>
  <si>
    <t>Total Costos</t>
  </si>
  <si>
    <t>Flujo de beneficios netos a precios sociales</t>
  </si>
  <si>
    <t>Nota: se realiza por cada alternativa considerada en el proyecto</t>
  </si>
  <si>
    <t>Tipo</t>
  </si>
  <si>
    <t>Criterio de elección**</t>
  </si>
  <si>
    <t>Alternativa 1</t>
  </si>
  <si>
    <t>Costo / Beneficio*</t>
  </si>
  <si>
    <t>Valor Actual Neto (VAN)</t>
  </si>
  <si>
    <t>Tasa Interna de Retorno (TIR)</t>
  </si>
  <si>
    <t>Costo / Eficiencia*</t>
  </si>
  <si>
    <t>Valor Actual de los Costos (VAC)</t>
  </si>
  <si>
    <t>Costo Anual Equivalente (CAE)</t>
  </si>
  <si>
    <t>Costo por capacidad de producción</t>
  </si>
  <si>
    <t>Costo por beneficiario directo</t>
  </si>
  <si>
    <t>ANÁLISIS DE SENSIBILIDAD A PRECIO SOCIAL</t>
  </si>
  <si>
    <t>tasa descuento</t>
  </si>
  <si>
    <t>A precios sociales ALTERNATIVA 1</t>
  </si>
  <si>
    <t>VARIACION %</t>
  </si>
  <si>
    <t>INVERSION</t>
  </si>
  <si>
    <t>VAN</t>
  </si>
  <si>
    <t>TIR</t>
  </si>
  <si>
    <t>FLUJO COSTOS INCREMENTALES A PRECIOS PRIVADOS</t>
  </si>
  <si>
    <t>Detalle</t>
  </si>
  <si>
    <t>Costos con Proyecto</t>
  </si>
  <si>
    <t>Costos de Inversión</t>
  </si>
  <si>
    <t>Costos de Operación y Mantenimiento</t>
  </si>
  <si>
    <t>Costos sin Proyecto</t>
  </si>
  <si>
    <t>Costos Incrementales</t>
  </si>
  <si>
    <t>Beneficios Incrementales</t>
  </si>
  <si>
    <t>FLUJO NETO</t>
  </si>
  <si>
    <t>Beneficiarios</t>
  </si>
  <si>
    <t>VARIACIÓN (%)</t>
  </si>
  <si>
    <t>VAN (S/.)</t>
  </si>
  <si>
    <t>TIR (%)</t>
  </si>
  <si>
    <t>B/C</t>
  </si>
  <si>
    <t>Costo Beneficio</t>
  </si>
  <si>
    <t>FA : 8%</t>
  </si>
  <si>
    <t>FA : 9%</t>
  </si>
  <si>
    <t>Instalacion de Transformador</t>
  </si>
  <si>
    <t>Componentes</t>
  </si>
  <si>
    <t>Formulación y Evaluación</t>
  </si>
  <si>
    <t>Ejecución</t>
  </si>
  <si>
    <t>Funcionamiento</t>
  </si>
  <si>
    <t>Año 0 (36 meses)</t>
  </si>
  <si>
    <t>……….</t>
  </si>
  <si>
    <t>C1:</t>
  </si>
  <si>
    <t>Seguimiento y Monitoreo del Proyecto</t>
  </si>
  <si>
    <t>C2:</t>
  </si>
  <si>
    <t>C3:</t>
  </si>
  <si>
    <t>C4:</t>
  </si>
  <si>
    <t xml:space="preserve">Prestación de los Servicios </t>
  </si>
  <si>
    <t>“Mejoramiento de los Servicios Públicos de la Direccion Regional de Pesqueria/DIREPRO en 22 distritos de las 7 provincias de la Región Apurímac.”</t>
  </si>
  <si>
    <t>Ing. Juan Francisco Cisneros Sullcahuamán</t>
  </si>
  <si>
    <t>Población Demandante Objetivo - En función a los SERVICIOS OPERATIVOS O MISIONALES INSTITUCIONALES con U.M. de BRECHA OFERTA - DEMANDA de  ATENCIONES/AÑO (beneficiarios que reciben el servicio directo de la Dirección de Pesquería/DIREPRO). Análisis realizado en base a la memoria anual de la entidad.</t>
  </si>
  <si>
    <t>Adecuación de Infraestructura para el funcionamiento de la Dirección de pesquería-DIREPRO.</t>
  </si>
  <si>
    <t>Ambientes para el correcto funcionamiento de la dirección de pesquería DIREPRO.</t>
  </si>
  <si>
    <t>Ambiente para el correcto funcionamiento de la cámara frigorífica, DIREPRO.</t>
  </si>
  <si>
    <t xml:space="preserve">Instalación de una cámara frigorífica de alto tonelaje. </t>
  </si>
  <si>
    <t>Cámara frigorífica de alto tonelaje.</t>
  </si>
  <si>
    <t>Monta cargas  neumática</t>
  </si>
  <si>
    <t>Balanza rampa electrónica y enseres de equipamiento de manipulación. 2 tn</t>
  </si>
  <si>
    <t>Adquisición de vehículos motorizados con cámaras isométricas (y/o) camiones frigoríficos.</t>
  </si>
  <si>
    <t>Acondicionamiento de congeladoras industriales para productos hidrobiológicos azuleshidrobiológicos azules</t>
  </si>
  <si>
    <t>Congeladoras industriales portátil</t>
  </si>
  <si>
    <t>Módulos</t>
  </si>
  <si>
    <t>Equipadas con equipos de cómputo</t>
  </si>
  <si>
    <t xml:space="preserve">Capacitaciones del personal profesional técnico que labora en la dirección de pesquería/DIREPRO </t>
  </si>
  <si>
    <t>Taller</t>
  </si>
  <si>
    <t>Capacitaciones del personal vinculado con la actividad pesquera.</t>
  </si>
  <si>
    <t>Elaboración de material didáctico castellano/quechua</t>
  </si>
  <si>
    <t>Ferias de conocimiento, cultura e innovación hidrobiológico.</t>
  </si>
  <si>
    <t xml:space="preserve">Campañas de movilización </t>
  </si>
  <si>
    <t>Implementación de manuales de buenas prácticas.</t>
  </si>
  <si>
    <t>DEMANDA</t>
  </si>
  <si>
    <t>Alternativa de tamaño</t>
  </si>
  <si>
    <t>Valor*</t>
  </si>
  <si>
    <t>Criterio o factor condicionante empleado**</t>
  </si>
  <si>
    <t>Prestación de servicios de atención en la DRP-A.</t>
  </si>
  <si>
    <t>Atenciones/Año</t>
  </si>
  <si>
    <t>Brecha del servicio</t>
  </si>
  <si>
    <t>Infraestructura (adecuación de ambientes)</t>
  </si>
  <si>
    <t xml:space="preserve">Und. </t>
  </si>
  <si>
    <t>Equipamiento (Equipos de cómputo, cámara frigorífica, conservadoras industriales, monta carga, camiones isotérmicos diversos, mobiliario, etc.</t>
  </si>
  <si>
    <t>Capacitaciones</t>
  </si>
  <si>
    <t>ANÁLISIS DE TAMAÑO (¿Cuánto producir?)</t>
  </si>
  <si>
    <t>N°</t>
  </si>
  <si>
    <t>Descripción de las alternativas de localización</t>
  </si>
  <si>
    <t>Coordenadas*</t>
  </si>
  <si>
    <t>Dirección: jr. Wiracocha s/n Abancay de distrito de  Abancay de la provincia de Abancay de la Región Apurímac.</t>
  </si>
  <si>
    <t xml:space="preserve">13°38’22.38’’S, 72°53’01.83’’O </t>
  </si>
  <si>
    <t>Local Institucional propio.</t>
  </si>
  <si>
    <t>ANÁLISIS DE LOCALIZACIÓN (¿Dónde producir?)</t>
  </si>
  <si>
    <t>Procesos</t>
  </si>
  <si>
    <t>Tipo de Factor productivo</t>
  </si>
  <si>
    <t>Activo estratégicos esenciales</t>
  </si>
  <si>
    <t>Tipo de tecnología</t>
  </si>
  <si>
    <t>Factores relevantes que condicionan la tecnología</t>
  </si>
  <si>
    <t>Sustento</t>
  </si>
  <si>
    <t>Factor 1</t>
  </si>
  <si>
    <t>Factor 2</t>
  </si>
  <si>
    <t>Factor 3</t>
  </si>
  <si>
    <t>Instalaciones adecuadas para la provisión de los servicios</t>
  </si>
  <si>
    <t>Infraestructura: adecuación de ambientes para el funcionamiento de la dirección de pesquería-DIREPRO.</t>
  </si>
  <si>
    <t>Adecuación de ambiente para el correcto funcionamiento de la dirección de pesquería DIREPRO.</t>
  </si>
  <si>
    <t>Concreto Armado</t>
  </si>
  <si>
    <t>Condiciones climáticas y físicas</t>
  </si>
  <si>
    <t xml:space="preserve"> RNE y la norma A 080</t>
  </si>
  <si>
    <t>Adecuación de ambiente para el correcto funcionamiento de la cámara frigorífica, DIREPRO.</t>
  </si>
  <si>
    <t>Suficiente equipamiento.</t>
  </si>
  <si>
    <t>Paneles de Acero Inoxidable Propias de su Tecnología</t>
  </si>
  <si>
    <t>Especificaciones técnicas</t>
  </si>
  <si>
    <t>Según características Propias del medio</t>
  </si>
  <si>
    <t>Adquisición de un monta cargas  neumática</t>
  </si>
  <si>
    <t>Apilador Elevador Propias de su Tecnología</t>
  </si>
  <si>
    <t>Plataforma Propias de su Tecnología</t>
  </si>
  <si>
    <t>Adquisición de 2 camiones isotérmico de bajo y mediano tonelaje.</t>
  </si>
  <si>
    <t>Furgón Propias de su Tecnología</t>
  </si>
  <si>
    <t>Adquisición de una camioneta para la supervisión, transporte e intervención inmediata de productos hidrobiológicos azules.</t>
  </si>
  <si>
    <t>PICK UP4X4 DOBLECABINA Propias de su Tecnología</t>
  </si>
  <si>
    <t>Acondicionamiento de congeladoras industriales para productos hidrobiológicos azules.</t>
  </si>
  <si>
    <t>Acondicionamiento de conservadoras industriales</t>
  </si>
  <si>
    <t>Propias de su Tecnología</t>
  </si>
  <si>
    <t>Equipamiento (muebles y equipos).</t>
  </si>
  <si>
    <t>Adquisición de equipamiento (muebles y equipos).</t>
  </si>
  <si>
    <t>Formalidad en los procesos y procedimientos institucionales hidrobiológicos azules.</t>
  </si>
  <si>
    <t>Curso taller  teórico práctico de la actividad pesquera y su legislación/mesa de dialogo.</t>
  </si>
  <si>
    <t>Ninguno</t>
  </si>
  <si>
    <t>Disponibilidad de recursos</t>
  </si>
  <si>
    <t>Según Necesidad del Área Usuaria</t>
  </si>
  <si>
    <t>Curso taller  teórico práctico de transporte de productos hidrobiológicos azules/mesa de dialogo.</t>
  </si>
  <si>
    <t>Curso taller  teórico práctico de almacenamiento de productos hidrobiológicos azules/mesa de dialogo.</t>
  </si>
  <si>
    <t>Curso taller  teórico práctico de comercialización de productos hidrobiológicos azules/mesa de dialogo.</t>
  </si>
  <si>
    <t>Curso taller  teórico práctico de consumo de productos hidrobiológicos azules/mesa de dialogo.</t>
  </si>
  <si>
    <t>Curso taller  teórico práctico de logística de productos hidrobiológicos azules/mesa de dialogo.</t>
  </si>
  <si>
    <t>Capacitación a los comerciantes de productos hidrobiológicos azules/articulación</t>
  </si>
  <si>
    <t>Capacitación a consumidores finales de productos hidrobiológicos azules/articulación</t>
  </si>
  <si>
    <t>Adecuadas estrategias de integración con la población.</t>
  </si>
  <si>
    <t>Elaboración de material didáctico y  educativo de productos. En castellano y quechua.</t>
  </si>
  <si>
    <t>Elaboración de folletos explicativos del por qué el consumo de hidrobiológicos azules.</t>
  </si>
  <si>
    <t>Producción e impresión de material difusión didáctica y educativa del consumo de productos hidrobiológicos azules.</t>
  </si>
  <si>
    <t>Elaboración de muñecos promocionales tamaño personal (jurel man) publicitario para el consumo de productos hidrobiológicos azules.</t>
  </si>
  <si>
    <t>Campañas de movilización</t>
  </si>
  <si>
    <t>Sensibilización en las instituciones educativas.</t>
  </si>
  <si>
    <t>Instituciones educativas sensibilizando al consumo de productos hidrobiológicos azules</t>
  </si>
  <si>
    <t>Sistematización en la Web.</t>
  </si>
  <si>
    <t>Implementación de manuales de buenas prácticas, autorización sanitaria y registro sanitario en el consumo de pescado.</t>
  </si>
  <si>
    <t>ANÁLISIS DE TECNOLOGÍA (¿Cómo producir?)</t>
  </si>
  <si>
    <t>Descripción de alternativas de solución</t>
  </si>
  <si>
    <t>Alternativas técnicas</t>
  </si>
  <si>
    <t xml:space="preserve">Resultado final*
</t>
  </si>
  <si>
    <t>Resumen de las características relevantes del diseño técnico preliminar</t>
  </si>
  <si>
    <t>Documentos que respaldan el planteamiento del diseño técnico preliminar</t>
  </si>
  <si>
    <t xml:space="preserve">Tamaño </t>
  </si>
  <si>
    <t xml:space="preserve">Localización </t>
  </si>
  <si>
    <t xml:space="preserve">Tecnología </t>
  </si>
  <si>
    <t>Alternativa Única: Se Adecuará 02 Ambientes de la Dirección de Pesquería de la Dirección Regional de la Producción, mediante el repintado, resanado y otras actividades de mantenimiento; se implementará las oficinas con la adquisición de equipos informáticos y estantes; se adecuará el terreno para la instalación de 01 cámara frigorífica de 15 toneladas, adquisición de: 01 balanza electrónica, 01 montacargas neumática, 02 camiones isotérmico de 1 TM, 01 camioneta, se realizarán capacitaciones y talleres  vinculados a la actividad pesquera para profesionales y técnicos de la Dirección de pesquería y por extensión a los comerciantes y consumidores finales. Se elaborara Material didáctico y educativo de productos hidrobiológicos azules, se realizaran ferias y campañas de movilización e implementaran manuales de buenas prácticas en el consumo de pescado.</t>
  </si>
  <si>
    <t>2,173 Atenciones/Año</t>
  </si>
  <si>
    <t>La Propuesta contempla la adecuacion de la Infraestructura de concreto armado con un sistema  dual, en 01 nivel, para tener mayor respaldo a la proyección en cuanto al número de niveles se cuenta con el Certificado de Parámetros urbanísticos N°203-2019 emitidos por la Municipalidad Provincial de Abancay; el equipamiento debera ser propia a las exigidas en los expedientes tecnicos y las capacitaciones a las exigentes a la normatividad peruna es importante el llegar al ciudadano para que se realizara deacuerdo a las exigencias del marco del estado en funcion del exediente tecnico.</t>
  </si>
  <si>
    <t>Se contará con 02 Ambientes de la Dirección de Pesquería de la Dirección Regional de la Producción, debidamente pintado, resanado en buenas condiciones de mantenimiento; las oficinas estarán implementadas con la adquisición de equipos informáticos y estantes; el terreno está presto y adecuado para la instalación de 01 cámara frigorífica de 15 toneladas, adquisición de: 01 balanza electrónica, 01 montacargas neumática, 02 camiones isotérmico de 1 TM, 01 camioneta, los profesionales y técnicos de la Dirección de pesquería estaran capacitados y muy bien preparados en atenciones vinculados a la actividad pesquera y por extensión a los comerciantes y consumidores finales. Se cuenta con Material didáctico y educativo de productos hidrobiológicos azules, se realiso ferias y campañas de movilización e implementaran manuales de buenas prácticas en el consumo de pescado.</t>
  </si>
  <si>
    <t xml:space="preserve">El diseño técnico está planteado de acuerdo a la necesidad de la Direccion Regional de Pesqueria/DIREPRO, obedeciendo la  programación implementada, el RNE, y la Norma A 0.80. y el equipamiento según La Norma Sanitaria para las Actividades Pesqueras y Acuícolas DECRETO SUPREMO
Nº 040-2001-PE
. </t>
  </si>
  <si>
    <t>Certificado de parámetros urbanísticos N°203-2019, emitido por la Municipalidad Provincial de Abancay asi como la exigencia de servicios como es de luz (electro sur este) agua y desagüe (EMUSAP)</t>
  </si>
  <si>
    <t>RESUMEN DE LAS ALTERNATIVAS TÉCNICAS</t>
  </si>
  <si>
    <t>8.06 METAS FISICAS DE LOS ACTIVOS QUE SE BUSCAN CREAR O INTERVENIR CON EL PROYECTO*</t>
  </si>
  <si>
    <t>Acción sobre el activo</t>
  </si>
  <si>
    <t>Tipo de factor productivo</t>
  </si>
  <si>
    <t>Unidad Física</t>
  </si>
  <si>
    <t>Dimensión física</t>
  </si>
  <si>
    <t>Acción</t>
  </si>
  <si>
    <t>Activos estratégicos esenciales</t>
  </si>
  <si>
    <t>Unidad de 
medida</t>
  </si>
  <si>
    <t>Adecuación de ambientes para el correcto funcionamiento de la dirección de pesquería DIREPRO.</t>
  </si>
  <si>
    <t>Ambiente</t>
  </si>
  <si>
    <t>N° Ambiente</t>
  </si>
  <si>
    <t>Adquisición de una balanza rampa electrónica y enseres de equipamiento de manipulación. 2TM.</t>
  </si>
  <si>
    <t>Adquisición de 2 camión isotérmico de bajo tonelaje.</t>
  </si>
  <si>
    <t>Nro mobiliario</t>
  </si>
  <si>
    <t>Curso taller  teórico práctico de la actividad pesquera y su legislación./ mesa de dialogo.</t>
  </si>
  <si>
    <t>Curso taller  teórico práctico de transporte de productos hidrobiológicos azules./ mesa de dialogo.</t>
  </si>
  <si>
    <t>Curso taller  teórico práctico de almacenamiento de productos hidrobiológicos azules./ mesa de dialogo.</t>
  </si>
  <si>
    <t>Curso taller  teórico práctico de comercialización de productos hidrobiológicos azules./ mesa de dialogo.</t>
  </si>
  <si>
    <t>Curso taller  teórico práctico de consumo de productos hidrobiológicos azules./ mesa de dialogo.</t>
  </si>
  <si>
    <t>Curso taller  teórico práctico de logística de productos hidrobiológicos azules./ mesa de dialogo.</t>
  </si>
  <si>
    <t>Capacitación a los comerciantes de productos hidrobiológicos azules/ articulación</t>
  </si>
  <si>
    <t>Capacitación a consumidores finales de productos hidrobiológicos azules./ articulación</t>
  </si>
  <si>
    <t>PROFESIONAL II(Supervisor)</t>
  </si>
  <si>
    <t>OBLIGACIONES DEL EMPLEADOR (Essalud,ONP,AFP y Otros) -PLAZO FIJO GG</t>
  </si>
  <si>
    <t>GASTOS VARIABLES Y OCASIONALES (Essalud,ONP,AFP y Otros) -PLAZO FIJO GG</t>
  </si>
  <si>
    <t>EQUIPAMIENTO Y BIENES DURADEROS GG</t>
  </si>
  <si>
    <t>MATERIALES DE ESCRITORIO (gastos generales) GG</t>
  </si>
  <si>
    <t>VESTUARIO ( gastos generales) GG</t>
  </si>
  <si>
    <t>COMBUSTIBLES Y LUBRICANTES (gastos generales) GG</t>
  </si>
  <si>
    <r>
      <t>FUNCION           :</t>
    </r>
    <r>
      <rPr>
        <sz val="9"/>
        <color theme="1"/>
        <rFont val="Calibri Light"/>
        <family val="2"/>
        <scheme val="major"/>
      </rPr>
      <t xml:space="preserve"> </t>
    </r>
  </si>
  <si>
    <t xml:space="preserve">DIVISION FUNCIONAL : </t>
  </si>
  <si>
    <t>MUEBLES GG</t>
  </si>
  <si>
    <t>SERVICIOS DE TERCEROS GG</t>
  </si>
  <si>
    <t>DESAGREGADO DEL PRESUPUESTO ANALÍTICO DE  GASTOS DE SUPERVISIÓN</t>
  </si>
  <si>
    <t>RETRIBUCIONES COMPLEMENTARIAS -PLAZO FIJO SUPER</t>
  </si>
  <si>
    <t>OBLIGACIONES DEL EMPLEADOR (Essalud,ONP,AFP y Otros) -PLAZO FIJO SUPER</t>
  </si>
  <si>
    <t>GASTOS VARIABLES Y OCASIONALES (Essalud,ONP,AFP y Otros) -PLAZO FIJO SUP</t>
  </si>
  <si>
    <t>EQUIPAMIENTO Y BIENES DURADEROS SUP</t>
  </si>
  <si>
    <t>MUEBLES SUP</t>
  </si>
  <si>
    <t>MATERIALES DE ESCRITORIO (gastos generales) SUP</t>
  </si>
  <si>
    <t>Expediente</t>
  </si>
  <si>
    <t>Viaticos comision para reunion Distritall</t>
  </si>
  <si>
    <t>UM</t>
  </si>
  <si>
    <t>AÑOS (Soles)</t>
  </si>
  <si>
    <t>taller</t>
  </si>
  <si>
    <t>Costo Total</t>
  </si>
  <si>
    <t>Adquisición de un monta cargas  Neumática</t>
  </si>
  <si>
    <t>Adquisición de una balanza rampa electrónica y enseres de equipamiento de manipulación. 2 TM</t>
  </si>
  <si>
    <t>Acondicionamiento e Instalación de conservadoras industriales de 500 kg para productos hidrobiológicos azules estacionario y Enseres: 0.5 TM</t>
  </si>
  <si>
    <t>Acondicionamiento  e Instalación de congeladoras industriales 250 kg para productos hidrobiológicos azules Portátil y Enseres. 0.25 a 500 kg</t>
  </si>
  <si>
    <t>Difusión del código de prácticas para el pescado y los productos pesqueros</t>
  </si>
  <si>
    <t>Instalación de transformador y puesta a tierra</t>
  </si>
  <si>
    <t>Levantamiento de Línea de Base</t>
  </si>
  <si>
    <t>Encuesta</t>
  </si>
  <si>
    <t>Acción sobre los activos</t>
  </si>
  <si>
    <t>Cronograma de inversión</t>
  </si>
  <si>
    <t>Componente /acción</t>
  </si>
  <si>
    <t xml:space="preserve">Activos </t>
  </si>
  <si>
    <t>1 Bimestre</t>
  </si>
  <si>
    <t>2 Bimestre</t>
  </si>
  <si>
    <t>3 Bimestre</t>
  </si>
  <si>
    <t>4 Bimestre</t>
  </si>
  <si>
    <t>5 Bimestre</t>
  </si>
  <si>
    <t>6 Bimestre</t>
  </si>
  <si>
    <t>7 Bimestre</t>
  </si>
  <si>
    <t>8 Bimestre</t>
  </si>
  <si>
    <t>9 Bimestre</t>
  </si>
  <si>
    <t>10 Bimestre</t>
  </si>
  <si>
    <t>11 Bimestre</t>
  </si>
  <si>
    <t>12 Bimestre</t>
  </si>
  <si>
    <t>Adecuación de ambientes adecuados para el funcionamiento de la Dirección de pesquería-DIREPRO.</t>
  </si>
  <si>
    <t>Adquisición de vehículos motorizados con cámaras isométricas (y/o) camión frigorífico.</t>
  </si>
  <si>
    <t>Capacitaciones Del Personal Profesional Técnico Que Labora En La Dirección De Pesquería/DIREPRO.</t>
  </si>
  <si>
    <t>Campañas de movilización.</t>
  </si>
  <si>
    <t>COMPONENTE 1. Suficiente y adecuada Infraestructura para la prestación del Servicio en la dirección de Pesquería.</t>
  </si>
  <si>
    <t>COMPONENTE 2. Adecuado Equipamiento en la dirección de Pesquería.</t>
  </si>
  <si>
    <t>Vehículo</t>
  </si>
  <si>
    <t>COMPONENTE 3. Fortalecimiento de capacidades del recurso humano de la Dirección de Pesquería-DIREPRO.</t>
  </si>
  <si>
    <t>COMPONENTE 4. Implementación de Actividades de sensibilización  a la población  beneficiaria de la Dirección de Pesquería-DIREPRO.</t>
  </si>
  <si>
    <t>Reducción de riesgos</t>
  </si>
  <si>
    <t>Gestión</t>
  </si>
  <si>
    <t>Línea de Base</t>
  </si>
  <si>
    <t>Costo estimado de inversión a precios de mercado (Soles)</t>
  </si>
  <si>
    <t>Otros costos</t>
  </si>
  <si>
    <t>BIMESTRE 1</t>
  </si>
  <si>
    <t>BIMESTRE 2</t>
  </si>
  <si>
    <t>BIMESTRE 3</t>
  </si>
  <si>
    <t>BIMESTRE 4</t>
  </si>
  <si>
    <t>BIMESTRE 5</t>
  </si>
  <si>
    <t>BIMESTRE 6</t>
  </si>
  <si>
    <t>BIMESTRE 7</t>
  </si>
  <si>
    <t>BIMESTRE 8</t>
  </si>
  <si>
    <t>BIMESTRE 9</t>
  </si>
  <si>
    <t>BIMESTRE 10</t>
  </si>
  <si>
    <t>BIMESTRE 11</t>
  </si>
  <si>
    <t>BIMESTRE 12</t>
  </si>
  <si>
    <t>Costos a precio de mercado</t>
  </si>
  <si>
    <t>Sub total :</t>
  </si>
  <si>
    <t>Costo total de la Inversión :</t>
  </si>
  <si>
    <t>Unidad de medida representativa</t>
  </si>
  <si>
    <t>Periodo</t>
  </si>
  <si>
    <t>Periodo 1</t>
  </si>
  <si>
    <t>Periodo 2</t>
  </si>
  <si>
    <t>Periodo 3</t>
  </si>
  <si>
    <t>Periodo 4</t>
  </si>
  <si>
    <t>Periodo 5</t>
  </si>
  <si>
    <t>Periodo 6</t>
  </si>
  <si>
    <t>Periodo 7</t>
  </si>
  <si>
    <t>Periodo 8</t>
  </si>
  <si>
    <t>Periodo 9</t>
  </si>
  <si>
    <t>Periodo 10</t>
  </si>
  <si>
    <t>Periodo 11</t>
  </si>
  <si>
    <t>Periodo 12</t>
  </si>
  <si>
    <t>Meta física</t>
  </si>
  <si>
    <t>Adquisición de 7 camión isotérmico de bajo y mediano</t>
  </si>
  <si>
    <t>Acondicionamiento e Instalacion de conservadoras industriales de 500 kg a 1 Tn para productos hidrobiológicos azules estacionario y Enseres: 0.5 tn a 1 tn</t>
  </si>
  <si>
    <t>Acondicionamiento  e Instalacion de congeladoras industriales 250 a 500 kg para productos hidrobiológicos azules Portátil y Enseres. 0.25 a 500 kg</t>
  </si>
  <si>
    <t>Capacitaciones Del Personal Profesional Tecnico Que Labora En La Dirección De Pesquería/DIREPRO.</t>
  </si>
  <si>
    <t>Reduccion de riesgos</t>
  </si>
  <si>
    <t>Costos de reinversión</t>
  </si>
  <si>
    <t>Cronograma de inversión de metas financieras</t>
  </si>
  <si>
    <t>Cronograma de metas físicas</t>
  </si>
  <si>
    <t>Transformación de precios de mercado a precios sociales</t>
  </si>
  <si>
    <t>Fc</t>
  </si>
  <si>
    <t>Monto a precios sociales</t>
  </si>
  <si>
    <t>FLUJO DE EVALUACIÓN A PRECIOS DE MERCADO - COSTO EFECTIVIDAD</t>
  </si>
  <si>
    <t>FLUJO</t>
  </si>
  <si>
    <t>A Ñ O S</t>
  </si>
  <si>
    <t xml:space="preserve">PERIODO "0" - 3 AÑOS DE EJECUCIÓN 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</si>
  <si>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</si>
  <si>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</si>
  <si>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</si>
  <si>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</si>
  <si>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</si>
  <si>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</si>
  <si>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</si>
  <si>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</si>
  <si>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</si>
  <si>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</si>
  <si>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COSTOS CON PROYECTO</t>
  </si>
  <si>
    <t>COSTOS SIN PROYECTO</t>
  </si>
  <si>
    <t>TSD</t>
  </si>
  <si>
    <t>COSTO/EFECTIVIDAD</t>
  </si>
  <si>
    <t>Costos de Operación Incremental</t>
  </si>
  <si>
    <t>Costos de Mantenimiento Incremental</t>
  </si>
  <si>
    <t>Reposición</t>
  </si>
  <si>
    <t>COSTOS DE O&amp;M. CON PROYECTO</t>
  </si>
  <si>
    <t>COSTOS DE O&amp;M. SIN PROYECTO</t>
  </si>
  <si>
    <t>COSTOS INCREMENTALES</t>
  </si>
  <si>
    <t>COSTOS DE O&amp; M CON PROYECTO</t>
  </si>
  <si>
    <t>COSTOS DE O&amp; M SIN PROYECTO</t>
  </si>
  <si>
    <t>Costos de operación y mantenimiento con y sin proyecto A PRECIOS DE MERCADO</t>
  </si>
  <si>
    <t>Costos de operación y mantenimiento con y sin proyecto A PRECIOS SOCIALES</t>
  </si>
  <si>
    <t>BENEFICIARIOS (ATENCIONES/AÑO)</t>
  </si>
  <si>
    <t>Población total regional Apurímac</t>
  </si>
  <si>
    <t>Población Demandante de referencia - Población total de los 22 distritos identificados - INEI.</t>
  </si>
  <si>
    <t>Población Demandante Potencial - Población dispuesta al consumo de pescado, de los de 22 distritos. Análisis realizado en base a resultados de las encuestas.</t>
  </si>
  <si>
    <t>Población Demandante Efectiva - población que considera el pescado en su dieta de los 22 distritos.  Análisis realizado en base a resultados de las encuestas.</t>
  </si>
  <si>
    <t>Población Demandante Objetiva - Población que efectiviza el consumo de pescado a partir de expendio realizado por los distribuidores mayoristas y sus actoresminoristas.  Análisis realizado en base a resultados de las encuestas.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</si>
</sst>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44" formatCode="_ &quot;S/&quot;\ * #,##0.00_ ;_ &quot;S/&quot;\ * \-#,##0.00_ ;_ &quot;S/&quot;\ * &quot;-&quot;??_ ;_ @_ "/>
    <numFmt numFmtId="43" formatCode="_ * #,##0.00_ ;_ * \-#,##0.00_ ;_ * &quot;-&quot;??_ ;_ @_ "/>
    <numFmt numFmtId="164" formatCode="_(* #,##0.00_);_(* \(#,##0.00\);_(* &quot;-&quot;??_);_(@_)"/>
    <numFmt numFmtId="165" formatCode="0.0%"/>
    <numFmt numFmtId="166" formatCode="#,##0.00_ ;\-#,##0.00\ "/>
    <numFmt numFmtId="167" formatCode="#\ ###\ ##0"/>
    <numFmt numFmtId="168" formatCode="0.000"/>
    <numFmt numFmtId="169" formatCode="0.0"/>
    <numFmt numFmtId="170" formatCode="#,##0_ ;\-#,##0\ "/>
    <numFmt numFmtId="171" formatCode="_ * #,##0_ ;_ * \-#,##0_ ;_ * &quot;-&quot;??_ ;_ @_ "/>
    <numFmt numFmtId="172" formatCode="#\ ##0"/>
    <numFmt numFmtId="173" formatCode="[=0]\-;General"/>
    <numFmt numFmtId="174" formatCode="0.0_)"/>
    <numFmt numFmtId="175" formatCode="#\ ##0.0"/>
    <numFmt numFmtId="176" formatCode="0.000_)"/>
    <numFmt numFmtId="177" formatCode="_-* #,##0.00\ _p_t_a_-;\-* #,##0.00\ _p_t_a_-;_-* &quot;-&quot;\ _p_t_a_-;_-@_-"/>
    <numFmt numFmtId="178" formatCode="_-* #,##0.00\ _€_-;\-* #,##0.00\ _€_-;_-* &quot;-&quot;??\ _€_-;_-@_-"/>
    <numFmt numFmtId="179" formatCode="_ * #,##0.000_ ;_ * \-#,##0.000_ ;_ * &quot;-&quot;??_ ;_ @_ "/>
    <numFmt numFmtId="180" formatCode="###,###,###,##0.00"/>
    <numFmt numFmtId="181" formatCode="General_)"/>
    <numFmt numFmtId="182" formatCode="#,##0.00_);\-#,##0.00"/>
    <numFmt numFmtId="183" formatCode="0.00_)"/>
    <numFmt numFmtId="184" formatCode="#,##0.00\ &quot;€&quot;;\-#,##0.00\ &quot;€&quot;"/>
    <numFmt numFmtId="185" formatCode="0.000000"/>
    <numFmt numFmtId="186" formatCode="_ [$S/.-280A]\ * #,##0.00_ ;_ [$S/.-280A]\ * \-#,##0.00_ ;_ [$S/.-280A]\ * &quot;-&quot;??_ ;_ @_ "/>
    <numFmt numFmtId="187" formatCode="&quot;S/&quot;\ #,##0.00"/>
    <numFmt numFmtId="188" formatCode="_-* #,##0_-;\-* #,##0_-;_-* &quot;-&quot;??_-;_-@_-"/>
    <numFmt numFmtId="189" formatCode="[$$-80A]#,##0.00;\-[$$-80A]#,##0.00"/>
    <numFmt numFmtId="190" formatCode="_-* #,##0.0_-;\-* #,##0.0_-;_-* &quot;-&quot;??_-;_-@_-"/>
  </numFmts>
  <fonts count="1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Narrow"/>
      <family val="2"/>
    </font>
    <font>
      <b/>
      <sz val="10"/>
      <color theme="1"/>
      <name val="Arial"/>
      <family val="2"/>
    </font>
    <font>
      <sz val="11"/>
      <color rgb="FF000000"/>
      <name val="Arial Narrow"/>
      <family val="2"/>
    </font>
    <font>
      <sz val="10"/>
      <color rgb="FF364454"/>
      <name val="Arial"/>
      <family val="2"/>
    </font>
    <font>
      <b/>
      <sz val="11"/>
      <color rgb="FF000000"/>
      <name val="Arial Narrow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indexed="8"/>
      <name val="MS Sans Serif"/>
      <family val="2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9"/>
      <color theme="1"/>
      <name val="Arial"/>
      <family val="2"/>
    </font>
    <font>
      <sz val="10"/>
      <name val="Arial"/>
      <family val="2"/>
    </font>
    <font>
      <b/>
      <i/>
      <sz val="1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0"/>
      <color rgb="FFFF0000"/>
      <name val="Arial Narrow"/>
      <family val="2"/>
    </font>
    <font>
      <sz val="9"/>
      <color theme="1"/>
      <name val="Arial Narrow"/>
      <family val="2"/>
    </font>
    <font>
      <b/>
      <sz val="10"/>
      <color theme="0"/>
      <name val="Arial Narrow"/>
      <family val="2"/>
    </font>
    <font>
      <b/>
      <sz val="9"/>
      <color theme="1"/>
      <name val="Arial Narrow"/>
      <family val="2"/>
    </font>
    <font>
      <b/>
      <sz val="9"/>
      <color rgb="FF000000"/>
      <name val="Arial Narrow"/>
      <family val="2"/>
    </font>
    <font>
      <sz val="8"/>
      <color rgb="FF000000"/>
      <name val="Arial Narrow"/>
      <family val="2"/>
    </font>
    <font>
      <sz val="9"/>
      <color rgb="FF000000"/>
      <name val="Arial Narrow"/>
      <family val="2"/>
    </font>
    <font>
      <sz val="10"/>
      <color theme="1"/>
      <name val="Calibri"/>
      <family val="2"/>
      <scheme val="minor"/>
    </font>
    <font>
      <b/>
      <sz val="8"/>
      <color theme="0"/>
      <name val="Arial Narrow"/>
      <family val="2"/>
    </font>
    <font>
      <b/>
      <sz val="8"/>
      <color theme="1"/>
      <name val="Arial Narrow"/>
      <family val="2"/>
    </font>
    <font>
      <b/>
      <sz val="8"/>
      <color rgb="FF000000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b/>
      <sz val="9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7"/>
      <name val="Times New Roman"/>
      <family val="1"/>
    </font>
    <font>
      <b/>
      <sz val="9"/>
      <name val="Arial Narrow"/>
      <family val="2"/>
    </font>
    <font>
      <i/>
      <sz val="10"/>
      <name val="Arial Narrow"/>
      <family val="2"/>
    </font>
    <font>
      <i/>
      <sz val="8"/>
      <name val="Arial Narrow"/>
      <family val="2"/>
    </font>
    <font>
      <b/>
      <sz val="8"/>
      <name val="Arial Narrow"/>
      <family val="2"/>
    </font>
    <font>
      <b/>
      <sz val="6.5"/>
      <name val="Arial Narrow"/>
      <family val="2"/>
    </font>
    <font>
      <sz val="6.5"/>
      <name val="Arial Narrow"/>
      <family val="2"/>
    </font>
    <font>
      <sz val="6.5"/>
      <color theme="1"/>
      <name val="Arial Narrow"/>
      <family val="2"/>
    </font>
    <font>
      <b/>
      <sz val="6"/>
      <name val="Arial Narrow"/>
      <family val="2"/>
    </font>
    <font>
      <b/>
      <i/>
      <sz val="6.5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sz val="6"/>
      <name val="Arial Narrow"/>
      <family val="2"/>
    </font>
    <font>
      <sz val="7"/>
      <color rgb="FFFF0000"/>
      <name val="Arial Narrow"/>
      <family val="2"/>
    </font>
    <font>
      <b/>
      <i/>
      <sz val="8"/>
      <name val="Arial Narrow"/>
      <family val="2"/>
    </font>
    <font>
      <sz val="10.5"/>
      <name val="Arial Narrow"/>
      <family val="2"/>
    </font>
    <font>
      <b/>
      <sz val="10.5"/>
      <name val="Arial Narrow"/>
      <family val="2"/>
    </font>
    <font>
      <sz val="10.5"/>
      <color rgb="FF000000"/>
      <name val="Arial Narrow"/>
      <family val="2"/>
    </font>
    <font>
      <sz val="10.5"/>
      <color rgb="FFFF0000"/>
      <name val="Arial Narrow"/>
      <family val="2"/>
    </font>
    <font>
      <b/>
      <sz val="10.5"/>
      <color rgb="FF000000"/>
      <name val="Arial Narrow"/>
      <family val="2"/>
    </font>
    <font>
      <sz val="9"/>
      <color rgb="FF000000"/>
      <name val="Arial"/>
      <family val="2"/>
    </font>
    <font>
      <b/>
      <sz val="12"/>
      <name val="Arial Narrow"/>
      <family val="2"/>
    </font>
    <font>
      <sz val="9"/>
      <name val="Arial"/>
      <family val="2"/>
    </font>
    <font>
      <b/>
      <sz val="11"/>
      <name val="Arial Narrow"/>
      <family val="2"/>
    </font>
    <font>
      <sz val="10"/>
      <name val="Trebuchet MS"/>
      <family val="2"/>
    </font>
    <font>
      <b/>
      <sz val="10"/>
      <color indexed="8"/>
      <name val="Arial Narrow"/>
      <family val="2"/>
    </font>
    <font>
      <b/>
      <sz val="13"/>
      <color indexed="8"/>
      <name val="Arial Narrow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b/>
      <sz val="9"/>
      <color indexed="8"/>
      <name val="Arial"/>
      <family val="2"/>
    </font>
    <font>
      <u/>
      <sz val="10"/>
      <color indexed="8"/>
      <name val="Arial"/>
      <family val="2"/>
    </font>
    <font>
      <sz val="10"/>
      <color indexed="8"/>
      <name val="Arial Narrow"/>
      <family val="2"/>
    </font>
    <font>
      <b/>
      <sz val="13"/>
      <name val="Arial"/>
      <family val="2"/>
    </font>
    <font>
      <sz val="10"/>
      <color rgb="FF000000"/>
      <name val="Arial"/>
      <family val="2"/>
    </font>
    <font>
      <sz val="10"/>
      <color indexed="9"/>
      <name val="Arial"/>
      <family val="2"/>
    </font>
    <font>
      <u/>
      <sz val="9"/>
      <color indexed="8"/>
      <name val="Arial"/>
      <family val="2"/>
    </font>
    <font>
      <b/>
      <sz val="9"/>
      <color theme="1"/>
      <name val="Century Gothic"/>
      <family val="2"/>
    </font>
    <font>
      <b/>
      <u/>
      <sz val="9"/>
      <color theme="1"/>
      <name val="Century Gothic"/>
      <family val="2"/>
    </font>
    <font>
      <b/>
      <sz val="9"/>
      <color rgb="FF000000"/>
      <name val="Century Gothic"/>
      <family val="2"/>
    </font>
    <font>
      <sz val="9"/>
      <color theme="1"/>
      <name val="Century Gothic"/>
      <family val="2"/>
    </font>
    <font>
      <sz val="9"/>
      <color rgb="FF000000"/>
      <name val="Century Gothic"/>
      <family val="2"/>
    </font>
    <font>
      <b/>
      <sz val="9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theme="7" tint="0.79998168889431442"/>
      <name val="Calibri Light"/>
      <family val="2"/>
      <scheme val="major"/>
    </font>
    <font>
      <sz val="9"/>
      <color theme="6" tint="0.79998168889431442"/>
      <name val="Calibri Light"/>
      <family val="2"/>
      <scheme val="maj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u/>
      <sz val="9"/>
      <color theme="1"/>
      <name val="Calibri Light"/>
      <family val="2"/>
      <scheme val="major"/>
    </font>
    <font>
      <sz val="10"/>
      <color theme="6" tint="0.79998168889431442"/>
      <name val="Arial"/>
      <family val="2"/>
    </font>
    <font>
      <b/>
      <u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Symbol"/>
      <family val="1"/>
      <charset val="2"/>
    </font>
    <font>
      <sz val="7"/>
      <color rgb="FF000000"/>
      <name val="Times New Roman"/>
      <family val="1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rgb="FF000000"/>
      <name val="Arial"/>
      <family val="2"/>
    </font>
    <font>
      <sz val="10"/>
      <color rgb="FF000000"/>
      <name val="Century Gothic"/>
      <family val="2"/>
    </font>
    <font>
      <b/>
      <u/>
      <sz val="9"/>
      <color theme="1"/>
      <name val="Arial"/>
      <family val="2"/>
    </font>
    <font>
      <b/>
      <u/>
      <sz val="8"/>
      <color theme="1"/>
      <name val="Arial"/>
      <family val="2"/>
    </font>
    <font>
      <b/>
      <sz val="12"/>
      <color theme="0"/>
      <name val="Arial"/>
      <family val="2"/>
    </font>
    <font>
      <b/>
      <sz val="10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000000"/>
      <name val="Agency FB"/>
      <family val="2"/>
    </font>
    <font>
      <b/>
      <sz val="12"/>
      <name val="Calibri"/>
      <family val="2"/>
    </font>
    <font>
      <b/>
      <sz val="8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11"/>
      <name val="Calibri"/>
      <family val="2"/>
      <scheme val="minor"/>
    </font>
    <font>
      <sz val="6"/>
      <color theme="1"/>
      <name val="Arial Narrow"/>
      <family val="2"/>
    </font>
    <font>
      <sz val="8"/>
      <name val="Arial"/>
      <family val="2"/>
    </font>
    <font>
      <sz val="14"/>
      <name val="Arial"/>
      <family val="2"/>
    </font>
    <font>
      <sz val="12"/>
      <name val="Times New Roman"/>
      <family val="1"/>
    </font>
    <font>
      <sz val="9.5"/>
      <color theme="1"/>
      <name val="Arial"/>
      <family val="2"/>
    </font>
    <font>
      <sz val="9"/>
      <color rgb="FFFF0000"/>
      <name val="Calibri Light"/>
      <family val="2"/>
      <scheme val="major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b/>
      <i/>
      <u/>
      <sz val="18"/>
      <color theme="1"/>
      <name val="Arial Narrow"/>
      <family val="2"/>
    </font>
    <font>
      <b/>
      <i/>
      <sz val="10"/>
      <color indexed="8"/>
      <name val="Arial Narrow"/>
      <family val="2"/>
    </font>
    <font>
      <sz val="10"/>
      <color rgb="FFFF0000"/>
      <name val="Arial Narrow"/>
      <family val="2"/>
    </font>
    <font>
      <b/>
      <sz val="18"/>
      <color theme="1"/>
      <name val="Arial Narrow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Arial"/>
      <family val="2"/>
    </font>
    <font>
      <b/>
      <sz val="9"/>
      <color rgb="FFFF0000"/>
      <name val="Arial"/>
      <family val="2"/>
    </font>
    <font>
      <b/>
      <sz val="11"/>
      <color rgb="FFFF0000"/>
      <name val="Arial"/>
      <family val="2"/>
    </font>
    <font>
      <sz val="9"/>
      <color rgb="FFFF0000"/>
      <name val="Agency FB"/>
      <family val="2"/>
    </font>
    <font>
      <sz val="11"/>
      <color rgb="FF0070C0"/>
      <name val="Calibri"/>
      <family val="2"/>
      <scheme val="minor"/>
    </font>
    <font>
      <sz val="10"/>
      <color rgb="FF0070C0"/>
      <name val="Arial"/>
      <family val="2"/>
    </font>
    <font>
      <sz val="10.5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FF98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BFAFD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BFAFD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CCFF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medium">
        <color indexed="0"/>
      </left>
      <right/>
      <top style="medium">
        <color indexed="0"/>
      </top>
      <bottom style="medium">
        <color indexed="0"/>
      </bottom>
      <diagonal/>
    </border>
    <border>
      <left/>
      <right/>
      <top style="medium">
        <color indexed="0"/>
      </top>
      <bottom style="medium">
        <color indexed="0"/>
      </bottom>
      <diagonal/>
    </border>
    <border>
      <left/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medium">
        <color indexed="0"/>
      </left>
      <right/>
      <top/>
      <bottom/>
      <diagonal/>
    </border>
    <border>
      <left style="medium">
        <color indexed="0"/>
      </left>
      <right/>
      <top style="medium">
        <color indexed="0"/>
      </top>
      <bottom/>
      <diagonal/>
    </border>
    <border>
      <left/>
      <right/>
      <top style="medium">
        <color indexed="0"/>
      </top>
      <bottom/>
      <diagonal/>
    </border>
    <border>
      <left/>
      <right style="medium">
        <color indexed="0"/>
      </right>
      <top style="medium">
        <color indexed="0"/>
      </top>
      <bottom/>
      <diagonal/>
    </border>
    <border>
      <left/>
      <right style="medium">
        <color indexed="0"/>
      </right>
      <top/>
      <bottom/>
      <diagonal/>
    </border>
    <border>
      <left style="medium">
        <color indexed="0"/>
      </left>
      <right style="thin">
        <color indexed="0"/>
      </right>
      <top/>
      <bottom style="medium">
        <color indexed="0"/>
      </bottom>
      <diagonal/>
    </border>
    <border>
      <left style="medium">
        <color indexed="0"/>
      </left>
      <right/>
      <top/>
      <bottom style="medium">
        <color indexed="0"/>
      </bottom>
      <diagonal/>
    </border>
    <border>
      <left/>
      <right/>
      <top/>
      <bottom style="medium">
        <color indexed="0"/>
      </bottom>
      <diagonal/>
    </border>
    <border>
      <left/>
      <right style="medium">
        <color indexed="0"/>
      </right>
      <top/>
      <bottom style="medium">
        <color indexed="0"/>
      </bottom>
      <diagonal/>
    </border>
    <border>
      <left style="medium">
        <color indexed="0"/>
      </left>
      <right style="thin">
        <color indexed="0"/>
      </right>
      <top/>
      <bottom/>
      <diagonal/>
    </border>
    <border>
      <left style="medium">
        <color indexed="0"/>
      </left>
      <right style="medium">
        <color indexed="0"/>
      </right>
      <top/>
      <bottom/>
      <diagonal/>
    </border>
    <border>
      <left style="medium">
        <color indexed="0"/>
      </left>
      <right style="thin">
        <color indexed="0"/>
      </right>
      <top style="medium">
        <color indexed="0"/>
      </top>
      <bottom/>
      <diagonal/>
    </border>
    <border>
      <left style="thin">
        <color indexed="0"/>
      </left>
      <right style="medium">
        <color indexed="0"/>
      </right>
      <top style="medium">
        <color indexed="0"/>
      </top>
      <bottom/>
      <diagonal/>
    </border>
    <border>
      <left style="thin">
        <color indexed="0"/>
      </left>
      <right style="medium">
        <color indexed="0"/>
      </right>
      <top/>
      <bottom style="medium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rgb="FF000000"/>
      </left>
      <right style="thin">
        <color rgb="FF000000"/>
      </right>
      <top style="thin">
        <color indexed="8"/>
      </top>
      <bottom/>
      <diagonal/>
    </border>
    <border>
      <left style="thin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0"/>
      </right>
      <top style="medium">
        <color indexed="64"/>
      </top>
      <bottom style="medium">
        <color indexed="64"/>
      </bottom>
      <diagonal/>
    </border>
    <border>
      <left style="medium">
        <color indexed="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theme="3" tint="0.59999389629810485"/>
      </left>
      <right style="thin">
        <color theme="3" tint="0.59999389629810485"/>
      </right>
      <top/>
      <bottom style="thin">
        <color theme="3" tint="0.59999389629810485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3" tint="0.59999389629810485"/>
      </right>
      <top/>
      <bottom/>
      <diagonal/>
    </border>
  </borders>
  <cellStyleXfs count="1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43" fontId="2" fillId="0" borderId="0" applyFont="0" applyFill="0" applyBorder="0" applyAlignment="0" applyProtection="0"/>
    <xf numFmtId="0" fontId="2" fillId="0" borderId="0"/>
    <xf numFmtId="0" fontId="51" fillId="0" borderId="0"/>
    <xf numFmtId="174" fontId="51" fillId="0" borderId="0"/>
    <xf numFmtId="0" fontId="51" fillId="0" borderId="0"/>
    <xf numFmtId="178" fontId="20" fillId="0" borderId="0" applyFont="0" applyFill="0" applyBorder="0" applyAlignment="0" applyProtection="0"/>
    <xf numFmtId="0" fontId="75" fillId="0" borderId="0"/>
    <xf numFmtId="0" fontId="75" fillId="0" borderId="0"/>
    <xf numFmtId="184" fontId="20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39" borderId="0" applyNumberFormat="0" applyBorder="0" applyAlignment="0" applyProtection="0"/>
    <xf numFmtId="0" fontId="20" fillId="0" borderId="0"/>
  </cellStyleXfs>
  <cellXfs count="203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4" fontId="9" fillId="0" borderId="1" xfId="0" applyNumberFormat="1" applyFont="1" applyBorder="1" applyAlignment="1">
      <alignment horizontal="right" vertical="center"/>
    </xf>
    <xf numFmtId="10" fontId="9" fillId="0" borderId="1" xfId="0" applyNumberFormat="1" applyFont="1" applyBorder="1" applyAlignment="1">
      <alignment horizontal="right" vertical="center"/>
    </xf>
    <xf numFmtId="0" fontId="10" fillId="5" borderId="1" xfId="0" applyFont="1" applyFill="1" applyBorder="1" applyAlignment="1">
      <alignment vertical="top" wrapText="1"/>
    </xf>
    <xf numFmtId="0" fontId="6" fillId="0" borderId="1" xfId="0" applyFont="1" applyBorder="1" applyAlignment="1">
      <alignment horizontal="justify" vertical="center"/>
    </xf>
    <xf numFmtId="4" fontId="9" fillId="0" borderId="1" xfId="0" applyNumberFormat="1" applyFont="1" applyBorder="1" applyAlignment="1">
      <alignment vertical="center"/>
    </xf>
    <xf numFmtId="0" fontId="1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6" fillId="0" borderId="16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6" fillId="0" borderId="18" xfId="0" applyFont="1" applyFill="1" applyBorder="1" applyAlignment="1">
      <alignment vertical="center" wrapText="1"/>
    </xf>
    <xf numFmtId="0" fontId="6" fillId="0" borderId="19" xfId="0" applyFont="1" applyFill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0" fillId="0" borderId="26" xfId="0" applyFill="1" applyBorder="1"/>
    <xf numFmtId="0" fontId="0" fillId="0" borderId="27" xfId="0" applyBorder="1"/>
    <xf numFmtId="3" fontId="13" fillId="6" borderId="1" xfId="0" applyNumberFormat="1" applyFont="1" applyFill="1" applyBorder="1" applyAlignment="1">
      <alignment vertical="center"/>
    </xf>
    <xf numFmtId="0" fontId="13" fillId="0" borderId="1" xfId="0" applyFont="1" applyBorder="1"/>
    <xf numFmtId="3" fontId="13" fillId="6" borderId="28" xfId="0" applyNumberFormat="1" applyFont="1" applyFill="1" applyBorder="1" applyAlignment="1">
      <alignment vertical="center"/>
    </xf>
    <xf numFmtId="0" fontId="3" fillId="3" borderId="25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right" vertical="center"/>
    </xf>
    <xf numFmtId="3" fontId="14" fillId="7" borderId="1" xfId="0" applyNumberFormat="1" applyFont="1" applyFill="1" applyBorder="1" applyAlignment="1">
      <alignment vertical="center"/>
    </xf>
    <xf numFmtId="0" fontId="4" fillId="0" borderId="24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3" fontId="14" fillId="7" borderId="28" xfId="0" applyNumberFormat="1" applyFont="1" applyFill="1" applyBorder="1" applyAlignment="1">
      <alignment vertical="center"/>
    </xf>
    <xf numFmtId="0" fontId="0" fillId="0" borderId="29" xfId="0" applyFill="1" applyBorder="1"/>
    <xf numFmtId="0" fontId="1" fillId="2" borderId="26" xfId="0" applyFont="1" applyFill="1" applyBorder="1" applyAlignment="1">
      <alignment horizontal="center"/>
    </xf>
    <xf numFmtId="165" fontId="16" fillId="0" borderId="1" xfId="2" applyNumberFormat="1" applyFont="1" applyBorder="1" applyAlignment="1">
      <alignment horizontal="center"/>
    </xf>
    <xf numFmtId="165" fontId="17" fillId="0" borderId="1" xfId="2" applyNumberFormat="1" applyFont="1" applyFill="1" applyBorder="1" applyAlignment="1">
      <alignment horizontal="center"/>
    </xf>
    <xf numFmtId="165" fontId="17" fillId="8" borderId="1" xfId="2" applyNumberFormat="1" applyFont="1" applyFill="1" applyBorder="1" applyAlignment="1">
      <alignment horizontal="center"/>
    </xf>
    <xf numFmtId="3" fontId="13" fillId="0" borderId="22" xfId="0" applyNumberFormat="1" applyFont="1" applyBorder="1"/>
    <xf numFmtId="165" fontId="17" fillId="0" borderId="28" xfId="2" applyNumberFormat="1" applyFont="1" applyFill="1" applyBorder="1" applyAlignment="1">
      <alignment horizontal="center"/>
    </xf>
    <xf numFmtId="165" fontId="1" fillId="0" borderId="30" xfId="0" applyNumberFormat="1" applyFont="1" applyBorder="1"/>
    <xf numFmtId="165" fontId="17" fillId="8" borderId="28" xfId="2" applyNumberFormat="1" applyFont="1" applyFill="1" applyBorder="1" applyAlignment="1">
      <alignment horizontal="center"/>
    </xf>
    <xf numFmtId="3" fontId="0" fillId="0" borderId="22" xfId="0" applyNumberFormat="1" applyBorder="1"/>
    <xf numFmtId="10" fontId="1" fillId="0" borderId="30" xfId="1" applyNumberFormat="1" applyFont="1" applyBorder="1"/>
    <xf numFmtId="10" fontId="1" fillId="0" borderId="2" xfId="1" applyNumberFormat="1" applyFont="1" applyBorder="1"/>
    <xf numFmtId="10" fontId="1" fillId="0" borderId="0" xfId="1" applyNumberFormat="1" applyFont="1" applyBorder="1"/>
    <xf numFmtId="165" fontId="1" fillId="0" borderId="0" xfId="0" applyNumberFormat="1" applyFont="1" applyBorder="1"/>
    <xf numFmtId="165" fontId="16" fillId="0" borderId="31" xfId="2" applyNumberFormat="1" applyFont="1" applyBorder="1" applyAlignment="1">
      <alignment horizontal="center"/>
    </xf>
    <xf numFmtId="165" fontId="18" fillId="0" borderId="1" xfId="2" applyNumberFormat="1" applyFont="1" applyFill="1" applyBorder="1" applyAlignment="1" applyProtection="1">
      <alignment horizontal="center"/>
    </xf>
    <xf numFmtId="165" fontId="18" fillId="8" borderId="1" xfId="2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166" fontId="23" fillId="0" borderId="2" xfId="3" applyNumberFormat="1" applyFont="1" applyBorder="1" applyAlignment="1">
      <alignment horizontal="center"/>
    </xf>
    <xf numFmtId="0" fontId="22" fillId="11" borderId="1" xfId="2" applyFont="1" applyFill="1" applyBorder="1" applyAlignment="1">
      <alignment horizontal="center" vertical="center"/>
    </xf>
    <xf numFmtId="0" fontId="21" fillId="0" borderId="1" xfId="2" applyFont="1" applyBorder="1" applyAlignment="1">
      <alignment vertical="center"/>
    </xf>
    <xf numFmtId="0" fontId="24" fillId="0" borderId="1" xfId="2" applyFont="1" applyBorder="1" applyAlignment="1">
      <alignment horizontal="left" vertical="center"/>
    </xf>
    <xf numFmtId="167" fontId="25" fillId="0" borderId="1" xfId="4" applyNumberFormat="1" applyFont="1" applyFill="1" applyBorder="1" applyAlignment="1">
      <alignment horizontal="right" vertical="center"/>
    </xf>
    <xf numFmtId="0" fontId="23" fillId="0" borderId="1" xfId="2" applyFont="1" applyBorder="1" applyAlignment="1">
      <alignment vertical="center"/>
    </xf>
    <xf numFmtId="0" fontId="21" fillId="11" borderId="1" xfId="2" applyFont="1" applyFill="1" applyBorder="1" applyAlignment="1">
      <alignment vertical="center"/>
    </xf>
    <xf numFmtId="167" fontId="0" fillId="9" borderId="0" xfId="0" applyNumberFormat="1" applyFill="1"/>
    <xf numFmtId="0" fontId="22" fillId="11" borderId="1" xfId="2" applyFont="1" applyFill="1" applyBorder="1" applyAlignment="1">
      <alignment vertical="center"/>
    </xf>
    <xf numFmtId="3" fontId="22" fillId="11" borderId="1" xfId="2" applyNumberFormat="1" applyFont="1" applyFill="1" applyBorder="1" applyAlignment="1">
      <alignment vertical="center"/>
    </xf>
    <xf numFmtId="3" fontId="23" fillId="0" borderId="1" xfId="2" applyNumberFormat="1" applyFont="1" applyBorder="1" applyAlignment="1">
      <alignment vertical="center"/>
    </xf>
    <xf numFmtId="168" fontId="21" fillId="0" borderId="0" xfId="2" applyNumberFormat="1" applyFont="1" applyBorder="1" applyAlignment="1">
      <alignment horizontal="center" vertical="center"/>
    </xf>
    <xf numFmtId="168" fontId="23" fillId="0" borderId="0" xfId="2" applyNumberFormat="1" applyFont="1" applyBorder="1" applyAlignment="1">
      <alignment horizontal="center" vertical="center"/>
    </xf>
    <xf numFmtId="167" fontId="26" fillId="0" borderId="1" xfId="4" applyNumberFormat="1" applyFont="1" applyFill="1" applyBorder="1" applyAlignment="1">
      <alignment horizontal="right" vertical="center"/>
    </xf>
    <xf numFmtId="0" fontId="24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" fontId="7" fillId="9" borderId="1" xfId="0" applyNumberFormat="1" applyFont="1" applyFill="1" applyBorder="1" applyAlignment="1">
      <alignment horizontal="center" vertical="center"/>
    </xf>
    <xf numFmtId="0" fontId="27" fillId="11" borderId="1" xfId="2" applyFont="1" applyFill="1" applyBorder="1" applyAlignment="1">
      <alignment horizontal="center" vertical="center" wrapText="1"/>
    </xf>
    <xf numFmtId="0" fontId="24" fillId="0" borderId="1" xfId="2" applyFont="1" applyBorder="1" applyAlignment="1">
      <alignment vertical="center"/>
    </xf>
    <xf numFmtId="3" fontId="24" fillId="0" borderId="1" xfId="2" applyNumberFormat="1" applyFont="1" applyBorder="1" applyAlignment="1">
      <alignment vertical="center"/>
    </xf>
    <xf numFmtId="0" fontId="27" fillId="11" borderId="1" xfId="2" applyFont="1" applyFill="1" applyBorder="1" applyAlignment="1">
      <alignment horizontal="center" vertical="center"/>
    </xf>
    <xf numFmtId="165" fontId="24" fillId="0" borderId="0" xfId="1" applyNumberFormat="1" applyFont="1" applyAlignment="1">
      <alignment vertical="center"/>
    </xf>
    <xf numFmtId="168" fontId="23" fillId="0" borderId="1" xfId="2" applyNumberFormat="1" applyFont="1" applyBorder="1" applyAlignment="1">
      <alignment horizontal="center" vertical="center"/>
    </xf>
    <xf numFmtId="168" fontId="22" fillId="0" borderId="1" xfId="2" applyNumberFormat="1" applyFont="1" applyBorder="1" applyAlignment="1">
      <alignment horizontal="center" vertical="center"/>
    </xf>
    <xf numFmtId="10" fontId="22" fillId="0" borderId="1" xfId="1" applyNumberFormat="1" applyFont="1" applyBorder="1" applyAlignment="1">
      <alignment vertical="center"/>
    </xf>
    <xf numFmtId="167" fontId="22" fillId="11" borderId="1" xfId="2" applyNumberFormat="1" applyFont="1" applyFill="1" applyBorder="1" applyAlignment="1">
      <alignment vertical="center"/>
    </xf>
    <xf numFmtId="10" fontId="22" fillId="11" borderId="1" xfId="1" applyNumberFormat="1" applyFont="1" applyFill="1" applyBorder="1" applyAlignment="1">
      <alignment vertical="center"/>
    </xf>
    <xf numFmtId="167" fontId="26" fillId="11" borderId="1" xfId="4" applyNumberFormat="1" applyFont="1" applyFill="1" applyBorder="1" applyAlignment="1">
      <alignment horizontal="right" vertical="center"/>
    </xf>
    <xf numFmtId="0" fontId="0" fillId="0" borderId="0" xfId="0" applyBorder="1"/>
    <xf numFmtId="3" fontId="23" fillId="0" borderId="1" xfId="2" applyNumberFormat="1" applyFont="1" applyBorder="1" applyAlignment="1">
      <alignment horizontal="right" vertical="center"/>
    </xf>
    <xf numFmtId="167" fontId="26" fillId="0" borderId="0" xfId="4" applyNumberFormat="1" applyFont="1" applyFill="1" applyBorder="1" applyAlignment="1">
      <alignment horizontal="right" vertical="center"/>
    </xf>
    <xf numFmtId="167" fontId="25" fillId="0" borderId="0" xfId="4" applyNumberFormat="1" applyFont="1" applyFill="1" applyBorder="1" applyAlignment="1">
      <alignment horizontal="right" vertical="center"/>
    </xf>
    <xf numFmtId="0" fontId="0" fillId="0" borderId="0" xfId="0" applyFill="1" applyBorder="1"/>
    <xf numFmtId="0" fontId="23" fillId="0" borderId="0" xfId="2" applyFont="1" applyFill="1" applyAlignment="1">
      <alignment vertical="center"/>
    </xf>
    <xf numFmtId="0" fontId="24" fillId="0" borderId="0" xfId="2" applyFont="1" applyFill="1" applyBorder="1" applyAlignment="1">
      <alignment vertical="center"/>
    </xf>
    <xf numFmtId="0" fontId="23" fillId="0" borderId="0" xfId="2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center" vertical="center"/>
    </xf>
    <xf numFmtId="0" fontId="27" fillId="0" borderId="0" xfId="2" applyFont="1" applyFill="1" applyBorder="1" applyAlignment="1">
      <alignment horizontal="center" vertical="center" wrapText="1"/>
    </xf>
    <xf numFmtId="3" fontId="24" fillId="0" borderId="0" xfId="2" applyNumberFormat="1" applyFont="1" applyFill="1" applyBorder="1" applyAlignment="1">
      <alignment vertical="center"/>
    </xf>
    <xf numFmtId="165" fontId="24" fillId="0" borderId="0" xfId="1" applyNumberFormat="1" applyFont="1" applyFill="1" applyBorder="1" applyAlignment="1">
      <alignment vertical="center"/>
    </xf>
    <xf numFmtId="168" fontId="23" fillId="0" borderId="0" xfId="2" applyNumberFormat="1" applyFont="1" applyFill="1" applyBorder="1" applyAlignment="1">
      <alignment horizontal="center" vertical="center"/>
    </xf>
    <xf numFmtId="0" fontId="0" fillId="0" borderId="0" xfId="0" applyFill="1"/>
    <xf numFmtId="0" fontId="22" fillId="0" borderId="0" xfId="2" applyFont="1" applyFill="1" applyBorder="1" applyAlignment="1">
      <alignment horizontal="center" vertical="center"/>
    </xf>
    <xf numFmtId="0" fontId="22" fillId="11" borderId="1" xfId="2" applyFont="1" applyFill="1" applyBorder="1" applyAlignment="1">
      <alignment horizontal="center" vertical="center" textRotation="90"/>
    </xf>
    <xf numFmtId="0" fontId="23" fillId="0" borderId="1" xfId="2" applyFont="1" applyBorder="1" applyAlignment="1">
      <alignment vertical="center" wrapText="1"/>
    </xf>
    <xf numFmtId="165" fontId="24" fillId="0" borderId="1" xfId="1" applyNumberFormat="1" applyFont="1" applyBorder="1" applyAlignment="1">
      <alignment vertical="center"/>
    </xf>
    <xf numFmtId="169" fontId="24" fillId="0" borderId="1" xfId="2" applyNumberFormat="1" applyFont="1" applyBorder="1" applyAlignment="1">
      <alignment vertical="center"/>
    </xf>
    <xf numFmtId="169" fontId="24" fillId="0" borderId="1" xfId="1" applyNumberFormat="1" applyFont="1" applyBorder="1" applyAlignment="1">
      <alignment vertical="center"/>
    </xf>
    <xf numFmtId="0" fontId="24" fillId="0" borderId="1" xfId="2" applyFont="1" applyBorder="1" applyAlignment="1">
      <alignment horizontal="center" vertical="center"/>
    </xf>
    <xf numFmtId="169" fontId="29" fillId="11" borderId="1" xfId="2" applyNumberFormat="1" applyFont="1" applyFill="1" applyBorder="1" applyAlignment="1">
      <alignment vertical="center"/>
    </xf>
    <xf numFmtId="0" fontId="30" fillId="14" borderId="0" xfId="0" applyFont="1" applyFill="1"/>
    <xf numFmtId="0" fontId="28" fillId="14" borderId="0" xfId="0" applyFont="1" applyFill="1"/>
    <xf numFmtId="1" fontId="28" fillId="14" borderId="0" xfId="0" applyNumberFormat="1" applyFont="1" applyFill="1" applyAlignment="1">
      <alignment horizontal="center"/>
    </xf>
    <xf numFmtId="0" fontId="24" fillId="14" borderId="0" xfId="0" applyFont="1" applyFill="1"/>
    <xf numFmtId="1" fontId="24" fillId="14" borderId="0" xfId="0" applyNumberFormat="1" applyFont="1" applyFill="1" applyAlignment="1">
      <alignment horizontal="center"/>
    </xf>
    <xf numFmtId="0" fontId="32" fillId="14" borderId="36" xfId="0" applyFont="1" applyFill="1" applyBorder="1"/>
    <xf numFmtId="0" fontId="7" fillId="14" borderId="37" xfId="0" applyFont="1" applyFill="1" applyBorder="1"/>
    <xf numFmtId="1" fontId="26" fillId="15" borderId="38" xfId="0" applyNumberFormat="1" applyFont="1" applyFill="1" applyBorder="1" applyAlignment="1">
      <alignment horizontal="center"/>
    </xf>
    <xf numFmtId="0" fontId="26" fillId="15" borderId="38" xfId="0" applyFont="1" applyFill="1" applyBorder="1" applyAlignment="1">
      <alignment horizontal="center"/>
    </xf>
    <xf numFmtId="0" fontId="26" fillId="15" borderId="39" xfId="0" applyFont="1" applyFill="1" applyBorder="1" applyAlignment="1">
      <alignment horizontal="center"/>
    </xf>
    <xf numFmtId="0" fontId="33" fillId="16" borderId="40" xfId="0" applyFont="1" applyFill="1" applyBorder="1" applyAlignment="1">
      <alignment horizontal="center"/>
    </xf>
    <xf numFmtId="1" fontId="33" fillId="16" borderId="40" xfId="0" applyNumberFormat="1" applyFont="1" applyFill="1" applyBorder="1" applyAlignment="1">
      <alignment horizontal="center"/>
    </xf>
    <xf numFmtId="10" fontId="33" fillId="11" borderId="17" xfId="1" applyNumberFormat="1" applyFont="1" applyFill="1" applyBorder="1" applyAlignment="1">
      <alignment horizontal="center"/>
    </xf>
    <xf numFmtId="0" fontId="34" fillId="14" borderId="34" xfId="0" applyFont="1" applyFill="1" applyBorder="1" applyAlignment="1">
      <alignment horizontal="left"/>
    </xf>
    <xf numFmtId="1" fontId="35" fillId="14" borderId="1" xfId="0" applyNumberFormat="1" applyFont="1" applyFill="1" applyBorder="1" applyAlignment="1">
      <alignment horizontal="center"/>
    </xf>
    <xf numFmtId="3" fontId="35" fillId="14" borderId="1" xfId="0" applyNumberFormat="1" applyFont="1" applyFill="1" applyBorder="1" applyAlignment="1">
      <alignment horizontal="center"/>
    </xf>
    <xf numFmtId="10" fontId="35" fillId="14" borderId="17" xfId="1" applyNumberFormat="1" applyFont="1" applyFill="1" applyBorder="1" applyAlignment="1">
      <alignment horizontal="center"/>
    </xf>
    <xf numFmtId="0" fontId="34" fillId="14" borderId="41" xfId="0" applyFont="1" applyFill="1" applyBorder="1" applyAlignment="1">
      <alignment horizontal="left"/>
    </xf>
    <xf numFmtId="1" fontId="35" fillId="14" borderId="19" xfId="0" applyNumberFormat="1" applyFont="1" applyFill="1" applyBorder="1" applyAlignment="1">
      <alignment horizontal="center"/>
    </xf>
    <xf numFmtId="0" fontId="36" fillId="14" borderId="0" xfId="0" applyFont="1" applyFill="1" applyBorder="1" applyAlignment="1">
      <alignment horizontal="center" wrapText="1"/>
    </xf>
    <xf numFmtId="1" fontId="36" fillId="14" borderId="0" xfId="0" applyNumberFormat="1" applyFont="1" applyFill="1" applyBorder="1" applyAlignment="1">
      <alignment horizontal="center" wrapText="1"/>
    </xf>
    <xf numFmtId="0" fontId="38" fillId="14" borderId="0" xfId="0" applyFont="1" applyFill="1"/>
    <xf numFmtId="1" fontId="39" fillId="15" borderId="26" xfId="0" applyNumberFormat="1" applyFont="1" applyFill="1" applyBorder="1" applyAlignment="1">
      <alignment horizontal="center"/>
    </xf>
    <xf numFmtId="0" fontId="39" fillId="15" borderId="26" xfId="0" applyFont="1" applyFill="1" applyBorder="1" applyAlignment="1">
      <alignment horizontal="center"/>
    </xf>
    <xf numFmtId="0" fontId="39" fillId="16" borderId="40" xfId="0" applyFont="1" applyFill="1" applyBorder="1" applyAlignment="1">
      <alignment horizontal="center"/>
    </xf>
    <xf numFmtId="0" fontId="39" fillId="18" borderId="14" xfId="0" applyFont="1" applyFill="1" applyBorder="1" applyAlignment="1">
      <alignment horizontal="center"/>
    </xf>
    <xf numFmtId="1" fontId="39" fillId="18" borderId="14" xfId="0" applyNumberFormat="1" applyFont="1" applyFill="1" applyBorder="1" applyAlignment="1">
      <alignment horizontal="center"/>
    </xf>
    <xf numFmtId="3" fontId="39" fillId="18" borderId="14" xfId="0" applyNumberFormat="1" applyFont="1" applyFill="1" applyBorder="1" applyAlignment="1">
      <alignment horizontal="center"/>
    </xf>
    <xf numFmtId="10" fontId="39" fillId="18" borderId="15" xfId="1" applyNumberFormat="1" applyFont="1" applyFill="1" applyBorder="1" applyAlignment="1">
      <alignment horizontal="center"/>
    </xf>
    <xf numFmtId="0" fontId="39" fillId="5" borderId="1" xfId="0" applyFont="1" applyFill="1" applyBorder="1" applyAlignment="1">
      <alignment horizontal="left" vertical="center" wrapText="1" indent="1"/>
    </xf>
    <xf numFmtId="1" fontId="34" fillId="14" borderId="1" xfId="0" applyNumberFormat="1" applyFont="1" applyFill="1" applyBorder="1" applyAlignment="1">
      <alignment horizontal="center"/>
    </xf>
    <xf numFmtId="3" fontId="41" fillId="5" borderId="1" xfId="0" applyNumberFormat="1" applyFont="1" applyFill="1" applyBorder="1" applyAlignment="1">
      <alignment horizontal="center" vertical="center" wrapText="1"/>
    </xf>
    <xf numFmtId="0" fontId="34" fillId="5" borderId="1" xfId="0" applyFont="1" applyFill="1" applyBorder="1" applyAlignment="1">
      <alignment horizontal="left" vertical="center" wrapText="1" indent="1"/>
    </xf>
    <xf numFmtId="0" fontId="39" fillId="18" borderId="14" xfId="0" applyFont="1" applyFill="1" applyBorder="1" applyAlignment="1">
      <alignment horizontal="left"/>
    </xf>
    <xf numFmtId="3" fontId="34" fillId="14" borderId="1" xfId="0" applyNumberFormat="1" applyFont="1" applyFill="1" applyBorder="1" applyAlignment="1">
      <alignment horizontal="center"/>
    </xf>
    <xf numFmtId="0" fontId="34" fillId="19" borderId="41" xfId="0" applyFont="1" applyFill="1" applyBorder="1" applyAlignment="1">
      <alignment horizontal="left"/>
    </xf>
    <xf numFmtId="1" fontId="34" fillId="19" borderId="19" xfId="0" applyNumberFormat="1" applyFont="1" applyFill="1" applyBorder="1" applyAlignment="1">
      <alignment horizontal="center"/>
    </xf>
    <xf numFmtId="3" fontId="34" fillId="14" borderId="19" xfId="0" applyNumberFormat="1" applyFont="1" applyFill="1" applyBorder="1" applyAlignment="1">
      <alignment horizontal="center"/>
    </xf>
    <xf numFmtId="0" fontId="39" fillId="16" borderId="1" xfId="0" applyFont="1" applyFill="1" applyBorder="1" applyAlignment="1">
      <alignment horizontal="center"/>
    </xf>
    <xf numFmtId="0" fontId="39" fillId="18" borderId="1" xfId="0" applyFont="1" applyFill="1" applyBorder="1" applyAlignment="1">
      <alignment horizontal="left"/>
    </xf>
    <xf numFmtId="1" fontId="39" fillId="18" borderId="1" xfId="0" applyNumberFormat="1" applyFont="1" applyFill="1" applyBorder="1" applyAlignment="1">
      <alignment horizontal="center"/>
    </xf>
    <xf numFmtId="3" fontId="39" fillId="18" borderId="1" xfId="0" applyNumberFormat="1" applyFont="1" applyFill="1" applyBorder="1" applyAlignment="1">
      <alignment horizontal="center"/>
    </xf>
    <xf numFmtId="1" fontId="40" fillId="14" borderId="1" xfId="0" applyNumberFormat="1" applyFont="1" applyFill="1" applyBorder="1" applyAlignment="1">
      <alignment horizontal="center" wrapText="1"/>
    </xf>
    <xf numFmtId="0" fontId="40" fillId="14" borderId="1" xfId="0" applyFont="1" applyFill="1" applyBorder="1" applyAlignment="1">
      <alignment horizontal="left" wrapText="1"/>
    </xf>
    <xf numFmtId="10" fontId="34" fillId="18" borderId="15" xfId="1" applyNumberFormat="1" applyFont="1" applyFill="1" applyBorder="1" applyAlignment="1">
      <alignment horizontal="center"/>
    </xf>
    <xf numFmtId="10" fontId="34" fillId="14" borderId="17" xfId="1" applyNumberFormat="1" applyFont="1" applyFill="1" applyBorder="1" applyAlignment="1">
      <alignment horizontal="center"/>
    </xf>
    <xf numFmtId="0" fontId="34" fillId="0" borderId="34" xfId="0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center"/>
    </xf>
    <xf numFmtId="3" fontId="35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42" fillId="20" borderId="42" xfId="0" applyFont="1" applyFill="1" applyBorder="1" applyAlignment="1">
      <alignment horizontal="center" vertical="center"/>
    </xf>
    <xf numFmtId="0" fontId="43" fillId="14" borderId="42" xfId="0" applyFont="1" applyFill="1" applyBorder="1" applyAlignment="1">
      <alignment horizontal="left"/>
    </xf>
    <xf numFmtId="170" fontId="36" fillId="0" borderId="42" xfId="3" applyNumberFormat="1" applyFont="1" applyFill="1" applyBorder="1" applyAlignment="1">
      <alignment horizontal="center"/>
    </xf>
    <xf numFmtId="10" fontId="44" fillId="17" borderId="42" xfId="0" applyNumberFormat="1" applyFont="1" applyFill="1" applyBorder="1" applyAlignment="1">
      <alignment horizontal="center"/>
    </xf>
    <xf numFmtId="3" fontId="44" fillId="0" borderId="42" xfId="0" applyNumberFormat="1" applyFont="1" applyBorder="1" applyAlignment="1">
      <alignment horizontal="center"/>
    </xf>
    <xf numFmtId="170" fontId="42" fillId="12" borderId="42" xfId="3" applyNumberFormat="1" applyFont="1" applyFill="1" applyBorder="1" applyAlignment="1">
      <alignment horizontal="center" vertical="center"/>
    </xf>
    <xf numFmtId="0" fontId="42" fillId="17" borderId="42" xfId="0" applyFont="1" applyFill="1" applyBorder="1" applyAlignment="1">
      <alignment horizontal="center"/>
    </xf>
    <xf numFmtId="3" fontId="42" fillId="11" borderId="42" xfId="0" applyNumberFormat="1" applyFont="1" applyFill="1" applyBorder="1" applyAlignment="1">
      <alignment horizontal="center"/>
    </xf>
    <xf numFmtId="0" fontId="44" fillId="7" borderId="0" xfId="0" applyFont="1" applyFill="1" applyBorder="1" applyAlignment="1">
      <alignment horizontal="center" vertical="center"/>
    </xf>
    <xf numFmtId="0" fontId="42" fillId="7" borderId="0" xfId="0" applyFont="1" applyFill="1" applyBorder="1" applyAlignment="1">
      <alignment horizontal="center"/>
    </xf>
    <xf numFmtId="1" fontId="42" fillId="7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43" fillId="14" borderId="42" xfId="0" applyFont="1" applyFill="1" applyBorder="1" applyAlignment="1">
      <alignment horizontal="left" wrapText="1"/>
    </xf>
    <xf numFmtId="1" fontId="34" fillId="14" borderId="42" xfId="0" applyNumberFormat="1" applyFont="1" applyFill="1" applyBorder="1" applyAlignment="1">
      <alignment horizontal="center"/>
    </xf>
    <xf numFmtId="1" fontId="40" fillId="14" borderId="42" xfId="0" applyNumberFormat="1" applyFont="1" applyFill="1" applyBorder="1" applyAlignment="1">
      <alignment horizontal="center" wrapText="1"/>
    </xf>
    <xf numFmtId="1" fontId="27" fillId="21" borderId="1" xfId="0" applyNumberFormat="1" applyFont="1" applyFill="1" applyBorder="1" applyAlignment="1">
      <alignment horizontal="center"/>
    </xf>
    <xf numFmtId="0" fontId="46" fillId="0" borderId="0" xfId="0" applyFont="1"/>
    <xf numFmtId="0" fontId="47" fillId="14" borderId="42" xfId="0" applyFont="1" applyFill="1" applyBorder="1" applyAlignment="1">
      <alignment horizontal="left" wrapText="1"/>
    </xf>
    <xf numFmtId="0" fontId="43" fillId="14" borderId="48" xfId="0" applyFont="1" applyFill="1" applyBorder="1" applyAlignment="1">
      <alignment horizontal="left" wrapText="1"/>
    </xf>
    <xf numFmtId="0" fontId="45" fillId="11" borderId="42" xfId="0" applyFont="1" applyFill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9" fillId="0" borderId="1" xfId="0" applyFont="1" applyBorder="1" applyAlignment="1">
      <alignment vertical="center"/>
    </xf>
    <xf numFmtId="167" fontId="12" fillId="0" borderId="1" xfId="4" applyNumberFormat="1" applyFont="1" applyFill="1" applyBorder="1" applyAlignment="1">
      <alignment horizontal="right" vertical="center"/>
    </xf>
    <xf numFmtId="10" fontId="49" fillId="0" borderId="1" xfId="1" applyNumberFormat="1" applyFont="1" applyBorder="1" applyAlignment="1">
      <alignment vertical="center"/>
    </xf>
    <xf numFmtId="169" fontId="49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left" vertical="center"/>
    </xf>
    <xf numFmtId="167" fontId="49" fillId="0" borderId="1" xfId="0" applyNumberFormat="1" applyFont="1" applyBorder="1" applyAlignment="1">
      <alignment vertical="center"/>
    </xf>
    <xf numFmtId="3" fontId="49" fillId="0" borderId="34" xfId="0" applyNumberFormat="1" applyFont="1" applyBorder="1" applyAlignment="1">
      <alignment horizontal="right" vertical="center"/>
    </xf>
    <xf numFmtId="3" fontId="49" fillId="0" borderId="34" xfId="0" applyNumberFormat="1" applyFont="1" applyBorder="1" applyAlignment="1">
      <alignment vertical="center"/>
    </xf>
    <xf numFmtId="0" fontId="48" fillId="22" borderId="1" xfId="0" applyFont="1" applyFill="1" applyBorder="1" applyAlignment="1">
      <alignment vertical="center"/>
    </xf>
    <xf numFmtId="3" fontId="48" fillId="22" borderId="1" xfId="0" applyNumberFormat="1" applyFont="1" applyFill="1" applyBorder="1" applyAlignment="1">
      <alignment vertical="center"/>
    </xf>
    <xf numFmtId="3" fontId="49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50" fillId="19" borderId="1" xfId="2" applyFont="1" applyFill="1" applyBorder="1" applyAlignment="1">
      <alignment horizontal="center" vertical="center" wrapText="1"/>
    </xf>
    <xf numFmtId="0" fontId="20" fillId="0" borderId="1" xfId="2" applyFont="1" applyFill="1" applyBorder="1" applyAlignment="1">
      <alignment vertical="center" wrapText="1"/>
    </xf>
    <xf numFmtId="10" fontId="0" fillId="0" borderId="0" xfId="0" applyNumberFormat="1" applyAlignment="1">
      <alignment vertical="center"/>
    </xf>
    <xf numFmtId="167" fontId="26" fillId="12" borderId="1" xfId="4" applyNumberFormat="1" applyFont="1" applyFill="1" applyBorder="1" applyAlignment="1">
      <alignment horizontal="right" vertical="center"/>
    </xf>
    <xf numFmtId="10" fontId="0" fillId="0" borderId="0" xfId="1" applyNumberFormat="1" applyFont="1" applyAlignment="1">
      <alignment vertical="center"/>
    </xf>
    <xf numFmtId="0" fontId="48" fillId="12" borderId="1" xfId="0" applyFont="1" applyFill="1" applyBorder="1" applyAlignment="1">
      <alignment horizontal="center" vertical="center"/>
    </xf>
    <xf numFmtId="167" fontId="12" fillId="12" borderId="1" xfId="4" applyNumberFormat="1" applyFont="1" applyFill="1" applyBorder="1" applyAlignment="1">
      <alignment horizontal="right" vertical="center"/>
    </xf>
    <xf numFmtId="3" fontId="48" fillId="12" borderId="1" xfId="0" applyNumberFormat="1" applyFont="1" applyFill="1" applyBorder="1" applyAlignment="1">
      <alignment vertical="center"/>
    </xf>
    <xf numFmtId="3" fontId="49" fillId="12" borderId="1" xfId="0" applyNumberFormat="1" applyFont="1" applyFill="1" applyBorder="1" applyAlignment="1">
      <alignment vertical="center"/>
    </xf>
    <xf numFmtId="3" fontId="0" fillId="0" borderId="1" xfId="0" applyNumberFormat="1" applyBorder="1"/>
    <xf numFmtId="171" fontId="0" fillId="0" borderId="1" xfId="3" applyNumberFormat="1" applyFont="1" applyBorder="1"/>
    <xf numFmtId="0" fontId="27" fillId="11" borderId="1" xfId="2" applyFont="1" applyFill="1" applyBorder="1" applyAlignment="1">
      <alignment horizontal="center" vertical="center"/>
    </xf>
    <xf numFmtId="2" fontId="28" fillId="9" borderId="1" xfId="0" applyNumberFormat="1" applyFont="1" applyFill="1" applyBorder="1" applyAlignment="1">
      <alignment horizontal="center" vertical="center"/>
    </xf>
    <xf numFmtId="0" fontId="27" fillId="0" borderId="0" xfId="2" applyFont="1" applyFill="1" applyBorder="1" applyAlignment="1">
      <alignment horizontal="center" vertical="center"/>
    </xf>
    <xf numFmtId="0" fontId="22" fillId="11" borderId="1" xfId="2" applyFont="1" applyFill="1" applyBorder="1" applyAlignment="1">
      <alignment horizontal="center" vertical="center"/>
    </xf>
    <xf numFmtId="0" fontId="52" fillId="0" borderId="0" xfId="5" applyFont="1" applyBorder="1" applyAlignment="1" applyProtection="1">
      <alignment horizontal="left" vertical="center"/>
    </xf>
    <xf numFmtId="0" fontId="54" fillId="0" borderId="0" xfId="5" applyFont="1" applyBorder="1" applyAlignment="1">
      <alignment vertical="center"/>
    </xf>
    <xf numFmtId="0" fontId="41" fillId="0" borderId="0" xfId="5" applyFont="1" applyBorder="1" applyAlignment="1">
      <alignment horizontal="right" vertical="center"/>
    </xf>
    <xf numFmtId="0" fontId="56" fillId="0" borderId="52" xfId="5" applyFont="1" applyBorder="1" applyAlignment="1">
      <alignment horizontal="center" vertical="center"/>
    </xf>
    <xf numFmtId="0" fontId="56" fillId="0" borderId="0" xfId="5" applyFont="1" applyBorder="1" applyAlignment="1">
      <alignment horizontal="right" vertical="center"/>
    </xf>
    <xf numFmtId="167" fontId="56" fillId="0" borderId="0" xfId="5" applyNumberFormat="1" applyFont="1" applyFill="1" applyBorder="1" applyAlignment="1" applyProtection="1">
      <alignment horizontal="right" vertical="center"/>
    </xf>
    <xf numFmtId="167" fontId="56" fillId="0" borderId="0" xfId="5" applyNumberFormat="1" applyFont="1" applyBorder="1" applyAlignment="1" applyProtection="1">
      <alignment horizontal="right" vertical="center"/>
    </xf>
    <xf numFmtId="167" fontId="57" fillId="0" borderId="0" xfId="5" applyNumberFormat="1" applyFont="1" applyBorder="1" applyAlignment="1" applyProtection="1">
      <alignment horizontal="right" vertical="center"/>
    </xf>
    <xf numFmtId="172" fontId="57" fillId="0" borderId="0" xfId="5" applyNumberFormat="1" applyFont="1" applyBorder="1" applyAlignment="1">
      <alignment horizontal="right" vertical="center"/>
    </xf>
    <xf numFmtId="173" fontId="41" fillId="0" borderId="0" xfId="0" applyNumberFormat="1" applyFont="1" applyBorder="1" applyAlignment="1">
      <alignment horizontal="right"/>
    </xf>
    <xf numFmtId="172" fontId="56" fillId="0" borderId="0" xfId="5" applyNumberFormat="1" applyFont="1" applyBorder="1" applyAlignment="1" applyProtection="1">
      <alignment horizontal="right" vertical="center"/>
    </xf>
    <xf numFmtId="172" fontId="57" fillId="0" borderId="0" xfId="5" applyNumberFormat="1" applyFont="1" applyBorder="1" applyAlignment="1">
      <alignment vertical="center"/>
    </xf>
    <xf numFmtId="172" fontId="56" fillId="0" borderId="0" xfId="5" applyNumberFormat="1" applyFont="1" applyBorder="1" applyAlignment="1">
      <alignment vertical="center"/>
    </xf>
    <xf numFmtId="172" fontId="56" fillId="0" borderId="0" xfId="5" applyNumberFormat="1" applyFont="1" applyFill="1" applyBorder="1" applyAlignment="1">
      <alignment vertical="center"/>
    </xf>
    <xf numFmtId="172" fontId="56" fillId="0" borderId="0" xfId="5" applyNumberFormat="1" applyFont="1" applyBorder="1" applyAlignment="1">
      <alignment horizontal="right" vertical="center"/>
    </xf>
    <xf numFmtId="0" fontId="59" fillId="0" borderId="32" xfId="5" applyFont="1" applyBorder="1" applyAlignment="1">
      <alignment horizontal="right" vertical="center"/>
    </xf>
    <xf numFmtId="0" fontId="57" fillId="0" borderId="0" xfId="5" applyFont="1" applyBorder="1" applyAlignment="1" applyProtection="1">
      <alignment horizontal="left" vertical="center"/>
    </xf>
    <xf numFmtId="0" fontId="57" fillId="0" borderId="0" xfId="5" applyFont="1" applyBorder="1" applyAlignment="1">
      <alignment vertical="center"/>
    </xf>
    <xf numFmtId="0" fontId="56" fillId="0" borderId="0" xfId="5" applyFont="1" applyBorder="1" applyAlignment="1" applyProtection="1">
      <alignment horizontal="left" vertical="center"/>
    </xf>
    <xf numFmtId="0" fontId="60" fillId="0" borderId="0" xfId="5" applyFont="1" applyBorder="1" applyAlignment="1">
      <alignment vertical="center"/>
    </xf>
    <xf numFmtId="0" fontId="52" fillId="0" borderId="36" xfId="5" applyFont="1" applyBorder="1" applyAlignment="1" applyProtection="1">
      <alignment horizontal="left" vertical="center"/>
    </xf>
    <xf numFmtId="0" fontId="53" fillId="0" borderId="37" xfId="5" applyFont="1" applyBorder="1" applyAlignment="1">
      <alignment vertical="center"/>
    </xf>
    <xf numFmtId="0" fontId="53" fillId="0" borderId="54" xfId="5" applyFont="1" applyBorder="1" applyAlignment="1">
      <alignment vertical="center"/>
    </xf>
    <xf numFmtId="0" fontId="41" fillId="0" borderId="55" xfId="5" quotePrefix="1" applyFont="1" applyBorder="1" applyAlignment="1" applyProtection="1">
      <alignment horizontal="left" vertical="center"/>
    </xf>
    <xf numFmtId="0" fontId="54" fillId="0" borderId="24" xfId="5" applyFont="1" applyBorder="1" applyAlignment="1">
      <alignment vertical="center"/>
    </xf>
    <xf numFmtId="0" fontId="55" fillId="0" borderId="55" xfId="5" quotePrefix="1" applyFont="1" applyBorder="1" applyAlignment="1" applyProtection="1">
      <alignment horizontal="left" vertical="center"/>
    </xf>
    <xf numFmtId="0" fontId="41" fillId="0" borderId="24" xfId="5" applyFont="1" applyBorder="1" applyAlignment="1">
      <alignment horizontal="right" vertical="center"/>
    </xf>
    <xf numFmtId="0" fontId="56" fillId="0" borderId="56" xfId="5" applyFont="1" applyBorder="1" applyAlignment="1" applyProtection="1">
      <alignment horizontal="center" vertical="center"/>
    </xf>
    <xf numFmtId="0" fontId="56" fillId="0" borderId="57" xfId="5" applyFont="1" applyBorder="1" applyAlignment="1">
      <alignment horizontal="center" vertical="center"/>
    </xf>
    <xf numFmtId="0" fontId="56" fillId="0" borderId="23" xfId="5" applyFont="1" applyBorder="1" applyAlignment="1" applyProtection="1">
      <alignment horizontal="center" vertical="center"/>
    </xf>
    <xf numFmtId="0" fontId="56" fillId="0" borderId="24" xfId="5" applyFont="1" applyBorder="1" applyAlignment="1">
      <alignment horizontal="right" vertical="center"/>
    </xf>
    <xf numFmtId="0" fontId="56" fillId="0" borderId="23" xfId="5" applyFont="1" applyBorder="1" applyAlignment="1" applyProtection="1">
      <alignment horizontal="left" vertical="center"/>
    </xf>
    <xf numFmtId="167" fontId="56" fillId="0" borderId="24" xfId="5" applyNumberFormat="1" applyFont="1" applyFill="1" applyBorder="1" applyAlignment="1" applyProtection="1">
      <alignment horizontal="right" vertical="center"/>
    </xf>
    <xf numFmtId="167" fontId="56" fillId="0" borderId="24" xfId="5" applyNumberFormat="1" applyFont="1" applyBorder="1" applyAlignment="1" applyProtection="1">
      <alignment horizontal="right" vertical="center"/>
    </xf>
    <xf numFmtId="0" fontId="56" fillId="0" borderId="23" xfId="5" applyFont="1" applyBorder="1" applyAlignment="1" applyProtection="1">
      <alignment horizontal="left" vertical="center" indent="1"/>
    </xf>
    <xf numFmtId="0" fontId="57" fillId="0" borderId="23" xfId="5" applyFont="1" applyBorder="1" applyAlignment="1" applyProtection="1">
      <alignment horizontal="left" vertical="center" indent="2"/>
    </xf>
    <xf numFmtId="167" fontId="57" fillId="0" borderId="24" xfId="5" applyNumberFormat="1" applyFont="1" applyBorder="1" applyAlignment="1" applyProtection="1">
      <alignment horizontal="right" vertical="center"/>
    </xf>
    <xf numFmtId="172" fontId="57" fillId="0" borderId="24" xfId="5" applyNumberFormat="1" applyFont="1" applyBorder="1" applyAlignment="1">
      <alignment horizontal="right" vertical="center"/>
    </xf>
    <xf numFmtId="0" fontId="58" fillId="0" borderId="23" xfId="5" applyFont="1" applyBorder="1" applyAlignment="1" applyProtection="1">
      <alignment horizontal="left" vertical="center" indent="2"/>
    </xf>
    <xf numFmtId="173" fontId="41" fillId="0" borderId="24" xfId="0" applyNumberFormat="1" applyFont="1" applyBorder="1" applyAlignment="1">
      <alignment horizontal="right"/>
    </xf>
    <xf numFmtId="172" fontId="56" fillId="0" borderId="24" xfId="5" applyNumberFormat="1" applyFont="1" applyBorder="1" applyAlignment="1" applyProtection="1">
      <alignment horizontal="right" vertical="center"/>
    </xf>
    <xf numFmtId="172" fontId="57" fillId="0" borderId="24" xfId="5" applyNumberFormat="1" applyFont="1" applyBorder="1" applyAlignment="1">
      <alignment vertical="center"/>
    </xf>
    <xf numFmtId="172" fontId="56" fillId="0" borderId="24" xfId="5" applyNumberFormat="1" applyFont="1" applyFill="1" applyBorder="1" applyAlignment="1">
      <alignment vertical="center"/>
    </xf>
    <xf numFmtId="172" fontId="56" fillId="0" borderId="24" xfId="5" applyNumberFormat="1" applyFont="1" applyBorder="1" applyAlignment="1">
      <alignment horizontal="right" vertical="center"/>
    </xf>
    <xf numFmtId="0" fontId="59" fillId="0" borderId="58" xfId="5" applyFont="1" applyBorder="1" applyAlignment="1" applyProtection="1">
      <alignment horizontal="left" vertical="center"/>
    </xf>
    <xf numFmtId="0" fontId="59" fillId="0" borderId="53" xfId="5" applyFont="1" applyBorder="1" applyAlignment="1">
      <alignment horizontal="right" vertical="center"/>
    </xf>
    <xf numFmtId="0" fontId="57" fillId="0" borderId="55" xfId="5" applyFont="1" applyBorder="1" applyAlignment="1" applyProtection="1">
      <alignment horizontal="left" vertical="center"/>
    </xf>
    <xf numFmtId="0" fontId="57" fillId="0" borderId="24" xfId="5" applyFont="1" applyBorder="1" applyAlignment="1">
      <alignment vertical="center"/>
    </xf>
    <xf numFmtId="0" fontId="56" fillId="0" borderId="59" xfId="5" applyFont="1" applyBorder="1" applyAlignment="1" applyProtection="1">
      <alignment horizontal="left" vertical="center"/>
    </xf>
    <xf numFmtId="0" fontId="60" fillId="0" borderId="21" xfId="5" applyFont="1" applyBorder="1" applyAlignment="1">
      <alignment vertical="center"/>
    </xf>
    <xf numFmtId="0" fontId="60" fillId="0" borderId="5" xfId="5" applyFont="1" applyBorder="1" applyAlignment="1">
      <alignment vertical="center"/>
    </xf>
    <xf numFmtId="0" fontId="61" fillId="0" borderId="60" xfId="5" applyFont="1" applyBorder="1" applyAlignment="1" applyProtection="1">
      <alignment horizontal="center" vertical="center"/>
    </xf>
    <xf numFmtId="0" fontId="61" fillId="0" borderId="61" xfId="5" applyFont="1" applyBorder="1" applyAlignment="1">
      <alignment horizontal="center" vertical="center"/>
    </xf>
    <xf numFmtId="0" fontId="61" fillId="0" borderId="62" xfId="5" applyFont="1" applyBorder="1" applyAlignment="1">
      <alignment horizontal="center" vertical="center"/>
    </xf>
    <xf numFmtId="0" fontId="61" fillId="0" borderId="63" xfId="5" applyFont="1" applyBorder="1" applyAlignment="1">
      <alignment horizontal="center" vertical="center"/>
    </xf>
    <xf numFmtId="0" fontId="61" fillId="0" borderId="23" xfId="5" applyFont="1" applyBorder="1" applyAlignment="1" applyProtection="1">
      <alignment horizontal="center" vertical="center"/>
    </xf>
    <xf numFmtId="0" fontId="61" fillId="0" borderId="0" xfId="5" applyFont="1" applyBorder="1" applyAlignment="1">
      <alignment horizontal="right" vertical="center"/>
    </xf>
    <xf numFmtId="0" fontId="61" fillId="0" borderId="24" xfId="5" applyFont="1" applyBorder="1" applyAlignment="1">
      <alignment horizontal="right" vertical="center"/>
    </xf>
    <xf numFmtId="0" fontId="61" fillId="0" borderId="23" xfId="5" applyFont="1" applyBorder="1" applyAlignment="1" applyProtection="1">
      <alignment horizontal="left" vertical="center"/>
    </xf>
    <xf numFmtId="167" fontId="61" fillId="0" borderId="0" xfId="5" applyNumberFormat="1" applyFont="1" applyFill="1" applyBorder="1" applyAlignment="1" applyProtection="1">
      <alignment horizontal="right" vertical="center"/>
    </xf>
    <xf numFmtId="167" fontId="61" fillId="0" borderId="24" xfId="5" applyNumberFormat="1" applyFont="1" applyFill="1" applyBorder="1" applyAlignment="1" applyProtection="1">
      <alignment horizontal="right" vertical="center"/>
    </xf>
    <xf numFmtId="0" fontId="62" fillId="0" borderId="23" xfId="5" applyFont="1" applyBorder="1" applyAlignment="1" applyProtection="1">
      <alignment horizontal="left" vertical="center" indent="2"/>
    </xf>
    <xf numFmtId="172" fontId="62" fillId="0" borderId="0" xfId="5" applyNumberFormat="1" applyFont="1" applyBorder="1" applyAlignment="1">
      <alignment horizontal="right" vertical="center"/>
    </xf>
    <xf numFmtId="172" fontId="62" fillId="0" borderId="24" xfId="5" applyNumberFormat="1" applyFont="1" applyBorder="1" applyAlignment="1">
      <alignment horizontal="right" vertical="center"/>
    </xf>
    <xf numFmtId="0" fontId="62" fillId="0" borderId="4" xfId="5" applyFont="1" applyBorder="1" applyAlignment="1" applyProtection="1">
      <alignment horizontal="left" vertical="center" indent="2"/>
    </xf>
    <xf numFmtId="172" fontId="62" fillId="0" borderId="21" xfId="5" applyNumberFormat="1" applyFont="1" applyBorder="1" applyAlignment="1">
      <alignment horizontal="right" vertical="center"/>
    </xf>
    <xf numFmtId="172" fontId="62" fillId="0" borderId="5" xfId="5" applyNumberFormat="1" applyFont="1" applyBorder="1" applyAlignment="1">
      <alignment horizontal="right" vertical="center"/>
    </xf>
    <xf numFmtId="0" fontId="63" fillId="0" borderId="0" xfId="5" applyFont="1" applyBorder="1" applyAlignment="1">
      <alignment vertical="center"/>
    </xf>
    <xf numFmtId="0" fontId="62" fillId="0" borderId="0" xfId="5" applyFont="1" applyBorder="1" applyAlignment="1">
      <alignment vertical="center"/>
    </xf>
    <xf numFmtId="174" fontId="61" fillId="0" borderId="60" xfId="6" applyFont="1" applyBorder="1" applyAlignment="1" applyProtection="1">
      <alignment horizontal="center" vertical="center"/>
    </xf>
    <xf numFmtId="1" fontId="61" fillId="0" borderId="62" xfId="6" quotePrefix="1" applyNumberFormat="1" applyFont="1" applyBorder="1" applyAlignment="1" applyProtection="1">
      <alignment horizontal="right" vertical="center"/>
    </xf>
    <xf numFmtId="0" fontId="61" fillId="0" borderId="62" xfId="7" applyFont="1" applyBorder="1" applyAlignment="1">
      <alignment horizontal="right" vertical="center"/>
    </xf>
    <xf numFmtId="0" fontId="61" fillId="0" borderId="63" xfId="7" applyFont="1" applyBorder="1" applyAlignment="1">
      <alignment horizontal="right" vertical="center"/>
    </xf>
    <xf numFmtId="174" fontId="61" fillId="0" borderId="23" xfId="6" applyFont="1" applyBorder="1" applyAlignment="1" applyProtection="1">
      <alignment horizontal="center" vertical="center"/>
    </xf>
    <xf numFmtId="1" fontId="61" fillId="0" borderId="0" xfId="6" quotePrefix="1" applyNumberFormat="1" applyFont="1" applyBorder="1" applyAlignment="1" applyProtection="1">
      <alignment horizontal="right" vertical="center"/>
    </xf>
    <xf numFmtId="1" fontId="61" fillId="0" borderId="24" xfId="6" quotePrefix="1" applyNumberFormat="1" applyFont="1" applyBorder="1" applyAlignment="1" applyProtection="1">
      <alignment horizontal="right" vertical="center"/>
    </xf>
    <xf numFmtId="174" fontId="61" fillId="0" borderId="23" xfId="6" applyFont="1" applyBorder="1" applyAlignment="1" applyProtection="1">
      <alignment horizontal="left" vertical="center"/>
    </xf>
    <xf numFmtId="175" fontId="61" fillId="0" borderId="0" xfId="6" applyNumberFormat="1" applyFont="1" applyBorder="1" applyAlignment="1" applyProtection="1">
      <alignment horizontal="right" vertical="center"/>
    </xf>
    <xf numFmtId="175" fontId="61" fillId="0" borderId="24" xfId="6" applyNumberFormat="1" applyFont="1" applyBorder="1" applyAlignment="1" applyProtection="1">
      <alignment horizontal="right" vertical="center"/>
    </xf>
    <xf numFmtId="174" fontId="62" fillId="0" borderId="23" xfId="6" applyFont="1" applyBorder="1" applyAlignment="1" applyProtection="1">
      <alignment horizontal="left" vertical="center"/>
    </xf>
    <xf numFmtId="175" fontId="62" fillId="0" borderId="0" xfId="6" applyNumberFormat="1" applyFont="1" applyBorder="1" applyAlignment="1">
      <alignment vertical="center"/>
    </xf>
    <xf numFmtId="175" fontId="62" fillId="0" borderId="24" xfId="6" applyNumberFormat="1" applyFont="1" applyBorder="1" applyAlignment="1">
      <alignment vertical="center"/>
    </xf>
    <xf numFmtId="174" fontId="62" fillId="0" borderId="23" xfId="6" quotePrefix="1" applyFont="1" applyBorder="1" applyAlignment="1" applyProtection="1">
      <alignment horizontal="left" vertical="center"/>
    </xf>
    <xf numFmtId="174" fontId="62" fillId="0" borderId="23" xfId="6" applyFont="1" applyBorder="1" applyAlignment="1" applyProtection="1">
      <alignment horizontal="left" vertical="center" indent="1"/>
    </xf>
    <xf numFmtId="175" fontId="62" fillId="0" borderId="0" xfId="6" applyNumberFormat="1" applyFont="1" applyBorder="1" applyAlignment="1" applyProtection="1">
      <alignment horizontal="right" vertical="center"/>
    </xf>
    <xf numFmtId="175" fontId="62" fillId="0" borderId="24" xfId="6" applyNumberFormat="1" applyFont="1" applyBorder="1" applyAlignment="1" applyProtection="1">
      <alignment horizontal="right" vertical="center"/>
    </xf>
    <xf numFmtId="174" fontId="62" fillId="0" borderId="4" xfId="6" applyFont="1" applyBorder="1" applyAlignment="1">
      <alignment vertical="center"/>
    </xf>
    <xf numFmtId="169" fontId="62" fillId="0" borderId="21" xfId="6" applyNumberFormat="1" applyFont="1" applyBorder="1" applyAlignment="1" applyProtection="1">
      <alignment vertical="center"/>
    </xf>
    <xf numFmtId="169" fontId="62" fillId="0" borderId="5" xfId="6" applyNumberFormat="1" applyFont="1" applyBorder="1" applyAlignment="1" applyProtection="1">
      <alignment vertical="center"/>
    </xf>
    <xf numFmtId="174" fontId="62" fillId="0" borderId="0" xfId="6" applyFont="1" applyBorder="1" applyAlignment="1">
      <alignment vertical="center"/>
    </xf>
    <xf numFmtId="176" fontId="62" fillId="0" borderId="0" xfId="6" applyNumberFormat="1" applyFont="1" applyBorder="1" applyAlignment="1">
      <alignment vertical="center"/>
    </xf>
    <xf numFmtId="174" fontId="61" fillId="0" borderId="0" xfId="6" applyFont="1" applyBorder="1" applyAlignment="1" applyProtection="1">
      <alignment vertical="center"/>
    </xf>
    <xf numFmtId="0" fontId="52" fillId="0" borderId="0" xfId="5" applyFont="1" applyBorder="1" applyAlignment="1" applyProtection="1">
      <alignment vertical="center"/>
    </xf>
    <xf numFmtId="0" fontId="52" fillId="0" borderId="0" xfId="5" applyFont="1" applyBorder="1" applyAlignment="1" applyProtection="1">
      <alignment horizontal="center" vertical="center"/>
    </xf>
    <xf numFmtId="0" fontId="64" fillId="0" borderId="0" xfId="5" applyFont="1" applyBorder="1" applyAlignment="1">
      <alignment vertical="center"/>
    </xf>
    <xf numFmtId="167" fontId="61" fillId="0" borderId="0" xfId="5" applyNumberFormat="1" applyFont="1" applyFill="1" applyBorder="1" applyAlignment="1" applyProtection="1">
      <alignment horizontal="right" vertical="center" indent="2"/>
    </xf>
    <xf numFmtId="167" fontId="61" fillId="0" borderId="24" xfId="5" applyNumberFormat="1" applyFont="1" applyFill="1" applyBorder="1" applyAlignment="1" applyProtection="1">
      <alignment horizontal="right" vertical="center" indent="2"/>
    </xf>
    <xf numFmtId="0" fontId="62" fillId="0" borderId="23" xfId="5" applyFont="1" applyBorder="1" applyAlignment="1" applyProtection="1">
      <alignment horizontal="left" vertical="center" indent="1"/>
    </xf>
    <xf numFmtId="172" fontId="62" fillId="0" borderId="0" xfId="5" applyNumberFormat="1" applyFont="1" applyBorder="1" applyAlignment="1">
      <alignment horizontal="right" vertical="center" indent="2"/>
    </xf>
    <xf numFmtId="172" fontId="62" fillId="0" borderId="24" xfId="5" applyNumberFormat="1" applyFont="1" applyBorder="1" applyAlignment="1">
      <alignment horizontal="right" vertical="center" indent="2"/>
    </xf>
    <xf numFmtId="0" fontId="62" fillId="0" borderId="4" xfId="5" applyFont="1" applyBorder="1" applyAlignment="1" applyProtection="1">
      <alignment horizontal="left" vertical="center" indent="1"/>
    </xf>
    <xf numFmtId="172" fontId="62" fillId="0" borderId="21" xfId="5" applyNumberFormat="1" applyFont="1" applyBorder="1" applyAlignment="1">
      <alignment horizontal="right" vertical="center" indent="2"/>
    </xf>
    <xf numFmtId="172" fontId="62" fillId="0" borderId="5" xfId="5" applyNumberFormat="1" applyFont="1" applyBorder="1" applyAlignment="1">
      <alignment horizontal="right" vertical="center" indent="2"/>
    </xf>
    <xf numFmtId="3" fontId="61" fillId="0" borderId="0" xfId="5" applyNumberFormat="1" applyFont="1" applyBorder="1" applyAlignment="1">
      <alignment horizontal="right" vertical="center" indent="1"/>
    </xf>
    <xf numFmtId="3" fontId="61" fillId="0" borderId="24" xfId="5" applyNumberFormat="1" applyFont="1" applyBorder="1" applyAlignment="1">
      <alignment horizontal="right" vertical="center" indent="1"/>
    </xf>
    <xf numFmtId="10" fontId="61" fillId="0" borderId="0" xfId="1" applyNumberFormat="1" applyFont="1" applyFill="1" applyBorder="1" applyAlignment="1" applyProtection="1">
      <alignment horizontal="right" vertical="center" indent="1"/>
    </xf>
    <xf numFmtId="10" fontId="61" fillId="0" borderId="24" xfId="1" applyNumberFormat="1" applyFont="1" applyFill="1" applyBorder="1" applyAlignment="1" applyProtection="1">
      <alignment horizontal="right" vertical="center" indent="1"/>
    </xf>
    <xf numFmtId="10" fontId="62" fillId="0" borderId="0" xfId="1" applyNumberFormat="1" applyFont="1" applyBorder="1" applyAlignment="1">
      <alignment horizontal="right" vertical="center" indent="1"/>
    </xf>
    <xf numFmtId="10" fontId="62" fillId="0" borderId="24" xfId="1" applyNumberFormat="1" applyFont="1" applyBorder="1" applyAlignment="1">
      <alignment horizontal="right" vertical="center" indent="1"/>
    </xf>
    <xf numFmtId="10" fontId="62" fillId="0" borderId="21" xfId="1" applyNumberFormat="1" applyFont="1" applyBorder="1" applyAlignment="1">
      <alignment horizontal="right" vertical="center" indent="1"/>
    </xf>
    <xf numFmtId="10" fontId="62" fillId="0" borderId="5" xfId="1" applyNumberFormat="1" applyFont="1" applyBorder="1" applyAlignment="1">
      <alignment horizontal="right" vertical="center" indent="1"/>
    </xf>
    <xf numFmtId="0" fontId="62" fillId="0" borderId="0" xfId="5" applyFont="1" applyBorder="1" applyAlignment="1">
      <alignment horizontal="center" vertical="center"/>
    </xf>
    <xf numFmtId="0" fontId="56" fillId="0" borderId="60" xfId="5" applyFont="1" applyBorder="1" applyAlignment="1" applyProtection="1">
      <alignment horizontal="center" vertical="center"/>
    </xf>
    <xf numFmtId="0" fontId="64" fillId="0" borderId="0" xfId="5" applyFont="1" applyBorder="1" applyAlignment="1">
      <alignment horizontal="center" vertical="center"/>
    </xf>
    <xf numFmtId="0" fontId="56" fillId="0" borderId="59" xfId="5" applyFont="1" applyBorder="1" applyAlignment="1" applyProtection="1">
      <alignment horizontal="center" vertical="center"/>
    </xf>
    <xf numFmtId="0" fontId="56" fillId="0" borderId="5" xfId="5" applyFont="1" applyBorder="1" applyAlignment="1">
      <alignment horizontal="center" vertical="center" wrapText="1"/>
    </xf>
    <xf numFmtId="0" fontId="56" fillId="0" borderId="4" xfId="5" applyFont="1" applyBorder="1" applyAlignment="1">
      <alignment horizontal="center" vertical="center" wrapText="1"/>
    </xf>
    <xf numFmtId="0" fontId="41" fillId="9" borderId="55" xfId="5" applyFont="1" applyFill="1" applyBorder="1" applyAlignment="1">
      <alignment horizontal="center" vertical="center"/>
    </xf>
    <xf numFmtId="172" fontId="41" fillId="9" borderId="24" xfId="5" applyNumberFormat="1" applyFont="1" applyFill="1" applyBorder="1" applyAlignment="1">
      <alignment horizontal="right" vertical="center" indent="1"/>
    </xf>
    <xf numFmtId="0" fontId="41" fillId="0" borderId="23" xfId="5" applyFont="1" applyBorder="1" applyAlignment="1">
      <alignment horizontal="center" vertical="center"/>
    </xf>
    <xf numFmtId="172" fontId="41" fillId="0" borderId="23" xfId="5" applyNumberFormat="1" applyFont="1" applyBorder="1" applyAlignment="1">
      <alignment horizontal="right" vertical="center" indent="2"/>
    </xf>
    <xf numFmtId="172" fontId="41" fillId="0" borderId="23" xfId="5" applyNumberFormat="1" applyFont="1" applyBorder="1" applyAlignment="1">
      <alignment horizontal="right" vertical="center" indent="1"/>
    </xf>
    <xf numFmtId="0" fontId="41" fillId="0" borderId="55" xfId="5" applyFont="1" applyBorder="1" applyAlignment="1">
      <alignment horizontal="center" vertical="center"/>
    </xf>
    <xf numFmtId="172" fontId="41" fillId="0" borderId="24" xfId="5" applyNumberFormat="1" applyFont="1" applyBorder="1" applyAlignment="1">
      <alignment horizontal="right" vertical="center" indent="1"/>
    </xf>
    <xf numFmtId="0" fontId="41" fillId="0" borderId="4" xfId="5" applyFont="1" applyBorder="1" applyAlignment="1">
      <alignment horizontal="center" vertical="center"/>
    </xf>
    <xf numFmtId="172" fontId="41" fillId="0" borderId="4" xfId="5" applyNumberFormat="1" applyFont="1" applyBorder="1" applyAlignment="1">
      <alignment horizontal="right" vertical="center" indent="2"/>
    </xf>
    <xf numFmtId="172" fontId="41" fillId="0" borderId="4" xfId="5" applyNumberFormat="1" applyFont="1" applyBorder="1" applyAlignment="1">
      <alignment horizontal="right" vertical="center" indent="1"/>
    </xf>
    <xf numFmtId="172" fontId="41" fillId="0" borderId="5" xfId="5" applyNumberFormat="1" applyFont="1" applyBorder="1" applyAlignment="1">
      <alignment horizontal="right" vertical="center" indent="1"/>
    </xf>
    <xf numFmtId="0" fontId="52" fillId="0" borderId="21" xfId="5" applyFont="1" applyBorder="1" applyAlignment="1" applyProtection="1">
      <alignment vertical="center"/>
    </xf>
    <xf numFmtId="0" fontId="55" fillId="0" borderId="21" xfId="5" applyFont="1" applyBorder="1" applyAlignment="1" applyProtection="1">
      <alignment vertical="center" wrapText="1"/>
    </xf>
    <xf numFmtId="0" fontId="41" fillId="0" borderId="0" xfId="5" applyFont="1" applyBorder="1" applyAlignment="1">
      <alignment vertical="center"/>
    </xf>
    <xf numFmtId="0" fontId="55" fillId="0" borderId="0" xfId="5" applyFont="1" applyBorder="1" applyAlignment="1" applyProtection="1">
      <alignment horizontal="left" vertical="center"/>
    </xf>
    <xf numFmtId="0" fontId="55" fillId="0" borderId="60" xfId="5" applyFont="1" applyBorder="1" applyAlignment="1" applyProtection="1">
      <alignment horizontal="center" vertical="center" wrapText="1"/>
    </xf>
    <xf numFmtId="0" fontId="55" fillId="0" borderId="63" xfId="5" applyFont="1" applyBorder="1" applyAlignment="1">
      <alignment horizontal="center" vertical="center"/>
    </xf>
    <xf numFmtId="0" fontId="55" fillId="0" borderId="23" xfId="5" applyFont="1" applyBorder="1" applyAlignment="1" applyProtection="1">
      <alignment horizontal="left" vertical="center"/>
    </xf>
    <xf numFmtId="0" fontId="41" fillId="0" borderId="23" xfId="5" applyFont="1" applyBorder="1" applyAlignment="1" applyProtection="1">
      <alignment horizontal="left" vertical="center" indent="1"/>
    </xf>
    <xf numFmtId="0" fontId="41" fillId="0" borderId="4" xfId="5" applyFont="1" applyBorder="1" applyAlignment="1" applyProtection="1">
      <alignment horizontal="left" vertical="center" indent="1"/>
    </xf>
    <xf numFmtId="0" fontId="52" fillId="0" borderId="0" xfId="5" applyFont="1" applyBorder="1" applyAlignment="1" applyProtection="1">
      <alignment vertical="center" wrapText="1"/>
    </xf>
    <xf numFmtId="0" fontId="55" fillId="0" borderId="63" xfId="5" applyFont="1" applyBorder="1" applyAlignment="1">
      <alignment horizontal="center" vertical="center" wrapText="1"/>
    </xf>
    <xf numFmtId="3" fontId="55" fillId="0" borderId="24" xfId="5" applyNumberFormat="1" applyFont="1" applyBorder="1" applyAlignment="1">
      <alignment horizontal="right" vertical="center" indent="4"/>
    </xf>
    <xf numFmtId="172" fontId="41" fillId="0" borderId="24" xfId="5" applyNumberFormat="1" applyFont="1" applyBorder="1" applyAlignment="1">
      <alignment horizontal="right" vertical="center" indent="4"/>
    </xf>
    <xf numFmtId="172" fontId="41" fillId="0" borderId="5" xfId="5" applyNumberFormat="1" applyFont="1" applyBorder="1" applyAlignment="1">
      <alignment horizontal="right" vertical="center" indent="4"/>
    </xf>
    <xf numFmtId="2" fontId="55" fillId="0" borderId="24" xfId="5" applyNumberFormat="1" applyFont="1" applyBorder="1" applyAlignment="1">
      <alignment horizontal="right" vertical="center" indent="2"/>
    </xf>
    <xf numFmtId="2" fontId="41" fillId="0" borderId="24" xfId="5" applyNumberFormat="1" applyFont="1" applyBorder="1" applyAlignment="1">
      <alignment horizontal="right" vertical="center" indent="2"/>
    </xf>
    <xf numFmtId="2" fontId="41" fillId="0" borderId="5" xfId="5" applyNumberFormat="1" applyFont="1" applyBorder="1" applyAlignment="1">
      <alignment horizontal="right" vertical="center" indent="2"/>
    </xf>
    <xf numFmtId="0" fontId="55" fillId="0" borderId="60" xfId="5" applyFont="1" applyBorder="1" applyAlignment="1">
      <alignment horizontal="center" vertical="center" wrapText="1"/>
    </xf>
    <xf numFmtId="0" fontId="65" fillId="0" borderId="23" xfId="5" applyFont="1" applyBorder="1" applyAlignment="1" applyProtection="1">
      <alignment horizontal="left" vertical="center" wrapText="1"/>
    </xf>
    <xf numFmtId="172" fontId="65" fillId="0" borderId="24" xfId="5" applyNumberFormat="1" applyFont="1" applyBorder="1" applyAlignment="1">
      <alignment horizontal="right" vertical="center" indent="1"/>
    </xf>
    <xf numFmtId="10" fontId="65" fillId="0" borderId="23" xfId="1" applyNumberFormat="1" applyFont="1" applyBorder="1" applyAlignment="1">
      <alignment horizontal="center" vertical="center"/>
    </xf>
    <xf numFmtId="0" fontId="55" fillId="0" borderId="23" xfId="5" applyFont="1" applyBorder="1" applyAlignment="1">
      <alignment horizontal="center" vertical="center" wrapText="1"/>
    </xf>
    <xf numFmtId="0" fontId="55" fillId="0" borderId="24" xfId="5" applyFont="1" applyBorder="1" applyAlignment="1">
      <alignment horizontal="center" vertical="center" wrapText="1"/>
    </xf>
    <xf numFmtId="10" fontId="41" fillId="0" borderId="23" xfId="1" applyNumberFormat="1" applyFont="1" applyBorder="1" applyAlignment="1">
      <alignment horizontal="center" vertical="center"/>
    </xf>
    <xf numFmtId="2" fontId="41" fillId="0" borderId="23" xfId="5" applyNumberFormat="1" applyFont="1" applyBorder="1" applyAlignment="1">
      <alignment horizontal="center" vertical="center"/>
    </xf>
    <xf numFmtId="0" fontId="55" fillId="0" borderId="2" xfId="5" applyFont="1" applyBorder="1" applyAlignment="1">
      <alignment horizontal="center" vertical="center"/>
    </xf>
    <xf numFmtId="172" fontId="55" fillId="0" borderId="3" xfId="5" applyNumberFormat="1" applyFont="1" applyBorder="1" applyAlignment="1">
      <alignment horizontal="right" vertical="center" indent="1"/>
    </xf>
    <xf numFmtId="2" fontId="55" fillId="0" borderId="2" xfId="5" applyNumberFormat="1" applyFont="1" applyBorder="1" applyAlignment="1">
      <alignment horizontal="center" vertical="center"/>
    </xf>
    <xf numFmtId="0" fontId="41" fillId="0" borderId="55" xfId="5" applyFont="1" applyFill="1" applyBorder="1" applyAlignment="1">
      <alignment horizontal="center" vertical="center"/>
    </xf>
    <xf numFmtId="0" fontId="41" fillId="0" borderId="59" xfId="5" applyFont="1" applyFill="1" applyBorder="1" applyAlignment="1">
      <alignment horizontal="center" vertical="center"/>
    </xf>
    <xf numFmtId="0" fontId="41" fillId="9" borderId="36" xfId="5" applyFont="1" applyFill="1" applyBorder="1" applyAlignment="1">
      <alignment horizontal="center" vertical="center"/>
    </xf>
    <xf numFmtId="172" fontId="41" fillId="9" borderId="54" xfId="5" applyNumberFormat="1" applyFont="1" applyFill="1" applyBorder="1" applyAlignment="1">
      <alignment horizontal="right" vertical="center" indent="1"/>
    </xf>
    <xf numFmtId="0" fontId="55" fillId="0" borderId="60" xfId="5" applyFont="1" applyBorder="1" applyAlignment="1">
      <alignment horizontal="center" vertical="center"/>
    </xf>
    <xf numFmtId="172" fontId="55" fillId="0" borderId="23" xfId="5" applyNumberFormat="1" applyFont="1" applyBorder="1" applyAlignment="1">
      <alignment horizontal="right" vertical="center" indent="1"/>
    </xf>
    <xf numFmtId="0" fontId="66" fillId="0" borderId="0" xfId="2" applyFont="1" applyAlignment="1">
      <alignment vertical="center"/>
    </xf>
    <xf numFmtId="0" fontId="67" fillId="11" borderId="1" xfId="2" applyFont="1" applyFill="1" applyBorder="1" applyAlignment="1">
      <alignment horizontal="center" vertical="center" wrapText="1"/>
    </xf>
    <xf numFmtId="0" fontId="66" fillId="0" borderId="1" xfId="2" applyFont="1" applyFill="1" applyBorder="1" applyAlignment="1">
      <alignment vertical="center" wrapText="1"/>
    </xf>
    <xf numFmtId="167" fontId="68" fillId="0" borderId="1" xfId="4" applyNumberFormat="1" applyFont="1" applyFill="1" applyBorder="1" applyAlignment="1">
      <alignment horizontal="right" vertical="center"/>
    </xf>
    <xf numFmtId="10" fontId="66" fillId="0" borderId="0" xfId="2" applyNumberFormat="1" applyFont="1" applyAlignment="1">
      <alignment vertical="center"/>
    </xf>
    <xf numFmtId="10" fontId="69" fillId="0" borderId="0" xfId="2" applyNumberFormat="1" applyFont="1" applyAlignment="1">
      <alignment vertical="center"/>
    </xf>
    <xf numFmtId="0" fontId="67" fillId="0" borderId="0" xfId="2" applyFont="1" applyAlignment="1">
      <alignment vertical="center"/>
    </xf>
    <xf numFmtId="10" fontId="66" fillId="0" borderId="1" xfId="2" applyNumberFormat="1" applyFont="1" applyFill="1" applyBorder="1" applyAlignment="1">
      <alignment vertical="center" wrapText="1"/>
    </xf>
    <xf numFmtId="169" fontId="66" fillId="0" borderId="1" xfId="2" applyNumberFormat="1" applyFont="1" applyFill="1" applyBorder="1" applyAlignment="1">
      <alignment vertical="center" wrapText="1"/>
    </xf>
    <xf numFmtId="165" fontId="68" fillId="0" borderId="1" xfId="1" applyNumberFormat="1" applyFont="1" applyFill="1" applyBorder="1" applyAlignment="1">
      <alignment horizontal="right" vertical="center"/>
    </xf>
    <xf numFmtId="165" fontId="66" fillId="0" borderId="0" xfId="2" applyNumberFormat="1" applyFont="1" applyAlignment="1">
      <alignment vertical="center"/>
    </xf>
    <xf numFmtId="167" fontId="70" fillId="11" borderId="1" xfId="4" applyNumberFormat="1" applyFont="1" applyFill="1" applyBorder="1" applyAlignment="1">
      <alignment horizontal="right" vertical="center"/>
    </xf>
    <xf numFmtId="0" fontId="41" fillId="0" borderId="14" xfId="5" applyFont="1" applyBorder="1" applyAlignment="1">
      <alignment horizontal="center" vertical="center"/>
    </xf>
    <xf numFmtId="0" fontId="41" fillId="0" borderId="15" xfId="5" applyFont="1" applyBorder="1" applyAlignment="1">
      <alignment horizontal="center" vertical="center"/>
    </xf>
    <xf numFmtId="172" fontId="41" fillId="0" borderId="19" xfId="5" applyNumberFormat="1" applyFont="1" applyBorder="1" applyAlignment="1">
      <alignment horizontal="right" vertical="center" indent="1"/>
    </xf>
    <xf numFmtId="172" fontId="41" fillId="0" borderId="20" xfId="5" applyNumberFormat="1" applyFont="1" applyBorder="1" applyAlignment="1">
      <alignment horizontal="right" vertical="center" indent="1"/>
    </xf>
    <xf numFmtId="0" fontId="67" fillId="11" borderId="16" xfId="2" applyFont="1" applyFill="1" applyBorder="1" applyAlignment="1">
      <alignment horizontal="center" vertical="center" wrapText="1"/>
    </xf>
    <xf numFmtId="0" fontId="67" fillId="11" borderId="17" xfId="2" applyFont="1" applyFill="1" applyBorder="1" applyAlignment="1">
      <alignment horizontal="center" vertical="center" wrapText="1"/>
    </xf>
    <xf numFmtId="0" fontId="66" fillId="0" borderId="16" xfId="2" applyFont="1" applyFill="1" applyBorder="1" applyAlignment="1">
      <alignment vertical="center" wrapText="1"/>
    </xf>
    <xf numFmtId="167" fontId="68" fillId="0" borderId="17" xfId="4" applyNumberFormat="1" applyFont="1" applyFill="1" applyBorder="1" applyAlignment="1">
      <alignment horizontal="right" vertical="center"/>
    </xf>
    <xf numFmtId="0" fontId="67" fillId="11" borderId="16" xfId="2" applyFont="1" applyFill="1" applyBorder="1" applyAlignment="1">
      <alignment vertical="center" wrapText="1"/>
    </xf>
    <xf numFmtId="167" fontId="70" fillId="11" borderId="17" xfId="4" applyNumberFormat="1" applyFont="1" applyFill="1" applyBorder="1" applyAlignment="1">
      <alignment horizontal="right" vertical="center"/>
    </xf>
    <xf numFmtId="0" fontId="0" fillId="0" borderId="5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4" xfId="0" applyBorder="1" applyAlignment="1">
      <alignment vertical="center"/>
    </xf>
    <xf numFmtId="165" fontId="68" fillId="0" borderId="17" xfId="1" applyNumberFormat="1" applyFont="1" applyFill="1" applyBorder="1" applyAlignment="1">
      <alignment horizontal="right" vertical="center"/>
    </xf>
    <xf numFmtId="0" fontId="0" fillId="0" borderId="59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65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71" fillId="5" borderId="1" xfId="0" applyFont="1" applyFill="1" applyBorder="1" applyAlignment="1">
      <alignment vertical="center"/>
    </xf>
    <xf numFmtId="3" fontId="71" fillId="5" borderId="1" xfId="0" applyNumberFormat="1" applyFont="1" applyFill="1" applyBorder="1" applyAlignment="1">
      <alignment horizontal="right" vertical="center"/>
    </xf>
    <xf numFmtId="9" fontId="0" fillId="0" borderId="27" xfId="1" applyFont="1" applyBorder="1"/>
    <xf numFmtId="9" fontId="0" fillId="0" borderId="17" xfId="1" applyFont="1" applyBorder="1"/>
    <xf numFmtId="0" fontId="71" fillId="5" borderId="28" xfId="0" applyFont="1" applyFill="1" applyBorder="1" applyAlignment="1">
      <alignment vertical="center"/>
    </xf>
    <xf numFmtId="3" fontId="71" fillId="5" borderId="28" xfId="0" applyNumberFormat="1" applyFont="1" applyFill="1" applyBorder="1" applyAlignment="1">
      <alignment horizontal="right" vertical="center"/>
    </xf>
    <xf numFmtId="3" fontId="0" fillId="0" borderId="28" xfId="0" applyNumberFormat="1" applyBorder="1"/>
    <xf numFmtId="9" fontId="0" fillId="0" borderId="28" xfId="1" applyFont="1" applyBorder="1"/>
    <xf numFmtId="43" fontId="0" fillId="0" borderId="0" xfId="0" applyNumberFormat="1"/>
    <xf numFmtId="43" fontId="0" fillId="0" borderId="1" xfId="0" applyNumberFormat="1" applyBorder="1"/>
    <xf numFmtId="171" fontId="0" fillId="0" borderId="0" xfId="3" applyNumberFormat="1" applyFont="1"/>
    <xf numFmtId="0" fontId="0" fillId="0" borderId="52" xfId="0" applyBorder="1" applyAlignment="1"/>
    <xf numFmtId="43" fontId="0" fillId="0" borderId="28" xfId="0" applyNumberFormat="1" applyBorder="1"/>
    <xf numFmtId="171" fontId="1" fillId="0" borderId="28" xfId="0" applyNumberFormat="1" applyFont="1" applyFill="1" applyBorder="1"/>
    <xf numFmtId="0" fontId="22" fillId="0" borderId="0" xfId="9" applyFont="1" applyAlignment="1">
      <alignment horizontal="center"/>
    </xf>
    <xf numFmtId="4" fontId="22" fillId="0" borderId="0" xfId="0" applyNumberFormat="1" applyFont="1" applyFill="1" applyAlignment="1">
      <alignment horizontal="left" vertical="center"/>
    </xf>
    <xf numFmtId="4" fontId="22" fillId="0" borderId="0" xfId="0" applyNumberFormat="1" applyFont="1" applyFill="1" applyAlignment="1">
      <alignment horizontal="left"/>
    </xf>
    <xf numFmtId="4" fontId="23" fillId="0" borderId="0" xfId="0" applyNumberFormat="1" applyFont="1" applyFill="1" applyBorder="1" applyAlignment="1">
      <alignment horizontal="left"/>
    </xf>
    <xf numFmtId="4" fontId="23" fillId="0" borderId="0" xfId="0" applyNumberFormat="1" applyFont="1" applyFill="1" applyBorder="1" applyAlignment="1">
      <alignment horizontal="center"/>
    </xf>
    <xf numFmtId="1" fontId="23" fillId="0" borderId="0" xfId="0" applyNumberFormat="1" applyFont="1" applyFill="1" applyBorder="1" applyAlignment="1">
      <alignment horizontal="left"/>
    </xf>
    <xf numFmtId="3" fontId="23" fillId="0" borderId="0" xfId="0" applyNumberFormat="1" applyFont="1" applyFill="1" applyBorder="1" applyAlignment="1">
      <alignment horizontal="center"/>
    </xf>
    <xf numFmtId="0" fontId="20" fillId="0" borderId="0" xfId="10" applyFont="1" applyFill="1" applyAlignment="1">
      <alignment wrapText="1"/>
    </xf>
    <xf numFmtId="0" fontId="78" fillId="0" borderId="0" xfId="10" applyFont="1" applyFill="1" applyAlignment="1">
      <alignment horizontal="center" vertical="center" wrapText="1"/>
    </xf>
    <xf numFmtId="4" fontId="79" fillId="0" borderId="0" xfId="0" applyNumberFormat="1" applyFont="1" applyFill="1" applyAlignment="1">
      <alignment horizontal="center" vertical="center" wrapText="1"/>
    </xf>
    <xf numFmtId="0" fontId="80" fillId="0" borderId="0" xfId="10" applyFont="1" applyFill="1" applyBorder="1" applyAlignment="1">
      <alignment horizontal="center" vertical="center" wrapText="1"/>
    </xf>
    <xf numFmtId="0" fontId="78" fillId="0" borderId="0" xfId="10" applyFont="1" applyFill="1" applyBorder="1" applyAlignment="1">
      <alignment horizontal="center" vertical="center" wrapText="1"/>
    </xf>
    <xf numFmtId="181" fontId="22" fillId="12" borderId="66" xfId="0" applyNumberFormat="1" applyFont="1" applyFill="1" applyBorder="1" applyAlignment="1" applyProtection="1">
      <alignment horizontal="center" vertical="center" wrapText="1"/>
    </xf>
    <xf numFmtId="0" fontId="22" fillId="12" borderId="69" xfId="0" applyNumberFormat="1" applyFont="1" applyFill="1" applyBorder="1" applyAlignment="1" applyProtection="1">
      <alignment horizontal="center" vertical="center" wrapText="1"/>
    </xf>
    <xf numFmtId="39" fontId="23" fillId="0" borderId="7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50" fillId="7" borderId="0" xfId="0" applyFont="1" applyFill="1" applyAlignment="1">
      <alignment horizontal="center" wrapText="1"/>
    </xf>
    <xf numFmtId="0" fontId="20" fillId="0" borderId="0" xfId="10" applyFont="1" applyFill="1" applyBorder="1" applyAlignment="1">
      <alignment wrapText="1"/>
    </xf>
    <xf numFmtId="0" fontId="0" fillId="0" borderId="0" xfId="0" applyBorder="1" applyAlignment="1">
      <alignment horizontal="center" wrapText="1"/>
    </xf>
    <xf numFmtId="4" fontId="80" fillId="0" borderId="0" xfId="1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80" fillId="0" borderId="1" xfId="10" applyFont="1" applyFill="1" applyBorder="1" applyAlignment="1">
      <alignment horizontal="left" vertical="center" wrapText="1"/>
    </xf>
    <xf numFmtId="0" fontId="80" fillId="0" borderId="1" xfId="10" applyFont="1" applyFill="1" applyBorder="1" applyAlignment="1">
      <alignment horizontal="center" vertical="center" wrapText="1"/>
    </xf>
    <xf numFmtId="3" fontId="80" fillId="0" borderId="1" xfId="10" applyNumberFormat="1" applyFont="1" applyFill="1" applyBorder="1" applyAlignment="1">
      <alignment horizontal="center" vertical="center" wrapText="1"/>
    </xf>
    <xf numFmtId="4" fontId="80" fillId="7" borderId="1" xfId="10" applyNumberFormat="1" applyFont="1" applyFill="1" applyBorder="1" applyAlignment="1">
      <alignment horizontal="center" vertical="center" wrapText="1"/>
    </xf>
    <xf numFmtId="4" fontId="78" fillId="0" borderId="1" xfId="10" applyNumberFormat="1" applyFont="1" applyFill="1" applyBorder="1" applyAlignment="1">
      <alignment horizontal="center" vertical="center" wrapText="1"/>
    </xf>
    <xf numFmtId="4" fontId="78" fillId="0" borderId="0" xfId="1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0" fontId="78" fillId="0" borderId="0" xfId="10" applyFont="1" applyFill="1" applyBorder="1" applyAlignment="1">
      <alignment horizontal="left" vertical="center" wrapText="1"/>
    </xf>
    <xf numFmtId="0" fontId="50" fillId="24" borderId="1" xfId="10" applyFont="1" applyFill="1" applyBorder="1" applyAlignment="1">
      <alignment horizontal="center" wrapText="1"/>
    </xf>
    <xf numFmtId="4" fontId="82" fillId="0" borderId="0" xfId="0" applyNumberFormat="1" applyFont="1" applyFill="1" applyAlignment="1">
      <alignment wrapText="1"/>
    </xf>
    <xf numFmtId="4" fontId="20" fillId="0" borderId="0" xfId="10" applyNumberFormat="1" applyFont="1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78" fillId="0" borderId="1" xfId="10" applyFont="1" applyFill="1" applyBorder="1" applyAlignment="1">
      <alignment horizontal="center" vertical="center" wrapText="1"/>
    </xf>
    <xf numFmtId="4" fontId="78" fillId="24" borderId="1" xfId="10" applyNumberFormat="1" applyFont="1" applyFill="1" applyBorder="1" applyAlignment="1">
      <alignment horizontal="center" vertical="center" wrapText="1"/>
    </xf>
    <xf numFmtId="0" fontId="78" fillId="24" borderId="1" xfId="10" applyFont="1" applyFill="1" applyBorder="1" applyAlignment="1">
      <alignment vertical="center" wrapText="1"/>
    </xf>
    <xf numFmtId="0" fontId="50" fillId="24" borderId="1" xfId="10" applyFont="1" applyFill="1" applyBorder="1" applyAlignment="1">
      <alignment vertical="center" wrapText="1"/>
    </xf>
    <xf numFmtId="4" fontId="78" fillId="24" borderId="1" xfId="10" applyNumberFormat="1" applyFont="1" applyFill="1" applyBorder="1" applyAlignment="1">
      <alignment vertical="center" wrapText="1"/>
    </xf>
    <xf numFmtId="0" fontId="20" fillId="0" borderId="0" xfId="10" applyFont="1" applyFill="1" applyAlignment="1">
      <alignment horizontal="center" wrapText="1"/>
    </xf>
    <xf numFmtId="0" fontId="78" fillId="24" borderId="28" xfId="10" applyFont="1" applyFill="1" applyBorder="1" applyAlignment="1">
      <alignment horizontal="center" vertical="center" wrapText="1"/>
    </xf>
    <xf numFmtId="0" fontId="83" fillId="12" borderId="1" xfId="10" applyFont="1" applyFill="1" applyBorder="1" applyAlignment="1">
      <alignment horizontal="left" vertical="center" wrapText="1"/>
    </xf>
    <xf numFmtId="0" fontId="78" fillId="12" borderId="28" xfId="10" applyFont="1" applyFill="1" applyBorder="1" applyAlignment="1">
      <alignment horizontal="center" vertical="center" wrapText="1"/>
    </xf>
    <xf numFmtId="0" fontId="78" fillId="12" borderId="1" xfId="10" applyFont="1" applyFill="1" applyBorder="1" applyAlignment="1">
      <alignment horizontal="center" vertical="center" wrapText="1"/>
    </xf>
    <xf numFmtId="4" fontId="78" fillId="12" borderId="1" xfId="10" applyNumberFormat="1" applyFont="1" applyFill="1" applyBorder="1" applyAlignment="1">
      <alignment horizontal="center" vertical="center" wrapText="1"/>
    </xf>
    <xf numFmtId="0" fontId="20" fillId="12" borderId="1" xfId="10" applyFont="1" applyFill="1" applyBorder="1" applyAlignment="1">
      <alignment horizontal="center" wrapText="1"/>
    </xf>
    <xf numFmtId="4" fontId="80" fillId="12" borderId="1" xfId="1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0" fillId="9" borderId="0" xfId="0" applyFont="1" applyFill="1" applyAlignment="1">
      <alignment horizontal="center" wrapText="1"/>
    </xf>
    <xf numFmtId="0" fontId="80" fillId="0" borderId="0" xfId="10" applyFont="1" applyFill="1" applyBorder="1" applyAlignment="1">
      <alignment horizontal="left" vertical="center" wrapText="1"/>
    </xf>
    <xf numFmtId="0" fontId="20" fillId="0" borderId="1" xfId="10" applyFont="1" applyFill="1" applyBorder="1" applyAlignment="1">
      <alignment horizontal="center" vertical="center" wrapText="1"/>
    </xf>
    <xf numFmtId="4" fontId="79" fillId="0" borderId="0" xfId="0" applyNumberFormat="1" applyFont="1" applyFill="1" applyAlignment="1">
      <alignment wrapText="1"/>
    </xf>
    <xf numFmtId="0" fontId="20" fillId="0" borderId="0" xfId="0" applyFont="1" applyAlignment="1">
      <alignment wrapText="1"/>
    </xf>
    <xf numFmtId="4" fontId="79" fillId="0" borderId="0" xfId="0" applyNumberFormat="1" applyFont="1" applyFill="1" applyAlignment="1">
      <alignment horizontal="left" wrapText="1"/>
    </xf>
    <xf numFmtId="0" fontId="20" fillId="0" borderId="0" xfId="0" applyFont="1" applyAlignment="1">
      <alignment horizontal="left" wrapText="1"/>
    </xf>
    <xf numFmtId="0" fontId="79" fillId="0" borderId="0" xfId="0" applyNumberFormat="1" applyFont="1" applyFill="1" applyAlignment="1">
      <alignment wrapText="1"/>
    </xf>
    <xf numFmtId="0" fontId="84" fillId="0" borderId="0" xfId="10" applyFont="1" applyFill="1" applyAlignment="1">
      <alignment horizontal="center" vertical="center" wrapText="1"/>
    </xf>
    <xf numFmtId="0" fontId="49" fillId="0" borderId="0" xfId="0" applyFont="1" applyAlignment="1">
      <alignment vertical="center" wrapText="1"/>
    </xf>
    <xf numFmtId="0" fontId="50" fillId="0" borderId="1" xfId="9" applyFont="1" applyFill="1" applyBorder="1" applyAlignment="1">
      <alignment vertical="center" wrapText="1"/>
    </xf>
    <xf numFmtId="0" fontId="50" fillId="0" borderId="1" xfId="9" applyFont="1" applyFill="1" applyBorder="1" applyAlignment="1">
      <alignment horizontal="center" wrapText="1"/>
    </xf>
    <xf numFmtId="0" fontId="79" fillId="0" borderId="1" xfId="9" applyFont="1" applyFill="1" applyBorder="1" applyAlignment="1">
      <alignment horizontal="center" wrapText="1"/>
    </xf>
    <xf numFmtId="4" fontId="50" fillId="0" borderId="1" xfId="9" applyNumberFormat="1" applyFont="1" applyFill="1" applyBorder="1" applyAlignment="1">
      <alignment wrapText="1"/>
    </xf>
    <xf numFmtId="0" fontId="20" fillId="0" borderId="1" xfId="9" applyFont="1" applyBorder="1" applyAlignment="1">
      <alignment vertical="center" wrapText="1"/>
    </xf>
    <xf numFmtId="4" fontId="20" fillId="0" borderId="1" xfId="9" applyNumberFormat="1" applyFont="1" applyBorder="1" applyAlignment="1">
      <alignment horizontal="right" vertical="center" wrapText="1"/>
    </xf>
    <xf numFmtId="0" fontId="0" fillId="27" borderId="1" xfId="0" applyFill="1" applyBorder="1" applyAlignment="1">
      <alignment wrapText="1"/>
    </xf>
    <xf numFmtId="0" fontId="50" fillId="27" borderId="1" xfId="0" applyFont="1" applyFill="1" applyBorder="1" applyAlignment="1">
      <alignment wrapText="1"/>
    </xf>
    <xf numFmtId="4" fontId="50" fillId="27" borderId="1" xfId="0" applyNumberFormat="1" applyFont="1" applyFill="1" applyBorder="1" applyAlignment="1">
      <alignment wrapText="1"/>
    </xf>
    <xf numFmtId="0" fontId="20" fillId="0" borderId="0" xfId="0" applyFont="1" applyFill="1" applyBorder="1"/>
    <xf numFmtId="4" fontId="79" fillId="0" borderId="0" xfId="0" applyNumberFormat="1" applyFont="1" applyFill="1"/>
    <xf numFmtId="4" fontId="79" fillId="0" borderId="0" xfId="0" applyNumberFormat="1" applyFont="1" applyFill="1" applyAlignment="1">
      <alignment horizontal="left"/>
    </xf>
    <xf numFmtId="0" fontId="79" fillId="0" borderId="0" xfId="0" applyNumberFormat="1" applyFont="1" applyFill="1"/>
    <xf numFmtId="4" fontId="23" fillId="5" borderId="0" xfId="0" applyNumberFormat="1" applyFont="1" applyFill="1" applyBorder="1" applyAlignment="1" applyProtection="1">
      <alignment horizontal="left"/>
    </xf>
    <xf numFmtId="0" fontId="50" fillId="0" borderId="0" xfId="0" applyNumberFormat="1" applyFont="1" applyFill="1" applyBorder="1" applyAlignment="1" applyProtection="1">
      <alignment horizontal="center"/>
    </xf>
    <xf numFmtId="0" fontId="20" fillId="0" borderId="0" xfId="10" applyFont="1" applyFill="1"/>
    <xf numFmtId="4" fontId="50" fillId="0" borderId="0" xfId="0" applyNumberFormat="1" applyFont="1" applyFill="1"/>
    <xf numFmtId="0" fontId="78" fillId="0" borderId="0" xfId="10" applyFont="1" applyFill="1" applyAlignment="1">
      <alignment horizontal="center" vertical="center"/>
    </xf>
    <xf numFmtId="4" fontId="50" fillId="0" borderId="0" xfId="0" applyNumberFormat="1" applyFont="1" applyFill="1" applyAlignment="1">
      <alignment horizontal="left"/>
    </xf>
    <xf numFmtId="0" fontId="50" fillId="0" borderId="0" xfId="0" applyNumberFormat="1" applyFont="1" applyFill="1"/>
    <xf numFmtId="4" fontId="87" fillId="0" borderId="0" xfId="0" applyNumberFormat="1" applyFont="1"/>
    <xf numFmtId="0" fontId="84" fillId="0" borderId="0" xfId="10" applyFont="1" applyFill="1" applyAlignment="1">
      <alignment horizontal="center" vertical="center"/>
    </xf>
    <xf numFmtId="4" fontId="20" fillId="5" borderId="0" xfId="0" applyNumberFormat="1" applyFont="1" applyFill="1" applyBorder="1" applyAlignment="1" applyProtection="1"/>
    <xf numFmtId="4" fontId="50" fillId="12" borderId="66" xfId="0" applyNumberFormat="1" applyFont="1" applyFill="1" applyBorder="1" applyAlignment="1" applyProtection="1">
      <alignment horizontal="center"/>
    </xf>
    <xf numFmtId="4" fontId="50" fillId="12" borderId="69" xfId="0" applyNumberFormat="1" applyFont="1" applyFill="1" applyBorder="1" applyAlignment="1" applyProtection="1">
      <alignment horizontal="center"/>
    </xf>
    <xf numFmtId="4" fontId="20" fillId="5" borderId="81" xfId="0" applyNumberFormat="1" applyFont="1" applyFill="1" applyBorder="1" applyAlignment="1" applyProtection="1">
      <alignment horizontal="left" indent="1"/>
    </xf>
    <xf numFmtId="4" fontId="20" fillId="5" borderId="70" xfId="0" applyNumberFormat="1" applyFont="1" applyFill="1" applyBorder="1" applyAlignment="1" applyProtection="1">
      <alignment horizontal="left" indent="1"/>
    </xf>
    <xf numFmtId="4" fontId="20" fillId="5" borderId="74" xfId="0" applyNumberFormat="1" applyFont="1" applyFill="1" applyBorder="1" applyAlignment="1" applyProtection="1"/>
    <xf numFmtId="182" fontId="80" fillId="5" borderId="80" xfId="0" applyNumberFormat="1" applyFont="1" applyFill="1" applyBorder="1" applyAlignment="1" applyProtection="1">
      <alignment horizontal="right"/>
    </xf>
    <xf numFmtId="4" fontId="20" fillId="5" borderId="79" xfId="0" applyNumberFormat="1" applyFont="1" applyFill="1" applyBorder="1" applyAlignment="1" applyProtection="1">
      <alignment horizontal="left" indent="1"/>
    </xf>
    <xf numFmtId="4" fontId="20" fillId="5" borderId="81" xfId="0" applyNumberFormat="1" applyFont="1" applyFill="1" applyBorder="1" applyAlignment="1" applyProtection="1"/>
    <xf numFmtId="4" fontId="20" fillId="5" borderId="71" xfId="0" applyNumberFormat="1" applyFont="1" applyFill="1" applyBorder="1" applyAlignment="1" applyProtection="1"/>
    <xf numFmtId="4" fontId="20" fillId="5" borderId="72" xfId="0" applyNumberFormat="1" applyFont="1" applyFill="1" applyBorder="1" applyAlignment="1" applyProtection="1"/>
    <xf numFmtId="4" fontId="20" fillId="5" borderId="73" xfId="0" applyNumberFormat="1" applyFont="1" applyFill="1" applyBorder="1" applyAlignment="1" applyProtection="1"/>
    <xf numFmtId="4" fontId="20" fillId="5" borderId="82" xfId="0" applyNumberFormat="1" applyFont="1" applyFill="1" applyBorder="1" applyAlignment="1" applyProtection="1"/>
    <xf numFmtId="4" fontId="20" fillId="5" borderId="75" xfId="0" applyNumberFormat="1" applyFont="1" applyFill="1" applyBorder="1" applyAlignment="1" applyProtection="1"/>
    <xf numFmtId="4" fontId="50" fillId="5" borderId="76" xfId="0" applyNumberFormat="1" applyFont="1" applyFill="1" applyBorder="1" applyAlignment="1" applyProtection="1">
      <alignment horizontal="center"/>
    </xf>
    <xf numFmtId="4" fontId="20" fillId="5" borderId="77" xfId="0" applyNumberFormat="1" applyFont="1" applyFill="1" applyBorder="1" applyAlignment="1" applyProtection="1">
      <alignment horizontal="center"/>
    </xf>
    <xf numFmtId="4" fontId="20" fillId="5" borderId="77" xfId="0" applyNumberFormat="1" applyFont="1" applyFill="1" applyBorder="1" applyAlignment="1" applyProtection="1"/>
    <xf numFmtId="4" fontId="50" fillId="5" borderId="78" xfId="0" applyNumberFormat="1" applyFont="1" applyFill="1" applyBorder="1" applyAlignment="1" applyProtection="1"/>
    <xf numFmtId="4" fontId="50" fillId="5" borderId="83" xfId="0" applyNumberFormat="1" applyFont="1" applyFill="1" applyBorder="1" applyAlignment="1" applyProtection="1"/>
    <xf numFmtId="4" fontId="20" fillId="5" borderId="0" xfId="0" applyNumberFormat="1" applyFont="1" applyFill="1" applyBorder="1" applyAlignment="1" applyProtection="1">
      <alignment horizontal="left"/>
    </xf>
    <xf numFmtId="4" fontId="20" fillId="5" borderId="0" xfId="0" applyNumberFormat="1" applyFont="1" applyFill="1" applyBorder="1" applyAlignment="1" applyProtection="1">
      <alignment wrapText="1"/>
    </xf>
    <xf numFmtId="4" fontId="50" fillId="5" borderId="0" xfId="0" applyNumberFormat="1" applyFont="1" applyFill="1" applyBorder="1" applyAlignment="1" applyProtection="1">
      <alignment horizontal="right" wrapText="1"/>
    </xf>
    <xf numFmtId="4" fontId="50" fillId="5" borderId="0" xfId="0" applyNumberFormat="1" applyFont="1" applyFill="1" applyBorder="1" applyAlignment="1" applyProtection="1">
      <alignment horizontal="left"/>
    </xf>
    <xf numFmtId="4" fontId="50" fillId="0" borderId="0" xfId="0" applyNumberFormat="1" applyFont="1" applyFill="1" applyBorder="1" applyAlignment="1" applyProtection="1">
      <alignment horizontal="right" wrapText="1"/>
    </xf>
    <xf numFmtId="4" fontId="50" fillId="5" borderId="0" xfId="0" applyNumberFormat="1" applyFont="1" applyFill="1" applyBorder="1" applyAlignment="1" applyProtection="1">
      <alignment wrapText="1"/>
    </xf>
    <xf numFmtId="4" fontId="20" fillId="0" borderId="0" xfId="0" applyNumberFormat="1" applyFont="1" applyFill="1" applyBorder="1" applyAlignment="1" applyProtection="1">
      <alignment wrapText="1"/>
    </xf>
    <xf numFmtId="4" fontId="20" fillId="5" borderId="0" xfId="0" applyNumberFormat="1" applyFont="1" applyFill="1" applyBorder="1" applyAlignment="1" applyProtection="1">
      <alignment horizontal="right" wrapText="1"/>
    </xf>
    <xf numFmtId="4" fontId="50" fillId="12" borderId="84" xfId="0" applyNumberFormat="1" applyFont="1" applyFill="1" applyBorder="1" applyAlignment="1" applyProtection="1">
      <alignment horizontal="center" wrapText="1"/>
    </xf>
    <xf numFmtId="4" fontId="50" fillId="12" borderId="85" xfId="0" applyNumberFormat="1" applyFont="1" applyFill="1" applyBorder="1" applyAlignment="1" applyProtection="1">
      <alignment horizontal="center" wrapText="1"/>
    </xf>
    <xf numFmtId="4" fontId="20" fillId="5" borderId="86" xfId="0" applyNumberFormat="1" applyFont="1" applyFill="1" applyBorder="1" applyAlignment="1" applyProtection="1">
      <alignment horizontal="left"/>
    </xf>
    <xf numFmtId="4" fontId="20" fillId="5" borderId="87" xfId="0" applyNumberFormat="1" applyFont="1" applyFill="1" applyBorder="1" applyAlignment="1" applyProtection="1">
      <alignment horizontal="center" wrapText="1"/>
    </xf>
    <xf numFmtId="182" fontId="20" fillId="5" borderId="88" xfId="0" applyNumberFormat="1" applyFont="1" applyFill="1" applyBorder="1" applyAlignment="1" applyProtection="1">
      <alignment horizontal="center" wrapText="1"/>
    </xf>
    <xf numFmtId="182" fontId="80" fillId="5" borderId="88" xfId="0" applyNumberFormat="1" applyFont="1" applyFill="1" applyBorder="1" applyAlignment="1" applyProtection="1">
      <alignment horizontal="center" wrapText="1"/>
    </xf>
    <xf numFmtId="4" fontId="88" fillId="5" borderId="0" xfId="0" applyNumberFormat="1" applyFont="1" applyFill="1" applyBorder="1" applyAlignment="1" applyProtection="1">
      <alignment wrapText="1"/>
    </xf>
    <xf numFmtId="181" fontId="80" fillId="5" borderId="89" xfId="0" applyNumberFormat="1" applyFont="1" applyFill="1" applyBorder="1" applyAlignment="1" applyProtection="1">
      <alignment horizontal="left" vertical="center"/>
    </xf>
    <xf numFmtId="181" fontId="88" fillId="5" borderId="90" xfId="0" applyNumberFormat="1" applyFont="1" applyFill="1" applyBorder="1" applyAlignment="1" applyProtection="1">
      <alignment horizontal="left" wrapText="1"/>
    </xf>
    <xf numFmtId="4" fontId="80" fillId="5" borderId="91" xfId="0" applyNumberFormat="1" applyFont="1" applyFill="1" applyBorder="1" applyAlignment="1" applyProtection="1">
      <alignment horizontal="center" wrapText="1"/>
    </xf>
    <xf numFmtId="4" fontId="80" fillId="5" borderId="90" xfId="0" applyNumberFormat="1" applyFont="1" applyFill="1" applyBorder="1" applyAlignment="1" applyProtection="1">
      <alignment horizontal="center" wrapText="1"/>
    </xf>
    <xf numFmtId="182" fontId="80" fillId="5" borderId="91" xfId="0" applyNumberFormat="1" applyFont="1" applyFill="1" applyBorder="1" applyAlignment="1" applyProtection="1">
      <alignment horizontal="center" wrapText="1"/>
    </xf>
    <xf numFmtId="4" fontId="20" fillId="5" borderId="84" xfId="0" applyNumberFormat="1" applyFont="1" applyFill="1" applyBorder="1" applyAlignment="1" applyProtection="1">
      <alignment horizontal="center" wrapText="1"/>
    </xf>
    <xf numFmtId="4" fontId="20" fillId="5" borderId="92" xfId="0" applyNumberFormat="1" applyFont="1" applyFill="1" applyBorder="1" applyAlignment="1" applyProtection="1">
      <alignment horizontal="center" wrapText="1"/>
    </xf>
    <xf numFmtId="4" fontId="20" fillId="5" borderId="92" xfId="0" applyNumberFormat="1" applyFont="1" applyFill="1" applyBorder="1" applyAlignment="1" applyProtection="1">
      <alignment wrapText="1"/>
    </xf>
    <xf numFmtId="182" fontId="78" fillId="5" borderId="93" xfId="0" applyNumberFormat="1" applyFont="1" applyFill="1" applyBorder="1" applyAlignment="1" applyProtection="1">
      <alignment horizontal="right" wrapText="1"/>
    </xf>
    <xf numFmtId="4" fontId="20" fillId="5" borderId="0" xfId="0" applyNumberFormat="1" applyFont="1" applyFill="1" applyBorder="1" applyAlignment="1" applyProtection="1">
      <alignment horizontal="center" wrapText="1"/>
    </xf>
    <xf numFmtId="182" fontId="78" fillId="5" borderId="0" xfId="0" applyNumberFormat="1" applyFont="1" applyFill="1" applyBorder="1" applyAlignment="1" applyProtection="1">
      <alignment horizontal="right" wrapText="1"/>
    </xf>
    <xf numFmtId="181" fontId="50" fillId="12" borderId="85" xfId="0" applyNumberFormat="1" applyFont="1" applyFill="1" applyBorder="1" applyAlignment="1" applyProtection="1">
      <alignment horizontal="center" wrapText="1"/>
    </xf>
    <xf numFmtId="4" fontId="20" fillId="5" borderId="87" xfId="0" applyNumberFormat="1" applyFont="1" applyFill="1" applyBorder="1" applyAlignment="1" applyProtection="1">
      <alignment horizontal="center"/>
    </xf>
    <xf numFmtId="4" fontId="20" fillId="5" borderId="86" xfId="0" applyNumberFormat="1" applyFont="1" applyFill="1" applyBorder="1" applyAlignment="1" applyProtection="1">
      <alignment horizontal="center" wrapText="1"/>
    </xf>
    <xf numFmtId="2" fontId="20" fillId="5" borderId="88" xfId="0" applyNumberFormat="1" applyFont="1" applyFill="1" applyBorder="1" applyAlignment="1" applyProtection="1">
      <alignment horizontal="center" wrapText="1"/>
    </xf>
    <xf numFmtId="4" fontId="20" fillId="5" borderId="88" xfId="0" applyNumberFormat="1" applyFont="1" applyFill="1" applyBorder="1" applyAlignment="1" applyProtection="1">
      <alignment horizontal="center" wrapText="1"/>
    </xf>
    <xf numFmtId="182" fontId="80" fillId="5" borderId="88" xfId="0" applyNumberFormat="1" applyFont="1" applyFill="1" applyBorder="1" applyAlignment="1" applyProtection="1">
      <alignment horizontal="right" wrapText="1"/>
    </xf>
    <xf numFmtId="4" fontId="20" fillId="5" borderId="85" xfId="0" applyNumberFormat="1" applyFont="1" applyFill="1" applyBorder="1" applyAlignment="1" applyProtection="1">
      <alignment horizontal="center" wrapText="1"/>
    </xf>
    <xf numFmtId="181" fontId="50" fillId="5" borderId="0" xfId="0" applyNumberFormat="1" applyFont="1" applyFill="1" applyBorder="1" applyAlignment="1" applyProtection="1">
      <alignment horizontal="right" vertical="center" wrapText="1"/>
    </xf>
    <xf numFmtId="181" fontId="50" fillId="5" borderId="0" xfId="0" applyNumberFormat="1" applyFont="1" applyFill="1" applyBorder="1" applyAlignment="1" applyProtection="1">
      <alignment horizontal="left" vertical="center" wrapText="1"/>
    </xf>
    <xf numFmtId="0" fontId="20" fillId="5" borderId="0" xfId="0" applyNumberFormat="1" applyFont="1" applyFill="1" applyBorder="1" applyAlignment="1" applyProtection="1">
      <alignment vertical="center" wrapText="1"/>
    </xf>
    <xf numFmtId="39" fontId="20" fillId="5" borderId="0" xfId="0" applyNumberFormat="1" applyFont="1" applyFill="1" applyBorder="1" applyAlignment="1" applyProtection="1">
      <alignment vertical="center" wrapText="1"/>
    </xf>
    <xf numFmtId="183" fontId="50" fillId="0" borderId="0" xfId="0" applyNumberFormat="1" applyFont="1" applyFill="1" applyBorder="1" applyAlignment="1" applyProtection="1">
      <alignment horizontal="right" vertical="center" wrapText="1"/>
    </xf>
    <xf numFmtId="181" fontId="20" fillId="5" borderId="0" xfId="0" applyNumberFormat="1" applyFont="1" applyFill="1" applyBorder="1" applyAlignment="1" applyProtection="1">
      <alignment vertical="center" wrapText="1"/>
    </xf>
    <xf numFmtId="181" fontId="50" fillId="12" borderId="85" xfId="0" applyNumberFormat="1" applyFont="1" applyFill="1" applyBorder="1" applyAlignment="1" applyProtection="1">
      <alignment horizontal="center" vertical="center" wrapText="1"/>
    </xf>
    <xf numFmtId="181" fontId="20" fillId="5" borderId="0" xfId="0" applyNumberFormat="1" applyFont="1" applyFill="1" applyBorder="1" applyAlignment="1" applyProtection="1">
      <alignment vertical="center"/>
    </xf>
    <xf numFmtId="0" fontId="20" fillId="5" borderId="88" xfId="0" applyNumberFormat="1" applyFont="1" applyFill="1" applyBorder="1" applyAlignment="1" applyProtection="1">
      <alignment horizontal="center" vertical="center"/>
    </xf>
    <xf numFmtId="2" fontId="20" fillId="5" borderId="88" xfId="0" applyNumberFormat="1" applyFont="1" applyFill="1" applyBorder="1" applyAlignment="1" applyProtection="1">
      <alignment horizontal="center" vertical="center"/>
    </xf>
    <xf numFmtId="182" fontId="80" fillId="0" borderId="88" xfId="0" applyNumberFormat="1" applyFont="1" applyFill="1" applyBorder="1" applyAlignment="1" applyProtection="1">
      <alignment horizontal="center" vertical="center"/>
    </xf>
    <xf numFmtId="182" fontId="80" fillId="5" borderId="88" xfId="0" applyNumberFormat="1" applyFont="1" applyFill="1" applyBorder="1" applyAlignment="1" applyProtection="1">
      <alignment horizontal="center" vertical="center"/>
    </xf>
    <xf numFmtId="181" fontId="50" fillId="5" borderId="84" xfId="0" applyNumberFormat="1" applyFont="1" applyFill="1" applyBorder="1" applyAlignment="1" applyProtection="1">
      <alignment horizontal="center" vertical="center" wrapText="1"/>
    </xf>
    <xf numFmtId="181" fontId="50" fillId="5" borderId="92" xfId="0" applyNumberFormat="1" applyFont="1" applyFill="1" applyBorder="1" applyAlignment="1" applyProtection="1">
      <alignment horizontal="center" vertical="center" wrapText="1"/>
    </xf>
    <xf numFmtId="181" fontId="50" fillId="5" borderId="85" xfId="0" applyNumberFormat="1" applyFont="1" applyFill="1" applyBorder="1" applyAlignment="1" applyProtection="1">
      <alignment horizontal="center" vertical="center" wrapText="1"/>
    </xf>
    <xf numFmtId="182" fontId="78" fillId="5" borderId="93" xfId="0" applyNumberFormat="1" applyFont="1" applyFill="1" applyBorder="1" applyAlignment="1" applyProtection="1">
      <alignment horizontal="center" vertical="center" wrapText="1"/>
    </xf>
    <xf numFmtId="4" fontId="50" fillId="5" borderId="0" xfId="0" applyNumberFormat="1" applyFont="1" applyFill="1" applyBorder="1" applyAlignment="1" applyProtection="1">
      <alignment horizontal="right"/>
    </xf>
    <xf numFmtId="4" fontId="20" fillId="5" borderId="0" xfId="0" applyNumberFormat="1" applyFont="1" applyFill="1" applyBorder="1" applyAlignment="1" applyProtection="1">
      <alignment horizontal="center"/>
    </xf>
    <xf numFmtId="4" fontId="50" fillId="0" borderId="0" xfId="0" applyNumberFormat="1" applyFont="1" applyFill="1" applyBorder="1" applyAlignment="1" applyProtection="1">
      <alignment horizontal="right"/>
    </xf>
    <xf numFmtId="4" fontId="50" fillId="5" borderId="0" xfId="0" applyNumberFormat="1" applyFont="1" applyFill="1" applyBorder="1" applyAlignment="1" applyProtection="1">
      <alignment horizontal="left" wrapText="1"/>
    </xf>
    <xf numFmtId="4" fontId="20" fillId="5" borderId="89" xfId="0" applyNumberFormat="1" applyFont="1" applyFill="1" applyBorder="1" applyAlignment="1" applyProtection="1">
      <alignment wrapText="1"/>
    </xf>
    <xf numFmtId="4" fontId="20" fillId="5" borderId="90" xfId="0" applyNumberFormat="1" applyFont="1" applyFill="1" applyBorder="1" applyAlignment="1" applyProtection="1">
      <alignment horizontal="center" wrapText="1"/>
    </xf>
    <xf numFmtId="182" fontId="78" fillId="5" borderId="93" xfId="0" applyNumberFormat="1" applyFont="1" applyFill="1" applyBorder="1" applyAlignment="1" applyProtection="1">
      <alignment horizontal="center" wrapText="1"/>
    </xf>
    <xf numFmtId="4" fontId="50" fillId="12" borderId="85" xfId="0" applyNumberFormat="1" applyFont="1" applyFill="1" applyBorder="1" applyAlignment="1" applyProtection="1">
      <alignment horizontal="center"/>
    </xf>
    <xf numFmtId="181" fontId="20" fillId="5" borderId="0" xfId="0" applyNumberFormat="1" applyFont="1" applyFill="1" applyBorder="1" applyAlignment="1" applyProtection="1"/>
    <xf numFmtId="0" fontId="20" fillId="5" borderId="89" xfId="0" applyNumberFormat="1" applyFont="1" applyFill="1" applyBorder="1" applyAlignment="1" applyProtection="1"/>
    <xf numFmtId="0" fontId="20" fillId="5" borderId="90" xfId="0" applyNumberFormat="1" applyFont="1" applyFill="1" applyBorder="1" applyAlignment="1" applyProtection="1"/>
    <xf numFmtId="0" fontId="20" fillId="5" borderId="90" xfId="0" applyNumberFormat="1" applyFont="1" applyFill="1" applyBorder="1" applyAlignment="1" applyProtection="1">
      <alignment horizontal="center"/>
    </xf>
    <xf numFmtId="2" fontId="20" fillId="5" borderId="90" xfId="0" applyNumberFormat="1" applyFont="1" applyFill="1" applyBorder="1" applyAlignment="1" applyProtection="1">
      <alignment horizontal="center"/>
    </xf>
    <xf numFmtId="183" fontId="20" fillId="5" borderId="90" xfId="0" applyNumberFormat="1" applyFont="1" applyFill="1" applyBorder="1" applyAlignment="1" applyProtection="1">
      <alignment horizontal="center"/>
    </xf>
    <xf numFmtId="182" fontId="80" fillId="5" borderId="91" xfId="0" applyNumberFormat="1" applyFont="1" applyFill="1" applyBorder="1" applyAlignment="1" applyProtection="1">
      <alignment horizontal="center"/>
    </xf>
    <xf numFmtId="0" fontId="20" fillId="5" borderId="91" xfId="0" applyNumberFormat="1" applyFont="1" applyFill="1" applyBorder="1" applyAlignment="1" applyProtection="1">
      <alignment horizontal="center"/>
    </xf>
    <xf numFmtId="181" fontId="20" fillId="5" borderId="89" xfId="0" applyNumberFormat="1" applyFont="1" applyFill="1" applyBorder="1" applyAlignment="1" applyProtection="1"/>
    <xf numFmtId="181" fontId="20" fillId="5" borderId="90" xfId="0" applyNumberFormat="1" applyFont="1" applyFill="1" applyBorder="1" applyAlignment="1" applyProtection="1">
      <alignment horizontal="left"/>
    </xf>
    <xf numFmtId="4" fontId="20" fillId="5" borderId="91" xfId="0" applyNumberFormat="1" applyFont="1" applyFill="1" applyBorder="1" applyAlignment="1" applyProtection="1">
      <alignment horizontal="center"/>
    </xf>
    <xf numFmtId="4" fontId="20" fillId="5" borderId="90" xfId="0" applyNumberFormat="1" applyFont="1" applyFill="1" applyBorder="1" applyAlignment="1" applyProtection="1">
      <alignment horizontal="center"/>
    </xf>
    <xf numFmtId="4" fontId="50" fillId="12" borderId="92" xfId="0" applyNumberFormat="1" applyFont="1" applyFill="1" applyBorder="1" applyAlignment="1" applyProtection="1">
      <alignment horizontal="center" wrapText="1"/>
    </xf>
    <xf numFmtId="182" fontId="78" fillId="12" borderId="93" xfId="0" applyNumberFormat="1" applyFont="1" applyFill="1" applyBorder="1" applyAlignment="1" applyProtection="1">
      <alignment horizontal="center" wrapText="1"/>
    </xf>
    <xf numFmtId="181" fontId="50" fillId="5" borderId="0" xfId="0" applyNumberFormat="1" applyFont="1" applyFill="1" applyBorder="1" applyAlignment="1" applyProtection="1">
      <alignment horizontal="right" wrapText="1"/>
    </xf>
    <xf numFmtId="181" fontId="50" fillId="5" borderId="0" xfId="0" applyNumberFormat="1" applyFont="1" applyFill="1" applyBorder="1" applyAlignment="1" applyProtection="1">
      <alignment horizontal="left"/>
    </xf>
    <xf numFmtId="181" fontId="20" fillId="5" borderId="0" xfId="0" applyNumberFormat="1" applyFont="1" applyFill="1" applyBorder="1" applyAlignment="1" applyProtection="1">
      <alignment wrapText="1"/>
    </xf>
    <xf numFmtId="183" fontId="20" fillId="5" borderId="0" xfId="0" applyNumberFormat="1" applyFont="1" applyFill="1" applyBorder="1" applyAlignment="1" applyProtection="1">
      <alignment wrapText="1"/>
    </xf>
    <xf numFmtId="0" fontId="20" fillId="5" borderId="0" xfId="0" applyNumberFormat="1" applyFont="1" applyFill="1" applyBorder="1" applyAlignment="1" applyProtection="1">
      <alignment wrapText="1"/>
    </xf>
    <xf numFmtId="183" fontId="50" fillId="0" borderId="0" xfId="0" applyNumberFormat="1" applyFont="1" applyFill="1" applyBorder="1" applyAlignment="1" applyProtection="1">
      <alignment horizontal="right" wrapText="1"/>
    </xf>
    <xf numFmtId="181" fontId="50" fillId="5" borderId="0" xfId="0" applyNumberFormat="1" applyFont="1" applyFill="1" applyBorder="1" applyAlignment="1" applyProtection="1">
      <alignment horizontal="left" wrapText="1"/>
    </xf>
    <xf numFmtId="181" fontId="50" fillId="12" borderId="95" xfId="0" applyNumberFormat="1" applyFont="1" applyFill="1" applyBorder="1" applyAlignment="1" applyProtection="1">
      <alignment horizontal="center" wrapText="1"/>
    </xf>
    <xf numFmtId="181" fontId="50" fillId="12" borderId="96" xfId="0" applyNumberFormat="1" applyFont="1" applyFill="1" applyBorder="1" applyAlignment="1" applyProtection="1">
      <alignment horizontal="center" wrapText="1"/>
    </xf>
    <xf numFmtId="181" fontId="20" fillId="5" borderId="0" xfId="0" applyNumberFormat="1" applyFont="1" applyFill="1" applyBorder="1" applyAlignment="1" applyProtection="1">
      <alignment horizontal="right" wrapText="1"/>
    </xf>
    <xf numFmtId="182" fontId="78" fillId="5" borderId="99" xfId="0" applyNumberFormat="1" applyFont="1" applyFill="1" applyBorder="1" applyAlignment="1" applyProtection="1">
      <alignment horizontal="center" wrapText="1"/>
    </xf>
    <xf numFmtId="181" fontId="20" fillId="5" borderId="0" xfId="0" applyNumberFormat="1" applyFont="1" applyFill="1" applyBorder="1" applyAlignment="1" applyProtection="1">
      <alignment horizontal="center" wrapText="1"/>
    </xf>
    <xf numFmtId="4" fontId="20" fillId="5" borderId="0" xfId="0" applyNumberFormat="1" applyFont="1" applyFill="1" applyBorder="1" applyAlignment="1" applyProtection="1">
      <alignment horizontal="right"/>
    </xf>
    <xf numFmtId="4" fontId="50" fillId="5" borderId="0" xfId="0" applyNumberFormat="1" applyFont="1" applyFill="1" applyBorder="1" applyAlignment="1" applyProtection="1"/>
    <xf numFmtId="0" fontId="79" fillId="0" borderId="0" xfId="0" applyNumberFormat="1" applyFont="1" applyFill="1" applyBorder="1" applyAlignment="1" applyProtection="1">
      <alignment horizontal="center"/>
    </xf>
    <xf numFmtId="0" fontId="73" fillId="0" borderId="0" xfId="10" applyFont="1" applyFill="1"/>
    <xf numFmtId="4" fontId="79" fillId="0" borderId="0" xfId="0" applyNumberFormat="1" applyFont="1" applyFill="1" applyAlignment="1">
      <alignment vertical="center"/>
    </xf>
    <xf numFmtId="0" fontId="83" fillId="0" borderId="0" xfId="10" applyFont="1" applyFill="1" applyAlignment="1">
      <alignment horizontal="center" vertical="center"/>
    </xf>
    <xf numFmtId="4" fontId="71" fillId="0" borderId="0" xfId="0" applyNumberFormat="1" applyFont="1"/>
    <xf numFmtId="0" fontId="89" fillId="0" borderId="0" xfId="10" applyFont="1" applyFill="1" applyAlignment="1">
      <alignment horizontal="center" vertical="center"/>
    </xf>
    <xf numFmtId="0" fontId="73" fillId="0" borderId="0" xfId="10" applyFont="1" applyFill="1" applyBorder="1"/>
    <xf numFmtId="4" fontId="79" fillId="0" borderId="0" xfId="0" applyNumberFormat="1" applyFont="1" applyFill="1" applyBorder="1"/>
    <xf numFmtId="0" fontId="79" fillId="0" borderId="0" xfId="0" applyNumberFormat="1" applyFont="1" applyFill="1" applyBorder="1"/>
    <xf numFmtId="0" fontId="89" fillId="0" borderId="0" xfId="10" applyFont="1" applyFill="1" applyBorder="1" applyAlignment="1">
      <alignment horizontal="center" vertical="center"/>
    </xf>
    <xf numFmtId="4" fontId="23" fillId="5" borderId="0" xfId="0" applyNumberFormat="1" applyFont="1" applyFill="1" applyBorder="1" applyAlignment="1" applyProtection="1"/>
    <xf numFmtId="4" fontId="22" fillId="12" borderId="1" xfId="0" applyNumberFormat="1" applyFont="1" applyFill="1" applyBorder="1" applyAlignment="1" applyProtection="1">
      <alignment horizontal="center"/>
    </xf>
    <xf numFmtId="4" fontId="23" fillId="5" borderId="1" xfId="0" applyNumberFormat="1" applyFont="1" applyFill="1" applyBorder="1" applyAlignment="1" applyProtection="1">
      <alignment horizontal="left" indent="1"/>
    </xf>
    <xf numFmtId="182" fontId="85" fillId="5" borderId="1" xfId="0" applyNumberFormat="1" applyFont="1" applyFill="1" applyBorder="1" applyAlignment="1" applyProtection="1">
      <alignment horizontal="right"/>
    </xf>
    <xf numFmtId="4" fontId="23" fillId="5" borderId="1" xfId="0" applyNumberFormat="1" applyFont="1" applyFill="1" applyBorder="1" applyAlignment="1" applyProtection="1"/>
    <xf numFmtId="4" fontId="22" fillId="5" borderId="1" xfId="0" applyNumberFormat="1" applyFont="1" applyFill="1" applyBorder="1" applyAlignment="1" applyProtection="1">
      <alignment horizontal="center"/>
    </xf>
    <xf numFmtId="4" fontId="22" fillId="5" borderId="0" xfId="0" quotePrefix="1" applyNumberFormat="1" applyFont="1" applyFill="1" applyBorder="1" applyAlignment="1" applyProtection="1">
      <alignment horizontal="left"/>
    </xf>
    <xf numFmtId="4" fontId="23" fillId="5" borderId="0" xfId="0" applyNumberFormat="1" applyFont="1" applyFill="1" applyBorder="1" applyAlignment="1" applyProtection="1">
      <alignment horizontal="center"/>
    </xf>
    <xf numFmtId="4" fontId="87" fillId="0" borderId="0" xfId="0" applyNumberFormat="1" applyFont="1" applyBorder="1"/>
    <xf numFmtId="4" fontId="22" fillId="5" borderId="0" xfId="0" applyNumberFormat="1" applyFont="1" applyFill="1" applyBorder="1" applyAlignment="1" applyProtection="1">
      <alignment horizontal="right"/>
    </xf>
    <xf numFmtId="4" fontId="22" fillId="5" borderId="0" xfId="0" applyNumberFormat="1" applyFont="1" applyFill="1" applyBorder="1" applyAlignment="1" applyProtection="1">
      <alignment horizontal="left"/>
    </xf>
    <xf numFmtId="4" fontId="22" fillId="0" borderId="0" xfId="0" applyNumberFormat="1" applyFont="1" applyFill="1" applyBorder="1" applyAlignment="1" applyProtection="1">
      <alignment horizontal="right"/>
    </xf>
    <xf numFmtId="4" fontId="22" fillId="5" borderId="0" xfId="0" applyNumberFormat="1" applyFont="1" applyFill="1" applyBorder="1" applyAlignment="1" applyProtection="1"/>
    <xf numFmtId="4" fontId="23" fillId="5" borderId="0" xfId="0" applyNumberFormat="1" applyFont="1" applyFill="1" applyBorder="1" applyAlignment="1" applyProtection="1">
      <alignment horizontal="right"/>
    </xf>
    <xf numFmtId="4" fontId="23" fillId="5" borderId="1" xfId="0" applyNumberFormat="1" applyFont="1" applyFill="1" applyBorder="1" applyAlignment="1" applyProtection="1">
      <alignment horizontal="left"/>
    </xf>
    <xf numFmtId="182" fontId="85" fillId="5" borderId="1" xfId="0" applyNumberFormat="1" applyFont="1" applyFill="1" applyBorder="1" applyAlignment="1" applyProtection="1">
      <alignment horizontal="center"/>
    </xf>
    <xf numFmtId="182" fontId="23" fillId="5" borderId="1" xfId="0" applyNumberFormat="1" applyFont="1" applyFill="1" applyBorder="1" applyAlignment="1" applyProtection="1">
      <alignment horizontal="center"/>
    </xf>
    <xf numFmtId="4" fontId="23" fillId="5" borderId="1" xfId="0" applyNumberFormat="1" applyFont="1" applyFill="1" applyBorder="1" applyAlignment="1" applyProtection="1">
      <alignment horizontal="center"/>
    </xf>
    <xf numFmtId="182" fontId="76" fillId="5" borderId="1" xfId="0" applyNumberFormat="1" applyFont="1" applyFill="1" applyBorder="1" applyAlignment="1" applyProtection="1">
      <alignment horizontal="center"/>
    </xf>
    <xf numFmtId="182" fontId="76" fillId="0" borderId="0" xfId="0" applyNumberFormat="1" applyFont="1" applyFill="1" applyBorder="1" applyAlignment="1" applyProtection="1">
      <alignment horizontal="right"/>
    </xf>
    <xf numFmtId="183" fontId="22" fillId="0" borderId="0" xfId="0" applyNumberFormat="1" applyFont="1" applyFill="1" applyBorder="1" applyAlignment="1" applyProtection="1">
      <alignment horizontal="right" vertical="center"/>
    </xf>
    <xf numFmtId="4" fontId="23" fillId="0" borderId="0" xfId="0" applyNumberFormat="1" applyFont="1" applyFill="1" applyBorder="1" applyAlignment="1" applyProtection="1"/>
    <xf numFmtId="4" fontId="22" fillId="12" borderId="27" xfId="0" applyNumberFormat="1" applyFont="1" applyFill="1" applyBorder="1" applyAlignment="1" applyProtection="1"/>
    <xf numFmtId="4" fontId="22" fillId="0" borderId="1" xfId="0" applyNumberFormat="1" applyFont="1" applyFill="1" applyBorder="1" applyAlignment="1" applyProtection="1">
      <alignment horizontal="center"/>
    </xf>
    <xf numFmtId="4" fontId="23" fillId="0" borderId="1" xfId="0" applyNumberFormat="1" applyFont="1" applyFill="1" applyBorder="1" applyAlignment="1" applyProtection="1">
      <alignment horizontal="left"/>
    </xf>
    <xf numFmtId="181" fontId="23" fillId="0" borderId="1" xfId="0" applyNumberFormat="1" applyFont="1" applyFill="1" applyBorder="1" applyAlignment="1" applyProtection="1">
      <alignment horizontal="center"/>
    </xf>
    <xf numFmtId="4" fontId="23" fillId="0" borderId="1" xfId="0" applyNumberFormat="1" applyFont="1" applyFill="1" applyBorder="1" applyAlignment="1" applyProtection="1">
      <alignment horizontal="center"/>
    </xf>
    <xf numFmtId="182" fontId="76" fillId="5" borderId="1" xfId="0" applyNumberFormat="1" applyFont="1" applyFill="1" applyBorder="1" applyAlignment="1" applyProtection="1">
      <alignment horizontal="center" vertical="center"/>
    </xf>
    <xf numFmtId="4" fontId="22" fillId="5" borderId="0" xfId="0" applyNumberFormat="1" applyFont="1" applyFill="1" applyBorder="1" applyAlignment="1" applyProtection="1">
      <alignment horizontal="center"/>
    </xf>
    <xf numFmtId="181" fontId="22" fillId="5" borderId="0" xfId="0" applyNumberFormat="1" applyFont="1" applyFill="1" applyBorder="1" applyAlignment="1" applyProtection="1">
      <alignment horizontal="left" vertical="center"/>
    </xf>
    <xf numFmtId="0" fontId="23" fillId="5" borderId="0" xfId="0" applyNumberFormat="1" applyFont="1" applyFill="1" applyBorder="1" applyAlignment="1" applyProtection="1">
      <alignment vertical="center"/>
    </xf>
    <xf numFmtId="39" fontId="23" fillId="5" borderId="0" xfId="0" applyNumberFormat="1" applyFont="1" applyFill="1" applyBorder="1" applyAlignment="1" applyProtection="1">
      <alignment vertical="center"/>
    </xf>
    <xf numFmtId="181" fontId="22" fillId="5" borderId="0" xfId="0" applyNumberFormat="1" applyFont="1" applyFill="1" applyBorder="1" applyAlignment="1" applyProtection="1">
      <alignment horizontal="right" vertical="center"/>
    </xf>
    <xf numFmtId="181" fontId="23" fillId="5" borderId="0" xfId="0" applyNumberFormat="1" applyFont="1" applyFill="1" applyBorder="1" applyAlignment="1" applyProtection="1">
      <alignment vertical="center"/>
    </xf>
    <xf numFmtId="0" fontId="20" fillId="0" borderId="1" xfId="0" applyNumberFormat="1" applyFont="1" applyFill="1" applyBorder="1" applyAlignment="1" applyProtection="1"/>
    <xf numFmtId="0" fontId="23" fillId="0" borderId="1" xfId="0" applyNumberFormat="1" applyFont="1" applyFill="1" applyBorder="1" applyAlignment="1" applyProtection="1">
      <alignment vertical="center"/>
    </xf>
    <xf numFmtId="0" fontId="23" fillId="0" borderId="1" xfId="0" applyNumberFormat="1" applyFont="1" applyFill="1" applyBorder="1" applyAlignment="1" applyProtection="1">
      <alignment horizontal="center" vertical="center"/>
    </xf>
    <xf numFmtId="2" fontId="23" fillId="0" borderId="1" xfId="0" applyNumberFormat="1" applyFont="1" applyFill="1" applyBorder="1" applyAlignment="1" applyProtection="1">
      <alignment horizontal="center" vertical="center"/>
    </xf>
    <xf numFmtId="182" fontId="85" fillId="0" borderId="1" xfId="0" applyNumberFormat="1" applyFont="1" applyFill="1" applyBorder="1" applyAlignment="1" applyProtection="1">
      <alignment horizontal="right" vertical="center"/>
    </xf>
    <xf numFmtId="181" fontId="22" fillId="0" borderId="1" xfId="0" applyNumberFormat="1" applyFont="1" applyFill="1" applyBorder="1" applyAlignment="1" applyProtection="1">
      <alignment horizontal="center" vertical="center"/>
    </xf>
    <xf numFmtId="182" fontId="76" fillId="0" borderId="1" xfId="0" applyNumberFormat="1" applyFont="1" applyFill="1" applyBorder="1" applyAlignment="1" applyProtection="1">
      <alignment horizontal="right" vertical="center"/>
    </xf>
    <xf numFmtId="182" fontId="76" fillId="5" borderId="0" xfId="0" applyNumberFormat="1" applyFont="1" applyFill="1" applyBorder="1" applyAlignment="1" applyProtection="1">
      <alignment horizontal="right"/>
    </xf>
    <xf numFmtId="181" fontId="23" fillId="0" borderId="1" xfId="0" applyNumberFormat="1" applyFont="1" applyFill="1" applyBorder="1" applyAlignment="1" applyProtection="1">
      <alignment horizontal="left" vertical="center"/>
    </xf>
    <xf numFmtId="181" fontId="23" fillId="0" borderId="1" xfId="0" applyNumberFormat="1" applyFont="1" applyFill="1" applyBorder="1" applyAlignment="1" applyProtection="1">
      <alignment horizontal="center" vertical="center"/>
    </xf>
    <xf numFmtId="0" fontId="97" fillId="0" borderId="0" xfId="0" applyFont="1"/>
    <xf numFmtId="0" fontId="97" fillId="0" borderId="0" xfId="0" applyFont="1" applyFill="1"/>
    <xf numFmtId="0" fontId="97" fillId="0" borderId="0" xfId="0" applyFont="1" applyAlignment="1">
      <alignment horizontal="center"/>
    </xf>
    <xf numFmtId="44" fontId="97" fillId="0" borderId="1" xfId="12" applyFont="1" applyFill="1" applyBorder="1"/>
    <xf numFmtId="44" fontId="97" fillId="0" borderId="0" xfId="12" applyFont="1"/>
    <xf numFmtId="0" fontId="97" fillId="0" borderId="0" xfId="0" applyFont="1" applyAlignment="1"/>
    <xf numFmtId="0" fontId="98" fillId="0" borderId="0" xfId="0" applyFont="1" applyAlignment="1"/>
    <xf numFmtId="44" fontId="98" fillId="0" borderId="0" xfId="12" applyFont="1"/>
    <xf numFmtId="0" fontId="98" fillId="0" borderId="0" xfId="0" applyFont="1"/>
    <xf numFmtId="0" fontId="99" fillId="0" borderId="0" xfId="0" applyFont="1"/>
    <xf numFmtId="0" fontId="76" fillId="28" borderId="28" xfId="9" applyNumberFormat="1" applyFont="1" applyFill="1" applyBorder="1" applyAlignment="1">
      <alignment horizontal="center" vertical="center" wrapText="1"/>
    </xf>
    <xf numFmtId="180" fontId="76" fillId="28" borderId="28" xfId="9" applyNumberFormat="1" applyFont="1" applyFill="1" applyBorder="1" applyAlignment="1">
      <alignment horizontal="center" vertical="center" wrapText="1"/>
    </xf>
    <xf numFmtId="0" fontId="22" fillId="0" borderId="0" xfId="9" applyFont="1" applyAlignment="1">
      <alignment horizontal="center" vertical="center"/>
    </xf>
    <xf numFmtId="4" fontId="23" fillId="0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6" fillId="25" borderId="1" xfId="9" applyNumberFormat="1" applyFont="1" applyFill="1" applyBorder="1" applyAlignment="1">
      <alignment horizontal="center" vertical="center" wrapText="1"/>
    </xf>
    <xf numFmtId="0" fontId="76" fillId="7" borderId="1" xfId="9" applyNumberFormat="1" applyFont="1" applyFill="1" applyBorder="1" applyAlignment="1">
      <alignment horizontal="center" vertical="center" wrapText="1"/>
    </xf>
    <xf numFmtId="180" fontId="76" fillId="7" borderId="1" xfId="9" applyNumberFormat="1" applyFont="1" applyFill="1" applyBorder="1" applyAlignment="1">
      <alignment horizontal="center" vertical="center" wrapText="1"/>
    </xf>
    <xf numFmtId="44" fontId="22" fillId="0" borderId="0" xfId="12" applyFont="1" applyAlignment="1">
      <alignment horizontal="center"/>
    </xf>
    <xf numFmtId="44" fontId="23" fillId="0" borderId="0" xfId="12" applyFont="1" applyFill="1" applyBorder="1" applyAlignment="1">
      <alignment horizontal="center"/>
    </xf>
    <xf numFmtId="44" fontId="0" fillId="0" borderId="0" xfId="12" applyFont="1" applyAlignment="1">
      <alignment horizontal="center"/>
    </xf>
    <xf numFmtId="44" fontId="76" fillId="7" borderId="1" xfId="12" applyFont="1" applyFill="1" applyBorder="1" applyAlignment="1">
      <alignment horizontal="center" vertical="center" wrapText="1"/>
    </xf>
    <xf numFmtId="44" fontId="20" fillId="0" borderId="1" xfId="12" applyFont="1" applyFill="1" applyBorder="1" applyAlignment="1">
      <alignment horizontal="center" vertical="center"/>
    </xf>
    <xf numFmtId="44" fontId="0" fillId="7" borderId="1" xfId="12" applyFont="1" applyFill="1" applyBorder="1"/>
    <xf numFmtId="44" fontId="0" fillId="0" borderId="0" xfId="12" applyFont="1"/>
    <xf numFmtId="44" fontId="48" fillId="31" borderId="1" xfId="12" applyFont="1" applyFill="1" applyBorder="1" applyAlignment="1">
      <alignment horizontal="center"/>
    </xf>
    <xf numFmtId="44" fontId="0" fillId="0" borderId="1" xfId="12" applyFont="1" applyBorder="1" applyAlignment="1">
      <alignment horizontal="center" vertical="center"/>
    </xf>
    <xf numFmtId="44" fontId="2" fillId="0" borderId="1" xfId="12" applyFont="1" applyBorder="1" applyAlignment="1">
      <alignment horizontal="center" vertical="center"/>
    </xf>
    <xf numFmtId="44" fontId="50" fillId="30" borderId="1" xfId="12" applyFont="1" applyFill="1" applyBorder="1" applyAlignment="1">
      <alignment horizontal="center" vertical="center"/>
    </xf>
    <xf numFmtId="44" fontId="48" fillId="29" borderId="1" xfId="12" applyFont="1" applyFill="1" applyBorder="1" applyAlignment="1">
      <alignment horizontal="center" vertical="center"/>
    </xf>
    <xf numFmtId="44" fontId="20" fillId="7" borderId="1" xfId="12" applyFont="1" applyFill="1" applyBorder="1" applyAlignment="1">
      <alignment horizontal="center" vertical="center"/>
    </xf>
    <xf numFmtId="44" fontId="20" fillId="34" borderId="1" xfId="12" applyFont="1" applyFill="1" applyBorder="1" applyAlignment="1">
      <alignment horizontal="center" vertical="center"/>
    </xf>
    <xf numFmtId="44" fontId="0" fillId="0" borderId="0" xfId="0" applyNumberFormat="1"/>
    <xf numFmtId="0" fontId="97" fillId="0" borderId="1" xfId="0" applyFont="1" applyFill="1" applyBorder="1" applyAlignment="1">
      <alignment horizontal="center"/>
    </xf>
    <xf numFmtId="0" fontId="97" fillId="0" borderId="1" xfId="0" applyFont="1" applyFill="1" applyBorder="1"/>
    <xf numFmtId="177" fontId="97" fillId="0" borderId="1" xfId="8" applyNumberFormat="1" applyFont="1" applyFill="1" applyBorder="1" applyAlignment="1"/>
    <xf numFmtId="178" fontId="97" fillId="0" borderId="1" xfId="8" applyFont="1" applyFill="1" applyBorder="1" applyAlignment="1">
      <alignment horizontal="center"/>
    </xf>
    <xf numFmtId="177" fontId="97" fillId="7" borderId="1" xfId="8" applyNumberFormat="1" applyFont="1" applyFill="1" applyBorder="1" applyAlignment="1"/>
    <xf numFmtId="2" fontId="97" fillId="0" borderId="1" xfId="0" applyNumberFormat="1" applyFont="1" applyFill="1" applyBorder="1" applyAlignment="1">
      <alignment horizontal="center"/>
    </xf>
    <xf numFmtId="177" fontId="97" fillId="0" borderId="1" xfId="0" applyNumberFormat="1" applyFont="1" applyFill="1" applyBorder="1" applyAlignment="1">
      <alignment vertical="center"/>
    </xf>
    <xf numFmtId="177" fontId="97" fillId="0" borderId="1" xfId="8" applyNumberFormat="1" applyFont="1" applyFill="1" applyBorder="1" applyAlignment="1">
      <alignment vertical="center"/>
    </xf>
    <xf numFmtId="4" fontId="97" fillId="0" borderId="1" xfId="0" applyNumberFormat="1" applyFont="1" applyFill="1" applyBorder="1"/>
    <xf numFmtId="0" fontId="97" fillId="0" borderId="0" xfId="0" applyFont="1" applyAlignment="1">
      <alignment horizontal="center" vertical="center"/>
    </xf>
    <xf numFmtId="3" fontId="20" fillId="0" borderId="1" xfId="10" applyNumberFormat="1" applyFont="1" applyFill="1" applyBorder="1" applyAlignment="1">
      <alignment horizontal="center" vertical="center" wrapText="1"/>
    </xf>
    <xf numFmtId="44" fontId="22" fillId="0" borderId="69" xfId="12" applyFont="1" applyFill="1" applyBorder="1" applyAlignment="1" applyProtection="1">
      <alignment horizontal="center" vertical="center" wrapText="1"/>
    </xf>
    <xf numFmtId="44" fontId="22" fillId="0" borderId="73" xfId="12" applyFont="1" applyFill="1" applyBorder="1" applyAlignment="1" applyProtection="1">
      <alignment horizontal="center" vertical="center" wrapText="1"/>
    </xf>
    <xf numFmtId="181" fontId="23" fillId="0" borderId="105" xfId="0" applyNumberFormat="1" applyFont="1" applyFill="1" applyBorder="1" applyAlignment="1" applyProtection="1">
      <alignment vertical="center" wrapText="1"/>
    </xf>
    <xf numFmtId="44" fontId="22" fillId="0" borderId="3" xfId="12" applyFont="1" applyFill="1" applyBorder="1" applyAlignment="1" applyProtection="1">
      <alignment horizontal="center" vertical="center" wrapText="1"/>
    </xf>
    <xf numFmtId="1" fontId="0" fillId="0" borderId="0" xfId="0" applyNumberFormat="1"/>
    <xf numFmtId="0" fontId="101" fillId="35" borderId="2" xfId="0" applyFont="1" applyFill="1" applyBorder="1" applyAlignment="1">
      <alignment horizontal="justify" vertical="center"/>
    </xf>
    <xf numFmtId="0" fontId="101" fillId="35" borderId="3" xfId="0" applyFont="1" applyFill="1" applyBorder="1" applyAlignment="1">
      <alignment horizontal="justify" vertical="center" wrapText="1"/>
    </xf>
    <xf numFmtId="0" fontId="8" fillId="32" borderId="2" xfId="0" applyFont="1" applyFill="1" applyBorder="1" applyAlignment="1">
      <alignment horizontal="justify" vertical="center"/>
    </xf>
    <xf numFmtId="0" fontId="8" fillId="0" borderId="0" xfId="0" applyFont="1"/>
    <xf numFmtId="0" fontId="8" fillId="32" borderId="3" xfId="0" applyFont="1" applyFill="1" applyBorder="1" applyAlignment="1">
      <alignment horizontal="justify" vertical="center" wrapText="1"/>
    </xf>
    <xf numFmtId="178" fontId="101" fillId="35" borderId="1" xfId="8" applyFont="1" applyFill="1" applyBorder="1" applyAlignment="1">
      <alignment horizontal="center"/>
    </xf>
    <xf numFmtId="177" fontId="101" fillId="35" borderId="1" xfId="8" applyNumberFormat="1" applyFont="1" applyFill="1" applyBorder="1" applyAlignment="1">
      <alignment vertical="center"/>
    </xf>
    <xf numFmtId="44" fontId="101" fillId="35" borderId="1" xfId="12" applyFont="1" applyFill="1" applyBorder="1"/>
    <xf numFmtId="44" fontId="101" fillId="35" borderId="1" xfId="12" applyFont="1" applyFill="1" applyBorder="1" applyAlignment="1">
      <alignment horizontal="right"/>
    </xf>
    <xf numFmtId="44" fontId="8" fillId="35" borderId="1" xfId="12" applyFont="1" applyFill="1" applyBorder="1" applyAlignment="1">
      <alignment horizontal="right"/>
    </xf>
    <xf numFmtId="0" fontId="101" fillId="0" borderId="0" xfId="0" applyFont="1"/>
    <xf numFmtId="0" fontId="101" fillId="0" borderId="1" xfId="0" applyFont="1" applyFill="1" applyBorder="1" applyAlignment="1">
      <alignment horizontal="center" vertical="center"/>
    </xf>
    <xf numFmtId="0" fontId="101" fillId="0" borderId="1" xfId="0" applyFont="1" applyFill="1" applyBorder="1"/>
    <xf numFmtId="4" fontId="101" fillId="0" borderId="1" xfId="0" applyNumberFormat="1" applyFont="1" applyFill="1" applyBorder="1" applyAlignment="1">
      <alignment horizontal="center" vertical="center" wrapText="1"/>
    </xf>
    <xf numFmtId="177" fontId="101" fillId="0" borderId="1" xfId="0" applyNumberFormat="1" applyFont="1" applyFill="1" applyBorder="1" applyAlignment="1">
      <alignment vertical="center" wrapText="1"/>
    </xf>
    <xf numFmtId="44" fontId="101" fillId="0" borderId="1" xfId="12" applyFont="1" applyFill="1" applyBorder="1" applyAlignment="1">
      <alignment horizontal="center" vertical="center" wrapText="1"/>
    </xf>
    <xf numFmtId="44" fontId="101" fillId="0" borderId="1" xfId="12" applyFont="1" applyFill="1" applyBorder="1" applyAlignment="1">
      <alignment horizontal="center" vertical="center"/>
    </xf>
    <xf numFmtId="44" fontId="8" fillId="0" borderId="1" xfId="12" applyFont="1" applyFill="1" applyBorder="1" applyAlignment="1">
      <alignment horizontal="center" vertical="center" wrapText="1"/>
    </xf>
    <xf numFmtId="4" fontId="101" fillId="0" borderId="1" xfId="0" applyNumberFormat="1" applyFont="1" applyFill="1" applyBorder="1" applyAlignment="1">
      <alignment horizontal="left" vertical="center" wrapText="1"/>
    </xf>
    <xf numFmtId="0" fontId="101" fillId="0" borderId="0" xfId="0" applyFont="1" applyFill="1"/>
    <xf numFmtId="44" fontId="101" fillId="0" borderId="1" xfId="12" applyFont="1" applyFill="1" applyBorder="1" applyAlignment="1">
      <alignment vertical="center" wrapText="1"/>
    </xf>
    <xf numFmtId="44" fontId="8" fillId="0" borderId="1" xfId="12" applyFont="1" applyFill="1" applyBorder="1" applyAlignment="1">
      <alignment horizontal="right" vertical="center" wrapText="1"/>
    </xf>
    <xf numFmtId="177" fontId="101" fillId="0" borderId="1" xfId="0" applyNumberFormat="1" applyFont="1" applyFill="1" applyBorder="1" applyAlignment="1">
      <alignment horizontal="center" vertical="center" wrapText="1"/>
    </xf>
    <xf numFmtId="0" fontId="8" fillId="35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center"/>
    </xf>
    <xf numFmtId="177" fontId="8" fillId="35" borderId="1" xfId="0" applyNumberFormat="1" applyFont="1" applyFill="1" applyBorder="1" applyAlignment="1">
      <alignment vertical="center"/>
    </xf>
    <xf numFmtId="44" fontId="8" fillId="35" borderId="1" xfId="12" applyFont="1" applyFill="1" applyBorder="1"/>
    <xf numFmtId="44" fontId="8" fillId="35" borderId="1" xfId="12" applyFont="1" applyFill="1" applyBorder="1" applyAlignment="1">
      <alignment horizontal="right" vertical="center" wrapText="1"/>
    </xf>
    <xf numFmtId="0" fontId="8" fillId="0" borderId="0" xfId="0" applyFont="1" applyFill="1"/>
    <xf numFmtId="0" fontId="8" fillId="35" borderId="27" xfId="0" applyFont="1" applyFill="1" applyBorder="1" applyAlignment="1">
      <alignment horizontal="center" vertical="center"/>
    </xf>
    <xf numFmtId="4" fontId="8" fillId="35" borderId="1" xfId="0" applyNumberFormat="1" applyFont="1" applyFill="1" applyBorder="1"/>
    <xf numFmtId="4" fontId="101" fillId="35" borderId="52" xfId="0" applyNumberFormat="1" applyFont="1" applyFill="1" applyBorder="1" applyAlignment="1">
      <alignment horizontal="center"/>
    </xf>
    <xf numFmtId="177" fontId="101" fillId="35" borderId="52" xfId="0" applyNumberFormat="1" applyFont="1" applyFill="1" applyBorder="1" applyAlignment="1">
      <alignment vertical="center"/>
    </xf>
    <xf numFmtId="44" fontId="101" fillId="35" borderId="52" xfId="12" applyFont="1" applyFill="1" applyBorder="1"/>
    <xf numFmtId="44" fontId="101" fillId="35" borderId="27" xfId="12" applyFont="1" applyFill="1" applyBorder="1"/>
    <xf numFmtId="4" fontId="101" fillId="35" borderId="1" xfId="0" applyNumberFormat="1" applyFont="1" applyFill="1" applyBorder="1" applyAlignment="1">
      <alignment horizontal="center"/>
    </xf>
    <xf numFmtId="177" fontId="101" fillId="35" borderId="1" xfId="0" applyNumberFormat="1" applyFont="1" applyFill="1" applyBorder="1" applyAlignment="1">
      <alignment vertical="center"/>
    </xf>
    <xf numFmtId="0" fontId="8" fillId="9" borderId="1" xfId="0" applyFont="1" applyFill="1" applyBorder="1"/>
    <xf numFmtId="4" fontId="101" fillId="9" borderId="1" xfId="0" applyNumberFormat="1" applyFont="1" applyFill="1" applyBorder="1" applyAlignment="1">
      <alignment horizontal="center"/>
    </xf>
    <xf numFmtId="177" fontId="101" fillId="9" borderId="1" xfId="0" applyNumberFormat="1" applyFont="1" applyFill="1" applyBorder="1" applyAlignment="1">
      <alignment vertical="center"/>
    </xf>
    <xf numFmtId="44" fontId="101" fillId="9" borderId="1" xfId="12" applyFont="1" applyFill="1" applyBorder="1"/>
    <xf numFmtId="44" fontId="101" fillId="9" borderId="1" xfId="12" applyFont="1" applyFill="1" applyBorder="1" applyAlignment="1">
      <alignment horizontal="right"/>
    </xf>
    <xf numFmtId="44" fontId="8" fillId="9" borderId="1" xfId="12" applyFont="1" applyFill="1" applyBorder="1" applyAlignment="1">
      <alignment horizontal="right"/>
    </xf>
    <xf numFmtId="0" fontId="8" fillId="9" borderId="1" xfId="0" applyFont="1" applyFill="1" applyBorder="1" applyAlignment="1">
      <alignment horizontal="center" vertical="center"/>
    </xf>
    <xf numFmtId="0" fontId="8" fillId="9" borderId="0" xfId="0" applyFont="1" applyFill="1"/>
    <xf numFmtId="0" fontId="101" fillId="26" borderId="1" xfId="0" applyFont="1" applyFill="1" applyBorder="1" applyAlignment="1">
      <alignment horizontal="center" vertical="center"/>
    </xf>
    <xf numFmtId="0" fontId="8" fillId="26" borderId="0" xfId="0" applyFont="1" applyFill="1"/>
    <xf numFmtId="4" fontId="101" fillId="26" borderId="1" xfId="0" applyNumberFormat="1" applyFont="1" applyFill="1" applyBorder="1" applyAlignment="1">
      <alignment horizontal="center"/>
    </xf>
    <xf numFmtId="177" fontId="101" fillId="26" borderId="1" xfId="0" applyNumberFormat="1" applyFont="1" applyFill="1" applyBorder="1" applyAlignment="1">
      <alignment vertical="center"/>
    </xf>
    <xf numFmtId="44" fontId="101" fillId="26" borderId="1" xfId="12" applyFont="1" applyFill="1" applyBorder="1"/>
    <xf numFmtId="44" fontId="101" fillId="26" borderId="1" xfId="12" applyFont="1" applyFill="1" applyBorder="1" applyAlignment="1">
      <alignment horizontal="right"/>
    </xf>
    <xf numFmtId="44" fontId="8" fillId="26" borderId="1" xfId="12" applyFont="1" applyFill="1" applyBorder="1" applyAlignment="1">
      <alignment horizontal="right"/>
    </xf>
    <xf numFmtId="0" fontId="8" fillId="26" borderId="1" xfId="0" applyFont="1" applyFill="1" applyBorder="1" applyAlignment="1">
      <alignment horizontal="center" vertical="center"/>
    </xf>
    <xf numFmtId="177" fontId="8" fillId="26" borderId="1" xfId="0" applyNumberFormat="1" applyFont="1" applyFill="1" applyBorder="1" applyAlignment="1">
      <alignment horizontal="center" vertical="center" wrapText="1"/>
    </xf>
    <xf numFmtId="44" fontId="8" fillId="26" borderId="1" xfId="12" applyFont="1" applyFill="1" applyBorder="1" applyAlignment="1">
      <alignment horizontal="center" vertical="center" wrapText="1"/>
    </xf>
    <xf numFmtId="0" fontId="8" fillId="33" borderId="1" xfId="0" applyFont="1" applyFill="1" applyBorder="1" applyAlignment="1">
      <alignment horizontal="center" vertical="center"/>
    </xf>
    <xf numFmtId="177" fontId="8" fillId="33" borderId="1" xfId="0" applyNumberFormat="1" applyFont="1" applyFill="1" applyBorder="1" applyAlignment="1">
      <alignment horizontal="center" vertical="center" wrapText="1"/>
    </xf>
    <xf numFmtId="177" fontId="8" fillId="33" borderId="1" xfId="0" applyNumberFormat="1" applyFont="1" applyFill="1" applyBorder="1" applyAlignment="1">
      <alignment vertical="center" wrapText="1"/>
    </xf>
    <xf numFmtId="44" fontId="8" fillId="33" borderId="1" xfId="12" applyFont="1" applyFill="1" applyBorder="1" applyAlignment="1">
      <alignment horizontal="center" vertical="center" wrapText="1"/>
    </xf>
    <xf numFmtId="44" fontId="8" fillId="33" borderId="1" xfId="12" applyFont="1" applyFill="1" applyBorder="1" applyAlignment="1">
      <alignment horizontal="right" vertical="center" wrapText="1"/>
    </xf>
    <xf numFmtId="0" fontId="8" fillId="24" borderId="1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left" vertical="center"/>
    </xf>
    <xf numFmtId="177" fontId="8" fillId="24" borderId="1" xfId="0" applyNumberFormat="1" applyFont="1" applyFill="1" applyBorder="1" applyAlignment="1">
      <alignment horizontal="center" vertical="center" wrapText="1"/>
    </xf>
    <xf numFmtId="177" fontId="8" fillId="24" borderId="1" xfId="0" applyNumberFormat="1" applyFont="1" applyFill="1" applyBorder="1" applyAlignment="1">
      <alignment vertical="center" wrapText="1"/>
    </xf>
    <xf numFmtId="44" fontId="8" fillId="24" borderId="1" xfId="12" applyFont="1" applyFill="1" applyBorder="1" applyAlignment="1">
      <alignment horizontal="center" vertical="center" wrapText="1"/>
    </xf>
    <xf numFmtId="0" fontId="101" fillId="0" borderId="1" xfId="0" applyFont="1" applyFill="1" applyBorder="1" applyAlignment="1">
      <alignment horizontal="left" vertical="center"/>
    </xf>
    <xf numFmtId="44" fontId="101" fillId="0" borderId="1" xfId="12" applyFont="1" applyFill="1" applyBorder="1" applyAlignment="1">
      <alignment horizontal="right"/>
    </xf>
    <xf numFmtId="177" fontId="101" fillId="0" borderId="1" xfId="0" applyNumberFormat="1" applyFont="1" applyFill="1" applyBorder="1" applyAlignment="1">
      <alignment horizontal="center" vertical="center"/>
    </xf>
    <xf numFmtId="0" fontId="8" fillId="24" borderId="1" xfId="0" applyFont="1" applyFill="1" applyBorder="1"/>
    <xf numFmtId="178" fontId="101" fillId="24" borderId="1" xfId="8" applyFont="1" applyFill="1" applyBorder="1" applyAlignment="1">
      <alignment horizontal="center"/>
    </xf>
    <xf numFmtId="177" fontId="101" fillId="24" borderId="1" xfId="8" applyNumberFormat="1" applyFont="1" applyFill="1" applyBorder="1" applyAlignment="1"/>
    <xf numFmtId="44" fontId="101" fillId="24" borderId="1" xfId="12" applyFont="1" applyFill="1" applyBorder="1" applyAlignment="1">
      <alignment horizontal="right"/>
    </xf>
    <xf numFmtId="44" fontId="101" fillId="24" borderId="1" xfId="12" applyFont="1" applyFill="1" applyBorder="1"/>
    <xf numFmtId="0" fontId="101" fillId="0" borderId="1" xfId="0" applyFont="1" applyFill="1" applyBorder="1" applyAlignment="1">
      <alignment horizontal="center"/>
    </xf>
    <xf numFmtId="177" fontId="101" fillId="0" borderId="1" xfId="8" applyNumberFormat="1" applyFont="1" applyFill="1" applyBorder="1" applyAlignment="1"/>
    <xf numFmtId="44" fontId="101" fillId="0" borderId="1" xfId="12" applyFont="1" applyFill="1" applyBorder="1"/>
    <xf numFmtId="44" fontId="8" fillId="24" borderId="1" xfId="12" applyFont="1" applyFill="1" applyBorder="1" applyAlignment="1">
      <alignment horizontal="right" vertical="center" wrapText="1"/>
    </xf>
    <xf numFmtId="178" fontId="101" fillId="0" borderId="1" xfId="8" applyFont="1" applyFill="1" applyBorder="1" applyAlignment="1">
      <alignment horizontal="center"/>
    </xf>
    <xf numFmtId="177" fontId="101" fillId="7" borderId="1" xfId="8" applyNumberFormat="1" applyFont="1" applyFill="1" applyBorder="1" applyAlignment="1"/>
    <xf numFmtId="44" fontId="101" fillId="0" borderId="1" xfId="12" applyFont="1" applyFill="1" applyBorder="1" applyAlignment="1"/>
    <xf numFmtId="177" fontId="101" fillId="0" borderId="1" xfId="0" applyNumberFormat="1" applyFont="1" applyFill="1" applyBorder="1" applyAlignment="1">
      <alignment vertical="center"/>
    </xf>
    <xf numFmtId="178" fontId="8" fillId="24" borderId="1" xfId="8" applyFont="1" applyFill="1" applyBorder="1" applyAlignment="1">
      <alignment horizontal="center"/>
    </xf>
    <xf numFmtId="177" fontId="8" fillId="24" borderId="1" xfId="8" applyNumberFormat="1" applyFont="1" applyFill="1" applyBorder="1" applyAlignment="1">
      <alignment vertical="center"/>
    </xf>
    <xf numFmtId="44" fontId="8" fillId="24" borderId="1" xfId="12" applyFont="1" applyFill="1" applyBorder="1" applyAlignment="1">
      <alignment horizontal="right"/>
    </xf>
    <xf numFmtId="44" fontId="8" fillId="24" borderId="1" xfId="12" applyFont="1" applyFill="1" applyBorder="1"/>
    <xf numFmtId="0" fontId="101" fillId="24" borderId="1" xfId="0" applyFont="1" applyFill="1" applyBorder="1" applyAlignment="1">
      <alignment horizontal="center"/>
    </xf>
    <xf numFmtId="177" fontId="101" fillId="24" borderId="1" xfId="0" applyNumberFormat="1" applyFont="1" applyFill="1" applyBorder="1" applyAlignment="1">
      <alignment vertical="center"/>
    </xf>
    <xf numFmtId="177" fontId="101" fillId="0" borderId="1" xfId="8" applyNumberFormat="1" applyFont="1" applyFill="1" applyBorder="1" applyAlignment="1">
      <alignment vertical="center"/>
    </xf>
    <xf numFmtId="177" fontId="101" fillId="24" borderId="1" xfId="8" applyNumberFormat="1" applyFont="1" applyFill="1" applyBorder="1" applyAlignment="1">
      <alignment vertical="center"/>
    </xf>
    <xf numFmtId="4" fontId="101" fillId="0" borderId="1" xfId="0" applyNumberFormat="1" applyFont="1" applyFill="1" applyBorder="1"/>
    <xf numFmtId="177" fontId="101" fillId="7" borderId="1" xfId="0" applyNumberFormat="1" applyFont="1" applyFill="1" applyBorder="1" applyAlignment="1">
      <alignment vertical="center" wrapText="1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left" vertical="center"/>
    </xf>
    <xf numFmtId="178" fontId="101" fillId="32" borderId="1" xfId="8" applyFont="1" applyFill="1" applyBorder="1" applyAlignment="1">
      <alignment horizontal="center"/>
    </xf>
    <xf numFmtId="177" fontId="101" fillId="32" borderId="1" xfId="8" applyNumberFormat="1" applyFont="1" applyFill="1" applyBorder="1" applyAlignment="1">
      <alignment vertical="center"/>
    </xf>
    <xf numFmtId="44" fontId="101" fillId="32" borderId="1" xfId="12" applyFont="1" applyFill="1" applyBorder="1"/>
    <xf numFmtId="44" fontId="101" fillId="32" borderId="1" xfId="12" applyFont="1" applyFill="1" applyBorder="1" applyAlignment="1">
      <alignment horizontal="right"/>
    </xf>
    <xf numFmtId="44" fontId="8" fillId="32" borderId="1" xfId="12" applyFont="1" applyFill="1" applyBorder="1" applyAlignment="1">
      <alignment horizontal="right"/>
    </xf>
    <xf numFmtId="178" fontId="101" fillId="9" borderId="1" xfId="8" applyFont="1" applyFill="1" applyBorder="1" applyAlignment="1">
      <alignment horizontal="center"/>
    </xf>
    <xf numFmtId="177" fontId="101" fillId="9" borderId="1" xfId="8" applyNumberFormat="1" applyFont="1" applyFill="1" applyBorder="1" applyAlignment="1">
      <alignment vertical="center"/>
    </xf>
    <xf numFmtId="0" fontId="8" fillId="32" borderId="1" xfId="0" applyFont="1" applyFill="1" applyBorder="1" applyAlignment="1">
      <alignment horizontal="center"/>
    </xf>
    <xf numFmtId="177" fontId="8" fillId="32" borderId="1" xfId="0" applyNumberFormat="1" applyFont="1" applyFill="1" applyBorder="1" applyAlignment="1">
      <alignment vertical="center"/>
    </xf>
    <xf numFmtId="44" fontId="8" fillId="32" borderId="1" xfId="12" applyFont="1" applyFill="1" applyBorder="1"/>
    <xf numFmtId="44" fontId="8" fillId="32" borderId="1" xfId="12" applyFont="1" applyFill="1" applyBorder="1" applyAlignment="1">
      <alignment horizontal="right" vertical="center" wrapText="1"/>
    </xf>
    <xf numFmtId="44" fontId="8" fillId="32" borderId="28" xfId="12" applyFont="1" applyFill="1" applyBorder="1" applyAlignment="1">
      <alignment horizontal="right" vertical="center" wrapText="1"/>
    </xf>
    <xf numFmtId="0" fontId="8" fillId="9" borderId="1" xfId="0" applyFont="1" applyFill="1" applyBorder="1" applyAlignment="1">
      <alignment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177" fontId="8" fillId="9" borderId="1" xfId="0" applyNumberFormat="1" applyFont="1" applyFill="1" applyBorder="1" applyAlignment="1">
      <alignment vertical="center" wrapText="1"/>
    </xf>
    <xf numFmtId="44" fontId="8" fillId="9" borderId="1" xfId="12" applyFont="1" applyFill="1" applyBorder="1"/>
    <xf numFmtId="44" fontId="8" fillId="9" borderId="1" xfId="12" applyFont="1" applyFill="1" applyBorder="1" applyAlignment="1">
      <alignment horizontal="right" vertical="center" wrapText="1"/>
    </xf>
    <xf numFmtId="0" fontId="8" fillId="35" borderId="31" xfId="0" applyFont="1" applyFill="1" applyBorder="1" applyAlignment="1">
      <alignment horizontal="center" vertical="center"/>
    </xf>
    <xf numFmtId="0" fontId="8" fillId="35" borderId="0" xfId="0" applyFont="1" applyFill="1" applyBorder="1" applyAlignment="1">
      <alignment vertical="center"/>
    </xf>
    <xf numFmtId="2" fontId="8" fillId="35" borderId="31" xfId="0" applyNumberFormat="1" applyFont="1" applyFill="1" applyBorder="1" applyAlignment="1">
      <alignment horizontal="center" vertical="center" wrapText="1"/>
    </xf>
    <xf numFmtId="177" fontId="8" fillId="35" borderId="31" xfId="0" applyNumberFormat="1" applyFont="1" applyFill="1" applyBorder="1" applyAlignment="1">
      <alignment vertical="center" wrapText="1"/>
    </xf>
    <xf numFmtId="44" fontId="8" fillId="35" borderId="31" xfId="12" applyFont="1" applyFill="1" applyBorder="1"/>
    <xf numFmtId="44" fontId="8" fillId="35" borderId="31" xfId="12" applyFont="1" applyFill="1" applyBorder="1" applyAlignment="1">
      <alignment horizontal="right" vertical="center" wrapText="1"/>
    </xf>
    <xf numFmtId="0" fontId="101" fillId="0" borderId="1" xfId="0" applyFont="1" applyBorder="1" applyAlignment="1">
      <alignment horizontal="justify" vertical="center"/>
    </xf>
    <xf numFmtId="0" fontId="101" fillId="0" borderId="1" xfId="0" applyFont="1" applyBorder="1" applyAlignment="1">
      <alignment horizontal="center" vertical="center"/>
    </xf>
    <xf numFmtId="177" fontId="101" fillId="0" borderId="1" xfId="0" applyNumberFormat="1" applyFont="1" applyBorder="1" applyAlignment="1">
      <alignment horizontal="center" vertical="center"/>
    </xf>
    <xf numFmtId="44" fontId="101" fillId="0" borderId="1" xfId="12" applyFont="1" applyFill="1" applyBorder="1" applyAlignment="1">
      <alignment horizontal="right" vertical="center" wrapText="1"/>
    </xf>
    <xf numFmtId="0" fontId="8" fillId="35" borderId="1" xfId="0" applyFont="1" applyFill="1" applyBorder="1" applyAlignment="1">
      <alignment horizontal="justify" vertical="center"/>
    </xf>
    <xf numFmtId="0" fontId="101" fillId="0" borderId="1" xfId="0" applyFont="1" applyBorder="1" applyAlignment="1">
      <alignment horizontal="center"/>
    </xf>
    <xf numFmtId="177" fontId="101" fillId="0" borderId="1" xfId="0" applyNumberFormat="1" applyFont="1" applyBorder="1" applyAlignment="1">
      <alignment vertical="center"/>
    </xf>
    <xf numFmtId="0" fontId="8" fillId="9" borderId="4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justify" vertical="center"/>
    </xf>
    <xf numFmtId="2" fontId="8" fillId="9" borderId="100" xfId="0" applyNumberFormat="1" applyFont="1" applyFill="1" applyBorder="1" applyAlignment="1">
      <alignment horizontal="center" vertical="center" wrapText="1"/>
    </xf>
    <xf numFmtId="177" fontId="8" fillId="9" borderId="31" xfId="0" applyNumberFormat="1" applyFont="1" applyFill="1" applyBorder="1" applyAlignment="1">
      <alignment vertical="center" wrapText="1"/>
    </xf>
    <xf numFmtId="44" fontId="8" fillId="9" borderId="31" xfId="12" applyFont="1" applyFill="1" applyBorder="1"/>
    <xf numFmtId="44" fontId="8" fillId="9" borderId="103" xfId="12" applyFont="1" applyFill="1" applyBorder="1"/>
    <xf numFmtId="44" fontId="8" fillId="9" borderId="31" xfId="12" applyFont="1" applyFill="1" applyBorder="1" applyAlignment="1">
      <alignment horizontal="right" vertical="center" wrapText="1"/>
    </xf>
    <xf numFmtId="0" fontId="8" fillId="35" borderId="4" xfId="0" applyFont="1" applyFill="1" applyBorder="1" applyAlignment="1">
      <alignment horizontal="center" vertical="center"/>
    </xf>
    <xf numFmtId="0" fontId="8" fillId="35" borderId="5" xfId="0" applyFont="1" applyFill="1" applyBorder="1" applyAlignment="1">
      <alignment horizontal="justify" vertical="center" wrapText="1"/>
    </xf>
    <xf numFmtId="2" fontId="8" fillId="35" borderId="34" xfId="0" applyNumberFormat="1" applyFont="1" applyFill="1" applyBorder="1" applyAlignment="1">
      <alignment horizontal="center" vertical="center" wrapText="1"/>
    </xf>
    <xf numFmtId="177" fontId="8" fillId="35" borderId="1" xfId="0" applyNumberFormat="1" applyFont="1" applyFill="1" applyBorder="1" applyAlignment="1">
      <alignment vertical="center" wrapText="1"/>
    </xf>
    <xf numFmtId="44" fontId="8" fillId="35" borderId="27" xfId="12" applyFont="1" applyFill="1" applyBorder="1"/>
    <xf numFmtId="0" fontId="101" fillId="0" borderId="4" xfId="0" applyFont="1" applyBorder="1" applyAlignment="1">
      <alignment horizontal="center" vertical="center"/>
    </xf>
    <xf numFmtId="0" fontId="101" fillId="0" borderId="5" xfId="0" applyFont="1" applyBorder="1" applyAlignment="1">
      <alignment horizontal="justify" vertical="center" wrapText="1"/>
    </xf>
    <xf numFmtId="2" fontId="101" fillId="0" borderId="34" xfId="0" applyNumberFormat="1" applyFont="1" applyFill="1" applyBorder="1" applyAlignment="1">
      <alignment horizontal="center" vertical="center" wrapText="1"/>
    </xf>
    <xf numFmtId="44" fontId="101" fillId="0" borderId="27" xfId="12" applyFont="1" applyFill="1" applyBorder="1" applyAlignment="1">
      <alignment horizontal="center" vertical="center"/>
    </xf>
    <xf numFmtId="0" fontId="101" fillId="7" borderId="4" xfId="0" applyFont="1" applyFill="1" applyBorder="1" applyAlignment="1">
      <alignment horizontal="center" vertical="center"/>
    </xf>
    <xf numFmtId="0" fontId="101" fillId="7" borderId="5" xfId="0" applyFont="1" applyFill="1" applyBorder="1" applyAlignment="1">
      <alignment horizontal="justify" vertical="center" wrapText="1"/>
    </xf>
    <xf numFmtId="2" fontId="101" fillId="7" borderId="34" xfId="0" applyNumberFormat="1" applyFont="1" applyFill="1" applyBorder="1" applyAlignment="1">
      <alignment horizontal="center" vertical="center" wrapText="1"/>
    </xf>
    <xf numFmtId="44" fontId="101" fillId="7" borderId="1" xfId="12" applyFont="1" applyFill="1" applyBorder="1" applyAlignment="1">
      <alignment horizontal="center" vertical="center"/>
    </xf>
    <xf numFmtId="44" fontId="101" fillId="7" borderId="27" xfId="12" applyFont="1" applyFill="1" applyBorder="1" applyAlignment="1">
      <alignment horizontal="center" vertical="center"/>
    </xf>
    <xf numFmtId="44" fontId="8" fillId="7" borderId="1" xfId="12" applyFont="1" applyFill="1" applyBorder="1" applyAlignment="1">
      <alignment horizontal="right" vertical="center" wrapText="1"/>
    </xf>
    <xf numFmtId="0" fontId="8" fillId="35" borderId="1" xfId="0" applyFont="1" applyFill="1" applyBorder="1"/>
    <xf numFmtId="44" fontId="101" fillId="0" borderId="27" xfId="12" applyFont="1" applyFill="1" applyBorder="1"/>
    <xf numFmtId="0" fontId="8" fillId="9" borderId="1" xfId="0" applyFont="1" applyFill="1" applyBorder="1" applyAlignment="1">
      <alignment vertical="center" wrapText="1"/>
    </xf>
    <xf numFmtId="0" fontId="101" fillId="35" borderId="1" xfId="0" applyFont="1" applyFill="1" applyBorder="1" applyAlignment="1">
      <alignment horizontal="justify" vertical="center" wrapText="1"/>
    </xf>
    <xf numFmtId="2" fontId="101" fillId="35" borderId="1" xfId="0" applyNumberFormat="1" applyFont="1" applyFill="1" applyBorder="1" applyAlignment="1">
      <alignment horizontal="center" vertical="center" wrapText="1"/>
    </xf>
    <xf numFmtId="177" fontId="101" fillId="35" borderId="1" xfId="0" applyNumberFormat="1" applyFont="1" applyFill="1" applyBorder="1" applyAlignment="1">
      <alignment vertical="center" wrapText="1"/>
    </xf>
    <xf numFmtId="44" fontId="101" fillId="35" borderId="1" xfId="12" applyFont="1" applyFill="1" applyBorder="1" applyAlignment="1">
      <alignment horizontal="center" vertical="center"/>
    </xf>
    <xf numFmtId="44" fontId="101" fillId="35" borderId="1" xfId="12" applyFont="1" applyFill="1" applyBorder="1" applyAlignment="1">
      <alignment horizontal="right" vertical="center" wrapText="1"/>
    </xf>
    <xf numFmtId="0" fontId="8" fillId="9" borderId="1" xfId="0" applyFont="1" applyFill="1" applyBorder="1" applyAlignment="1">
      <alignment horizontal="center"/>
    </xf>
    <xf numFmtId="177" fontId="8" fillId="9" borderId="1" xfId="0" applyNumberFormat="1" applyFont="1" applyFill="1" applyBorder="1" applyAlignment="1">
      <alignment vertical="center"/>
    </xf>
    <xf numFmtId="0" fontId="101" fillId="35" borderId="1" xfId="0" applyFont="1" applyFill="1" applyBorder="1" applyAlignment="1">
      <alignment vertical="center"/>
    </xf>
    <xf numFmtId="0" fontId="8" fillId="24" borderId="27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justify" vertical="center" wrapText="1"/>
    </xf>
    <xf numFmtId="2" fontId="101" fillId="24" borderId="52" xfId="0" applyNumberFormat="1" applyFont="1" applyFill="1" applyBorder="1" applyAlignment="1">
      <alignment horizontal="center"/>
    </xf>
    <xf numFmtId="177" fontId="101" fillId="24" borderId="52" xfId="0" applyNumberFormat="1" applyFont="1" applyFill="1" applyBorder="1" applyAlignment="1">
      <alignment vertical="center"/>
    </xf>
    <xf numFmtId="44" fontId="101" fillId="24" borderId="52" xfId="12" applyFont="1" applyFill="1" applyBorder="1" applyAlignment="1"/>
    <xf numFmtId="44" fontId="8" fillId="24" borderId="27" xfId="12" applyFont="1" applyFill="1" applyBorder="1" applyAlignment="1"/>
    <xf numFmtId="0" fontId="101" fillId="0" borderId="27" xfId="0" applyFont="1" applyFill="1" applyBorder="1" applyAlignment="1">
      <alignment horizontal="center" vertical="center"/>
    </xf>
    <xf numFmtId="0" fontId="101" fillId="5" borderId="1" xfId="0" applyFont="1" applyFill="1" applyBorder="1" applyAlignment="1">
      <alignment horizontal="justify" vertical="center" wrapText="1"/>
    </xf>
    <xf numFmtId="2" fontId="101" fillId="0" borderId="34" xfId="0" applyNumberFormat="1" applyFont="1" applyFill="1" applyBorder="1" applyAlignment="1">
      <alignment horizontal="center"/>
    </xf>
    <xf numFmtId="44" fontId="101" fillId="0" borderId="1" xfId="12" applyFont="1" applyBorder="1" applyAlignment="1">
      <alignment vertical="center"/>
    </xf>
    <xf numFmtId="2" fontId="101" fillId="24" borderId="34" xfId="0" applyNumberFormat="1" applyFont="1" applyFill="1" applyBorder="1" applyAlignment="1">
      <alignment horizontal="center" vertical="center" wrapText="1"/>
    </xf>
    <xf numFmtId="177" fontId="101" fillId="24" borderId="1" xfId="0" applyNumberFormat="1" applyFont="1" applyFill="1" applyBorder="1" applyAlignment="1">
      <alignment vertical="center" wrapText="1"/>
    </xf>
    <xf numFmtId="44" fontId="101" fillId="24" borderId="1" xfId="12" applyFont="1" applyFill="1" applyBorder="1" applyAlignment="1">
      <alignment vertical="center"/>
    </xf>
    <xf numFmtId="44" fontId="8" fillId="24" borderId="27" xfId="12" applyFont="1" applyFill="1" applyBorder="1" applyAlignment="1">
      <alignment vertical="center"/>
    </xf>
    <xf numFmtId="0" fontId="101" fillId="0" borderId="1" xfId="0" applyFont="1" applyBorder="1" applyAlignment="1">
      <alignment horizontal="justify" vertical="center" wrapText="1"/>
    </xf>
    <xf numFmtId="0" fontId="101" fillId="0" borderId="34" xfId="0" applyFont="1" applyBorder="1" applyAlignment="1">
      <alignment horizontal="center"/>
    </xf>
    <xf numFmtId="0" fontId="8" fillId="35" borderId="1" xfId="0" applyFont="1" applyFill="1" applyBorder="1" applyAlignment="1">
      <alignment horizontal="justify" vertical="center" wrapText="1"/>
    </xf>
    <xf numFmtId="2" fontId="101" fillId="35" borderId="34" xfId="0" applyNumberFormat="1" applyFont="1" applyFill="1" applyBorder="1" applyAlignment="1">
      <alignment horizontal="center" vertical="center" wrapText="1"/>
    </xf>
    <xf numFmtId="44" fontId="101" fillId="35" borderId="1" xfId="12" applyFont="1" applyFill="1" applyBorder="1" applyAlignment="1">
      <alignment vertical="center"/>
    </xf>
    <xf numFmtId="44" fontId="8" fillId="35" borderId="27" xfId="12" applyFont="1" applyFill="1" applyBorder="1" applyAlignment="1">
      <alignment vertical="center"/>
    </xf>
    <xf numFmtId="44" fontId="101" fillId="0" borderId="27" xfId="12" applyFont="1" applyFill="1" applyBorder="1" applyAlignment="1">
      <alignment vertical="center"/>
    </xf>
    <xf numFmtId="44" fontId="101" fillId="0" borderId="27" xfId="12" applyFont="1" applyFill="1" applyBorder="1" applyAlignment="1"/>
    <xf numFmtId="0" fontId="101" fillId="35" borderId="2" xfId="0" applyFont="1" applyFill="1" applyBorder="1" applyAlignment="1">
      <alignment horizontal="center" vertical="center"/>
    </xf>
    <xf numFmtId="2" fontId="101" fillId="24" borderId="1" xfId="0" applyNumberFormat="1" applyFont="1" applyFill="1" applyBorder="1" applyAlignment="1">
      <alignment horizontal="center"/>
    </xf>
    <xf numFmtId="44" fontId="101" fillId="24" borderId="1" xfId="12" applyFont="1" applyFill="1" applyBorder="1" applyAlignment="1"/>
    <xf numFmtId="44" fontId="8" fillId="24" borderId="1" xfId="12" applyFont="1" applyFill="1" applyBorder="1" applyAlignment="1"/>
    <xf numFmtId="177" fontId="101" fillId="7" borderId="1" xfId="0" applyNumberFormat="1" applyFont="1" applyFill="1" applyBorder="1" applyAlignment="1">
      <alignment vertical="center"/>
    </xf>
    <xf numFmtId="44" fontId="101" fillId="7" borderId="1" xfId="12" applyFont="1" applyFill="1" applyBorder="1" applyAlignment="1"/>
    <xf numFmtId="44" fontId="101" fillId="7" borderId="1" xfId="12" applyFont="1" applyFill="1" applyBorder="1" applyAlignment="1">
      <alignment vertical="center"/>
    </xf>
    <xf numFmtId="4" fontId="8" fillId="24" borderId="1" xfId="0" applyNumberFormat="1" applyFont="1" applyFill="1" applyBorder="1"/>
    <xf numFmtId="4" fontId="101" fillId="0" borderId="1" xfId="0" applyNumberFormat="1" applyFont="1" applyFill="1" applyBorder="1" applyAlignment="1">
      <alignment horizontal="center"/>
    </xf>
    <xf numFmtId="4" fontId="101" fillId="32" borderId="1" xfId="0" applyNumberFormat="1" applyFont="1" applyFill="1" applyBorder="1" applyAlignment="1">
      <alignment horizontal="center"/>
    </xf>
    <xf numFmtId="177" fontId="101" fillId="32" borderId="1" xfId="0" applyNumberFormat="1" applyFont="1" applyFill="1" applyBorder="1" applyAlignment="1">
      <alignment vertical="center"/>
    </xf>
    <xf numFmtId="4" fontId="8" fillId="9" borderId="1" xfId="0" applyNumberFormat="1" applyFont="1" applyFill="1" applyBorder="1"/>
    <xf numFmtId="4" fontId="8" fillId="9" borderId="1" xfId="0" applyNumberFormat="1" applyFont="1" applyFill="1" applyBorder="1" applyAlignment="1">
      <alignment horizontal="center"/>
    </xf>
    <xf numFmtId="4" fontId="8" fillId="35" borderId="1" xfId="0" applyNumberFormat="1" applyFont="1" applyFill="1" applyBorder="1" applyAlignment="1">
      <alignment horizontal="center"/>
    </xf>
    <xf numFmtId="44" fontId="101" fillId="0" borderId="27" xfId="12" applyFont="1" applyBorder="1" applyAlignment="1">
      <alignment vertical="center"/>
    </xf>
    <xf numFmtId="0" fontId="8" fillId="35" borderId="0" xfId="0" applyFont="1" applyFill="1"/>
    <xf numFmtId="4" fontId="101" fillId="35" borderId="31" xfId="0" applyNumberFormat="1" applyFont="1" applyFill="1" applyBorder="1" applyAlignment="1">
      <alignment horizontal="center"/>
    </xf>
    <xf numFmtId="177" fontId="101" fillId="35" borderId="31" xfId="0" applyNumberFormat="1" applyFont="1" applyFill="1" applyBorder="1" applyAlignment="1">
      <alignment vertical="center"/>
    </xf>
    <xf numFmtId="44" fontId="101" fillId="35" borderId="31" xfId="12" applyFont="1" applyFill="1" applyBorder="1"/>
    <xf numFmtId="44" fontId="101" fillId="35" borderId="31" xfId="12" applyFont="1" applyFill="1" applyBorder="1" applyAlignment="1">
      <alignment horizontal="right"/>
    </xf>
    <xf numFmtId="44" fontId="8" fillId="35" borderId="31" xfId="12" applyFont="1" applyFill="1" applyBorder="1" applyAlignment="1">
      <alignment horizontal="right"/>
    </xf>
    <xf numFmtId="4" fontId="101" fillId="24" borderId="1" xfId="0" applyNumberFormat="1" applyFont="1" applyFill="1" applyBorder="1" applyAlignment="1">
      <alignment horizontal="center"/>
    </xf>
    <xf numFmtId="0" fontId="101" fillId="0" borderId="1" xfId="0" applyFont="1" applyBorder="1"/>
    <xf numFmtId="0" fontId="101" fillId="9" borderId="1" xfId="0" applyFont="1" applyFill="1" applyBorder="1" applyAlignment="1">
      <alignment horizontal="center"/>
    </xf>
    <xf numFmtId="0" fontId="101" fillId="35" borderId="1" xfId="0" applyFont="1" applyFill="1" applyBorder="1" applyAlignment="1">
      <alignment horizontal="center"/>
    </xf>
    <xf numFmtId="0" fontId="8" fillId="35" borderId="0" xfId="0" applyFont="1" applyFill="1" applyBorder="1" applyAlignment="1">
      <alignment horizontal="center" vertical="center"/>
    </xf>
    <xf numFmtId="177" fontId="101" fillId="35" borderId="0" xfId="0" applyNumberFormat="1" applyFont="1" applyFill="1" applyBorder="1" applyAlignment="1">
      <alignment vertical="center"/>
    </xf>
    <xf numFmtId="44" fontId="101" fillId="35" borderId="0" xfId="12" applyFont="1" applyFill="1" applyBorder="1"/>
    <xf numFmtId="44" fontId="101" fillId="35" borderId="0" xfId="12" applyFont="1" applyFill="1" applyBorder="1" applyAlignment="1">
      <alignment horizontal="right"/>
    </xf>
    <xf numFmtId="44" fontId="8" fillId="35" borderId="0" xfId="12" applyFont="1" applyFill="1" applyBorder="1" applyAlignment="1">
      <alignment horizontal="right"/>
    </xf>
    <xf numFmtId="44" fontId="101" fillId="17" borderId="1" xfId="12" applyFont="1" applyFill="1" applyBorder="1" applyAlignment="1">
      <alignment horizontal="right"/>
    </xf>
    <xf numFmtId="44" fontId="8" fillId="18" borderId="1" xfId="12" applyFont="1" applyFill="1" applyBorder="1" applyAlignment="1">
      <alignment horizontal="right" vertical="center"/>
    </xf>
    <xf numFmtId="44" fontId="8" fillId="18" borderId="1" xfId="12" applyFont="1" applyFill="1" applyBorder="1" applyAlignment="1">
      <alignment vertical="center"/>
    </xf>
    <xf numFmtId="44" fontId="97" fillId="0" borderId="0" xfId="12" applyFont="1" applyFill="1"/>
    <xf numFmtId="0" fontId="96" fillId="0" borderId="0" xfId="0" applyFont="1" applyFill="1" applyBorder="1" applyAlignment="1">
      <alignment horizontal="center" vertical="center"/>
    </xf>
    <xf numFmtId="0" fontId="96" fillId="0" borderId="0" xfId="0" applyFont="1" applyFill="1" applyBorder="1" applyAlignment="1">
      <alignment horizontal="center"/>
    </xf>
    <xf numFmtId="0" fontId="96" fillId="0" borderId="0" xfId="0" applyFont="1" applyFill="1" applyBorder="1" applyAlignment="1"/>
    <xf numFmtId="44" fontId="96" fillId="0" borderId="0" xfId="12" applyFont="1" applyFill="1" applyBorder="1" applyAlignment="1">
      <alignment horizontal="center"/>
    </xf>
    <xf numFmtId="44" fontId="96" fillId="0" borderId="0" xfId="12" applyFont="1" applyFill="1" applyBorder="1" applyAlignment="1">
      <alignment horizontal="right"/>
    </xf>
    <xf numFmtId="4" fontId="96" fillId="0" borderId="0" xfId="0" applyNumberFormat="1" applyFont="1" applyFill="1" applyAlignment="1">
      <alignment horizontal="center" vertical="center"/>
    </xf>
    <xf numFmtId="0" fontId="97" fillId="0" borderId="0" xfId="0" applyFont="1" applyFill="1" applyAlignment="1"/>
    <xf numFmtId="44" fontId="96" fillId="0" borderId="0" xfId="12" applyFont="1" applyFill="1" applyAlignment="1">
      <alignment vertical="center"/>
    </xf>
    <xf numFmtId="44" fontId="97" fillId="0" borderId="0" xfId="12" applyFont="1" applyFill="1" applyAlignment="1">
      <alignment horizontal="right"/>
    </xf>
    <xf numFmtId="0" fontId="97" fillId="0" borderId="0" xfId="0" applyFont="1" applyFill="1" applyAlignment="1">
      <alignment horizontal="left"/>
    </xf>
    <xf numFmtId="0" fontId="97" fillId="0" borderId="0" xfId="0" applyFont="1" applyFill="1" applyAlignment="1">
      <alignment horizontal="center"/>
    </xf>
    <xf numFmtId="44" fontId="102" fillId="0" borderId="0" xfId="12" applyFont="1" applyFill="1" applyAlignment="1">
      <alignment horizontal="right"/>
    </xf>
    <xf numFmtId="44" fontId="97" fillId="25" borderId="0" xfId="12" applyFont="1" applyFill="1" applyAlignment="1">
      <alignment horizontal="right"/>
    </xf>
    <xf numFmtId="4" fontId="96" fillId="0" borderId="0" xfId="0" applyNumberFormat="1" applyFont="1" applyFill="1" applyAlignment="1">
      <alignment horizontal="left" vertical="center"/>
    </xf>
    <xf numFmtId="4" fontId="97" fillId="0" borderId="0" xfId="0" applyNumberFormat="1" applyFont="1" applyFill="1" applyAlignment="1">
      <alignment horizontal="left"/>
    </xf>
    <xf numFmtId="0" fontId="96" fillId="0" borderId="0" xfId="0" applyFont="1" applyFill="1" applyAlignment="1">
      <alignment vertical="center" wrapText="1"/>
    </xf>
    <xf numFmtId="44" fontId="96" fillId="0" borderId="0" xfId="12" applyFont="1" applyFill="1" applyAlignment="1">
      <alignment horizontal="left" vertical="center" wrapText="1"/>
    </xf>
    <xf numFmtId="0" fontId="96" fillId="0" borderId="0" xfId="0" applyFont="1" applyFill="1" applyAlignment="1">
      <alignment wrapText="1"/>
    </xf>
    <xf numFmtId="44" fontId="96" fillId="0" borderId="0" xfId="12" applyFont="1" applyFill="1" applyAlignment="1">
      <alignment wrapText="1"/>
    </xf>
    <xf numFmtId="44" fontId="102" fillId="0" borderId="0" xfId="12" applyFont="1" applyFill="1" applyBorder="1" applyAlignment="1">
      <alignment horizontal="right"/>
    </xf>
    <xf numFmtId="44" fontId="96" fillId="0" borderId="0" xfId="12" applyFont="1" applyFill="1" applyAlignment="1">
      <alignment horizontal="right"/>
    </xf>
    <xf numFmtId="12" fontId="97" fillId="0" borderId="0" xfId="0" applyNumberFormat="1" applyFont="1" applyFill="1" applyAlignment="1">
      <alignment horizontal="left"/>
    </xf>
    <xf numFmtId="0" fontId="102" fillId="0" borderId="0" xfId="0" applyFont="1" applyFill="1" applyAlignment="1">
      <alignment horizontal="center"/>
    </xf>
    <xf numFmtId="0" fontId="97" fillId="0" borderId="0" xfId="0" applyFont="1" applyFill="1" applyAlignment="1">
      <alignment horizontal="center" vertical="center"/>
    </xf>
    <xf numFmtId="44" fontId="97" fillId="0" borderId="0" xfId="12" applyFont="1" applyFill="1" applyBorder="1" applyAlignment="1">
      <alignment horizontal="right"/>
    </xf>
    <xf numFmtId="2" fontId="101" fillId="9" borderId="1" xfId="0" applyNumberFormat="1" applyFont="1" applyFill="1" applyBorder="1" applyAlignment="1">
      <alignment horizontal="center" vertical="center" wrapText="1"/>
    </xf>
    <xf numFmtId="177" fontId="101" fillId="9" borderId="1" xfId="0" applyNumberFormat="1" applyFont="1" applyFill="1" applyBorder="1" applyAlignment="1">
      <alignment vertical="center" wrapText="1"/>
    </xf>
    <xf numFmtId="44" fontId="101" fillId="9" borderId="1" xfId="12" applyFont="1" applyFill="1" applyBorder="1" applyAlignment="1">
      <alignment horizontal="center" vertical="center"/>
    </xf>
    <xf numFmtId="44" fontId="101" fillId="9" borderId="1" xfId="12" applyFont="1" applyFill="1" applyBorder="1" applyAlignment="1">
      <alignment horizontal="right" vertical="center" wrapText="1"/>
    </xf>
    <xf numFmtId="0" fontId="8" fillId="9" borderId="1" xfId="0" applyFont="1" applyFill="1" applyBorder="1" applyAlignment="1">
      <alignment horizontal="justify" vertical="center" wrapText="1"/>
    </xf>
    <xf numFmtId="0" fontId="8" fillId="35" borderId="2" xfId="0" applyFont="1" applyFill="1" applyBorder="1" applyAlignment="1">
      <alignment horizontal="center" vertical="center"/>
    </xf>
    <xf numFmtId="0" fontId="8" fillId="35" borderId="3" xfId="0" applyFont="1" applyFill="1" applyBorder="1" applyAlignment="1">
      <alignment horizontal="justify" vertical="center" wrapText="1"/>
    </xf>
    <xf numFmtId="0" fontId="103" fillId="0" borderId="0" xfId="0" applyFont="1" applyFill="1"/>
    <xf numFmtId="2" fontId="8" fillId="24" borderId="34" xfId="0" applyNumberFormat="1" applyFont="1" applyFill="1" applyBorder="1" applyAlignment="1">
      <alignment horizontal="center" vertical="center" wrapText="1"/>
    </xf>
    <xf numFmtId="44" fontId="8" fillId="24" borderId="27" xfId="12" applyFont="1" applyFill="1" applyBorder="1"/>
    <xf numFmtId="0" fontId="101" fillId="0" borderId="1" xfId="0" applyFont="1" applyBorder="1" applyAlignment="1">
      <alignment vertical="center"/>
    </xf>
    <xf numFmtId="0" fontId="101" fillId="0" borderId="1" xfId="0" applyFont="1" applyBorder="1" applyAlignment="1">
      <alignment vertical="center" wrapText="1"/>
    </xf>
    <xf numFmtId="177" fontId="101" fillId="0" borderId="31" xfId="0" applyNumberFormat="1" applyFont="1" applyFill="1" applyBorder="1" applyAlignment="1">
      <alignment vertical="center" wrapText="1"/>
    </xf>
    <xf numFmtId="44" fontId="101" fillId="0" borderId="31" xfId="12" applyFont="1" applyFill="1" applyBorder="1"/>
    <xf numFmtId="2" fontId="101" fillId="0" borderId="100" xfId="0" applyNumberFormat="1" applyFont="1" applyFill="1" applyBorder="1" applyAlignment="1">
      <alignment horizontal="center" vertical="center" wrapText="1"/>
    </xf>
    <xf numFmtId="2" fontId="101" fillId="24" borderId="100" xfId="0" applyNumberFormat="1" applyFont="1" applyFill="1" applyBorder="1" applyAlignment="1">
      <alignment horizontal="center" vertical="center" wrapText="1"/>
    </xf>
    <xf numFmtId="177" fontId="8" fillId="24" borderId="31" xfId="0" applyNumberFormat="1" applyFont="1" applyFill="1" applyBorder="1" applyAlignment="1">
      <alignment vertical="center" wrapText="1"/>
    </xf>
    <xf numFmtId="44" fontId="8" fillId="24" borderId="31" xfId="12" applyFont="1" applyFill="1" applyBorder="1"/>
    <xf numFmtId="44" fontId="101" fillId="0" borderId="1" xfId="12" applyFont="1" applyBorder="1" applyAlignment="1">
      <alignment horizontal="right"/>
    </xf>
    <xf numFmtId="44" fontId="101" fillId="0" borderId="35" xfId="12" applyFont="1" applyFill="1" applyBorder="1"/>
    <xf numFmtId="44" fontId="101" fillId="0" borderId="28" xfId="12" applyFont="1" applyFill="1" applyBorder="1" applyAlignment="1">
      <alignment horizontal="right"/>
    </xf>
    <xf numFmtId="44" fontId="101" fillId="0" borderId="28" xfId="12" applyFont="1" applyBorder="1" applyAlignment="1">
      <alignment horizontal="right"/>
    </xf>
    <xf numFmtId="44" fontId="8" fillId="24" borderId="28" xfId="12" applyFont="1" applyFill="1" applyBorder="1"/>
    <xf numFmtId="44" fontId="8" fillId="24" borderId="102" xfId="12" applyFont="1" applyFill="1" applyBorder="1"/>
    <xf numFmtId="177" fontId="101" fillId="0" borderId="34" xfId="0" applyNumberFormat="1" applyFont="1" applyBorder="1" applyAlignment="1">
      <alignment vertical="center"/>
    </xf>
    <xf numFmtId="167" fontId="0" fillId="0" borderId="0" xfId="0" applyNumberFormat="1"/>
    <xf numFmtId="0" fontId="90" fillId="32" borderId="59" xfId="0" applyFont="1" applyFill="1" applyBorder="1" applyAlignment="1">
      <alignment horizontal="justify" vertical="center"/>
    </xf>
    <xf numFmtId="0" fontId="91" fillId="32" borderId="31" xfId="0" applyFont="1" applyFill="1" applyBorder="1" applyAlignment="1">
      <alignment vertical="center" wrapText="1"/>
    </xf>
    <xf numFmtId="0" fontId="91" fillId="32" borderId="31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 vertical="center"/>
    </xf>
    <xf numFmtId="44" fontId="48" fillId="32" borderId="31" xfId="12" applyFont="1" applyFill="1" applyBorder="1" applyAlignment="1">
      <alignment horizontal="center" vertical="center"/>
    </xf>
    <xf numFmtId="0" fontId="90" fillId="32" borderId="22" xfId="0" applyFont="1" applyFill="1" applyBorder="1" applyAlignment="1">
      <alignment horizontal="justify" vertical="center"/>
    </xf>
    <xf numFmtId="0" fontId="50" fillId="32" borderId="1" xfId="0" applyFont="1" applyFill="1" applyBorder="1" applyAlignment="1">
      <alignment horizontal="center" vertical="center"/>
    </xf>
    <xf numFmtId="44" fontId="50" fillId="32" borderId="1" xfId="12" applyFont="1" applyFill="1" applyBorder="1" applyAlignment="1">
      <alignment horizontal="center" vertical="center"/>
    </xf>
    <xf numFmtId="0" fontId="90" fillId="9" borderId="22" xfId="0" applyFont="1" applyFill="1" applyBorder="1" applyAlignment="1">
      <alignment horizontal="justify" vertical="center"/>
    </xf>
    <xf numFmtId="0" fontId="90" fillId="9" borderId="1" xfId="0" applyFont="1" applyFill="1" applyBorder="1" applyAlignment="1">
      <alignment vertical="center" wrapText="1"/>
    </xf>
    <xf numFmtId="0" fontId="90" fillId="9" borderId="1" xfId="0" applyFont="1" applyFill="1" applyBorder="1" applyAlignment="1">
      <alignment horizontal="center" vertical="center" wrapText="1"/>
    </xf>
    <xf numFmtId="0" fontId="50" fillId="9" borderId="1" xfId="0" applyFont="1" applyFill="1" applyBorder="1" applyAlignment="1">
      <alignment horizontal="center" vertical="center"/>
    </xf>
    <xf numFmtId="44" fontId="50" fillId="9" borderId="1" xfId="12" applyFont="1" applyFill="1" applyBorder="1" applyAlignment="1">
      <alignment horizontal="center" vertical="center"/>
    </xf>
    <xf numFmtId="0" fontId="94" fillId="9" borderId="2" xfId="0" applyFont="1" applyFill="1" applyBorder="1" applyAlignment="1">
      <alignment horizontal="justify" vertical="center"/>
    </xf>
    <xf numFmtId="0" fontId="94" fillId="9" borderId="3" xfId="0" applyFont="1" applyFill="1" applyBorder="1" applyAlignment="1">
      <alignment horizontal="justify" vertical="center" wrapText="1"/>
    </xf>
    <xf numFmtId="0" fontId="20" fillId="9" borderId="1" xfId="0" applyFont="1" applyFill="1" applyBorder="1" applyAlignment="1">
      <alignment horizontal="center" vertical="center"/>
    </xf>
    <xf numFmtId="44" fontId="20" fillId="9" borderId="1" xfId="12" applyFont="1" applyFill="1" applyBorder="1" applyAlignment="1">
      <alignment horizontal="center" vertical="center"/>
    </xf>
    <xf numFmtId="0" fontId="94" fillId="35" borderId="2" xfId="0" applyFont="1" applyFill="1" applyBorder="1" applyAlignment="1">
      <alignment horizontal="justify" vertical="center"/>
    </xf>
    <xf numFmtId="0" fontId="94" fillId="35" borderId="3" xfId="0" applyFont="1" applyFill="1" applyBorder="1" applyAlignment="1">
      <alignment horizontal="justify" vertical="center" wrapText="1"/>
    </xf>
    <xf numFmtId="0" fontId="94" fillId="35" borderId="1" xfId="0" applyFont="1" applyFill="1" applyBorder="1" applyAlignment="1">
      <alignment horizontal="center" vertical="center" wrapText="1"/>
    </xf>
    <xf numFmtId="0" fontId="20" fillId="35" borderId="1" xfId="0" applyFont="1" applyFill="1" applyBorder="1" applyAlignment="1">
      <alignment horizontal="center" vertical="center"/>
    </xf>
    <xf numFmtId="44" fontId="20" fillId="35" borderId="1" xfId="12" applyFont="1" applyFill="1" applyBorder="1" applyAlignment="1">
      <alignment horizontal="center" vertical="center"/>
    </xf>
    <xf numFmtId="0" fontId="94" fillId="35" borderId="4" xfId="0" applyFont="1" applyFill="1" applyBorder="1" applyAlignment="1">
      <alignment horizontal="justify" vertical="center"/>
    </xf>
    <xf numFmtId="0" fontId="94" fillId="35" borderId="5" xfId="0" applyFont="1" applyFill="1" applyBorder="1" applyAlignment="1">
      <alignment horizontal="justify" vertical="center" wrapText="1"/>
    </xf>
    <xf numFmtId="0" fontId="92" fillId="32" borderId="1" xfId="0" applyFont="1" applyFill="1" applyBorder="1" applyAlignment="1">
      <alignment horizontal="justify" vertical="center" wrapText="1"/>
    </xf>
    <xf numFmtId="0" fontId="92" fillId="32" borderId="1" xfId="0" applyFont="1" applyFill="1" applyBorder="1" applyAlignment="1">
      <alignment horizontal="center" vertical="center" wrapText="1"/>
    </xf>
    <xf numFmtId="0" fontId="93" fillId="9" borderId="1" xfId="0" applyFont="1" applyFill="1" applyBorder="1" applyAlignment="1">
      <alignment horizontal="center" vertical="center" wrapText="1"/>
    </xf>
    <xf numFmtId="44" fontId="0" fillId="9" borderId="1" xfId="12" applyFont="1" applyFill="1" applyBorder="1" applyAlignment="1">
      <alignment horizontal="center" vertical="center"/>
    </xf>
    <xf numFmtId="0" fontId="94" fillId="9" borderId="4" xfId="0" applyFont="1" applyFill="1" applyBorder="1" applyAlignment="1">
      <alignment horizontal="justify" vertical="center"/>
    </xf>
    <xf numFmtId="0" fontId="94" fillId="9" borderId="5" xfId="0" applyFont="1" applyFill="1" applyBorder="1" applyAlignment="1">
      <alignment horizontal="justify" vertical="center" wrapText="1"/>
    </xf>
    <xf numFmtId="0" fontId="93" fillId="35" borderId="1" xfId="0" applyFont="1" applyFill="1" applyBorder="1" applyAlignment="1">
      <alignment horizontal="center" vertical="center" wrapText="1"/>
    </xf>
    <xf numFmtId="44" fontId="0" fillId="35" borderId="1" xfId="12" applyFont="1" applyFill="1" applyBorder="1" applyAlignment="1">
      <alignment horizontal="center" vertical="center"/>
    </xf>
    <xf numFmtId="0" fontId="93" fillId="32" borderId="1" xfId="0" applyFont="1" applyFill="1" applyBorder="1" applyAlignment="1">
      <alignment horizontal="center" vertical="center" wrapText="1"/>
    </xf>
    <xf numFmtId="0" fontId="20" fillId="32" borderId="1" xfId="0" applyFont="1" applyFill="1" applyBorder="1" applyAlignment="1">
      <alignment horizontal="center" vertical="center"/>
    </xf>
    <xf numFmtId="44" fontId="0" fillId="32" borderId="1" xfId="12" applyFont="1" applyFill="1" applyBorder="1" applyAlignment="1">
      <alignment horizontal="center" vertical="center"/>
    </xf>
    <xf numFmtId="0" fontId="93" fillId="35" borderId="22" xfId="0" applyFont="1" applyFill="1" applyBorder="1" applyAlignment="1">
      <alignment horizontal="justify" vertical="center"/>
    </xf>
    <xf numFmtId="0" fontId="93" fillId="35" borderId="1" xfId="0" applyFont="1" applyFill="1" applyBorder="1" applyAlignment="1">
      <alignment horizontal="justify" vertical="center" wrapText="1"/>
    </xf>
    <xf numFmtId="0" fontId="93" fillId="35" borderId="1" xfId="0" applyFont="1" applyFill="1" applyBorder="1" applyAlignment="1">
      <alignment horizontal="center" vertical="center"/>
    </xf>
    <xf numFmtId="0" fontId="93" fillId="9" borderId="1" xfId="0" applyFont="1" applyFill="1" applyBorder="1" applyAlignment="1">
      <alignment horizontal="center" vertical="center"/>
    </xf>
    <xf numFmtId="0" fontId="94" fillId="32" borderId="2" xfId="0" applyFont="1" applyFill="1" applyBorder="1" applyAlignment="1">
      <alignment horizontal="justify" vertical="center"/>
    </xf>
    <xf numFmtId="0" fontId="94" fillId="32" borderId="3" xfId="0" applyFont="1" applyFill="1" applyBorder="1" applyAlignment="1">
      <alignment horizontal="justify" vertical="center"/>
    </xf>
    <xf numFmtId="0" fontId="93" fillId="32" borderId="1" xfId="0" applyFont="1" applyFill="1" applyBorder="1" applyAlignment="1">
      <alignment horizontal="center" vertical="center"/>
    </xf>
    <xf numFmtId="0" fontId="94" fillId="32" borderId="1" xfId="0" applyFont="1" applyFill="1" applyBorder="1" applyAlignment="1">
      <alignment horizontal="center" vertical="center"/>
    </xf>
    <xf numFmtId="0" fontId="94" fillId="9" borderId="1" xfId="0" applyFont="1" applyFill="1" applyBorder="1" applyAlignment="1">
      <alignment horizontal="center" vertical="center"/>
    </xf>
    <xf numFmtId="0" fontId="94" fillId="9" borderId="5" xfId="0" applyFont="1" applyFill="1" applyBorder="1" applyAlignment="1">
      <alignment horizontal="justify" vertical="center"/>
    </xf>
    <xf numFmtId="0" fontId="94" fillId="35" borderId="1" xfId="0" applyFont="1" applyFill="1" applyBorder="1" applyAlignment="1">
      <alignment horizontal="center" vertical="center"/>
    </xf>
    <xf numFmtId="0" fontId="94" fillId="35" borderId="5" xfId="0" applyFont="1" applyFill="1" applyBorder="1" applyAlignment="1">
      <alignment horizontal="justify" vertical="center"/>
    </xf>
    <xf numFmtId="0" fontId="49" fillId="35" borderId="1" xfId="0" applyFont="1" applyFill="1" applyBorder="1" applyAlignment="1">
      <alignment horizontal="center" vertical="center"/>
    </xf>
    <xf numFmtId="44" fontId="49" fillId="35" borderId="1" xfId="12" applyFont="1" applyFill="1" applyBorder="1" applyAlignment="1">
      <alignment horizontal="center" vertical="center"/>
    </xf>
    <xf numFmtId="0" fontId="0" fillId="0" borderId="0" xfId="0" applyFont="1"/>
    <xf numFmtId="0" fontId="94" fillId="35" borderId="1" xfId="0" applyFont="1" applyFill="1" applyBorder="1" applyAlignment="1">
      <alignment vertical="center"/>
    </xf>
    <xf numFmtId="0" fontId="94" fillId="26" borderId="4" xfId="0" applyFont="1" applyFill="1" applyBorder="1" applyAlignment="1">
      <alignment horizontal="justify" vertical="center"/>
    </xf>
    <xf numFmtId="0" fontId="93" fillId="26" borderId="1" xfId="0" applyFont="1" applyFill="1" applyBorder="1" applyAlignment="1">
      <alignment horizontal="center" vertical="center"/>
    </xf>
    <xf numFmtId="0" fontId="20" fillId="26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44" fontId="0" fillId="26" borderId="1" xfId="12" applyFont="1" applyFill="1" applyBorder="1" applyAlignment="1">
      <alignment horizontal="center" vertical="center"/>
    </xf>
    <xf numFmtId="0" fontId="94" fillId="9" borderId="4" xfId="0" applyFont="1" applyFill="1" applyBorder="1" applyAlignment="1">
      <alignment vertical="center"/>
    </xf>
    <xf numFmtId="44" fontId="20" fillId="32" borderId="1" xfId="12" applyFont="1" applyFill="1" applyBorder="1" applyAlignment="1">
      <alignment horizontal="center" vertical="center"/>
    </xf>
    <xf numFmtId="0" fontId="93" fillId="35" borderId="59" xfId="0" applyFont="1" applyFill="1" applyBorder="1" applyAlignment="1">
      <alignment horizontal="justify" vertical="center"/>
    </xf>
    <xf numFmtId="0" fontId="94" fillId="35" borderId="1" xfId="0" applyFont="1" applyFill="1" applyBorder="1" applyAlignment="1">
      <alignment horizontal="justify" vertical="center"/>
    </xf>
    <xf numFmtId="0" fontId="94" fillId="32" borderId="3" xfId="0" applyFont="1" applyFill="1" applyBorder="1" applyAlignment="1">
      <alignment horizontal="justify" vertical="center" wrapText="1"/>
    </xf>
    <xf numFmtId="0" fontId="93" fillId="9" borderId="55" xfId="0" applyFont="1" applyFill="1" applyBorder="1" applyAlignment="1">
      <alignment horizontal="justify" vertical="center"/>
    </xf>
    <xf numFmtId="0" fontId="93" fillId="9" borderId="28" xfId="0" applyFont="1" applyFill="1" applyBorder="1" applyAlignment="1">
      <alignment horizontal="justify" vertical="center" wrapText="1"/>
    </xf>
    <xf numFmtId="0" fontId="93" fillId="9" borderId="28" xfId="0" applyFont="1" applyFill="1" applyBorder="1" applyAlignment="1">
      <alignment horizontal="center" vertical="center"/>
    </xf>
    <xf numFmtId="0" fontId="93" fillId="9" borderId="28" xfId="0" applyFont="1" applyFill="1" applyBorder="1" applyAlignment="1">
      <alignment horizontal="center" vertical="center" wrapText="1"/>
    </xf>
    <xf numFmtId="0" fontId="20" fillId="9" borderId="28" xfId="0" applyFont="1" applyFill="1" applyBorder="1" applyAlignment="1">
      <alignment horizontal="center" vertical="center"/>
    </xf>
    <xf numFmtId="44" fontId="20" fillId="9" borderId="28" xfId="12" applyFont="1" applyFill="1" applyBorder="1" applyAlignment="1">
      <alignment horizontal="center" vertical="center"/>
    </xf>
    <xf numFmtId="0" fontId="94" fillId="35" borderId="1" xfId="0" applyFont="1" applyFill="1" applyBorder="1" applyAlignment="1">
      <alignment horizontal="justify" vertical="center" wrapText="1"/>
    </xf>
    <xf numFmtId="44" fontId="2" fillId="35" borderId="1" xfId="12" applyFont="1" applyFill="1" applyBorder="1" applyAlignment="1">
      <alignment horizontal="center" vertical="center"/>
    </xf>
    <xf numFmtId="0" fontId="93" fillId="35" borderId="1" xfId="0" applyFont="1" applyFill="1" applyBorder="1" applyAlignment="1">
      <alignment horizontal="justify" vertical="center"/>
    </xf>
    <xf numFmtId="0" fontId="94" fillId="35" borderId="1" xfId="0" applyFont="1" applyFill="1" applyBorder="1" applyAlignment="1">
      <alignment vertical="center" wrapText="1"/>
    </xf>
    <xf numFmtId="0" fontId="93" fillId="9" borderId="31" xfId="0" applyFont="1" applyFill="1" applyBorder="1" applyAlignment="1">
      <alignment horizontal="center" vertical="center"/>
    </xf>
    <xf numFmtId="0" fontId="94" fillId="9" borderId="31" xfId="0" applyFont="1" applyFill="1" applyBorder="1" applyAlignment="1">
      <alignment horizontal="center" vertical="center" wrapText="1"/>
    </xf>
    <xf numFmtId="0" fontId="20" fillId="9" borderId="31" xfId="0" applyFont="1" applyFill="1" applyBorder="1" applyAlignment="1">
      <alignment horizontal="center" vertical="center"/>
    </xf>
    <xf numFmtId="44" fontId="20" fillId="9" borderId="31" xfId="12" applyFont="1" applyFill="1" applyBorder="1" applyAlignment="1">
      <alignment horizontal="center" vertical="center"/>
    </xf>
    <xf numFmtId="1" fontId="49" fillId="35" borderId="1" xfId="0" applyNumberFormat="1" applyFont="1" applyFill="1" applyBorder="1" applyAlignment="1">
      <alignment horizontal="center" vertical="center"/>
    </xf>
    <xf numFmtId="1" fontId="20" fillId="35" borderId="1" xfId="0" applyNumberFormat="1" applyFont="1" applyFill="1" applyBorder="1" applyAlignment="1">
      <alignment horizontal="center" vertical="center"/>
    </xf>
    <xf numFmtId="44" fontId="20" fillId="30" borderId="1" xfId="12" applyFont="1" applyFill="1" applyBorder="1" applyAlignment="1">
      <alignment horizontal="center" vertical="center"/>
    </xf>
    <xf numFmtId="1" fontId="0" fillId="32" borderId="0" xfId="0" applyNumberFormat="1" applyFill="1" applyAlignment="1">
      <alignment horizontal="center" vertical="center"/>
    </xf>
    <xf numFmtId="1" fontId="50" fillId="9" borderId="1" xfId="0" applyNumberFormat="1" applyFont="1" applyFill="1" applyBorder="1" applyAlignment="1">
      <alignment horizontal="center" vertical="center"/>
    </xf>
    <xf numFmtId="1" fontId="50" fillId="32" borderId="1" xfId="0" applyNumberFormat="1" applyFon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" fontId="93" fillId="35" borderId="1" xfId="0" applyNumberFormat="1" applyFont="1" applyFill="1" applyBorder="1" applyAlignment="1">
      <alignment horizontal="center" vertical="center" wrapText="1"/>
    </xf>
    <xf numFmtId="1" fontId="0" fillId="35" borderId="1" xfId="0" applyNumberFormat="1" applyFill="1" applyBorder="1" applyAlignment="1">
      <alignment horizontal="center" vertical="center"/>
    </xf>
    <xf numFmtId="1" fontId="0" fillId="32" borderId="1" xfId="0" applyNumberFormat="1" applyFill="1" applyBorder="1" applyAlignment="1">
      <alignment horizontal="center" vertical="center"/>
    </xf>
    <xf numFmtId="1" fontId="0" fillId="9" borderId="28" xfId="0" applyNumberFormat="1" applyFill="1" applyBorder="1" applyAlignment="1">
      <alignment horizontal="center" vertical="center"/>
    </xf>
    <xf numFmtId="1" fontId="0" fillId="35" borderId="1" xfId="12" applyNumberFormat="1" applyFont="1" applyFill="1" applyBorder="1" applyAlignment="1">
      <alignment horizontal="center" vertical="center"/>
    </xf>
    <xf numFmtId="1" fontId="20" fillId="35" borderId="1" xfId="12" applyNumberFormat="1" applyFont="1" applyFill="1" applyBorder="1" applyAlignment="1">
      <alignment horizontal="center" vertical="center"/>
    </xf>
    <xf numFmtId="1" fontId="0" fillId="9" borderId="31" xfId="0" applyNumberFormat="1" applyFill="1" applyBorder="1" applyAlignment="1">
      <alignment horizontal="center" vertical="center"/>
    </xf>
    <xf numFmtId="1" fontId="49" fillId="35" borderId="1" xfId="3" applyNumberFormat="1" applyFont="1" applyFill="1" applyBorder="1" applyAlignment="1">
      <alignment horizontal="center" vertical="center"/>
    </xf>
    <xf numFmtId="1" fontId="20" fillId="35" borderId="1" xfId="3" applyNumberFormat="1" applyFont="1" applyFill="1" applyBorder="1" applyAlignment="1">
      <alignment horizontal="center" vertical="center"/>
    </xf>
    <xf numFmtId="1" fontId="0" fillId="35" borderId="1" xfId="3" applyNumberFormat="1" applyFont="1" applyFill="1" applyBorder="1" applyAlignment="1">
      <alignment horizontal="center" vertical="center"/>
    </xf>
    <xf numFmtId="44" fontId="93" fillId="35" borderId="1" xfId="12" applyFont="1" applyFill="1" applyBorder="1" applyAlignment="1">
      <alignment horizontal="center" vertical="center" wrapText="1"/>
    </xf>
    <xf numFmtId="44" fontId="0" fillId="9" borderId="28" xfId="12" applyFont="1" applyFill="1" applyBorder="1" applyAlignment="1">
      <alignment horizontal="center" vertical="center"/>
    </xf>
    <xf numFmtId="44" fontId="0" fillId="9" borderId="31" xfId="12" applyFont="1" applyFill="1" applyBorder="1" applyAlignment="1">
      <alignment horizontal="center" vertical="center"/>
    </xf>
    <xf numFmtId="0" fontId="94" fillId="26" borderId="2" xfId="0" applyFont="1" applyFill="1" applyBorder="1" applyAlignment="1">
      <alignment horizontal="justify" vertical="center"/>
    </xf>
    <xf numFmtId="0" fontId="94" fillId="26" borderId="3" xfId="0" applyFont="1" applyFill="1" applyBorder="1" applyAlignment="1">
      <alignment horizontal="justify" vertical="center"/>
    </xf>
    <xf numFmtId="0" fontId="94" fillId="26" borderId="5" xfId="0" applyFont="1" applyFill="1" applyBorder="1" applyAlignment="1">
      <alignment horizontal="justify" vertical="center" wrapText="1"/>
    </xf>
    <xf numFmtId="0" fontId="1" fillId="36" borderId="1" xfId="0" applyFont="1" applyFill="1" applyBorder="1" applyAlignment="1">
      <alignment horizontal="center" vertical="center"/>
    </xf>
    <xf numFmtId="44" fontId="1" fillId="36" borderId="1" xfId="12" applyFont="1" applyFill="1" applyBorder="1" applyAlignment="1">
      <alignment horizontal="center" vertical="center"/>
    </xf>
    <xf numFmtId="0" fontId="0" fillId="26" borderId="27" xfId="0" applyFill="1" applyBorder="1"/>
    <xf numFmtId="0" fontId="20" fillId="26" borderId="1" xfId="0" applyFont="1" applyFill="1" applyBorder="1"/>
    <xf numFmtId="0" fontId="20" fillId="26" borderId="1" xfId="0" applyFont="1" applyFill="1" applyBorder="1" applyAlignment="1">
      <alignment horizontal="center"/>
    </xf>
    <xf numFmtId="44" fontId="0" fillId="26" borderId="1" xfId="12" applyFont="1" applyFill="1" applyBorder="1"/>
    <xf numFmtId="10" fontId="0" fillId="0" borderId="0" xfId="1" applyNumberFormat="1" applyFont="1"/>
    <xf numFmtId="44" fontId="20" fillId="26" borderId="1" xfId="12" applyFont="1" applyFill="1" applyBorder="1" applyAlignment="1">
      <alignment horizontal="center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wrapText="1"/>
    </xf>
    <xf numFmtId="44" fontId="0" fillId="0" borderId="1" xfId="12" applyFont="1" applyBorder="1"/>
    <xf numFmtId="0" fontId="1" fillId="0" borderId="27" xfId="0" applyFont="1" applyBorder="1" applyAlignment="1">
      <alignment horizontal="center" wrapText="1"/>
    </xf>
    <xf numFmtId="0" fontId="0" fillId="0" borderId="27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44" fontId="0" fillId="0" borderId="16" xfId="12" applyFont="1" applyBorder="1"/>
    <xf numFmtId="44" fontId="0" fillId="0" borderId="17" xfId="12" applyFont="1" applyBorder="1"/>
    <xf numFmtId="0" fontId="0" fillId="0" borderId="16" xfId="0" applyBorder="1"/>
    <xf numFmtId="0" fontId="0" fillId="0" borderId="17" xfId="0" applyBorder="1"/>
    <xf numFmtId="43" fontId="0" fillId="0" borderId="18" xfId="0" applyNumberFormat="1" applyBorder="1"/>
    <xf numFmtId="43" fontId="0" fillId="0" borderId="19" xfId="0" applyNumberFormat="1" applyBorder="1"/>
    <xf numFmtId="43" fontId="0" fillId="0" borderId="20" xfId="0" applyNumberFormat="1" applyBorder="1"/>
    <xf numFmtId="0" fontId="0" fillId="0" borderId="65" xfId="0" applyBorder="1"/>
    <xf numFmtId="44" fontId="0" fillId="0" borderId="27" xfId="12" applyFont="1" applyBorder="1"/>
    <xf numFmtId="43" fontId="0" fillId="0" borderId="108" xfId="0" applyNumberFormat="1" applyBorder="1"/>
    <xf numFmtId="43" fontId="0" fillId="0" borderId="16" xfId="0" applyNumberFormat="1" applyBorder="1"/>
    <xf numFmtId="43" fontId="0" fillId="0" borderId="17" xfId="0" applyNumberFormat="1" applyBorder="1"/>
    <xf numFmtId="43" fontId="0" fillId="9" borderId="18" xfId="0" applyNumberFormat="1" applyFill="1" applyBorder="1"/>
    <xf numFmtId="0" fontId="20" fillId="0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5" fillId="0" borderId="2" xfId="0" applyFont="1" applyBorder="1" applyAlignment="1">
      <alignment vertical="center" wrapText="1"/>
    </xf>
    <xf numFmtId="0" fontId="87" fillId="0" borderId="3" xfId="0" applyFont="1" applyBorder="1" applyAlignment="1">
      <alignment vertical="center" wrapText="1"/>
    </xf>
    <xf numFmtId="0" fontId="105" fillId="0" borderId="4" xfId="0" applyFont="1" applyBorder="1" applyAlignment="1">
      <alignment vertical="center" wrapText="1"/>
    </xf>
    <xf numFmtId="0" fontId="87" fillId="0" borderId="5" xfId="0" applyFont="1" applyBorder="1" applyAlignment="1">
      <alignment vertical="center" wrapText="1"/>
    </xf>
    <xf numFmtId="0" fontId="5" fillId="0" borderId="4" xfId="0" applyFont="1" applyBorder="1" applyAlignment="1">
      <alignment horizontal="justify" vertical="center" wrapText="1"/>
    </xf>
    <xf numFmtId="0" fontId="6" fillId="0" borderId="5" xfId="0" applyFont="1" applyBorder="1" applyAlignment="1">
      <alignment horizontal="justify" vertical="center" wrapText="1"/>
    </xf>
    <xf numFmtId="0" fontId="105" fillId="0" borderId="4" xfId="0" applyFont="1" applyBorder="1" applyAlignment="1">
      <alignment horizontal="justify" vertical="center" wrapText="1"/>
    </xf>
    <xf numFmtId="0" fontId="87" fillId="0" borderId="5" xfId="0" applyFont="1" applyBorder="1" applyAlignment="1">
      <alignment horizontal="justify" vertical="center" wrapText="1"/>
    </xf>
    <xf numFmtId="0" fontId="106" fillId="0" borderId="24" xfId="0" applyFont="1" applyBorder="1" applyAlignment="1">
      <alignment horizontal="justify" vertical="center" wrapText="1"/>
    </xf>
    <xf numFmtId="0" fontId="106" fillId="0" borderId="5" xfId="0" applyFont="1" applyBorder="1" applyAlignment="1">
      <alignment horizontal="justify" vertical="center" wrapText="1"/>
    </xf>
    <xf numFmtId="0" fontId="0" fillId="0" borderId="0" xfId="0" applyBorder="1" applyAlignment="1">
      <alignment horizontal="left"/>
    </xf>
    <xf numFmtId="0" fontId="8" fillId="0" borderId="2" xfId="0" applyFont="1" applyBorder="1" applyAlignment="1">
      <alignment vertical="center" wrapText="1"/>
    </xf>
    <xf numFmtId="0" fontId="101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01" fillId="0" borderId="5" xfId="0" applyFont="1" applyBorder="1" applyAlignment="1">
      <alignment vertical="center" wrapText="1"/>
    </xf>
    <xf numFmtId="0" fontId="105" fillId="0" borderId="0" xfId="0" applyFont="1" applyBorder="1" applyAlignment="1">
      <alignment vertical="center" wrapText="1"/>
    </xf>
    <xf numFmtId="0" fontId="87" fillId="0" borderId="0" xfId="0" applyFont="1" applyBorder="1" applyAlignment="1">
      <alignment vertical="center" wrapText="1"/>
    </xf>
    <xf numFmtId="0" fontId="101" fillId="0" borderId="3" xfId="0" applyFont="1" applyBorder="1" applyAlignment="1">
      <alignment horizontal="center" vertical="center"/>
    </xf>
    <xf numFmtId="0" fontId="101" fillId="0" borderId="5" xfId="0" applyFont="1" applyBorder="1" applyAlignment="1">
      <alignment vertical="center"/>
    </xf>
    <xf numFmtId="0" fontId="101" fillId="0" borderId="5" xfId="0" applyFont="1" applyBorder="1" applyAlignment="1">
      <alignment horizontal="center" vertical="center"/>
    </xf>
    <xf numFmtId="0" fontId="101" fillId="0" borderId="2" xfId="0" applyFont="1" applyBorder="1" applyAlignment="1">
      <alignment horizontal="center" vertical="center" wrapText="1"/>
    </xf>
    <xf numFmtId="0" fontId="101" fillId="0" borderId="3" xfId="0" applyFont="1" applyBorder="1" applyAlignment="1">
      <alignment horizontal="center" vertical="center" wrapText="1"/>
    </xf>
    <xf numFmtId="0" fontId="101" fillId="0" borderId="5" xfId="0" applyFont="1" applyBorder="1" applyAlignment="1">
      <alignment horizontal="center" vertical="center" wrapText="1"/>
    </xf>
    <xf numFmtId="0" fontId="101" fillId="5" borderId="2" xfId="0" applyFont="1" applyFill="1" applyBorder="1" applyAlignment="1">
      <alignment vertical="center" wrapText="1"/>
    </xf>
    <xf numFmtId="0" fontId="105" fillId="0" borderId="3" xfId="0" applyFont="1" applyBorder="1" applyAlignment="1">
      <alignment horizontal="center" vertical="center" wrapText="1"/>
    </xf>
    <xf numFmtId="0" fontId="87" fillId="0" borderId="4" xfId="0" applyFont="1" applyBorder="1" applyAlignment="1">
      <alignment horizontal="justify" vertical="center" wrapText="1"/>
    </xf>
    <xf numFmtId="0" fontId="87" fillId="0" borderId="24" xfId="0" applyFont="1" applyBorder="1" applyAlignment="1">
      <alignment vertical="center" wrapText="1"/>
    </xf>
    <xf numFmtId="0" fontId="108" fillId="5" borderId="2" xfId="0" applyFont="1" applyFill="1" applyBorder="1" applyAlignment="1">
      <alignment horizontal="center" vertical="center"/>
    </xf>
    <xf numFmtId="0" fontId="108" fillId="5" borderId="3" xfId="0" applyFont="1" applyFill="1" applyBorder="1" applyAlignment="1">
      <alignment horizontal="center" vertical="center"/>
    </xf>
    <xf numFmtId="0" fontId="109" fillId="0" borderId="4" xfId="0" applyFont="1" applyBorder="1" applyAlignment="1">
      <alignment horizontal="center" vertical="center"/>
    </xf>
    <xf numFmtId="0" fontId="109" fillId="0" borderId="5" xfId="0" applyFont="1" applyBorder="1" applyAlignment="1">
      <alignment vertical="center"/>
    </xf>
    <xf numFmtId="0" fontId="109" fillId="0" borderId="5" xfId="0" applyFont="1" applyBorder="1" applyAlignment="1">
      <alignment horizontal="right" vertical="center"/>
    </xf>
    <xf numFmtId="0" fontId="110" fillId="0" borderId="2" xfId="0" applyFont="1" applyBorder="1" applyAlignment="1">
      <alignment horizontal="center" vertical="center"/>
    </xf>
    <xf numFmtId="0" fontId="110" fillId="0" borderId="3" xfId="0" applyFont="1" applyBorder="1" applyAlignment="1">
      <alignment horizontal="center" vertical="center"/>
    </xf>
    <xf numFmtId="0" fontId="110" fillId="0" borderId="3" xfId="0" applyFont="1" applyBorder="1" applyAlignment="1">
      <alignment horizontal="center" vertical="center" wrapText="1"/>
    </xf>
    <xf numFmtId="0" fontId="110" fillId="0" borderId="4" xfId="0" applyFont="1" applyBorder="1" applyAlignment="1">
      <alignment horizontal="center" vertical="center"/>
    </xf>
    <xf numFmtId="0" fontId="109" fillId="0" borderId="5" xfId="0" applyFont="1" applyBorder="1" applyAlignment="1">
      <alignment horizontal="center" vertical="center"/>
    </xf>
    <xf numFmtId="0" fontId="110" fillId="0" borderId="5" xfId="0" applyFont="1" applyBorder="1" applyAlignment="1">
      <alignment horizontal="center" vertical="center"/>
    </xf>
    <xf numFmtId="0" fontId="105" fillId="5" borderId="2" xfId="0" applyFont="1" applyFill="1" applyBorder="1" applyAlignment="1">
      <alignment horizontal="center" vertical="center"/>
    </xf>
    <xf numFmtId="0" fontId="105" fillId="5" borderId="3" xfId="0" applyFont="1" applyFill="1" applyBorder="1" applyAlignment="1">
      <alignment horizontal="center" vertical="center"/>
    </xf>
    <xf numFmtId="0" fontId="87" fillId="5" borderId="4" xfId="0" applyFont="1" applyFill="1" applyBorder="1" applyAlignment="1">
      <alignment horizontal="center" vertical="center"/>
    </xf>
    <xf numFmtId="0" fontId="87" fillId="5" borderId="5" xfId="0" applyFont="1" applyFill="1" applyBorder="1" applyAlignment="1">
      <alignment vertical="center"/>
    </xf>
    <xf numFmtId="3" fontId="87" fillId="5" borderId="5" xfId="0" applyNumberFormat="1" applyFont="1" applyFill="1" applyBorder="1" applyAlignment="1">
      <alignment horizontal="right" vertical="center"/>
    </xf>
    <xf numFmtId="10" fontId="87" fillId="5" borderId="5" xfId="0" applyNumberFormat="1" applyFont="1" applyFill="1" applyBorder="1" applyAlignment="1">
      <alignment horizontal="center" vertical="center"/>
    </xf>
    <xf numFmtId="0" fontId="112" fillId="0" borderId="3" xfId="0" applyFont="1" applyBorder="1" applyAlignment="1">
      <alignment horizontal="center" vertical="center"/>
    </xf>
    <xf numFmtId="0" fontId="112" fillId="0" borderId="5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3" fontId="71" fillId="0" borderId="5" xfId="0" applyNumberFormat="1" applyFont="1" applyBorder="1" applyAlignment="1">
      <alignment horizontal="center" vertical="center"/>
    </xf>
    <xf numFmtId="10" fontId="112" fillId="0" borderId="5" xfId="0" applyNumberFormat="1" applyFont="1" applyBorder="1" applyAlignment="1">
      <alignment horizontal="center" vertical="center"/>
    </xf>
    <xf numFmtId="3" fontId="71" fillId="0" borderId="5" xfId="0" applyNumberFormat="1" applyFont="1" applyBorder="1" applyAlignment="1">
      <alignment vertical="center"/>
    </xf>
    <xf numFmtId="0" fontId="112" fillId="0" borderId="5" xfId="0" applyFont="1" applyBorder="1" applyAlignment="1">
      <alignment horizontal="left" vertical="center" wrapText="1" indent="1"/>
    </xf>
    <xf numFmtId="3" fontId="14" fillId="0" borderId="5" xfId="0" applyNumberFormat="1" applyFont="1" applyBorder="1" applyAlignment="1">
      <alignment horizontal="center" vertical="center" wrapText="1"/>
    </xf>
    <xf numFmtId="10" fontId="71" fillId="0" borderId="5" xfId="0" applyNumberFormat="1" applyFont="1" applyBorder="1" applyAlignment="1">
      <alignment horizontal="center" vertical="center"/>
    </xf>
    <xf numFmtId="0" fontId="71" fillId="0" borderId="5" xfId="0" applyFont="1" applyBorder="1" applyAlignment="1">
      <alignment horizontal="left" vertical="center" wrapText="1" indent="1"/>
    </xf>
    <xf numFmtId="0" fontId="112" fillId="0" borderId="4" xfId="0" applyFont="1" applyBorder="1" applyAlignment="1">
      <alignment horizontal="center" vertical="center"/>
    </xf>
    <xf numFmtId="0" fontId="112" fillId="0" borderId="5" xfId="0" applyFont="1" applyBorder="1" applyAlignment="1">
      <alignment vertical="center"/>
    </xf>
    <xf numFmtId="3" fontId="112" fillId="0" borderId="5" xfId="0" applyNumberFormat="1" applyFont="1" applyBorder="1" applyAlignment="1">
      <alignment horizontal="center" vertical="center"/>
    </xf>
    <xf numFmtId="0" fontId="71" fillId="0" borderId="5" xfId="0" applyFont="1" applyBorder="1" applyAlignment="1">
      <alignment vertical="center"/>
    </xf>
    <xf numFmtId="0" fontId="71" fillId="0" borderId="5" xfId="0" applyFont="1" applyBorder="1" applyAlignment="1">
      <alignment horizontal="center" vertical="center" wrapText="1"/>
    </xf>
    <xf numFmtId="0" fontId="71" fillId="0" borderId="5" xfId="0" applyFont="1" applyBorder="1" applyAlignment="1">
      <alignment vertical="center" wrapText="1"/>
    </xf>
    <xf numFmtId="3" fontId="112" fillId="0" borderId="5" xfId="0" applyNumberFormat="1" applyFont="1" applyBorder="1" applyAlignment="1">
      <alignment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11" fillId="0" borderId="24" xfId="0" applyFont="1" applyBorder="1" applyAlignment="1">
      <alignment horizontal="center" vertical="center"/>
    </xf>
    <xf numFmtId="0" fontId="111" fillId="0" borderId="5" xfId="0" applyFont="1" applyBorder="1" applyAlignment="1">
      <alignment horizontal="center" vertical="center"/>
    </xf>
    <xf numFmtId="0" fontId="110" fillId="0" borderId="4" xfId="0" applyFont="1" applyBorder="1" applyAlignment="1">
      <alignment horizontal="center" vertical="center" wrapText="1"/>
    </xf>
    <xf numFmtId="0" fontId="110" fillId="0" borderId="5" xfId="0" applyFont="1" applyBorder="1" applyAlignment="1">
      <alignment horizontal="center" vertical="center" wrapText="1"/>
    </xf>
    <xf numFmtId="3" fontId="110" fillId="0" borderId="5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vertical="center" wrapText="1"/>
    </xf>
    <xf numFmtId="0" fontId="14" fillId="0" borderId="5" xfId="0" applyFont="1" applyBorder="1" applyAlignment="1">
      <alignment horizontal="left" vertical="center" wrapText="1" indent="3"/>
    </xf>
    <xf numFmtId="0" fontId="14" fillId="0" borderId="5" xfId="0" applyFont="1" applyBorder="1" applyAlignment="1">
      <alignment horizontal="left" vertical="center" wrapText="1" indent="4"/>
    </xf>
    <xf numFmtId="0" fontId="114" fillId="0" borderId="2" xfId="0" applyFont="1" applyBorder="1" applyAlignment="1">
      <alignment horizontal="center" vertical="center"/>
    </xf>
    <xf numFmtId="0" fontId="114" fillId="0" borderId="3" xfId="0" applyFont="1" applyBorder="1" applyAlignment="1">
      <alignment horizontal="center" vertical="center"/>
    </xf>
    <xf numFmtId="0" fontId="114" fillId="0" borderId="3" xfId="0" applyFont="1" applyBorder="1" applyAlignment="1">
      <alignment horizontal="center" vertical="center" wrapText="1"/>
    </xf>
    <xf numFmtId="0" fontId="115" fillId="0" borderId="3" xfId="0" applyFont="1" applyBorder="1" applyAlignment="1">
      <alignment horizontal="center" vertical="center" wrapText="1"/>
    </xf>
    <xf numFmtId="0" fontId="101" fillId="0" borderId="4" xfId="0" applyFont="1" applyBorder="1" applyAlignment="1">
      <alignment horizontal="center" vertical="center" wrapText="1"/>
    </xf>
    <xf numFmtId="0" fontId="113" fillId="0" borderId="5" xfId="0" applyFont="1" applyBorder="1" applyAlignment="1">
      <alignment horizontal="center" vertical="center" wrapText="1"/>
    </xf>
    <xf numFmtId="0" fontId="113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1" fontId="0" fillId="0" borderId="19" xfId="0" applyNumberFormat="1" applyBorder="1"/>
    <xf numFmtId="185" fontId="0" fillId="0" borderId="0" xfId="0" applyNumberFormat="1"/>
    <xf numFmtId="0" fontId="20" fillId="0" borderId="0" xfId="2" applyFont="1" applyBorder="1"/>
    <xf numFmtId="0" fontId="20" fillId="0" borderId="0" xfId="2" applyFont="1"/>
    <xf numFmtId="43" fontId="1" fillId="7" borderId="1" xfId="0" applyNumberFormat="1" applyFont="1" applyFill="1" applyBorder="1"/>
    <xf numFmtId="0" fontId="0" fillId="7" borderId="1" xfId="0" applyFill="1" applyBorder="1"/>
    <xf numFmtId="43" fontId="50" fillId="7" borderId="1" xfId="0" applyNumberFormat="1" applyFont="1" applyFill="1" applyBorder="1"/>
    <xf numFmtId="0" fontId="50" fillId="7" borderId="1" xfId="0" applyFont="1" applyFill="1" applyBorder="1"/>
    <xf numFmtId="0" fontId="20" fillId="7" borderId="1" xfId="0" applyFont="1" applyFill="1" applyBorder="1"/>
    <xf numFmtId="0" fontId="20" fillId="7" borderId="1" xfId="0" applyFont="1" applyFill="1" applyBorder="1" applyAlignment="1">
      <alignment horizontal="center"/>
    </xf>
    <xf numFmtId="164" fontId="2" fillId="7" borderId="1" xfId="3" applyNumberFormat="1" applyFont="1" applyFill="1" applyBorder="1"/>
    <xf numFmtId="43" fontId="0" fillId="7" borderId="1" xfId="0" applyNumberFormat="1" applyFill="1" applyBorder="1"/>
    <xf numFmtId="0" fontId="20" fillId="7" borderId="1" xfId="0" applyFont="1" applyFill="1" applyBorder="1" applyAlignment="1">
      <alignment vertical="center"/>
    </xf>
    <xf numFmtId="164" fontId="20" fillId="7" borderId="1" xfId="3" applyNumberFormat="1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 vertical="center"/>
    </xf>
    <xf numFmtId="164" fontId="20" fillId="7" borderId="1" xfId="3" applyNumberFormat="1" applyFont="1" applyFill="1" applyBorder="1" applyAlignment="1">
      <alignment horizontal="center" vertical="center"/>
    </xf>
    <xf numFmtId="43" fontId="50" fillId="7" borderId="1" xfId="0" applyNumberFormat="1" applyFont="1" applyFill="1" applyBorder="1" applyAlignment="1"/>
    <xf numFmtId="43" fontId="50" fillId="7" borderId="34" xfId="0" applyNumberFormat="1" applyFont="1" applyFill="1" applyBorder="1" applyAlignment="1"/>
    <xf numFmtId="0" fontId="45" fillId="0" borderId="0" xfId="0" applyFont="1"/>
    <xf numFmtId="0" fontId="36" fillId="0" borderId="0" xfId="0" applyFont="1"/>
    <xf numFmtId="0" fontId="45" fillId="17" borderId="1" xfId="0" applyFont="1" applyFill="1" applyBorder="1" applyAlignment="1">
      <alignment horizontal="center"/>
    </xf>
    <xf numFmtId="43" fontId="45" fillId="0" borderId="1" xfId="0" applyNumberFormat="1" applyFont="1" applyBorder="1"/>
    <xf numFmtId="0" fontId="36" fillId="0" borderId="1" xfId="0" applyFont="1" applyBorder="1"/>
    <xf numFmtId="0" fontId="36" fillId="0" borderId="1" xfId="0" applyFont="1" applyBorder="1" applyAlignment="1">
      <alignment vertical="center"/>
    </xf>
    <xf numFmtId="0" fontId="45" fillId="0" borderId="1" xfId="0" applyFont="1" applyBorder="1" applyAlignment="1">
      <alignment horizontal="left" wrapText="1"/>
    </xf>
    <xf numFmtId="43" fontId="45" fillId="0" borderId="1" xfId="3" applyFont="1" applyBorder="1"/>
    <xf numFmtId="43" fontId="36" fillId="0" borderId="1" xfId="3" applyFont="1" applyBorder="1"/>
    <xf numFmtId="0" fontId="45" fillId="0" borderId="1" xfId="0" applyFont="1" applyBorder="1" applyAlignment="1">
      <alignment horizontal="left" vertical="center" wrapText="1"/>
    </xf>
    <xf numFmtId="43" fontId="45" fillId="0" borderId="1" xfId="3" applyFont="1" applyBorder="1" applyAlignment="1">
      <alignment vertical="center"/>
    </xf>
    <xf numFmtId="0" fontId="36" fillId="0" borderId="0" xfId="0" applyFont="1" applyAlignment="1">
      <alignment vertical="center"/>
    </xf>
    <xf numFmtId="0" fontId="45" fillId="0" borderId="1" xfId="0" applyFont="1" applyBorder="1"/>
    <xf numFmtId="0" fontId="36" fillId="0" borderId="1" xfId="0" applyFont="1" applyBorder="1" applyAlignment="1">
      <alignment horizontal="center"/>
    </xf>
    <xf numFmtId="2" fontId="36" fillId="0" borderId="1" xfId="0" applyNumberFormat="1" applyFont="1" applyBorder="1" applyAlignment="1">
      <alignment horizontal="center"/>
    </xf>
    <xf numFmtId="0" fontId="45" fillId="17" borderId="1" xfId="0" applyFont="1" applyFill="1" applyBorder="1"/>
    <xf numFmtId="43" fontId="36" fillId="0" borderId="1" xfId="0" applyNumberFormat="1" applyFont="1" applyBorder="1"/>
    <xf numFmtId="171" fontId="36" fillId="0" borderId="1" xfId="3" applyNumberFormat="1" applyFont="1" applyBorder="1"/>
    <xf numFmtId="0" fontId="0" fillId="38" borderId="0" xfId="0" applyFill="1"/>
    <xf numFmtId="9" fontId="0" fillId="38" borderId="0" xfId="0" applyNumberFormat="1" applyFill="1"/>
    <xf numFmtId="167" fontId="66" fillId="0" borderId="0" xfId="2" applyNumberFormat="1" applyFont="1" applyAlignment="1">
      <alignment vertical="center"/>
    </xf>
    <xf numFmtId="0" fontId="50" fillId="40" borderId="27" xfId="0" applyFont="1" applyFill="1" applyBorder="1" applyAlignment="1">
      <alignment horizontal="centerContinuous" vertical="center" wrapText="1"/>
    </xf>
    <xf numFmtId="0" fontId="50" fillId="4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0" fillId="41" borderId="118" xfId="0" applyFont="1" applyFill="1" applyBorder="1" applyAlignment="1">
      <alignment horizontal="left" indent="2"/>
    </xf>
    <xf numFmtId="10" fontId="119" fillId="40" borderId="110" xfId="0" applyNumberFormat="1" applyFont="1" applyFill="1" applyBorder="1"/>
    <xf numFmtId="44" fontId="101" fillId="0" borderId="120" xfId="12" applyFont="1" applyFill="1" applyBorder="1"/>
    <xf numFmtId="0" fontId="101" fillId="40" borderId="110" xfId="0" applyFont="1" applyFill="1" applyBorder="1" applyAlignment="1">
      <alignment horizontal="right"/>
    </xf>
    <xf numFmtId="0" fontId="20" fillId="17" borderId="110" xfId="0" applyFont="1" applyFill="1" applyBorder="1" applyAlignment="1">
      <alignment horizontal="left" indent="3"/>
    </xf>
    <xf numFmtId="10" fontId="0" fillId="41" borderId="122" xfId="0" applyNumberFormat="1" applyFill="1" applyBorder="1"/>
    <xf numFmtId="44" fontId="101" fillId="40" borderId="111" xfId="0" applyNumberFormat="1" applyFont="1" applyFill="1" applyBorder="1" applyAlignment="1"/>
    <xf numFmtId="0" fontId="101" fillId="0" borderId="110" xfId="0" applyFont="1" applyBorder="1" applyAlignment="1">
      <alignment horizontal="right"/>
    </xf>
    <xf numFmtId="44" fontId="101" fillId="0" borderId="110" xfId="0" applyNumberFormat="1" applyFont="1" applyBorder="1"/>
    <xf numFmtId="10" fontId="0" fillId="41" borderId="110" xfId="0" applyNumberFormat="1" applyFill="1" applyBorder="1"/>
    <xf numFmtId="0" fontId="101" fillId="41" borderId="110" xfId="0" applyFont="1" applyFill="1" applyBorder="1" applyAlignment="1">
      <alignment horizontal="right"/>
    </xf>
    <xf numFmtId="0" fontId="20" fillId="41" borderId="110" xfId="0" applyFont="1" applyFill="1" applyBorder="1" applyAlignment="1">
      <alignment horizontal="left" indent="2"/>
    </xf>
    <xf numFmtId="44" fontId="101" fillId="0" borderId="120" xfId="0" applyNumberFormat="1" applyFont="1" applyBorder="1"/>
    <xf numFmtId="0" fontId="20" fillId="0" borderId="110" xfId="0" applyFont="1" applyBorder="1" applyAlignment="1"/>
    <xf numFmtId="10" fontId="0" fillId="40" borderId="111" xfId="1" applyNumberFormat="1" applyFont="1" applyFill="1" applyBorder="1"/>
    <xf numFmtId="44" fontId="101" fillId="0" borderId="120" xfId="12" applyFont="1" applyBorder="1"/>
    <xf numFmtId="44" fontId="101" fillId="0" borderId="110" xfId="12" applyFont="1" applyBorder="1"/>
    <xf numFmtId="0" fontId="20" fillId="0" borderId="110" xfId="0" applyFont="1" applyBorder="1"/>
    <xf numFmtId="44" fontId="101" fillId="0" borderId="0" xfId="12" applyFont="1" applyBorder="1"/>
    <xf numFmtId="0" fontId="8" fillId="40" borderId="110" xfId="0" applyFont="1" applyFill="1" applyBorder="1"/>
    <xf numFmtId="0" fontId="101" fillId="40" borderId="118" xfId="0" applyFont="1" applyFill="1" applyBorder="1"/>
    <xf numFmtId="44" fontId="8" fillId="0" borderId="123" xfId="12" applyFont="1" applyFill="1" applyBorder="1"/>
    <xf numFmtId="0" fontId="8" fillId="40" borderId="124" xfId="0" applyFont="1" applyFill="1" applyBorder="1" applyAlignment="1">
      <alignment horizontal="right"/>
    </xf>
    <xf numFmtId="43" fontId="8" fillId="0" borderId="123" xfId="0" applyNumberFormat="1" applyFont="1" applyFill="1" applyBorder="1"/>
    <xf numFmtId="0" fontId="50" fillId="40" borderId="1" xfId="0" applyFont="1" applyFill="1" applyBorder="1" applyAlignment="1">
      <alignment horizontal="right" vertical="center" wrapText="1"/>
    </xf>
    <xf numFmtId="0" fontId="20" fillId="40" borderId="118" xfId="0" applyFont="1" applyFill="1" applyBorder="1"/>
    <xf numFmtId="44" fontId="2" fillId="0" borderId="123" xfId="12" applyFont="1" applyBorder="1"/>
    <xf numFmtId="0" fontId="101" fillId="40" borderId="119" xfId="0" applyFont="1" applyFill="1" applyBorder="1" applyAlignment="1">
      <alignment horizontal="right"/>
    </xf>
    <xf numFmtId="0" fontId="20" fillId="40" borderId="110" xfId="0" applyFont="1" applyFill="1" applyBorder="1"/>
    <xf numFmtId="9" fontId="20" fillId="41" borderId="110" xfId="0" applyNumberFormat="1" applyFont="1" applyFill="1" applyBorder="1"/>
    <xf numFmtId="44" fontId="2" fillId="40" borderId="111" xfId="12" applyFont="1" applyFill="1" applyBorder="1" applyAlignment="1"/>
    <xf numFmtId="44" fontId="2" fillId="0" borderId="110" xfId="12" applyFont="1" applyBorder="1"/>
    <xf numFmtId="0" fontId="20" fillId="41" borderId="110" xfId="0" applyFont="1" applyFill="1" applyBorder="1"/>
    <xf numFmtId="44" fontId="2" fillId="40" borderId="125" xfId="12" applyFont="1" applyFill="1" applyBorder="1" applyAlignment="1"/>
    <xf numFmtId="44" fontId="2" fillId="40" borderId="122" xfId="12" applyFont="1" applyFill="1" applyBorder="1" applyAlignment="1"/>
    <xf numFmtId="0" fontId="2" fillId="0" borderId="110" xfId="0" applyFont="1" applyBorder="1"/>
    <xf numFmtId="0" fontId="8" fillId="40" borderId="27" xfId="0" applyFont="1" applyFill="1" applyBorder="1" applyAlignment="1">
      <alignment horizontal="center" vertical="center" wrapText="1"/>
    </xf>
    <xf numFmtId="0" fontId="8" fillId="40" borderId="34" xfId="0" applyFont="1" applyFill="1" applyBorder="1" applyAlignment="1">
      <alignment horizontal="center" vertical="center" wrapText="1"/>
    </xf>
    <xf numFmtId="0" fontId="121" fillId="0" borderId="0" xfId="14" applyFont="1" applyAlignment="1">
      <alignment horizontal="left"/>
    </xf>
    <xf numFmtId="0" fontId="40" fillId="11" borderId="133" xfId="13" applyFont="1" applyFill="1" applyBorder="1" applyAlignment="1">
      <alignment horizontal="center"/>
    </xf>
    <xf numFmtId="9" fontId="41" fillId="7" borderId="133" xfId="0" applyNumberFormat="1" applyFont="1" applyFill="1" applyBorder="1" applyAlignment="1">
      <alignment horizontal="center" vertical="center"/>
    </xf>
    <xf numFmtId="0" fontId="1" fillId="0" borderId="0" xfId="0" applyFont="1"/>
    <xf numFmtId="0" fontId="38" fillId="11" borderId="1" xfId="0" applyFont="1" applyFill="1" applyBorder="1" applyAlignment="1">
      <alignment horizontal="center"/>
    </xf>
    <xf numFmtId="0" fontId="40" fillId="0" borderId="1" xfId="0" applyFont="1" applyBorder="1"/>
    <xf numFmtId="4" fontId="40" fillId="0" borderId="1" xfId="0" applyNumberFormat="1" applyFont="1" applyBorder="1"/>
    <xf numFmtId="0" fontId="40" fillId="0" borderId="1" xfId="0" applyFont="1" applyBorder="1" applyAlignment="1">
      <alignment horizontal="center"/>
    </xf>
    <xf numFmtId="0" fontId="40" fillId="31" borderId="1" xfId="0" applyFont="1" applyFill="1" applyBorder="1" applyAlignment="1">
      <alignment horizontal="center"/>
    </xf>
    <xf numFmtId="4" fontId="40" fillId="31" borderId="1" xfId="0" applyNumberFormat="1" applyFont="1" applyFill="1" applyBorder="1"/>
    <xf numFmtId="10" fontId="40" fillId="31" borderId="1" xfId="1" applyNumberFormat="1" applyFont="1" applyFill="1" applyBorder="1"/>
    <xf numFmtId="0" fontId="122" fillId="0" borderId="0" xfId="0" applyFont="1" applyFill="1" applyBorder="1" applyAlignment="1">
      <alignment vertical="center" wrapText="1"/>
    </xf>
    <xf numFmtId="0" fontId="122" fillId="0" borderId="0" xfId="0" applyFont="1" applyFill="1" applyBorder="1" applyAlignment="1">
      <alignment wrapText="1"/>
    </xf>
    <xf numFmtId="0" fontId="118" fillId="0" borderId="0" xfId="0" applyFont="1" applyFill="1" applyBorder="1"/>
    <xf numFmtId="0" fontId="123" fillId="0" borderId="0" xfId="0" applyFont="1" applyFill="1" applyBorder="1" applyAlignment="1">
      <alignment horizontal="center"/>
    </xf>
    <xf numFmtId="0" fontId="123" fillId="0" borderId="0" xfId="0" applyFont="1" applyFill="1" applyBorder="1"/>
    <xf numFmtId="0" fontId="63" fillId="0" borderId="0" xfId="0" applyFont="1" applyFill="1" applyBorder="1"/>
    <xf numFmtId="0" fontId="124" fillId="0" borderId="0" xfId="0" applyFont="1" applyFill="1" applyBorder="1"/>
    <xf numFmtId="0" fontId="125" fillId="0" borderId="0" xfId="0" applyFont="1" applyFill="1" applyBorder="1"/>
    <xf numFmtId="0" fontId="125" fillId="0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left" vertical="center"/>
    </xf>
    <xf numFmtId="0" fontId="40" fillId="0" borderId="0" xfId="0" applyFont="1" applyBorder="1" applyAlignment="1">
      <alignment horizontal="center"/>
    </xf>
    <xf numFmtId="0" fontId="40" fillId="0" borderId="0" xfId="13" applyFont="1" applyFill="1" applyBorder="1" applyAlignment="1">
      <alignment horizontal="center"/>
    </xf>
    <xf numFmtId="9" fontId="0" fillId="0" borderId="0" xfId="0" applyNumberFormat="1"/>
    <xf numFmtId="4" fontId="40" fillId="0" borderId="1" xfId="0" applyNumberFormat="1" applyFont="1" applyFill="1" applyBorder="1"/>
    <xf numFmtId="0" fontId="40" fillId="17" borderId="1" xfId="0" applyFont="1" applyFill="1" applyBorder="1" applyAlignment="1">
      <alignment horizontal="center"/>
    </xf>
    <xf numFmtId="4" fontId="40" fillId="17" borderId="1" xfId="0" applyNumberFormat="1" applyFont="1" applyFill="1" applyBorder="1"/>
    <xf numFmtId="10" fontId="40" fillId="17" borderId="1" xfId="1" applyNumberFormat="1" applyFont="1" applyFill="1" applyBorder="1"/>
    <xf numFmtId="10" fontId="40" fillId="7" borderId="1" xfId="1" applyNumberFormat="1" applyFont="1" applyFill="1" applyBorder="1"/>
    <xf numFmtId="0" fontId="81" fillId="12" borderId="1" xfId="0" applyFont="1" applyFill="1" applyBorder="1" applyAlignment="1">
      <alignment horizontal="center" vertical="center" wrapText="1"/>
    </xf>
    <xf numFmtId="0" fontId="81" fillId="12" borderId="1" xfId="0" applyFont="1" applyFill="1" applyBorder="1" applyAlignment="1">
      <alignment horizontal="center" vertical="center"/>
    </xf>
    <xf numFmtId="165" fontId="126" fillId="0" borderId="1" xfId="1" applyNumberFormat="1" applyFont="1" applyFill="1" applyBorder="1" applyAlignment="1">
      <alignment horizontal="center" vertical="center" wrapText="1"/>
    </xf>
    <xf numFmtId="165" fontId="126" fillId="11" borderId="1" xfId="1" applyNumberFormat="1" applyFont="1" applyFill="1" applyBorder="1" applyAlignment="1">
      <alignment horizontal="center" vertical="center"/>
    </xf>
    <xf numFmtId="4" fontId="46" fillId="0" borderId="1" xfId="0" applyNumberFormat="1" applyFont="1" applyFill="1" applyBorder="1"/>
    <xf numFmtId="43" fontId="126" fillId="0" borderId="1" xfId="3" applyFont="1" applyFill="1" applyBorder="1" applyAlignment="1">
      <alignment horizontal="center" vertical="center"/>
    </xf>
    <xf numFmtId="10" fontId="126" fillId="0" borderId="1" xfId="1" applyNumberFormat="1" applyFont="1" applyFill="1" applyBorder="1" applyAlignment="1">
      <alignment horizontal="center" vertical="center"/>
    </xf>
    <xf numFmtId="2" fontId="126" fillId="0" borderId="1" xfId="0" applyNumberFormat="1" applyFont="1" applyFill="1" applyBorder="1" applyAlignment="1">
      <alignment horizontal="center" vertical="center"/>
    </xf>
    <xf numFmtId="165" fontId="81" fillId="31" borderId="1" xfId="1" applyNumberFormat="1" applyFont="1" applyFill="1" applyBorder="1" applyAlignment="1">
      <alignment horizontal="center" vertical="center" wrapText="1"/>
    </xf>
    <xf numFmtId="43" fontId="81" fillId="31" borderId="1" xfId="3" applyFont="1" applyFill="1" applyBorder="1" applyAlignment="1">
      <alignment horizontal="center" vertical="center"/>
    </xf>
    <xf numFmtId="4" fontId="38" fillId="31" borderId="1" xfId="0" applyNumberFormat="1" applyFont="1" applyFill="1" applyBorder="1"/>
    <xf numFmtId="10" fontId="81" fillId="31" borderId="1" xfId="1" applyNumberFormat="1" applyFont="1" applyFill="1" applyBorder="1" applyAlignment="1">
      <alignment horizontal="center" vertical="center"/>
    </xf>
    <xf numFmtId="2" fontId="81" fillId="31" borderId="1" xfId="0" applyNumberFormat="1" applyFont="1" applyFill="1" applyBorder="1" applyAlignment="1">
      <alignment horizontal="center" vertical="center"/>
    </xf>
    <xf numFmtId="4" fontId="46" fillId="0" borderId="1" xfId="0" applyNumberFormat="1" applyFont="1" applyBorder="1"/>
    <xf numFmtId="43" fontId="126" fillId="7" borderId="1" xfId="3" applyFont="1" applyFill="1" applyBorder="1" applyAlignment="1">
      <alignment horizontal="center" vertical="center"/>
    </xf>
    <xf numFmtId="43" fontId="101" fillId="41" borderId="110" xfId="3" applyFont="1" applyFill="1" applyBorder="1" applyAlignment="1">
      <alignment horizontal="right" vertical="center" wrapText="1"/>
    </xf>
    <xf numFmtId="10" fontId="101" fillId="41" borderId="110" xfId="0" applyNumberFormat="1" applyFont="1" applyFill="1" applyBorder="1" applyAlignment="1">
      <alignment horizontal="right" vertical="center" wrapText="1"/>
    </xf>
    <xf numFmtId="0" fontId="101" fillId="41" borderId="110" xfId="0" applyFont="1" applyFill="1" applyBorder="1" applyAlignment="1">
      <alignment horizontal="right" vertical="center" wrapText="1"/>
    </xf>
    <xf numFmtId="10" fontId="101" fillId="41" borderId="110" xfId="1" applyNumberFormat="1" applyFont="1" applyFill="1" applyBorder="1" applyAlignment="1">
      <alignment horizontal="right" vertical="center" wrapText="1"/>
    </xf>
    <xf numFmtId="166" fontId="101" fillId="41" borderId="110" xfId="0" applyNumberFormat="1" applyFont="1" applyFill="1" applyBorder="1" applyAlignment="1">
      <alignment horizontal="right" vertical="center" wrapText="1"/>
    </xf>
    <xf numFmtId="2" fontId="101" fillId="41" borderId="110" xfId="0" applyNumberFormat="1" applyFont="1" applyFill="1" applyBorder="1" applyAlignment="1">
      <alignment horizontal="right" vertical="center" wrapText="1"/>
    </xf>
    <xf numFmtId="0" fontId="24" fillId="7" borderId="0" xfId="0" applyFont="1" applyFill="1"/>
    <xf numFmtId="0" fontId="22" fillId="47" borderId="1" xfId="0" applyFont="1" applyFill="1" applyBorder="1"/>
    <xf numFmtId="0" fontId="27" fillId="48" borderId="1" xfId="0" applyFont="1" applyFill="1" applyBorder="1" applyAlignment="1">
      <alignment horizontal="left" vertical="center" wrapText="1"/>
    </xf>
    <xf numFmtId="0" fontId="24" fillId="0" borderId="1" xfId="0" applyFont="1" applyBorder="1"/>
    <xf numFmtId="0" fontId="24" fillId="32" borderId="1" xfId="0" applyFont="1" applyFill="1" applyBorder="1"/>
    <xf numFmtId="0" fontId="24" fillId="0" borderId="1" xfId="0" applyFont="1" applyFill="1" applyBorder="1"/>
    <xf numFmtId="0" fontId="87" fillId="0" borderId="5" xfId="0" applyFont="1" applyBorder="1" applyAlignment="1">
      <alignment horizontal="left" vertical="center" wrapText="1"/>
    </xf>
    <xf numFmtId="1" fontId="87" fillId="0" borderId="5" xfId="0" applyNumberFormat="1" applyFont="1" applyBorder="1" applyAlignment="1">
      <alignment horizontal="left" vertical="center" wrapText="1"/>
    </xf>
    <xf numFmtId="1" fontId="101" fillId="5" borderId="3" xfId="0" applyNumberFormat="1" applyFont="1" applyFill="1" applyBorder="1" applyAlignment="1">
      <alignment horizontal="center" vertical="center" wrapText="1"/>
    </xf>
    <xf numFmtId="0" fontId="87" fillId="0" borderId="33" xfId="0" applyFont="1" applyBorder="1" applyAlignment="1">
      <alignment horizontal="justify" vertical="center" wrapText="1"/>
    </xf>
    <xf numFmtId="0" fontId="78" fillId="0" borderId="0" xfId="10" applyFont="1" applyFill="1" applyBorder="1" applyAlignment="1">
      <alignment horizontal="left" vertical="center" wrapText="1"/>
    </xf>
    <xf numFmtId="0" fontId="78" fillId="0" borderId="27" xfId="10" applyFont="1" applyFill="1" applyBorder="1" applyAlignment="1">
      <alignment horizontal="center" vertical="center" wrapText="1"/>
    </xf>
    <xf numFmtId="0" fontId="78" fillId="0" borderId="52" xfId="10" applyFont="1" applyFill="1" applyBorder="1" applyAlignment="1">
      <alignment horizontal="center" vertical="center" wrapText="1"/>
    </xf>
    <xf numFmtId="0" fontId="78" fillId="0" borderId="34" xfId="10" applyFont="1" applyFill="1" applyBorder="1" applyAlignment="1">
      <alignment horizontal="center" vertical="center" wrapText="1"/>
    </xf>
    <xf numFmtId="0" fontId="78" fillId="24" borderId="1" xfId="10" applyFont="1" applyFill="1" applyBorder="1" applyAlignment="1">
      <alignment horizontal="center" vertical="center" wrapText="1"/>
    </xf>
    <xf numFmtId="0" fontId="81" fillId="24" borderId="1" xfId="0" applyFont="1" applyFill="1" applyBorder="1" applyAlignment="1">
      <alignment horizontal="center" vertical="center" wrapText="1"/>
    </xf>
    <xf numFmtId="9" fontId="81" fillId="24" borderId="1" xfId="0" applyNumberFormat="1" applyFont="1" applyFill="1" applyBorder="1" applyAlignment="1">
      <alignment horizontal="center" vertical="center" wrapText="1"/>
    </xf>
    <xf numFmtId="4" fontId="80" fillId="0" borderId="1" xfId="10" applyNumberFormat="1" applyFont="1" applyFill="1" applyBorder="1" applyAlignment="1">
      <alignment horizontal="center" vertical="center" wrapText="1"/>
    </xf>
    <xf numFmtId="0" fontId="106" fillId="0" borderId="54" xfId="0" applyFont="1" applyBorder="1" applyAlignment="1">
      <alignment horizontal="justify" vertical="center" wrapText="1"/>
    </xf>
    <xf numFmtId="0" fontId="67" fillId="11" borderId="13" xfId="2" applyFont="1" applyFill="1" applyBorder="1" applyAlignment="1">
      <alignment horizontal="center" vertical="center" wrapText="1"/>
    </xf>
    <xf numFmtId="0" fontId="67" fillId="11" borderId="14" xfId="2" applyFont="1" applyFill="1" applyBorder="1" applyAlignment="1">
      <alignment horizontal="center" vertical="center" wrapText="1"/>
    </xf>
    <xf numFmtId="0" fontId="67" fillId="11" borderId="15" xfId="2" applyFont="1" applyFill="1" applyBorder="1" applyAlignment="1">
      <alignment horizontal="center" vertical="center" wrapText="1"/>
    </xf>
    <xf numFmtId="0" fontId="111" fillId="0" borderId="18" xfId="14" applyFont="1" applyFill="1" applyBorder="1" applyAlignment="1">
      <alignment vertical="center" wrapText="1"/>
    </xf>
    <xf numFmtId="188" fontId="40" fillId="0" borderId="19" xfId="3" applyNumberFormat="1" applyFont="1" applyFill="1" applyBorder="1" applyAlignment="1">
      <alignment horizontal="right" vertical="center" wrapText="1"/>
    </xf>
    <xf numFmtId="188" fontId="40" fillId="0" borderId="20" xfId="3" applyNumberFormat="1" applyFont="1" applyFill="1" applyBorder="1" applyAlignment="1">
      <alignment horizontal="right" vertical="center" wrapText="1"/>
    </xf>
    <xf numFmtId="0" fontId="20" fillId="0" borderId="1" xfId="14" applyFont="1" applyFill="1" applyBorder="1" applyAlignment="1">
      <alignment horizontal="center" vertical="center" wrapText="1"/>
    </xf>
    <xf numFmtId="0" fontId="101" fillId="0" borderId="17" xfId="0" applyFont="1" applyFill="1" applyBorder="1" applyAlignment="1">
      <alignment horizontal="center" vertical="center"/>
    </xf>
    <xf numFmtId="0" fontId="101" fillId="0" borderId="1" xfId="14" applyFont="1" applyFill="1" applyBorder="1" applyAlignment="1">
      <alignment horizontal="center" vertical="center" wrapText="1"/>
    </xf>
    <xf numFmtId="0" fontId="20" fillId="0" borderId="18" xfId="14" applyFont="1" applyFill="1" applyBorder="1" applyAlignment="1">
      <alignment horizontal="left" vertical="center" wrapText="1"/>
    </xf>
    <xf numFmtId="0" fontId="101" fillId="0" borderId="19" xfId="14" applyFont="1" applyFill="1" applyBorder="1" applyAlignment="1">
      <alignment horizontal="center" vertical="center" wrapText="1"/>
    </xf>
    <xf numFmtId="0" fontId="101" fillId="0" borderId="19" xfId="0" applyFont="1" applyFill="1" applyBorder="1" applyAlignment="1">
      <alignment horizontal="center" vertical="center"/>
    </xf>
    <xf numFmtId="0" fontId="101" fillId="0" borderId="20" xfId="0" applyFont="1" applyFill="1" applyBorder="1" applyAlignment="1">
      <alignment horizontal="center" vertical="center"/>
    </xf>
    <xf numFmtId="1" fontId="0" fillId="0" borderId="1" xfId="0" applyNumberFormat="1" applyBorder="1"/>
    <xf numFmtId="0" fontId="20" fillId="0" borderId="0" xfId="14" applyFont="1" applyFill="1" applyBorder="1" applyAlignment="1">
      <alignment horizontal="left" vertical="center" wrapText="1"/>
    </xf>
    <xf numFmtId="0" fontId="101" fillId="0" borderId="0" xfId="14" applyFont="1" applyFill="1" applyBorder="1" applyAlignment="1">
      <alignment horizontal="center" vertical="center" wrapText="1"/>
    </xf>
    <xf numFmtId="0" fontId="20" fillId="0" borderId="0" xfId="2" applyFont="1" applyFill="1" applyBorder="1" applyAlignment="1">
      <alignment horizontal="center" vertical="center"/>
    </xf>
    <xf numFmtId="0" fontId="20" fillId="0" borderId="31" xfId="14" applyFont="1" applyFill="1" applyBorder="1" applyAlignment="1">
      <alignment horizontal="center" vertical="center" wrapText="1"/>
    </xf>
    <xf numFmtId="0" fontId="101" fillId="0" borderId="31" xfId="0" applyFont="1" applyFill="1" applyBorder="1" applyAlignment="1">
      <alignment horizontal="center" vertical="center"/>
    </xf>
    <xf numFmtId="0" fontId="101" fillId="0" borderId="134" xfId="0" applyFont="1" applyFill="1" applyBorder="1" applyAlignment="1">
      <alignment horizontal="center" vertical="center"/>
    </xf>
    <xf numFmtId="0" fontId="104" fillId="17" borderId="29" xfId="14" applyFont="1" applyFill="1" applyBorder="1" applyAlignment="1">
      <alignment horizontal="center" vertical="center"/>
    </xf>
    <xf numFmtId="0" fontId="104" fillId="17" borderId="135" xfId="14" applyFont="1" applyFill="1" applyBorder="1" applyAlignment="1">
      <alignment horizontal="center" vertical="center" wrapText="1"/>
    </xf>
    <xf numFmtId="0" fontId="104" fillId="17" borderId="30" xfId="14" applyFont="1" applyFill="1" applyBorder="1" applyAlignment="1">
      <alignment horizontal="center" vertical="center" wrapText="1"/>
    </xf>
    <xf numFmtId="0" fontId="20" fillId="0" borderId="31" xfId="2" applyFont="1" applyFill="1" applyBorder="1" applyAlignment="1">
      <alignment horizontal="center" vertical="center"/>
    </xf>
    <xf numFmtId="0" fontId="8" fillId="17" borderId="29" xfId="2" applyFont="1" applyFill="1" applyBorder="1" applyAlignment="1">
      <alignment horizontal="center" vertical="center" wrapText="1"/>
    </xf>
    <xf numFmtId="0" fontId="1" fillId="17" borderId="29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 wrapText="1"/>
    </xf>
    <xf numFmtId="0" fontId="1" fillId="17" borderId="14" xfId="0" applyFont="1" applyFill="1" applyBorder="1" applyAlignment="1">
      <alignment horizontal="center"/>
    </xf>
    <xf numFmtId="0" fontId="1" fillId="17" borderId="15" xfId="0" applyFont="1" applyFill="1" applyBorder="1" applyAlignment="1">
      <alignment horizontal="center"/>
    </xf>
    <xf numFmtId="0" fontId="48" fillId="49" borderId="0" xfId="14" applyFont="1" applyFill="1" applyAlignment="1">
      <alignment horizontal="left" vertical="center"/>
    </xf>
    <xf numFmtId="0" fontId="49" fillId="49" borderId="0" xfId="14" applyFont="1" applyFill="1" applyAlignment="1">
      <alignment vertical="center"/>
    </xf>
    <xf numFmtId="0" fontId="49" fillId="49" borderId="0" xfId="14" applyFont="1" applyFill="1" applyBorder="1" applyAlignment="1">
      <alignment horizontal="center" vertical="center" wrapText="1"/>
    </xf>
    <xf numFmtId="0" fontId="49" fillId="49" borderId="0" xfId="14" applyFont="1" applyFill="1" applyBorder="1" applyAlignment="1">
      <alignment vertical="center"/>
    </xf>
    <xf numFmtId="0" fontId="127" fillId="0" borderId="0" xfId="14" applyFont="1" applyBorder="1" applyAlignment="1">
      <alignment horizontal="center" vertical="center" wrapText="1"/>
    </xf>
    <xf numFmtId="0" fontId="127" fillId="0" borderId="0" xfId="14" applyFont="1" applyBorder="1" applyAlignment="1">
      <alignment vertical="center" wrapText="1"/>
    </xf>
    <xf numFmtId="0" fontId="20" fillId="0" borderId="0" xfId="14" applyFont="1" applyBorder="1" applyAlignment="1">
      <alignment vertical="top" wrapText="1"/>
    </xf>
    <xf numFmtId="0" fontId="20" fillId="0" borderId="0" xfId="14" applyFont="1" applyBorder="1" applyAlignment="1">
      <alignment horizontal="center" vertical="center" wrapText="1"/>
    </xf>
    <xf numFmtId="0" fontId="20" fillId="0" borderId="0" xfId="14" applyFont="1" applyBorder="1" applyAlignment="1">
      <alignment horizontal="center" vertical="top" wrapText="1"/>
    </xf>
    <xf numFmtId="3" fontId="101" fillId="0" borderId="1" xfId="14" applyNumberFormat="1" applyFont="1" applyFill="1" applyBorder="1" applyAlignment="1">
      <alignment horizontal="center" vertical="center" wrapText="1"/>
    </xf>
    <xf numFmtId="0" fontId="101" fillId="0" borderId="1" xfId="14" applyFont="1" applyFill="1" applyBorder="1" applyAlignment="1">
      <alignment vertical="center"/>
    </xf>
    <xf numFmtId="0" fontId="101" fillId="0" borderId="1" xfId="14" applyFont="1" applyFill="1" applyBorder="1" applyAlignment="1">
      <alignment horizontal="center" vertical="center"/>
    </xf>
    <xf numFmtId="0" fontId="1" fillId="0" borderId="13" xfId="14" applyFont="1" applyFill="1" applyBorder="1" applyAlignment="1">
      <alignment horizontal="center" vertical="center" wrapText="1"/>
    </xf>
    <xf numFmtId="0" fontId="1" fillId="0" borderId="14" xfId="14" applyFont="1" applyFill="1" applyBorder="1" applyAlignment="1">
      <alignment horizontal="center" vertical="center" wrapText="1"/>
    </xf>
    <xf numFmtId="0" fontId="1" fillId="0" borderId="14" xfId="14" applyFont="1" applyFill="1" applyBorder="1" applyAlignment="1">
      <alignment horizontal="center" vertical="center"/>
    </xf>
    <xf numFmtId="0" fontId="101" fillId="0" borderId="16" xfId="14" applyFont="1" applyFill="1" applyBorder="1" applyAlignment="1">
      <alignment horizontal="center" vertical="center" wrapText="1"/>
    </xf>
    <xf numFmtId="0" fontId="101" fillId="0" borderId="18" xfId="14" applyFont="1" applyFill="1" applyBorder="1" applyAlignment="1">
      <alignment horizontal="center" vertical="center" wrapText="1"/>
    </xf>
    <xf numFmtId="0" fontId="101" fillId="0" borderId="19" xfId="14" applyFont="1" applyFill="1" applyBorder="1" applyAlignment="1">
      <alignment horizontal="center" vertical="center"/>
    </xf>
    <xf numFmtId="0" fontId="128" fillId="0" borderId="0" xfId="14" applyFont="1" applyBorder="1" applyAlignment="1">
      <alignment horizontal="justify" vertical="top" wrapText="1"/>
    </xf>
    <xf numFmtId="0" fontId="48" fillId="49" borderId="0" xfId="14" applyFont="1" applyFill="1" applyAlignment="1">
      <alignment vertical="center"/>
    </xf>
    <xf numFmtId="0" fontId="48" fillId="0" borderId="0" xfId="14" applyFont="1" applyFill="1" applyAlignment="1">
      <alignment vertical="center"/>
    </xf>
    <xf numFmtId="0" fontId="50" fillId="0" borderId="1" xfId="14" applyFont="1" applyFill="1" applyBorder="1" applyAlignment="1">
      <alignment horizontal="center" vertical="center"/>
    </xf>
    <xf numFmtId="0" fontId="20" fillId="0" borderId="1" xfId="14" applyFont="1" applyFill="1" applyBorder="1" applyAlignment="1">
      <alignment horizontal="left" vertical="center" wrapText="1"/>
    </xf>
    <xf numFmtId="0" fontId="101" fillId="0" borderId="1" xfId="14" applyFont="1" applyFill="1" applyBorder="1" applyAlignment="1">
      <alignment horizontal="left" vertical="center" wrapText="1"/>
    </xf>
    <xf numFmtId="0" fontId="20" fillId="0" borderId="19" xfId="14" applyFont="1" applyFill="1" applyBorder="1" applyAlignment="1">
      <alignment horizontal="left" vertical="center" wrapText="1"/>
    </xf>
    <xf numFmtId="0" fontId="48" fillId="49" borderId="0" xfId="14" applyFont="1" applyFill="1" applyBorder="1" applyAlignment="1">
      <alignment horizontal="left" vertical="center"/>
    </xf>
    <xf numFmtId="0" fontId="49" fillId="49" borderId="0" xfId="14" applyFont="1" applyFill="1" applyBorder="1" applyAlignment="1">
      <alignment vertical="center" wrapText="1"/>
    </xf>
    <xf numFmtId="0" fontId="101" fillId="0" borderId="17" xfId="14" applyFont="1" applyFill="1" applyBorder="1" applyAlignment="1">
      <alignment horizontal="center" vertical="center"/>
    </xf>
    <xf numFmtId="0" fontId="8" fillId="0" borderId="1" xfId="14" applyFont="1" applyFill="1" applyBorder="1" applyAlignment="1">
      <alignment horizontal="center" vertical="center" wrapText="1"/>
    </xf>
    <xf numFmtId="0" fontId="8" fillId="0" borderId="1" xfId="14" applyFont="1" applyFill="1" applyBorder="1" applyAlignment="1">
      <alignment horizontal="center" vertical="center"/>
    </xf>
    <xf numFmtId="0" fontId="8" fillId="0" borderId="17" xfId="14" applyFont="1" applyFill="1" applyBorder="1" applyAlignment="1">
      <alignment horizontal="center" vertical="center"/>
    </xf>
    <xf numFmtId="0" fontId="101" fillId="0" borderId="1" xfId="14" applyFont="1" applyFill="1" applyBorder="1" applyAlignment="1">
      <alignment horizontal="center" vertical="center"/>
    </xf>
    <xf numFmtId="0" fontId="101" fillId="0" borderId="20" xfId="14" applyFont="1" applyFill="1" applyBorder="1" applyAlignment="1">
      <alignment horizontal="center" vertical="center"/>
    </xf>
    <xf numFmtId="0" fontId="130" fillId="0" borderId="1" xfId="0" applyFont="1" applyFill="1" applyBorder="1"/>
    <xf numFmtId="2" fontId="20" fillId="0" borderId="1" xfId="10" applyNumberFormat="1" applyFont="1" applyFill="1" applyBorder="1" applyAlignment="1">
      <alignment horizontal="center" vertical="center" wrapText="1"/>
    </xf>
    <xf numFmtId="44" fontId="80" fillId="0" borderId="1" xfId="12" applyFont="1" applyFill="1" applyBorder="1" applyAlignment="1">
      <alignment horizontal="center" vertical="center" wrapText="1"/>
    </xf>
    <xf numFmtId="44" fontId="131" fillId="9" borderId="0" xfId="14" applyNumberFormat="1" applyFont="1" applyFill="1"/>
    <xf numFmtId="44" fontId="20" fillId="0" borderId="0" xfId="10" applyNumberFormat="1" applyFont="1" applyFill="1" applyAlignment="1">
      <alignment wrapText="1"/>
    </xf>
    <xf numFmtId="44" fontId="0" fillId="0" borderId="0" xfId="0" applyNumberFormat="1" applyAlignment="1">
      <alignment wrapText="1"/>
    </xf>
    <xf numFmtId="166" fontId="0" fillId="0" borderId="0" xfId="0" applyNumberFormat="1"/>
    <xf numFmtId="39" fontId="50" fillId="12" borderId="95" xfId="0" applyNumberFormat="1" applyFont="1" applyFill="1" applyBorder="1" applyAlignment="1" applyProtection="1">
      <alignment horizontal="center" wrapText="1"/>
    </xf>
    <xf numFmtId="39" fontId="20" fillId="5" borderId="1" xfId="0" applyNumberFormat="1" applyFont="1" applyFill="1" applyBorder="1" applyAlignment="1" applyProtection="1">
      <alignment horizontal="center" vertical="center"/>
    </xf>
    <xf numFmtId="183" fontId="20" fillId="5" borderId="1" xfId="0" applyNumberFormat="1" applyFont="1" applyFill="1" applyBorder="1" applyAlignment="1" applyProtection="1">
      <alignment horizontal="center"/>
    </xf>
    <xf numFmtId="182" fontId="80" fillId="5" borderId="1" xfId="0" applyNumberFormat="1" applyFont="1" applyFill="1" applyBorder="1" applyAlignment="1" applyProtection="1">
      <alignment horizontal="center"/>
    </xf>
    <xf numFmtId="4" fontId="22" fillId="12" borderId="27" xfId="0" applyNumberFormat="1" applyFont="1" applyFill="1" applyBorder="1" applyAlignment="1" applyProtection="1">
      <alignment horizontal="center"/>
    </xf>
    <xf numFmtId="0" fontId="63" fillId="0" borderId="0" xfId="0" applyFont="1" applyFill="1" applyBorder="1" applyAlignment="1">
      <alignment horizontal="center"/>
    </xf>
    <xf numFmtId="0" fontId="27" fillId="11" borderId="1" xfId="0" applyNumberFormat="1" applyFont="1" applyFill="1" applyBorder="1" applyAlignment="1">
      <alignment horizontal="center" vertical="center" wrapText="1"/>
    </xf>
    <xf numFmtId="0" fontId="27" fillId="7" borderId="1" xfId="0" applyNumberFormat="1" applyFont="1" applyFill="1" applyBorder="1" applyAlignment="1">
      <alignment horizontal="center" vertical="center" wrapText="1"/>
    </xf>
    <xf numFmtId="0" fontId="24" fillId="7" borderId="1" xfId="0" applyNumberFormat="1" applyFont="1" applyFill="1" applyBorder="1" applyAlignment="1">
      <alignment horizontal="left" vertical="center" wrapText="1"/>
    </xf>
    <xf numFmtId="4" fontId="24" fillId="7" borderId="1" xfId="0" applyNumberFormat="1" applyFont="1" applyFill="1" applyBorder="1" applyAlignment="1">
      <alignment horizontal="center" vertical="center" wrapText="1"/>
    </xf>
    <xf numFmtId="0" fontId="36" fillId="0" borderId="1" xfId="0" applyFont="1" applyFill="1" applyBorder="1"/>
    <xf numFmtId="4" fontId="27" fillId="7" borderId="1" xfId="0" applyNumberFormat="1" applyFont="1" applyFill="1" applyBorder="1" applyAlignment="1">
      <alignment horizontal="center" vertical="center" wrapText="1"/>
    </xf>
    <xf numFmtId="2" fontId="27" fillId="7" borderId="1" xfId="0" applyNumberFormat="1" applyFont="1" applyFill="1" applyBorder="1" applyAlignment="1">
      <alignment horizontal="center" vertical="center" wrapText="1"/>
    </xf>
    <xf numFmtId="4" fontId="24" fillId="7" borderId="1" xfId="0" applyNumberFormat="1" applyFont="1" applyFill="1" applyBorder="1" applyAlignment="1">
      <alignment horizontal="center" vertical="center"/>
    </xf>
    <xf numFmtId="4" fontId="27" fillId="7" borderId="1" xfId="0" applyNumberFormat="1" applyFont="1" applyFill="1" applyBorder="1" applyAlignment="1">
      <alignment vertical="center"/>
    </xf>
    <xf numFmtId="4" fontId="27" fillId="7" borderId="1" xfId="0" applyNumberFormat="1" applyFont="1" applyFill="1" applyBorder="1" applyAlignment="1">
      <alignment horizontal="center" vertical="center"/>
    </xf>
    <xf numFmtId="0" fontId="132" fillId="0" borderId="0" xfId="0" applyFont="1" applyFill="1" applyBorder="1"/>
    <xf numFmtId="0" fontId="27" fillId="11" borderId="133" xfId="0" applyFont="1" applyFill="1" applyBorder="1" applyAlignment="1">
      <alignment horizontal="center" vertical="center"/>
    </xf>
    <xf numFmtId="3" fontId="24" fillId="0" borderId="133" xfId="0" applyNumberFormat="1" applyFont="1" applyFill="1" applyBorder="1" applyAlignment="1">
      <alignment horizontal="center"/>
    </xf>
    <xf numFmtId="0" fontId="24" fillId="11" borderId="133" xfId="13" applyFont="1" applyFill="1" applyBorder="1" applyAlignment="1">
      <alignment horizontal="center"/>
    </xf>
    <xf numFmtId="9" fontId="23" fillId="7" borderId="133" xfId="0" applyNumberFormat="1" applyFont="1" applyFill="1" applyBorder="1" applyAlignment="1">
      <alignment horizontal="center" vertical="center"/>
    </xf>
    <xf numFmtId="0" fontId="27" fillId="0" borderId="0" xfId="0" applyFont="1"/>
    <xf numFmtId="0" fontId="22" fillId="11" borderId="133" xfId="0" applyFont="1" applyFill="1" applyBorder="1" applyAlignment="1">
      <alignment horizontal="center" vertical="center"/>
    </xf>
    <xf numFmtId="187" fontId="23" fillId="0" borderId="133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9" fontId="24" fillId="0" borderId="133" xfId="0" applyNumberFormat="1" applyFont="1" applyFill="1" applyBorder="1" applyAlignment="1">
      <alignment horizontal="center"/>
    </xf>
    <xf numFmtId="0" fontId="50" fillId="7" borderId="1" xfId="0" applyFont="1" applyFill="1" applyBorder="1" applyAlignment="1">
      <alignment horizontal="center" vertical="center"/>
    </xf>
    <xf numFmtId="0" fontId="50" fillId="7" borderId="1" xfId="0" applyFont="1" applyFill="1" applyBorder="1" applyAlignment="1">
      <alignment horizontal="center" vertical="center" wrapText="1"/>
    </xf>
    <xf numFmtId="0" fontId="105" fillId="7" borderId="110" xfId="2" applyFont="1" applyFill="1" applyBorder="1" applyAlignment="1">
      <alignment horizontal="left" vertical="center" wrapText="1" indent="1"/>
    </xf>
    <xf numFmtId="44" fontId="105" fillId="7" borderId="110" xfId="12" applyFont="1" applyFill="1" applyBorder="1" applyAlignment="1">
      <alignment horizontal="center" vertical="center" wrapText="1"/>
    </xf>
    <xf numFmtId="0" fontId="87" fillId="7" borderId="110" xfId="2" applyFont="1" applyFill="1" applyBorder="1" applyAlignment="1">
      <alignment horizontal="left" vertical="center" wrapText="1" indent="1"/>
    </xf>
    <xf numFmtId="44" fontId="87" fillId="7" borderId="110" xfId="12" applyFont="1" applyFill="1" applyBorder="1" applyAlignment="1">
      <alignment horizontal="center" vertical="center" wrapText="1"/>
    </xf>
    <xf numFmtId="44" fontId="105" fillId="7" borderId="110" xfId="2" applyNumberFormat="1" applyFont="1" applyFill="1" applyBorder="1" applyAlignment="1">
      <alignment horizontal="center" vertical="center" wrapText="1"/>
    </xf>
    <xf numFmtId="0" fontId="87" fillId="7" borderId="113" xfId="2" applyFont="1" applyFill="1" applyBorder="1" applyAlignment="1">
      <alignment horizontal="left" vertical="center" wrapText="1" indent="1"/>
    </xf>
    <xf numFmtId="44" fontId="87" fillId="7" borderId="113" xfId="2" applyNumberFormat="1" applyFont="1" applyFill="1" applyBorder="1" applyAlignment="1">
      <alignment horizontal="center" vertical="center" wrapText="1"/>
    </xf>
    <xf numFmtId="44" fontId="87" fillId="7" borderId="114" xfId="2" applyNumberFormat="1" applyFont="1" applyFill="1" applyBorder="1" applyAlignment="1">
      <alignment horizontal="center" vertical="center" wrapText="1"/>
    </xf>
    <xf numFmtId="0" fontId="87" fillId="7" borderId="116" xfId="2" applyFont="1" applyFill="1" applyBorder="1" applyAlignment="1">
      <alignment horizontal="left" vertical="center" wrapText="1" indent="1"/>
    </xf>
    <xf numFmtId="44" fontId="87" fillId="7" borderId="116" xfId="2" applyNumberFormat="1" applyFont="1" applyFill="1" applyBorder="1" applyAlignment="1">
      <alignment horizontal="center" vertical="center" wrapText="1"/>
    </xf>
    <xf numFmtId="44" fontId="87" fillId="7" borderId="117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1" fillId="0" borderId="1" xfId="14" applyFont="1" applyFill="1" applyBorder="1" applyAlignment="1">
      <alignment horizontal="center"/>
    </xf>
    <xf numFmtId="170" fontId="101" fillId="0" borderId="1" xfId="3" applyNumberFormat="1" applyFont="1" applyFill="1" applyBorder="1" applyAlignment="1">
      <alignment horizontal="center" vertical="center" wrapText="1"/>
    </xf>
    <xf numFmtId="0" fontId="101" fillId="0" borderId="17" xfId="14" applyFont="1" applyFill="1" applyBorder="1" applyAlignment="1">
      <alignment horizontal="center" vertical="center" wrapText="1"/>
    </xf>
    <xf numFmtId="170" fontId="101" fillId="0" borderId="1" xfId="14" applyNumberFormat="1" applyFont="1" applyFill="1" applyBorder="1" applyAlignment="1">
      <alignment horizontal="center" vertical="center" wrapText="1"/>
    </xf>
    <xf numFmtId="0" fontId="20" fillId="0" borderId="19" xfId="14" applyFont="1" applyFill="1" applyBorder="1" applyAlignment="1">
      <alignment horizontal="center" vertical="center" wrapText="1"/>
    </xf>
    <xf numFmtId="44" fontId="20" fillId="0" borderId="19" xfId="12" applyFont="1" applyFill="1" applyBorder="1" applyAlignment="1">
      <alignment horizontal="center" vertical="center" wrapText="1"/>
    </xf>
    <xf numFmtId="43" fontId="20" fillId="0" borderId="19" xfId="3" applyFont="1" applyFill="1" applyBorder="1" applyAlignment="1">
      <alignment horizontal="center" vertical="center" wrapText="1"/>
    </xf>
    <xf numFmtId="0" fontId="105" fillId="17" borderId="1" xfId="14" applyFont="1" applyFill="1" applyBorder="1" applyAlignment="1">
      <alignment horizontal="center" vertical="center" wrapText="1"/>
    </xf>
    <xf numFmtId="0" fontId="105" fillId="17" borderId="17" xfId="14" applyFont="1" applyFill="1" applyBorder="1" applyAlignment="1">
      <alignment horizontal="center" vertical="center" wrapText="1"/>
    </xf>
    <xf numFmtId="44" fontId="20" fillId="0" borderId="25" xfId="2" applyNumberFormat="1" applyFont="1" applyBorder="1"/>
    <xf numFmtId="44" fontId="20" fillId="0" borderId="3" xfId="2" applyNumberFormat="1" applyFont="1" applyBorder="1"/>
    <xf numFmtId="0" fontId="105" fillId="7" borderId="113" xfId="2" applyFont="1" applyFill="1" applyBorder="1" applyAlignment="1">
      <alignment horizontal="left" vertical="center" wrapText="1" indent="1"/>
    </xf>
    <xf numFmtId="44" fontId="105" fillId="7" borderId="113" xfId="12" applyFont="1" applyFill="1" applyBorder="1" applyAlignment="1">
      <alignment horizontal="center" vertical="center" wrapText="1"/>
    </xf>
    <xf numFmtId="44" fontId="105" fillId="7" borderId="114" xfId="12" applyFont="1" applyFill="1" applyBorder="1" applyAlignment="1">
      <alignment horizontal="center" vertical="center" wrapText="1"/>
    </xf>
    <xf numFmtId="44" fontId="87" fillId="7" borderId="144" xfId="12" applyFont="1" applyFill="1" applyBorder="1" applyAlignment="1">
      <alignment horizontal="center" vertical="center" wrapText="1"/>
    </xf>
    <xf numFmtId="44" fontId="105" fillId="7" borderId="144" xfId="12" applyFont="1" applyFill="1" applyBorder="1" applyAlignment="1">
      <alignment horizontal="center" vertical="center" wrapText="1"/>
    </xf>
    <xf numFmtId="44" fontId="105" fillId="7" borderId="144" xfId="2" applyNumberFormat="1" applyFont="1" applyFill="1" applyBorder="1" applyAlignment="1">
      <alignment horizontal="center" vertical="center" wrapText="1"/>
    </xf>
    <xf numFmtId="44" fontId="87" fillId="7" borderId="116" xfId="12" applyFont="1" applyFill="1" applyBorder="1" applyAlignment="1">
      <alignment horizontal="center" vertical="center" wrapText="1"/>
    </xf>
    <xf numFmtId="44" fontId="87" fillId="7" borderId="117" xfId="12" applyFont="1" applyFill="1" applyBorder="1" applyAlignment="1">
      <alignment horizontal="center" vertical="center" wrapText="1"/>
    </xf>
    <xf numFmtId="44" fontId="0" fillId="0" borderId="0" xfId="0" applyNumberFormat="1" applyFill="1"/>
    <xf numFmtId="0" fontId="101" fillId="0" borderId="1" xfId="14" applyFont="1" applyFill="1" applyBorder="1"/>
    <xf numFmtId="0" fontId="2" fillId="0" borderId="1" xfId="0" applyFont="1" applyFill="1" applyBorder="1"/>
    <xf numFmtId="44" fontId="101" fillId="0" borderId="1" xfId="14" applyNumberFormat="1" applyFont="1" applyFill="1" applyBorder="1"/>
    <xf numFmtId="44" fontId="101" fillId="0" borderId="1" xfId="14" applyNumberFormat="1" applyFont="1" applyFill="1" applyBorder="1" applyAlignment="1">
      <alignment horizontal="center" vertical="center"/>
    </xf>
    <xf numFmtId="44" fontId="2" fillId="0" borderId="1" xfId="0" applyNumberFormat="1" applyFont="1" applyFill="1" applyBorder="1"/>
    <xf numFmtId="189" fontId="101" fillId="0" borderId="1" xfId="14" applyNumberFormat="1" applyFont="1" applyFill="1" applyBorder="1" applyAlignment="1">
      <alignment horizontal="center" vertical="center"/>
    </xf>
    <xf numFmtId="186" fontId="101" fillId="0" borderId="1" xfId="14" applyNumberFormat="1" applyFont="1" applyFill="1" applyBorder="1"/>
    <xf numFmtId="186" fontId="101" fillId="0" borderId="1" xfId="14" applyNumberFormat="1" applyFont="1" applyFill="1" applyBorder="1" applyAlignment="1">
      <alignment horizontal="center" vertical="center"/>
    </xf>
    <xf numFmtId="43" fontId="101" fillId="0" borderId="1" xfId="14" applyNumberFormat="1" applyFont="1" applyFill="1" applyBorder="1"/>
    <xf numFmtId="44" fontId="101" fillId="0" borderId="1" xfId="12" applyFont="1" applyFill="1" applyBorder="1" applyAlignment="1">
      <alignment vertical="center"/>
    </xf>
    <xf numFmtId="44" fontId="0" fillId="0" borderId="1" xfId="0" applyNumberFormat="1" applyFont="1" applyFill="1" applyBorder="1"/>
    <xf numFmtId="44" fontId="0" fillId="0" borderId="0" xfId="0" applyNumberFormat="1" applyFont="1"/>
    <xf numFmtId="0" fontId="50" fillId="40" borderId="1" xfId="14" applyFont="1" applyFill="1" applyBorder="1" applyAlignment="1">
      <alignment horizontal="center" vertical="center"/>
    </xf>
    <xf numFmtId="0" fontId="50" fillId="40" borderId="1" xfId="14" applyFont="1" applyFill="1" applyBorder="1" applyAlignment="1">
      <alignment horizontal="center" vertical="center" wrapText="1"/>
    </xf>
    <xf numFmtId="44" fontId="101" fillId="0" borderId="1" xfId="14" applyNumberFormat="1" applyFont="1" applyFill="1" applyBorder="1" applyAlignment="1">
      <alignment vertical="center"/>
    </xf>
    <xf numFmtId="44" fontId="101" fillId="34" borderId="139" xfId="14" applyNumberFormat="1" applyFont="1" applyFill="1" applyBorder="1" applyAlignment="1"/>
    <xf numFmtId="44" fontId="101" fillId="34" borderId="121" xfId="14" applyNumberFormat="1" applyFont="1" applyFill="1" applyBorder="1" applyAlignment="1"/>
    <xf numFmtId="0" fontId="8" fillId="40" borderId="1" xfId="14" applyFont="1" applyFill="1" applyBorder="1" applyAlignment="1">
      <alignment vertical="center" wrapText="1"/>
    </xf>
    <xf numFmtId="0" fontId="8" fillId="40" borderId="1" xfId="14" applyFont="1" applyFill="1" applyBorder="1" applyAlignment="1">
      <alignment horizontal="center" vertical="center" wrapText="1"/>
    </xf>
    <xf numFmtId="9" fontId="101" fillId="0" borderId="1" xfId="1" applyFont="1" applyFill="1" applyBorder="1" applyAlignment="1">
      <alignment horizontal="center" vertical="center"/>
    </xf>
    <xf numFmtId="10" fontId="101" fillId="0" borderId="1" xfId="14" applyNumberFormat="1" applyFont="1" applyFill="1" applyBorder="1" applyAlignment="1">
      <alignment horizontal="center" vertical="center"/>
    </xf>
    <xf numFmtId="188" fontId="101" fillId="0" borderId="1" xfId="3" applyNumberFormat="1" applyFont="1" applyFill="1" applyBorder="1" applyAlignment="1">
      <alignment horizontal="center" vertical="center"/>
    </xf>
    <xf numFmtId="190" fontId="101" fillId="0" borderId="1" xfId="3" applyNumberFormat="1" applyFont="1" applyFill="1" applyBorder="1" applyAlignment="1">
      <alignment horizontal="center" vertical="center"/>
    </xf>
    <xf numFmtId="164" fontId="101" fillId="0" borderId="1" xfId="3" applyNumberFormat="1" applyFont="1" applyFill="1" applyBorder="1" applyAlignment="1">
      <alignment horizontal="center" vertical="center"/>
    </xf>
    <xf numFmtId="0" fontId="27" fillId="7" borderId="1" xfId="0" applyNumberFormat="1" applyFont="1" applyFill="1" applyBorder="1" applyAlignment="1">
      <alignment horizontal="left" vertical="center" wrapText="1"/>
    </xf>
    <xf numFmtId="0" fontId="27" fillId="7" borderId="1" xfId="0" applyFont="1" applyFill="1" applyBorder="1" applyAlignment="1">
      <alignment horizontal="left" vertical="center"/>
    </xf>
    <xf numFmtId="0" fontId="50" fillId="7" borderId="26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0" fontId="76" fillId="7" borderId="0" xfId="0" applyFont="1" applyFill="1" applyAlignment="1">
      <alignment horizontal="left"/>
    </xf>
    <xf numFmtId="10" fontId="76" fillId="7" borderId="0" xfId="0" applyNumberFormat="1" applyFont="1" applyFill="1" applyAlignment="1">
      <alignment horizontal="right"/>
    </xf>
    <xf numFmtId="2" fontId="85" fillId="7" borderId="0" xfId="0" applyNumberFormat="1" applyFont="1" applyFill="1"/>
    <xf numFmtId="0" fontId="76" fillId="19" borderId="31" xfId="0" applyFont="1" applyFill="1" applyBorder="1" applyAlignment="1">
      <alignment horizontal="justify" vertical="center"/>
    </xf>
    <xf numFmtId="4" fontId="76" fillId="19" borderId="31" xfId="0" applyNumberFormat="1" applyFont="1" applyFill="1" applyBorder="1" applyAlignment="1">
      <alignment horizontal="right" vertical="center"/>
    </xf>
    <xf numFmtId="0" fontId="85" fillId="0" borderId="1" xfId="0" applyFont="1" applyBorder="1" applyAlignment="1">
      <alignment horizontal="left"/>
    </xf>
    <xf numFmtId="4" fontId="85" fillId="0" borderId="1" xfId="0" applyNumberFormat="1" applyFont="1" applyBorder="1" applyAlignment="1">
      <alignment horizontal="right"/>
    </xf>
    <xf numFmtId="0" fontId="85" fillId="0" borderId="1" xfId="0" applyFont="1" applyBorder="1" applyAlignment="1">
      <alignment horizontal="right"/>
    </xf>
    <xf numFmtId="4" fontId="135" fillId="0" borderId="1" xfId="0" applyNumberFormat="1" applyFont="1" applyBorder="1" applyAlignment="1">
      <alignment horizontal="right"/>
    </xf>
    <xf numFmtId="0" fontId="76" fillId="11" borderId="31" xfId="0" applyFont="1" applyFill="1" applyBorder="1" applyAlignment="1">
      <alignment horizontal="justify" vertical="center"/>
    </xf>
    <xf numFmtId="4" fontId="85" fillId="11" borderId="1" xfId="0" applyNumberFormat="1" applyFont="1" applyFill="1" applyBorder="1" applyAlignment="1">
      <alignment horizontal="right"/>
    </xf>
    <xf numFmtId="4" fontId="76" fillId="11" borderId="1" xfId="0" applyNumberFormat="1" applyFont="1" applyFill="1" applyBorder="1" applyAlignment="1">
      <alignment horizontal="right"/>
    </xf>
    <xf numFmtId="3" fontId="85" fillId="0" borderId="1" xfId="0" applyNumberFormat="1" applyFont="1" applyBorder="1" applyAlignment="1">
      <alignment horizontal="right"/>
    </xf>
    <xf numFmtId="0" fontId="76" fillId="32" borderId="1" xfId="0" applyFont="1" applyFill="1" applyBorder="1" applyAlignment="1">
      <alignment horizontal="left"/>
    </xf>
    <xf numFmtId="4" fontId="76" fillId="32" borderId="1" xfId="0" applyNumberFormat="1" applyFont="1" applyFill="1" applyBorder="1" applyAlignment="1">
      <alignment horizontal="right"/>
    </xf>
    <xf numFmtId="0" fontId="85" fillId="7" borderId="1" xfId="0" applyFont="1" applyFill="1" applyBorder="1" applyAlignment="1">
      <alignment horizontal="left"/>
    </xf>
    <xf numFmtId="9" fontId="76" fillId="7" borderId="1" xfId="1" applyFont="1" applyFill="1" applyBorder="1"/>
    <xf numFmtId="4" fontId="76" fillId="7" borderId="0" xfId="0" applyNumberFormat="1" applyFont="1" applyFill="1"/>
    <xf numFmtId="4" fontId="76" fillId="7" borderId="0" xfId="0" applyNumberFormat="1" applyFont="1" applyFill="1" applyAlignment="1">
      <alignment horizontal="right"/>
    </xf>
    <xf numFmtId="0" fontId="85" fillId="7" borderId="31" xfId="0" applyFont="1" applyFill="1" applyBorder="1" applyAlignment="1">
      <alignment horizontal="left"/>
    </xf>
    <xf numFmtId="4" fontId="85" fillId="7" borderId="31" xfId="0" applyNumberFormat="1" applyFont="1" applyFill="1" applyBorder="1"/>
    <xf numFmtId="3" fontId="24" fillId="7" borderId="1" xfId="0" applyNumberFormat="1" applyFont="1" applyFill="1" applyBorder="1" applyAlignment="1">
      <alignment vertical="center"/>
    </xf>
    <xf numFmtId="4" fontId="24" fillId="32" borderId="1" xfId="0" applyNumberFormat="1" applyFont="1" applyFill="1" applyBorder="1" applyAlignment="1">
      <alignment vertical="center"/>
    </xf>
    <xf numFmtId="171" fontId="85" fillId="7" borderId="0" xfId="3" applyNumberFormat="1" applyFont="1" applyFill="1"/>
    <xf numFmtId="43" fontId="85" fillId="7" borderId="0" xfId="3" applyFont="1" applyFill="1"/>
    <xf numFmtId="0" fontId="24" fillId="7" borderId="0" xfId="0" applyFont="1" applyFill="1" applyAlignment="1">
      <alignment vertical="center"/>
    </xf>
    <xf numFmtId="0" fontId="136" fillId="7" borderId="0" xfId="0" applyFont="1" applyFill="1" applyAlignment="1">
      <alignment vertical="center"/>
    </xf>
    <xf numFmtId="4" fontId="24" fillId="7" borderId="0" xfId="0" applyNumberFormat="1" applyFont="1" applyFill="1" applyAlignment="1">
      <alignment vertical="center"/>
    </xf>
    <xf numFmtId="0" fontId="24" fillId="7" borderId="0" xfId="0" applyFont="1" applyFill="1" applyBorder="1" applyAlignment="1">
      <alignment vertical="center"/>
    </xf>
    <xf numFmtId="4" fontId="24" fillId="7" borderId="0" xfId="0" applyNumberFormat="1" applyFont="1" applyFill="1" applyBorder="1" applyAlignment="1">
      <alignment vertical="center"/>
    </xf>
    <xf numFmtId="0" fontId="27" fillId="7" borderId="21" xfId="0" applyFont="1" applyFill="1" applyBorder="1" applyAlignment="1">
      <alignment vertical="center"/>
    </xf>
    <xf numFmtId="0" fontId="24" fillId="7" borderId="21" xfId="0" applyFont="1" applyFill="1" applyBorder="1" applyAlignment="1">
      <alignment vertical="center"/>
    </xf>
    <xf numFmtId="4" fontId="27" fillId="7" borderId="21" xfId="0" applyNumberFormat="1" applyFont="1" applyFill="1" applyBorder="1" applyAlignment="1">
      <alignment vertical="center"/>
    </xf>
    <xf numFmtId="0" fontId="116" fillId="7" borderId="32" xfId="0" applyFont="1" applyFill="1" applyBorder="1" applyAlignment="1"/>
    <xf numFmtId="0" fontId="50" fillId="7" borderId="27" xfId="0" applyFont="1" applyFill="1" applyBorder="1" applyAlignment="1"/>
    <xf numFmtId="0" fontId="50" fillId="7" borderId="52" xfId="0" applyFont="1" applyFill="1" applyBorder="1" applyAlignment="1"/>
    <xf numFmtId="0" fontId="50" fillId="7" borderId="34" xfId="0" applyFont="1" applyFill="1" applyBorder="1" applyAlignment="1"/>
    <xf numFmtId="43" fontId="1" fillId="7" borderId="1" xfId="0" applyNumberFormat="1" applyFont="1" applyFill="1" applyBorder="1" applyAlignment="1"/>
    <xf numFmtId="164" fontId="0" fillId="0" borderId="1" xfId="0" applyNumberFormat="1" applyBorder="1" applyAlignment="1"/>
    <xf numFmtId="0" fontId="20" fillId="7" borderId="27" xfId="0" applyFont="1" applyFill="1" applyBorder="1" applyAlignment="1"/>
    <xf numFmtId="0" fontId="20" fillId="7" borderId="52" xfId="0" applyFont="1" applyFill="1" applyBorder="1" applyAlignment="1"/>
    <xf numFmtId="0" fontId="20" fillId="7" borderId="34" xfId="0" applyFont="1" applyFill="1" applyBorder="1" applyAlignment="1"/>
    <xf numFmtId="43" fontId="50" fillId="7" borderId="1" xfId="0" applyNumberFormat="1" applyFont="1" applyFill="1" applyBorder="1" applyAlignment="1">
      <alignment horizontal="center"/>
    </xf>
    <xf numFmtId="0" fontId="1" fillId="36" borderId="0" xfId="0" applyFont="1" applyFill="1"/>
    <xf numFmtId="0" fontId="20" fillId="36" borderId="0" xfId="2" applyFont="1" applyFill="1"/>
    <xf numFmtId="0" fontId="138" fillId="42" borderId="126" xfId="0" applyFont="1" applyFill="1" applyBorder="1" applyAlignment="1">
      <alignment horizontal="center" vertical="center" wrapText="1"/>
    </xf>
    <xf numFmtId="0" fontId="138" fillId="42" borderId="126" xfId="0" applyFont="1" applyFill="1" applyBorder="1" applyAlignment="1">
      <alignment horizontal="center" vertical="center"/>
    </xf>
    <xf numFmtId="0" fontId="118" fillId="0" borderId="0" xfId="0" applyFont="1"/>
    <xf numFmtId="0" fontId="131" fillId="0" borderId="126" xfId="0" applyFont="1" applyFill="1" applyBorder="1" applyAlignment="1">
      <alignment horizontal="left" vertical="center" indent="3"/>
    </xf>
    <xf numFmtId="166" fontId="139" fillId="43" borderId="126" xfId="3" applyNumberFormat="1" applyFont="1" applyFill="1" applyBorder="1" applyAlignment="1">
      <alignment horizontal="right" vertical="center" wrapText="1"/>
    </xf>
    <xf numFmtId="3" fontId="139" fillId="43" borderId="126" xfId="3" applyNumberFormat="1" applyFont="1" applyFill="1" applyBorder="1" applyAlignment="1">
      <alignment horizontal="right" vertical="center" wrapText="1"/>
    </xf>
    <xf numFmtId="4" fontId="139" fillId="43" borderId="126" xfId="3" applyNumberFormat="1" applyFont="1" applyFill="1" applyBorder="1" applyAlignment="1">
      <alignment horizontal="right" vertical="center" wrapText="1"/>
    </xf>
    <xf numFmtId="4" fontId="139" fillId="43" borderId="126" xfId="0" applyNumberFormat="1" applyFont="1" applyFill="1" applyBorder="1" applyAlignment="1">
      <alignment horizontal="justify" vertical="center" wrapText="1"/>
    </xf>
    <xf numFmtId="4" fontId="139" fillId="43" borderId="126" xfId="0" applyNumberFormat="1" applyFont="1" applyFill="1" applyBorder="1" applyAlignment="1">
      <alignment horizontal="right" vertical="center" wrapText="1"/>
    </xf>
    <xf numFmtId="0" fontId="140" fillId="44" borderId="126" xfId="0" applyFont="1" applyFill="1" applyBorder="1" applyAlignment="1">
      <alignment horizontal="left" vertical="center" wrapText="1" indent="1"/>
    </xf>
    <xf numFmtId="164" fontId="141" fillId="44" borderId="126" xfId="0" applyNumberFormat="1" applyFont="1" applyFill="1" applyBorder="1" applyAlignment="1">
      <alignment horizontal="justify" vertical="center" wrapText="1"/>
    </xf>
    <xf numFmtId="0" fontId="131" fillId="0" borderId="126" xfId="0" applyFont="1" applyFill="1" applyBorder="1" applyAlignment="1">
      <alignment horizontal="justify" vertical="center" wrapText="1"/>
    </xf>
    <xf numFmtId="186" fontId="139" fillId="43" borderId="126" xfId="0" applyNumberFormat="1" applyFont="1" applyFill="1" applyBorder="1" applyAlignment="1">
      <alignment horizontal="justify" vertical="center" wrapText="1"/>
    </xf>
    <xf numFmtId="186" fontId="139" fillId="43" borderId="126" xfId="0" applyNumberFormat="1" applyFont="1" applyFill="1" applyBorder="1" applyAlignment="1">
      <alignment horizontal="right" vertical="center" wrapText="1"/>
    </xf>
    <xf numFmtId="186" fontId="139" fillId="44" borderId="126" xfId="1" applyNumberFormat="1" applyFont="1" applyFill="1" applyBorder="1" applyAlignment="1">
      <alignment horizontal="justify" vertical="center" wrapText="1"/>
    </xf>
    <xf numFmtId="186" fontId="139" fillId="44" borderId="126" xfId="0" applyNumberFormat="1" applyFont="1" applyFill="1" applyBorder="1" applyAlignment="1">
      <alignment horizontal="justify" vertical="center" wrapText="1"/>
    </xf>
    <xf numFmtId="0" fontId="138" fillId="42" borderId="127" xfId="0" applyFont="1" applyFill="1" applyBorder="1" applyAlignment="1">
      <alignment vertical="center" wrapText="1"/>
    </xf>
    <xf numFmtId="44" fontId="138" fillId="42" borderId="128" xfId="12" applyFont="1" applyFill="1" applyBorder="1" applyAlignment="1">
      <alignment vertical="center" wrapText="1"/>
    </xf>
    <xf numFmtId="0" fontId="105" fillId="0" borderId="110" xfId="14" applyFont="1" applyBorder="1" applyAlignment="1">
      <alignment vertical="center" wrapText="1"/>
    </xf>
    <xf numFmtId="0" fontId="87" fillId="0" borderId="110" xfId="14" applyFont="1" applyBorder="1" applyAlignment="1">
      <alignment horizontal="left" vertical="center" wrapText="1" indent="1"/>
    </xf>
    <xf numFmtId="44" fontId="143" fillId="0" borderId="122" xfId="12" applyFont="1" applyBorder="1"/>
    <xf numFmtId="0" fontId="144" fillId="41" borderId="110" xfId="0" applyFont="1" applyFill="1" applyBorder="1" applyAlignment="1">
      <alignment horizontal="right"/>
    </xf>
    <xf numFmtId="44" fontId="144" fillId="0" borderId="122" xfId="0" applyNumberFormat="1" applyFont="1" applyBorder="1"/>
    <xf numFmtId="44" fontId="144" fillId="41" borderId="110" xfId="0" applyNumberFormat="1" applyFont="1" applyFill="1" applyBorder="1"/>
    <xf numFmtId="168" fontId="144" fillId="0" borderId="110" xfId="0" applyNumberFormat="1" applyFont="1" applyBorder="1" applyAlignment="1">
      <alignment horizontal="right"/>
    </xf>
    <xf numFmtId="44" fontId="144" fillId="0" borderId="110" xfId="0" applyNumberFormat="1" applyFont="1" applyBorder="1"/>
    <xf numFmtId="9" fontId="144" fillId="41" borderId="110" xfId="0" applyNumberFormat="1" applyFont="1" applyFill="1" applyBorder="1"/>
    <xf numFmtId="0" fontId="131" fillId="41" borderId="110" xfId="0" applyFont="1" applyFill="1" applyBorder="1"/>
    <xf numFmtId="0" fontId="131" fillId="40" borderId="110" xfId="0" applyFont="1" applyFill="1" applyBorder="1"/>
    <xf numFmtId="44" fontId="131" fillId="41" borderId="110" xfId="0" applyNumberFormat="1" applyFont="1" applyFill="1" applyBorder="1"/>
    <xf numFmtId="0" fontId="144" fillId="0" borderId="110" xfId="0" applyFont="1" applyBorder="1" applyAlignment="1">
      <alignment horizontal="right"/>
    </xf>
    <xf numFmtId="0" fontId="144" fillId="41" borderId="110" xfId="0" applyFont="1" applyFill="1" applyBorder="1"/>
    <xf numFmtId="0" fontId="1" fillId="0" borderId="2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05" fillId="0" borderId="33" xfId="0" applyFont="1" applyBorder="1" applyAlignment="1">
      <alignment horizontal="justify" vertical="center" wrapText="1"/>
    </xf>
    <xf numFmtId="0" fontId="105" fillId="0" borderId="23" xfId="0" applyFont="1" applyBorder="1" applyAlignment="1">
      <alignment horizontal="justify" vertical="center" wrapText="1"/>
    </xf>
    <xf numFmtId="0" fontId="105" fillId="0" borderId="4" xfId="0" applyFont="1" applyBorder="1" applyAlignment="1">
      <alignment horizontal="justify" vertical="center" wrapText="1"/>
    </xf>
    <xf numFmtId="0" fontId="101" fillId="0" borderId="22" xfId="0" applyFont="1" applyBorder="1" applyAlignment="1">
      <alignment horizontal="center" vertical="center"/>
    </xf>
    <xf numFmtId="0" fontId="101" fillId="0" borderId="3" xfId="0" applyFont="1" applyBorder="1" applyAlignment="1">
      <alignment horizontal="center" vertical="center"/>
    </xf>
    <xf numFmtId="0" fontId="101" fillId="0" borderId="33" xfId="0" applyFont="1" applyBorder="1" applyAlignment="1">
      <alignment horizontal="center" vertical="center" wrapText="1"/>
    </xf>
    <xf numFmtId="0" fontId="101" fillId="0" borderId="4" xfId="0" applyFont="1" applyBorder="1" applyAlignment="1">
      <alignment horizontal="center" vertical="center" wrapText="1"/>
    </xf>
    <xf numFmtId="1" fontId="101" fillId="0" borderId="33" xfId="0" applyNumberFormat="1" applyFont="1" applyBorder="1" applyAlignment="1">
      <alignment horizontal="center" vertical="center" wrapText="1"/>
    </xf>
    <xf numFmtId="0" fontId="87" fillId="0" borderId="33" xfId="0" applyFont="1" applyBorder="1" applyAlignment="1">
      <alignment horizontal="justify" vertical="center" wrapText="1"/>
    </xf>
    <xf numFmtId="0" fontId="87" fillId="0" borderId="4" xfId="0" applyFont="1" applyBorder="1" applyAlignment="1">
      <alignment horizontal="justify" vertical="center" wrapText="1"/>
    </xf>
    <xf numFmtId="0" fontId="1" fillId="0" borderId="25" xfId="0" applyFont="1" applyBorder="1" applyAlignment="1">
      <alignment horizont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6" fillId="0" borderId="22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2" xfId="0" applyFont="1" applyFill="1" applyBorder="1" applyAlignment="1">
      <alignment horizontal="left" vertical="center" wrapText="1"/>
    </xf>
    <xf numFmtId="0" fontId="6" fillId="0" borderId="25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112" fillId="0" borderId="33" xfId="0" applyFont="1" applyBorder="1" applyAlignment="1">
      <alignment horizontal="center" vertical="center"/>
    </xf>
    <xf numFmtId="0" fontId="112" fillId="0" borderId="4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 vertical="center"/>
    </xf>
    <xf numFmtId="0" fontId="71" fillId="0" borderId="23" xfId="0" applyFont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0" fontId="112" fillId="0" borderId="22" xfId="0" applyFont="1" applyBorder="1" applyAlignment="1">
      <alignment vertical="center"/>
    </xf>
    <xf numFmtId="0" fontId="112" fillId="0" borderId="25" xfId="0" applyFont="1" applyBorder="1" applyAlignment="1">
      <alignment vertical="center"/>
    </xf>
    <xf numFmtId="0" fontId="112" fillId="0" borderId="3" xfId="0" applyFont="1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22" xfId="0" applyFont="1" applyBorder="1" applyAlignment="1">
      <alignment horizontal="left" vertical="center" wrapText="1" indent="15"/>
    </xf>
    <xf numFmtId="0" fontId="14" fillId="0" borderId="3" xfId="0" applyFont="1" applyBorder="1" applyAlignment="1">
      <alignment horizontal="left" vertical="center" wrapText="1" indent="15"/>
    </xf>
    <xf numFmtId="0" fontId="14" fillId="0" borderId="3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11" fillId="0" borderId="22" xfId="0" applyFont="1" applyBorder="1" applyAlignment="1">
      <alignment horizontal="center" vertical="center"/>
    </xf>
    <xf numFmtId="0" fontId="111" fillId="0" borderId="25" xfId="0" applyFont="1" applyBorder="1" applyAlignment="1">
      <alignment horizontal="center" vertical="center"/>
    </xf>
    <xf numFmtId="0" fontId="111" fillId="0" borderId="3" xfId="0" applyFont="1" applyBorder="1" applyAlignment="1">
      <alignment horizontal="center" vertical="center"/>
    </xf>
    <xf numFmtId="0" fontId="111" fillId="0" borderId="33" xfId="0" applyFont="1" applyBorder="1" applyAlignment="1">
      <alignment horizontal="center" vertical="center"/>
    </xf>
    <xf numFmtId="0" fontId="111" fillId="0" borderId="4" xfId="0" applyFont="1" applyBorder="1" applyAlignment="1">
      <alignment horizontal="center" vertical="center"/>
    </xf>
    <xf numFmtId="0" fontId="111" fillId="0" borderId="33" xfId="0" applyFont="1" applyBorder="1" applyAlignment="1">
      <alignment horizontal="center" vertical="center" wrapText="1"/>
    </xf>
    <xf numFmtId="0" fontId="111" fillId="0" borderId="4" xfId="0" applyFont="1" applyBorder="1" applyAlignment="1">
      <alignment horizontal="center" vertical="center" wrapText="1"/>
    </xf>
    <xf numFmtId="0" fontId="22" fillId="11" borderId="1" xfId="2" applyFont="1" applyFill="1" applyBorder="1" applyAlignment="1">
      <alignment horizontal="center" vertical="center"/>
    </xf>
    <xf numFmtId="0" fontId="19" fillId="10" borderId="33" xfId="0" applyFont="1" applyFill="1" applyBorder="1" applyAlignment="1">
      <alignment horizontal="center" vertical="center"/>
    </xf>
    <xf numFmtId="0" fontId="19" fillId="10" borderId="4" xfId="0" applyFont="1" applyFill="1" applyBorder="1" applyAlignment="1">
      <alignment horizontal="center" vertical="center"/>
    </xf>
    <xf numFmtId="0" fontId="19" fillId="10" borderId="22" xfId="0" applyFont="1" applyFill="1" applyBorder="1" applyAlignment="1">
      <alignment horizontal="center" vertical="center"/>
    </xf>
    <xf numFmtId="0" fontId="19" fillId="10" borderId="25" xfId="0" applyFont="1" applyFill="1" applyBorder="1" applyAlignment="1">
      <alignment horizontal="center" vertical="center"/>
    </xf>
    <xf numFmtId="0" fontId="19" fillId="10" borderId="3" xfId="0" applyFont="1" applyFill="1" applyBorder="1" applyAlignment="1">
      <alignment horizontal="center" vertical="center"/>
    </xf>
    <xf numFmtId="0" fontId="27" fillId="0" borderId="0" xfId="2" applyFont="1" applyFill="1" applyBorder="1" applyAlignment="1">
      <alignment horizontal="center" vertical="center"/>
    </xf>
    <xf numFmtId="2" fontId="24" fillId="9" borderId="1" xfId="2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 wrapText="1"/>
    </xf>
    <xf numFmtId="2" fontId="28" fillId="0" borderId="0" xfId="0" applyNumberFormat="1" applyFont="1" applyFill="1" applyBorder="1" applyAlignment="1">
      <alignment horizontal="center" vertical="center"/>
    </xf>
    <xf numFmtId="0" fontId="27" fillId="9" borderId="28" xfId="0" applyFont="1" applyFill="1" applyBorder="1" applyAlignment="1">
      <alignment horizontal="center" vertical="center" wrapText="1"/>
    </xf>
    <xf numFmtId="0" fontId="27" fillId="9" borderId="31" xfId="0" applyFont="1" applyFill="1" applyBorder="1" applyAlignment="1">
      <alignment horizontal="center" vertical="center" wrapText="1"/>
    </xf>
    <xf numFmtId="2" fontId="28" fillId="9" borderId="1" xfId="0" applyNumberFormat="1" applyFont="1" applyFill="1" applyBorder="1" applyAlignment="1">
      <alignment horizontal="center" vertical="center"/>
    </xf>
    <xf numFmtId="0" fontId="27" fillId="11" borderId="28" xfId="2" applyFont="1" applyFill="1" applyBorder="1" applyAlignment="1">
      <alignment horizontal="center" vertical="center"/>
    </xf>
    <xf numFmtId="0" fontId="27" fillId="11" borderId="31" xfId="2" applyFont="1" applyFill="1" applyBorder="1" applyAlignment="1">
      <alignment horizontal="center" vertical="center"/>
    </xf>
    <xf numFmtId="0" fontId="27" fillId="11" borderId="1" xfId="2" applyFont="1" applyFill="1" applyBorder="1" applyAlignment="1">
      <alignment horizontal="center" vertical="center"/>
    </xf>
    <xf numFmtId="43" fontId="0" fillId="0" borderId="16" xfId="3" applyFont="1" applyBorder="1" applyAlignment="1">
      <alignment horizontal="center" vertical="center" wrapText="1"/>
    </xf>
    <xf numFmtId="43" fontId="0" fillId="0" borderId="18" xfId="3" applyFont="1" applyBorder="1" applyAlignment="1">
      <alignment horizontal="center" vertical="center" wrapText="1"/>
    </xf>
    <xf numFmtId="0" fontId="0" fillId="0" borderId="27" xfId="0" applyBorder="1" applyAlignment="1">
      <alignment horizontal="left"/>
    </xf>
    <xf numFmtId="0" fontId="0" fillId="0" borderId="52" xfId="0" applyBorder="1" applyAlignment="1">
      <alignment horizontal="left"/>
    </xf>
    <xf numFmtId="0" fontId="0" fillId="0" borderId="34" xfId="0" applyBorder="1" applyAlignment="1">
      <alignment horizontal="left"/>
    </xf>
    <xf numFmtId="0" fontId="23" fillId="0" borderId="35" xfId="2" applyFont="1" applyBorder="1" applyAlignment="1">
      <alignment horizontal="left" vertical="center"/>
    </xf>
    <xf numFmtId="0" fontId="22" fillId="0" borderId="32" xfId="2" applyFont="1" applyBorder="1" applyAlignment="1">
      <alignment horizontal="center" vertical="center"/>
    </xf>
    <xf numFmtId="0" fontId="27" fillId="0" borderId="32" xfId="2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27" fillId="23" borderId="1" xfId="0" applyFont="1" applyFill="1" applyBorder="1" applyAlignment="1">
      <alignment horizontal="center" vertical="center" wrapText="1"/>
    </xf>
    <xf numFmtId="0" fontId="27" fillId="45" borderId="1" xfId="0" applyFont="1" applyFill="1" applyBorder="1" applyAlignment="1">
      <alignment horizontal="center" vertical="center"/>
    </xf>
    <xf numFmtId="0" fontId="27" fillId="46" borderId="1" xfId="0" applyFont="1" applyFill="1" applyBorder="1" applyAlignment="1">
      <alignment horizontal="center" vertical="center" wrapText="1"/>
    </xf>
    <xf numFmtId="0" fontId="27" fillId="45" borderId="1" xfId="0" applyFont="1" applyFill="1" applyBorder="1" applyAlignment="1">
      <alignment horizontal="center"/>
    </xf>
    <xf numFmtId="0" fontId="27" fillId="45" borderId="27" xfId="0" applyFont="1" applyFill="1" applyBorder="1" applyAlignment="1">
      <alignment horizontal="center"/>
    </xf>
    <xf numFmtId="0" fontId="27" fillId="45" borderId="52" xfId="0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24" fillId="14" borderId="37" xfId="0" applyFont="1" applyFill="1" applyBorder="1" applyAlignment="1">
      <alignment horizontal="center" vertical="center" wrapText="1"/>
    </xf>
    <xf numFmtId="0" fontId="37" fillId="13" borderId="22" xfId="0" applyFont="1" applyFill="1" applyBorder="1" applyAlignment="1">
      <alignment horizontal="center"/>
    </xf>
    <xf numFmtId="0" fontId="37" fillId="13" borderId="25" xfId="0" applyFont="1" applyFill="1" applyBorder="1" applyAlignment="1">
      <alignment horizontal="center"/>
    </xf>
    <xf numFmtId="0" fontId="37" fillId="13" borderId="3" xfId="0" applyFont="1" applyFill="1" applyBorder="1" applyAlignment="1">
      <alignment horizontal="center"/>
    </xf>
    <xf numFmtId="0" fontId="38" fillId="9" borderId="22" xfId="0" applyFont="1" applyFill="1" applyBorder="1" applyAlignment="1">
      <alignment horizontal="center" wrapText="1"/>
    </xf>
    <xf numFmtId="0" fontId="38" fillId="9" borderId="25" xfId="0" applyFont="1" applyFill="1" applyBorder="1" applyAlignment="1">
      <alignment horizontal="center" wrapText="1"/>
    </xf>
    <xf numFmtId="0" fontId="38" fillId="9" borderId="3" xfId="0" applyFont="1" applyFill="1" applyBorder="1" applyAlignment="1">
      <alignment horizontal="center" wrapText="1"/>
    </xf>
    <xf numFmtId="0" fontId="40" fillId="14" borderId="28" xfId="0" applyFont="1" applyFill="1" applyBorder="1" applyAlignment="1">
      <alignment horizontal="center"/>
    </xf>
    <xf numFmtId="0" fontId="40" fillId="14" borderId="26" xfId="0" applyFont="1" applyFill="1" applyBorder="1" applyAlignment="1">
      <alignment horizontal="center"/>
    </xf>
    <xf numFmtId="0" fontId="40" fillId="14" borderId="31" xfId="0" applyFont="1" applyFill="1" applyBorder="1" applyAlignment="1">
      <alignment horizontal="center"/>
    </xf>
    <xf numFmtId="0" fontId="0" fillId="0" borderId="0" xfId="0" applyBorder="1" applyAlignment="1">
      <alignment horizontal="left" wrapText="1"/>
    </xf>
    <xf numFmtId="0" fontId="42" fillId="11" borderId="42" xfId="0" applyFont="1" applyFill="1" applyBorder="1" applyAlignment="1">
      <alignment horizontal="center" vertical="center" wrapText="1"/>
    </xf>
    <xf numFmtId="0" fontId="45" fillId="11" borderId="43" xfId="0" applyFont="1" applyFill="1" applyBorder="1" applyAlignment="1">
      <alignment horizontal="center" vertical="center"/>
    </xf>
    <xf numFmtId="0" fontId="45" fillId="11" borderId="42" xfId="0" applyFont="1" applyFill="1" applyBorder="1" applyAlignment="1">
      <alignment horizontal="center" vertical="center"/>
    </xf>
    <xf numFmtId="0" fontId="45" fillId="11" borderId="45" xfId="0" applyFont="1" applyFill="1" applyBorder="1" applyAlignment="1">
      <alignment horizontal="center" vertical="center"/>
    </xf>
    <xf numFmtId="0" fontId="40" fillId="14" borderId="33" xfId="0" applyFont="1" applyFill="1" applyBorder="1" applyAlignment="1">
      <alignment horizontal="center" vertical="center"/>
    </xf>
    <xf numFmtId="0" fontId="40" fillId="14" borderId="23" xfId="0" applyFont="1" applyFill="1" applyBorder="1" applyAlignment="1">
      <alignment horizontal="center" vertical="center"/>
    </xf>
    <xf numFmtId="0" fontId="40" fillId="14" borderId="4" xfId="0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/>
    </xf>
    <xf numFmtId="0" fontId="31" fillId="13" borderId="25" xfId="0" applyFont="1" applyFill="1" applyBorder="1" applyAlignment="1">
      <alignment horizontal="center"/>
    </xf>
    <xf numFmtId="0" fontId="31" fillId="13" borderId="3" xfId="0" applyFont="1" applyFill="1" applyBorder="1" applyAlignment="1">
      <alignment horizontal="center"/>
    </xf>
    <xf numFmtId="0" fontId="27" fillId="9" borderId="22" xfId="0" applyFont="1" applyFill="1" applyBorder="1" applyAlignment="1">
      <alignment horizontal="center" wrapText="1"/>
    </xf>
    <xf numFmtId="0" fontId="27" fillId="9" borderId="25" xfId="0" applyFont="1" applyFill="1" applyBorder="1" applyAlignment="1">
      <alignment horizontal="center" wrapText="1"/>
    </xf>
    <xf numFmtId="0" fontId="27" fillId="9" borderId="3" xfId="0" applyFont="1" applyFill="1" applyBorder="1" applyAlignment="1">
      <alignment horizontal="center" wrapText="1"/>
    </xf>
    <xf numFmtId="0" fontId="30" fillId="14" borderId="33" xfId="0" applyFont="1" applyFill="1" applyBorder="1" applyAlignment="1">
      <alignment horizontal="center" vertical="center"/>
    </xf>
    <xf numFmtId="0" fontId="30" fillId="14" borderId="23" xfId="0" applyFont="1" applyFill="1" applyBorder="1" applyAlignment="1">
      <alignment horizontal="center" vertical="center"/>
    </xf>
    <xf numFmtId="0" fontId="30" fillId="14" borderId="4" xfId="0" applyFont="1" applyFill="1" applyBorder="1" applyAlignment="1">
      <alignment horizontal="center" vertical="center"/>
    </xf>
    <xf numFmtId="0" fontId="42" fillId="20" borderId="42" xfId="0" applyFont="1" applyFill="1" applyBorder="1" applyAlignment="1">
      <alignment horizontal="center" vertical="center"/>
    </xf>
    <xf numFmtId="0" fontId="36" fillId="14" borderId="42" xfId="0" applyFont="1" applyFill="1" applyBorder="1" applyAlignment="1">
      <alignment horizontal="center" vertical="center"/>
    </xf>
    <xf numFmtId="0" fontId="42" fillId="12" borderId="42" xfId="0" applyFont="1" applyFill="1" applyBorder="1" applyAlignment="1">
      <alignment horizontal="center" vertical="center"/>
    </xf>
    <xf numFmtId="0" fontId="36" fillId="14" borderId="43" xfId="0" applyFont="1" applyFill="1" applyBorder="1" applyAlignment="1">
      <alignment horizontal="left" vertical="center"/>
    </xf>
    <xf numFmtId="0" fontId="36" fillId="14" borderId="45" xfId="0" applyFont="1" applyFill="1" applyBorder="1" applyAlignment="1">
      <alignment horizontal="left" vertical="center"/>
    </xf>
    <xf numFmtId="0" fontId="36" fillId="14" borderId="44" xfId="0" applyFont="1" applyFill="1" applyBorder="1" applyAlignment="1">
      <alignment horizontal="left" vertical="center"/>
    </xf>
    <xf numFmtId="0" fontId="36" fillId="14" borderId="28" xfId="0" applyFont="1" applyFill="1" applyBorder="1" applyAlignment="1">
      <alignment horizontal="left" vertical="center"/>
    </xf>
    <xf numFmtId="0" fontId="36" fillId="14" borderId="26" xfId="0" applyFont="1" applyFill="1" applyBorder="1" applyAlignment="1">
      <alignment horizontal="left" vertical="center"/>
    </xf>
    <xf numFmtId="0" fontId="36" fillId="14" borderId="31" xfId="0" applyFont="1" applyFill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36" fillId="14" borderId="46" xfId="0" applyFont="1" applyFill="1" applyBorder="1" applyAlignment="1">
      <alignment horizontal="left" vertical="center"/>
    </xf>
    <xf numFmtId="0" fontId="36" fillId="14" borderId="47" xfId="0" applyFont="1" applyFill="1" applyBorder="1" applyAlignment="1">
      <alignment horizontal="left" vertical="center"/>
    </xf>
    <xf numFmtId="0" fontId="48" fillId="12" borderId="1" xfId="0" applyFont="1" applyFill="1" applyBorder="1" applyAlignment="1">
      <alignment horizontal="center" vertical="center"/>
    </xf>
    <xf numFmtId="0" fontId="44" fillId="12" borderId="42" xfId="0" applyFont="1" applyFill="1" applyBorder="1" applyAlignment="1">
      <alignment horizontal="center" vertical="center"/>
    </xf>
    <xf numFmtId="0" fontId="50" fillId="0" borderId="32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56" fillId="0" borderId="18" xfId="5" applyFont="1" applyBorder="1" applyAlignment="1">
      <alignment horizontal="center" vertical="center" wrapText="1"/>
    </xf>
    <xf numFmtId="0" fontId="56" fillId="0" borderId="19" xfId="5" applyFont="1" applyBorder="1" applyAlignment="1">
      <alignment horizontal="center" vertical="center" wrapText="1"/>
    </xf>
    <xf numFmtId="0" fontId="52" fillId="0" borderId="0" xfId="5" applyFont="1" applyBorder="1" applyAlignment="1" applyProtection="1">
      <alignment horizontal="center" vertical="center" wrapText="1"/>
    </xf>
    <xf numFmtId="0" fontId="62" fillId="0" borderId="21" xfId="5" applyFont="1" applyBorder="1" applyAlignment="1">
      <alignment horizontal="center" vertical="center"/>
    </xf>
    <xf numFmtId="0" fontId="56" fillId="0" borderId="61" xfId="5" applyFont="1" applyBorder="1" applyAlignment="1" applyProtection="1">
      <alignment horizontal="center" vertical="center"/>
    </xf>
    <xf numFmtId="0" fontId="56" fillId="0" borderId="63" xfId="5" applyFont="1" applyBorder="1" applyAlignment="1" applyProtection="1">
      <alignment horizontal="center" vertical="center"/>
    </xf>
    <xf numFmtId="0" fontId="56" fillId="0" borderId="33" xfId="5" applyFont="1" applyBorder="1" applyAlignment="1" applyProtection="1">
      <alignment horizontal="center" vertical="center"/>
    </xf>
    <xf numFmtId="0" fontId="56" fillId="0" borderId="4" xfId="5" applyFont="1" applyBorder="1" applyAlignment="1" applyProtection="1">
      <alignment horizontal="center" vertical="center"/>
    </xf>
    <xf numFmtId="0" fontId="52" fillId="0" borderId="0" xfId="5" applyFont="1" applyBorder="1" applyAlignment="1" applyProtection="1">
      <alignment horizontal="left" vertical="center"/>
    </xf>
    <xf numFmtId="0" fontId="52" fillId="0" borderId="21" xfId="5" applyFont="1" applyBorder="1" applyAlignment="1" applyProtection="1">
      <alignment horizontal="center" vertical="center" wrapText="1"/>
    </xf>
    <xf numFmtId="0" fontId="56" fillId="0" borderId="54" xfId="5" applyFont="1" applyBorder="1" applyAlignment="1">
      <alignment horizontal="center" vertical="center" wrapText="1"/>
    </xf>
    <xf numFmtId="0" fontId="56" fillId="0" borderId="5" xfId="5" applyFont="1" applyBorder="1" applyAlignment="1">
      <alignment horizontal="center" vertical="center" wrapText="1"/>
    </xf>
    <xf numFmtId="0" fontId="56" fillId="0" borderId="13" xfId="5" applyFont="1" applyBorder="1" applyAlignment="1" applyProtection="1">
      <alignment horizontal="center" vertical="center"/>
    </xf>
    <xf numFmtId="0" fontId="56" fillId="0" borderId="14" xfId="5" applyFont="1" applyBorder="1" applyAlignment="1" applyProtection="1">
      <alignment horizontal="center" vertical="center"/>
    </xf>
    <xf numFmtId="0" fontId="56" fillId="0" borderId="33" xfId="5" applyFont="1" applyBorder="1" applyAlignment="1">
      <alignment horizontal="center" vertical="center" wrapText="1"/>
    </xf>
    <xf numFmtId="0" fontId="56" fillId="0" borderId="4" xfId="5" applyFont="1" applyBorder="1" applyAlignment="1">
      <alignment horizontal="center" vertical="center" wrapText="1"/>
    </xf>
    <xf numFmtId="174" fontId="62" fillId="0" borderId="0" xfId="6" applyFont="1" applyBorder="1" applyAlignment="1" applyProtection="1">
      <alignment horizontal="left" vertical="center"/>
    </xf>
    <xf numFmtId="0" fontId="52" fillId="0" borderId="0" xfId="5" applyFont="1" applyBorder="1" applyAlignment="1" applyProtection="1">
      <alignment horizontal="center" vertical="center"/>
    </xf>
    <xf numFmtId="0" fontId="41" fillId="0" borderId="21" xfId="5" quotePrefix="1" applyFont="1" applyBorder="1" applyAlignment="1" applyProtection="1">
      <alignment horizontal="center" vertical="center"/>
    </xf>
    <xf numFmtId="0" fontId="66" fillId="0" borderId="1" xfId="2" applyFont="1" applyFill="1" applyBorder="1" applyAlignment="1">
      <alignment horizontal="left" vertical="center"/>
    </xf>
    <xf numFmtId="0" fontId="67" fillId="0" borderId="32" xfId="2" applyFont="1" applyBorder="1" applyAlignment="1">
      <alignment horizontal="center" vertical="center"/>
    </xf>
    <xf numFmtId="0" fontId="67" fillId="0" borderId="61" xfId="2" applyFont="1" applyBorder="1" applyAlignment="1">
      <alignment horizontal="center" vertical="center"/>
    </xf>
    <xf numFmtId="0" fontId="67" fillId="0" borderId="62" xfId="2" applyFont="1" applyBorder="1" applyAlignment="1">
      <alignment horizontal="center" vertical="center"/>
    </xf>
    <xf numFmtId="0" fontId="67" fillId="0" borderId="63" xfId="2" applyFont="1" applyBorder="1" applyAlignment="1">
      <alignment horizontal="center" vertical="center"/>
    </xf>
    <xf numFmtId="0" fontId="67" fillId="0" borderId="64" xfId="2" applyFont="1" applyBorder="1" applyAlignment="1">
      <alignment horizontal="center" vertical="center"/>
    </xf>
    <xf numFmtId="0" fontId="67" fillId="0" borderId="53" xfId="2" applyFont="1" applyBorder="1" applyAlignment="1">
      <alignment horizontal="center" vertical="center"/>
    </xf>
    <xf numFmtId="0" fontId="67" fillId="0" borderId="0" xfId="2" applyFont="1" applyBorder="1" applyAlignment="1">
      <alignment horizontal="center" vertical="center"/>
    </xf>
    <xf numFmtId="0" fontId="67" fillId="11" borderId="1" xfId="2" applyFont="1" applyFill="1" applyBorder="1" applyAlignment="1">
      <alignment horizontal="center" vertical="center" wrapText="1"/>
    </xf>
    <xf numFmtId="0" fontId="20" fillId="0" borderId="109" xfId="14" applyFont="1" applyFill="1" applyBorder="1" applyAlignment="1">
      <alignment horizontal="left" vertical="center" wrapText="1"/>
    </xf>
    <xf numFmtId="0" fontId="20" fillId="0" borderId="16" xfId="14" applyFont="1" applyFill="1" applyBorder="1" applyAlignment="1">
      <alignment horizontal="left" vertical="center" wrapText="1"/>
    </xf>
    <xf numFmtId="0" fontId="20" fillId="0" borderId="1" xfId="14" applyFont="1" applyFill="1" applyBorder="1" applyAlignment="1">
      <alignment horizontal="left" vertical="center" wrapText="1"/>
    </xf>
    <xf numFmtId="0" fontId="104" fillId="17" borderId="135" xfId="14" applyFont="1" applyFill="1" applyBorder="1" applyAlignment="1">
      <alignment horizontal="center" vertical="center"/>
    </xf>
    <xf numFmtId="0" fontId="20" fillId="0" borderId="31" xfId="14" applyFont="1" applyFill="1" applyBorder="1" applyAlignment="1">
      <alignment horizontal="left" vertical="center" wrapText="1"/>
    </xf>
    <xf numFmtId="0" fontId="20" fillId="0" borderId="19" xfId="14" applyFont="1" applyFill="1" applyBorder="1" applyAlignment="1">
      <alignment horizontal="left" vertical="center" wrapText="1"/>
    </xf>
    <xf numFmtId="0" fontId="8" fillId="17" borderId="137" xfId="2" applyFont="1" applyFill="1" applyBorder="1" applyAlignment="1">
      <alignment horizontal="center" vertical="center" wrapText="1"/>
    </xf>
    <xf numFmtId="0" fontId="8" fillId="17" borderId="3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17" borderId="61" xfId="0" applyFont="1" applyFill="1" applyBorder="1" applyAlignment="1">
      <alignment horizontal="center"/>
    </xf>
    <xf numFmtId="0" fontId="1" fillId="17" borderId="136" xfId="0" applyFont="1" applyFill="1" applyBorder="1" applyAlignment="1">
      <alignment horizontal="center"/>
    </xf>
    <xf numFmtId="0" fontId="1" fillId="0" borderId="14" xfId="14" applyFont="1" applyFill="1" applyBorder="1" applyAlignment="1">
      <alignment horizontal="center" vertical="center" wrapText="1"/>
    </xf>
    <xf numFmtId="0" fontId="1" fillId="0" borderId="15" xfId="14" applyFont="1" applyFill="1" applyBorder="1" applyAlignment="1">
      <alignment horizontal="center" vertical="center" wrapText="1"/>
    </xf>
    <xf numFmtId="0" fontId="101" fillId="0" borderId="1" xfId="14" applyFont="1" applyFill="1" applyBorder="1" applyAlignment="1">
      <alignment vertical="center" wrapText="1"/>
    </xf>
    <xf numFmtId="0" fontId="101" fillId="0" borderId="1" xfId="14" applyFont="1" applyFill="1" applyBorder="1" applyAlignment="1">
      <alignment horizontal="left" vertical="center" wrapText="1"/>
    </xf>
    <xf numFmtId="0" fontId="101" fillId="0" borderId="17" xfId="14" applyFont="1" applyFill="1" applyBorder="1" applyAlignment="1">
      <alignment horizontal="left" vertical="center" wrapText="1"/>
    </xf>
    <xf numFmtId="0" fontId="101" fillId="0" borderId="19" xfId="14" applyFont="1" applyFill="1" applyBorder="1" applyAlignment="1">
      <alignment horizontal="justify" vertical="center" wrapText="1"/>
    </xf>
    <xf numFmtId="0" fontId="101" fillId="0" borderId="19" xfId="14" applyFont="1" applyFill="1" applyBorder="1" applyAlignment="1">
      <alignment horizontal="left" vertical="center" wrapText="1"/>
    </xf>
    <xf numFmtId="0" fontId="101" fillId="0" borderId="20" xfId="14" applyFont="1" applyFill="1" applyBorder="1" applyAlignment="1">
      <alignment horizontal="left" vertical="center" wrapText="1"/>
    </xf>
    <xf numFmtId="0" fontId="48" fillId="49" borderId="0" xfId="14" applyFont="1" applyFill="1" applyAlignment="1">
      <alignment horizontal="left" vertical="center"/>
    </xf>
    <xf numFmtId="0" fontId="50" fillId="0" borderId="13" xfId="14" applyFont="1" applyFill="1" applyBorder="1" applyAlignment="1">
      <alignment horizontal="center" vertical="center"/>
    </xf>
    <xf numFmtId="0" fontId="50" fillId="0" borderId="16" xfId="14" applyFont="1" applyFill="1" applyBorder="1" applyAlignment="1">
      <alignment horizontal="center" vertical="center"/>
    </xf>
    <xf numFmtId="0" fontId="101" fillId="0" borderId="1" xfId="14" applyFont="1" applyFill="1" applyBorder="1" applyAlignment="1">
      <alignment vertical="center"/>
    </xf>
    <xf numFmtId="0" fontId="101" fillId="0" borderId="1" xfId="14" applyFont="1" applyFill="1" applyBorder="1" applyAlignment="1">
      <alignment horizontal="justify" vertical="center"/>
    </xf>
    <xf numFmtId="0" fontId="101" fillId="0" borderId="19" xfId="14" applyFont="1" applyFill="1" applyBorder="1" applyAlignment="1">
      <alignment vertical="center"/>
    </xf>
    <xf numFmtId="0" fontId="50" fillId="0" borderId="14" xfId="14" applyFont="1" applyFill="1" applyBorder="1" applyAlignment="1">
      <alignment horizontal="center" vertical="center" wrapText="1"/>
    </xf>
    <xf numFmtId="0" fontId="50" fillId="0" borderId="1" xfId="14" applyFont="1" applyFill="1" applyBorder="1" applyAlignment="1">
      <alignment horizontal="center" vertical="center" wrapText="1"/>
    </xf>
    <xf numFmtId="0" fontId="50" fillId="0" borderId="15" xfId="14" applyFont="1" applyFill="1" applyBorder="1" applyAlignment="1">
      <alignment horizontal="center" vertical="center" wrapText="1"/>
    </xf>
    <xf numFmtId="0" fontId="50" fillId="0" borderId="17" xfId="14" applyFont="1" applyFill="1" applyBorder="1" applyAlignment="1">
      <alignment horizontal="center" vertical="center" wrapText="1"/>
    </xf>
    <xf numFmtId="0" fontId="101" fillId="0" borderId="16" xfId="14" applyFont="1" applyFill="1" applyBorder="1" applyAlignment="1">
      <alignment horizontal="left" vertical="center" wrapText="1"/>
    </xf>
    <xf numFmtId="0" fontId="101" fillId="0" borderId="1" xfId="0" applyFont="1" applyFill="1" applyBorder="1" applyAlignment="1">
      <alignment horizontal="left" vertical="center" wrapText="1"/>
    </xf>
    <xf numFmtId="0" fontId="20" fillId="0" borderId="17" xfId="14" applyFont="1" applyFill="1" applyBorder="1" applyAlignment="1">
      <alignment horizontal="left" vertical="center" wrapText="1"/>
    </xf>
    <xf numFmtId="0" fontId="20" fillId="0" borderId="18" xfId="14" applyFont="1" applyFill="1" applyBorder="1" applyAlignment="1">
      <alignment horizontal="left" vertical="center" wrapText="1"/>
    </xf>
    <xf numFmtId="0" fontId="1" fillId="0" borderId="1" xfId="14" applyFont="1" applyFill="1" applyBorder="1" applyAlignment="1">
      <alignment horizontal="center" vertical="center" wrapText="1"/>
    </xf>
    <xf numFmtId="0" fontId="8" fillId="0" borderId="1" xfId="14" applyFont="1" applyFill="1" applyBorder="1" applyAlignment="1">
      <alignment horizontal="center" vertical="center"/>
    </xf>
    <xf numFmtId="0" fontId="101" fillId="0" borderId="19" xfId="0" applyFont="1" applyFill="1" applyBorder="1" applyAlignment="1">
      <alignment horizontal="left" vertical="center" wrapText="1"/>
    </xf>
    <xf numFmtId="0" fontId="20" fillId="0" borderId="20" xfId="14" applyFont="1" applyFill="1" applyBorder="1" applyAlignment="1">
      <alignment horizontal="left" vertical="center" wrapText="1"/>
    </xf>
    <xf numFmtId="0" fontId="101" fillId="0" borderId="16" xfId="0" applyFont="1" applyFill="1" applyBorder="1" applyAlignment="1">
      <alignment horizontal="justify" vertical="center" wrapText="1"/>
    </xf>
    <xf numFmtId="0" fontId="101" fillId="0" borderId="1" xfId="0" applyFont="1" applyFill="1" applyBorder="1" applyAlignment="1">
      <alignment horizontal="justify" vertical="center" wrapText="1"/>
    </xf>
    <xf numFmtId="0" fontId="101" fillId="0" borderId="1" xfId="14" applyFont="1" applyFill="1" applyBorder="1" applyAlignment="1">
      <alignment horizontal="center" vertical="center"/>
    </xf>
    <xf numFmtId="0" fontId="101" fillId="0" borderId="118" xfId="14" applyFont="1" applyFill="1" applyBorder="1" applyAlignment="1">
      <alignment horizontal="justify" vertical="center" wrapText="1"/>
    </xf>
    <xf numFmtId="0" fontId="101" fillId="0" borderId="120" xfId="14" applyFont="1" applyFill="1" applyBorder="1" applyAlignment="1">
      <alignment horizontal="justify" vertical="center" wrapText="1"/>
    </xf>
    <xf numFmtId="0" fontId="48" fillId="49" borderId="32" xfId="14" applyFont="1" applyFill="1" applyBorder="1" applyAlignment="1">
      <alignment horizontal="left" vertical="center"/>
    </xf>
    <xf numFmtId="0" fontId="8" fillId="0" borderId="13" xfId="14" applyFont="1" applyFill="1" applyBorder="1" applyAlignment="1">
      <alignment horizontal="center" vertical="center"/>
    </xf>
    <xf numFmtId="0" fontId="8" fillId="0" borderId="14" xfId="14" applyFont="1" applyFill="1" applyBorder="1" applyAlignment="1">
      <alignment horizontal="center" vertical="center"/>
    </xf>
    <xf numFmtId="0" fontId="8" fillId="0" borderId="14" xfId="14" applyFont="1" applyFill="1" applyBorder="1" applyAlignment="1">
      <alignment horizontal="center" vertical="center" wrapText="1"/>
    </xf>
    <xf numFmtId="0" fontId="8" fillId="0" borderId="1" xfId="14" applyFont="1" applyFill="1" applyBorder="1" applyAlignment="1">
      <alignment horizontal="center" vertical="center" wrapText="1"/>
    </xf>
    <xf numFmtId="0" fontId="8" fillId="0" borderId="15" xfId="14" applyFont="1" applyFill="1" applyBorder="1" applyAlignment="1">
      <alignment horizontal="center" vertical="center" wrapText="1"/>
    </xf>
    <xf numFmtId="0" fontId="8" fillId="0" borderId="17" xfId="14" applyFont="1" applyFill="1" applyBorder="1" applyAlignment="1">
      <alignment horizontal="center" vertical="center" wrapText="1"/>
    </xf>
    <xf numFmtId="0" fontId="8" fillId="0" borderId="16" xfId="14" applyFont="1" applyFill="1" applyBorder="1" applyAlignment="1">
      <alignment horizontal="center" vertical="center" wrapText="1"/>
    </xf>
    <xf numFmtId="0" fontId="101" fillId="0" borderId="118" xfId="14" applyFont="1" applyFill="1" applyBorder="1" applyAlignment="1">
      <alignment horizontal="center" vertical="center" wrapText="1"/>
    </xf>
    <xf numFmtId="0" fontId="101" fillId="0" borderId="120" xfId="14" applyFont="1" applyFill="1" applyBorder="1" applyAlignment="1">
      <alignment horizontal="center" vertical="center" wrapText="1"/>
    </xf>
    <xf numFmtId="0" fontId="129" fillId="0" borderId="118" xfId="14" applyFont="1" applyFill="1" applyBorder="1" applyAlignment="1">
      <alignment horizontal="justify" vertical="center" wrapText="1"/>
    </xf>
    <xf numFmtId="0" fontId="101" fillId="0" borderId="18" xfId="0" applyFont="1" applyFill="1" applyBorder="1" applyAlignment="1">
      <alignment horizontal="justify" vertical="center" wrapText="1"/>
    </xf>
    <xf numFmtId="0" fontId="101" fillId="0" borderId="19" xfId="0" applyFont="1" applyFill="1" applyBorder="1" applyAlignment="1">
      <alignment horizontal="justify" vertical="center" wrapText="1"/>
    </xf>
    <xf numFmtId="0" fontId="101" fillId="0" borderId="19" xfId="14" applyFont="1" applyFill="1" applyBorder="1" applyAlignment="1">
      <alignment horizontal="center" vertical="center"/>
    </xf>
    <xf numFmtId="0" fontId="48" fillId="31" borderId="27" xfId="0" applyFont="1" applyFill="1" applyBorder="1" applyAlignment="1">
      <alignment horizontal="center" wrapText="1"/>
    </xf>
    <xf numFmtId="0" fontId="48" fillId="31" borderId="52" xfId="0" applyFont="1" applyFill="1" applyBorder="1" applyAlignment="1">
      <alignment horizontal="center" wrapText="1"/>
    </xf>
    <xf numFmtId="0" fontId="48" fillId="31" borderId="34" xfId="0" applyFont="1" applyFill="1" applyBorder="1" applyAlignment="1">
      <alignment horizontal="center" wrapText="1"/>
    </xf>
    <xf numFmtId="0" fontId="72" fillId="12" borderId="0" xfId="9" applyFont="1" applyFill="1" applyAlignment="1">
      <alignment horizontal="center"/>
    </xf>
    <xf numFmtId="4" fontId="22" fillId="0" borderId="0" xfId="0" applyNumberFormat="1" applyFont="1" applyFill="1" applyBorder="1" applyAlignment="1">
      <alignment horizontal="left" wrapText="1"/>
    </xf>
    <xf numFmtId="0" fontId="76" fillId="28" borderId="102" xfId="9" applyNumberFormat="1" applyFont="1" applyFill="1" applyBorder="1" applyAlignment="1">
      <alignment horizontal="center" vertical="center" wrapText="1"/>
    </xf>
    <xf numFmtId="0" fontId="76" fillId="28" borderId="101" xfId="9" applyNumberFormat="1" applyFont="1" applyFill="1" applyBorder="1" applyAlignment="1">
      <alignment horizontal="center" vertical="center" wrapText="1"/>
    </xf>
    <xf numFmtId="0" fontId="0" fillId="28" borderId="102" xfId="0" applyFill="1" applyBorder="1" applyAlignment="1">
      <alignment horizontal="center"/>
    </xf>
    <xf numFmtId="0" fontId="0" fillId="28" borderId="101" xfId="0" applyFill="1" applyBorder="1" applyAlignment="1">
      <alignment horizontal="center"/>
    </xf>
    <xf numFmtId="0" fontId="76" fillId="28" borderId="104" xfId="9" applyNumberFormat="1" applyFont="1" applyFill="1" applyBorder="1" applyAlignment="1">
      <alignment horizontal="center" vertical="center" wrapText="1"/>
    </xf>
    <xf numFmtId="0" fontId="76" fillId="28" borderId="28" xfId="9" applyNumberFormat="1" applyFont="1" applyFill="1" applyBorder="1" applyAlignment="1">
      <alignment horizontal="center" vertical="center" wrapText="1"/>
    </xf>
    <xf numFmtId="0" fontId="76" fillId="28" borderId="26" xfId="9" applyNumberFormat="1" applyFont="1" applyFill="1" applyBorder="1" applyAlignment="1">
      <alignment horizontal="center" vertical="center" wrapText="1"/>
    </xf>
    <xf numFmtId="44" fontId="76" fillId="28" borderId="28" xfId="12" applyFont="1" applyFill="1" applyBorder="1" applyAlignment="1">
      <alignment horizontal="center" vertical="center" wrapText="1"/>
    </xf>
    <xf numFmtId="44" fontId="76" fillId="28" borderId="26" xfId="12" applyFont="1" applyFill="1" applyBorder="1" applyAlignment="1">
      <alignment horizontal="center" vertical="center" wrapText="1"/>
    </xf>
    <xf numFmtId="0" fontId="0" fillId="28" borderId="28" xfId="0" applyFill="1" applyBorder="1" applyAlignment="1">
      <alignment horizontal="center"/>
    </xf>
    <xf numFmtId="0" fontId="0" fillId="28" borderId="31" xfId="0" applyFill="1" applyBorder="1" applyAlignment="1">
      <alignment horizontal="center"/>
    </xf>
    <xf numFmtId="0" fontId="92" fillId="36" borderId="55" xfId="0" applyFont="1" applyFill="1" applyBorder="1" applyAlignment="1">
      <alignment horizontal="center" vertical="center"/>
    </xf>
    <xf numFmtId="0" fontId="92" fillId="36" borderId="0" xfId="0" applyFont="1" applyFill="1" applyBorder="1" applyAlignment="1">
      <alignment horizontal="center" vertical="center"/>
    </xf>
    <xf numFmtId="0" fontId="92" fillId="36" borderId="104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95" fillId="12" borderId="0" xfId="0" applyFont="1" applyFill="1" applyBorder="1" applyAlignment="1">
      <alignment horizontal="center"/>
    </xf>
    <xf numFmtId="0" fontId="96" fillId="12" borderId="0" xfId="0" applyFont="1" applyFill="1" applyBorder="1" applyAlignment="1">
      <alignment horizontal="center"/>
    </xf>
    <xf numFmtId="0" fontId="96" fillId="0" borderId="0" xfId="0" applyFont="1" applyAlignment="1">
      <alignment horizontal="center" vertical="center" wrapText="1"/>
    </xf>
    <xf numFmtId="0" fontId="96" fillId="0" borderId="0" xfId="0" applyFont="1" applyFill="1" applyAlignment="1">
      <alignment horizontal="left" vertical="center" wrapText="1"/>
    </xf>
    <xf numFmtId="0" fontId="102" fillId="0" borderId="0" xfId="0" applyFont="1" applyFill="1" applyAlignment="1">
      <alignment horizontal="right"/>
    </xf>
    <xf numFmtId="0" fontId="78" fillId="0" borderId="27" xfId="10" applyFont="1" applyFill="1" applyBorder="1" applyAlignment="1">
      <alignment horizontal="center" vertical="center" wrapText="1"/>
    </xf>
    <xf numFmtId="0" fontId="78" fillId="0" borderId="52" xfId="10" applyFont="1" applyFill="1" applyBorder="1" applyAlignment="1">
      <alignment horizontal="center" vertical="center" wrapText="1"/>
    </xf>
    <xf numFmtId="0" fontId="78" fillId="0" borderId="34" xfId="10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wrapText="1"/>
    </xf>
    <xf numFmtId="0" fontId="78" fillId="0" borderId="0" xfId="10" applyFont="1" applyFill="1" applyBorder="1" applyAlignment="1">
      <alignment horizontal="right" vertical="center" wrapText="1"/>
    </xf>
    <xf numFmtId="39" fontId="72" fillId="0" borderId="106" xfId="0" applyNumberFormat="1" applyFont="1" applyFill="1" applyBorder="1" applyAlignment="1" applyProtection="1">
      <alignment horizontal="left" vertical="center" wrapText="1"/>
    </xf>
    <xf numFmtId="39" fontId="72" fillId="0" borderId="25" xfId="0" applyNumberFormat="1" applyFont="1" applyFill="1" applyBorder="1" applyAlignment="1" applyProtection="1">
      <alignment horizontal="left" vertical="center" wrapText="1"/>
    </xf>
    <xf numFmtId="39" fontId="72" fillId="0" borderId="107" xfId="0" applyNumberFormat="1" applyFont="1" applyFill="1" applyBorder="1" applyAlignment="1" applyProtection="1">
      <alignment horizontal="left" vertical="center" wrapText="1"/>
    </xf>
    <xf numFmtId="0" fontId="78" fillId="0" borderId="32" xfId="10" applyFont="1" applyFill="1" applyBorder="1" applyAlignment="1">
      <alignment horizontal="left" vertical="center" wrapText="1"/>
    </xf>
    <xf numFmtId="0" fontId="78" fillId="24" borderId="1" xfId="10" applyFont="1" applyFill="1" applyBorder="1" applyAlignment="1">
      <alignment horizontal="center" vertical="center" wrapText="1"/>
    </xf>
    <xf numFmtId="0" fontId="81" fillId="24" borderId="1" xfId="0" applyFont="1" applyFill="1" applyBorder="1" applyAlignment="1">
      <alignment horizontal="center" vertical="center" wrapText="1"/>
    </xf>
    <xf numFmtId="9" fontId="81" fillId="24" borderId="1" xfId="0" applyNumberFormat="1" applyFont="1" applyFill="1" applyBorder="1" applyAlignment="1">
      <alignment horizontal="center" vertical="center" wrapText="1"/>
    </xf>
    <xf numFmtId="4" fontId="80" fillId="0" borderId="1" xfId="10" applyNumberFormat="1" applyFont="1" applyFill="1" applyBorder="1" applyAlignment="1">
      <alignment horizontal="center" vertical="center" wrapText="1"/>
    </xf>
    <xf numFmtId="39" fontId="23" fillId="0" borderId="70" xfId="0" applyNumberFormat="1" applyFont="1" applyFill="1" applyBorder="1" applyAlignment="1" applyProtection="1">
      <alignment horizontal="left" vertical="center" wrapText="1"/>
    </xf>
    <xf numFmtId="39" fontId="23" fillId="0" borderId="0" xfId="0" applyNumberFormat="1" applyFont="1" applyFill="1" applyBorder="1" applyAlignment="1" applyProtection="1">
      <alignment horizontal="left" vertical="center" wrapText="1"/>
    </xf>
    <xf numFmtId="39" fontId="23" fillId="0" borderId="74" xfId="0" applyNumberFormat="1" applyFont="1" applyFill="1" applyBorder="1" applyAlignment="1" applyProtection="1">
      <alignment horizontal="left" vertical="center" wrapText="1"/>
    </xf>
    <xf numFmtId="39" fontId="23" fillId="0" borderId="70" xfId="0" applyNumberFormat="1" applyFont="1" applyFill="1" applyBorder="1" applyAlignment="1" applyProtection="1">
      <alignment horizontal="left" vertical="center"/>
    </xf>
    <xf numFmtId="39" fontId="23" fillId="0" borderId="0" xfId="0" applyNumberFormat="1" applyFont="1" applyFill="1" applyBorder="1" applyAlignment="1" applyProtection="1">
      <alignment horizontal="left" vertical="center"/>
    </xf>
    <xf numFmtId="39" fontId="23" fillId="0" borderId="74" xfId="0" applyNumberFormat="1" applyFont="1" applyFill="1" applyBorder="1" applyAlignment="1" applyProtection="1">
      <alignment horizontal="left" vertical="center"/>
    </xf>
    <xf numFmtId="0" fontId="77" fillId="12" borderId="0" xfId="10" applyFont="1" applyFill="1" applyAlignment="1">
      <alignment horizontal="center" vertical="center" wrapText="1"/>
    </xf>
    <xf numFmtId="4" fontId="74" fillId="0" borderId="0" xfId="0" applyNumberFormat="1" applyFont="1" applyFill="1" applyBorder="1" applyAlignment="1">
      <alignment horizontal="center" wrapText="1"/>
    </xf>
    <xf numFmtId="181" fontId="22" fillId="12" borderId="67" xfId="0" applyNumberFormat="1" applyFont="1" applyFill="1" applyBorder="1" applyAlignment="1" applyProtection="1">
      <alignment horizontal="center" vertical="center" wrapText="1"/>
    </xf>
    <xf numFmtId="181" fontId="22" fillId="12" borderId="68" xfId="0" applyNumberFormat="1" applyFont="1" applyFill="1" applyBorder="1" applyAlignment="1" applyProtection="1">
      <alignment horizontal="center" vertical="center" wrapText="1"/>
    </xf>
    <xf numFmtId="181" fontId="22" fillId="12" borderId="69" xfId="0" applyNumberFormat="1" applyFont="1" applyFill="1" applyBorder="1" applyAlignment="1" applyProtection="1">
      <alignment horizontal="center" vertical="center" wrapText="1"/>
    </xf>
    <xf numFmtId="39" fontId="23" fillId="0" borderId="71" xfId="0" applyNumberFormat="1" applyFont="1" applyFill="1" applyBorder="1" applyAlignment="1" applyProtection="1">
      <alignment vertical="center" wrapText="1"/>
    </xf>
    <xf numFmtId="39" fontId="23" fillId="0" borderId="72" xfId="0" applyNumberFormat="1" applyFont="1" applyFill="1" applyBorder="1" applyAlignment="1" applyProtection="1">
      <alignment vertical="center" wrapText="1"/>
    </xf>
    <xf numFmtId="39" fontId="23" fillId="0" borderId="73" xfId="0" applyNumberFormat="1" applyFont="1" applyFill="1" applyBorder="1" applyAlignment="1" applyProtection="1">
      <alignment vertical="center" wrapText="1"/>
    </xf>
    <xf numFmtId="0" fontId="78" fillId="0" borderId="0" xfId="10" applyFont="1" applyFill="1" applyBorder="1" applyAlignment="1">
      <alignment horizontal="left" vertical="center" wrapText="1"/>
    </xf>
    <xf numFmtId="4" fontId="48" fillId="0" borderId="0" xfId="0" applyNumberFormat="1" applyFont="1" applyFill="1" applyBorder="1" applyAlignment="1">
      <alignment horizontal="center" wrapText="1"/>
    </xf>
    <xf numFmtId="0" fontId="20" fillId="12" borderId="1" xfId="9" applyFont="1" applyFill="1" applyBorder="1" applyAlignment="1">
      <alignment vertical="center" wrapText="1"/>
    </xf>
    <xf numFmtId="0" fontId="20" fillId="12" borderId="1" xfId="9" applyFont="1" applyFill="1" applyBorder="1" applyAlignment="1">
      <alignment horizontal="center" wrapText="1"/>
    </xf>
    <xf numFmtId="0" fontId="73" fillId="12" borderId="1" xfId="9" applyFont="1" applyFill="1" applyBorder="1" applyAlignment="1">
      <alignment horizontal="center" wrapText="1"/>
    </xf>
    <xf numFmtId="4" fontId="50" fillId="12" borderId="84" xfId="0" applyNumberFormat="1" applyFont="1" applyFill="1" applyBorder="1" applyAlignment="1" applyProtection="1">
      <alignment horizontal="center" wrapText="1"/>
    </xf>
    <xf numFmtId="4" fontId="50" fillId="12" borderId="85" xfId="0" applyNumberFormat="1" applyFont="1" applyFill="1" applyBorder="1" applyAlignment="1" applyProtection="1">
      <alignment horizontal="center" wrapText="1"/>
    </xf>
    <xf numFmtId="4" fontId="50" fillId="12" borderId="84" xfId="0" applyNumberFormat="1" applyFont="1" applyFill="1" applyBorder="1" applyAlignment="1" applyProtection="1">
      <alignment horizontal="center"/>
    </xf>
    <xf numFmtId="4" fontId="50" fillId="12" borderId="85" xfId="0" applyNumberFormat="1" applyFont="1" applyFill="1" applyBorder="1" applyAlignment="1" applyProtection="1">
      <alignment horizontal="center"/>
    </xf>
    <xf numFmtId="181" fontId="50" fillId="12" borderId="89" xfId="0" applyNumberFormat="1" applyFont="1" applyFill="1" applyBorder="1" applyAlignment="1" applyProtection="1">
      <alignment horizontal="center" wrapText="1"/>
    </xf>
    <xf numFmtId="181" fontId="50" fillId="12" borderId="138" xfId="0" applyNumberFormat="1" applyFont="1" applyFill="1" applyBorder="1" applyAlignment="1" applyProtection="1">
      <alignment horizontal="center" wrapText="1"/>
    </xf>
    <xf numFmtId="181" fontId="20" fillId="5" borderId="1" xfId="0" applyNumberFormat="1" applyFont="1" applyFill="1" applyBorder="1" applyAlignment="1" applyProtection="1">
      <alignment horizontal="left" vertical="center" wrapText="1"/>
    </xf>
    <xf numFmtId="181" fontId="50" fillId="5" borderId="94" xfId="0" applyNumberFormat="1" applyFont="1" applyFill="1" applyBorder="1" applyAlignment="1" applyProtection="1">
      <alignment horizontal="center" wrapText="1"/>
    </xf>
    <xf numFmtId="181" fontId="50" fillId="5" borderId="97" xfId="0" applyNumberFormat="1" applyFont="1" applyFill="1" applyBorder="1" applyAlignment="1" applyProtection="1">
      <alignment horizontal="center" wrapText="1"/>
    </xf>
    <xf numFmtId="181" fontId="50" fillId="5" borderId="98" xfId="0" applyNumberFormat="1" applyFont="1" applyFill="1" applyBorder="1" applyAlignment="1" applyProtection="1">
      <alignment horizontal="center" wrapText="1"/>
    </xf>
    <xf numFmtId="0" fontId="20" fillId="5" borderId="84" xfId="0" applyNumberFormat="1" applyFont="1" applyFill="1" applyBorder="1" applyAlignment="1" applyProtection="1">
      <alignment horizontal="left" vertical="center" wrapText="1"/>
    </xf>
    <xf numFmtId="0" fontId="20" fillId="5" borderId="85" xfId="0" applyNumberFormat="1" applyFont="1" applyFill="1" applyBorder="1" applyAlignment="1" applyProtection="1">
      <alignment horizontal="left" vertical="center" wrapText="1"/>
    </xf>
    <xf numFmtId="0" fontId="86" fillId="12" borderId="0" xfId="0" applyNumberFormat="1" applyFont="1" applyFill="1" applyBorder="1" applyAlignment="1" applyProtection="1">
      <alignment horizontal="center"/>
    </xf>
    <xf numFmtId="4" fontId="50" fillId="12" borderId="67" xfId="0" applyNumberFormat="1" applyFont="1" applyFill="1" applyBorder="1" applyAlignment="1" applyProtection="1">
      <alignment horizontal="center"/>
    </xf>
    <xf numFmtId="4" fontId="50" fillId="12" borderId="68" xfId="0" applyNumberFormat="1" applyFont="1" applyFill="1" applyBorder="1" applyAlignment="1" applyProtection="1">
      <alignment horizontal="center"/>
    </xf>
    <xf numFmtId="4" fontId="50" fillId="12" borderId="69" xfId="0" applyNumberFormat="1" applyFont="1" applyFill="1" applyBorder="1" applyAlignment="1" applyProtection="1">
      <alignment horizontal="center"/>
    </xf>
    <xf numFmtId="181" fontId="50" fillId="12" borderId="84" xfId="0" applyNumberFormat="1" applyFont="1" applyFill="1" applyBorder="1" applyAlignment="1" applyProtection="1">
      <alignment horizontal="center" vertical="center" wrapText="1"/>
    </xf>
    <xf numFmtId="181" fontId="50" fillId="12" borderId="85" xfId="0" applyNumberFormat="1" applyFont="1" applyFill="1" applyBorder="1" applyAlignment="1" applyProtection="1">
      <alignment horizontal="center" vertical="center" wrapText="1"/>
    </xf>
    <xf numFmtId="4" fontId="23" fillId="5" borderId="27" xfId="0" applyNumberFormat="1" applyFont="1" applyFill="1" applyBorder="1" applyAlignment="1" applyProtection="1">
      <alignment horizontal="center"/>
    </xf>
    <xf numFmtId="4" fontId="23" fillId="5" borderId="52" xfId="0" applyNumberFormat="1" applyFont="1" applyFill="1" applyBorder="1" applyAlignment="1" applyProtection="1">
      <alignment horizontal="center"/>
    </xf>
    <xf numFmtId="4" fontId="23" fillId="5" borderId="34" xfId="0" applyNumberFormat="1" applyFont="1" applyFill="1" applyBorder="1" applyAlignment="1" applyProtection="1">
      <alignment horizontal="center"/>
    </xf>
    <xf numFmtId="4" fontId="22" fillId="5" borderId="1" xfId="0" applyNumberFormat="1" applyFont="1" applyFill="1" applyBorder="1" applyAlignment="1" applyProtection="1">
      <alignment horizontal="center"/>
    </xf>
    <xf numFmtId="181" fontId="22" fillId="0" borderId="27" xfId="0" applyNumberFormat="1" applyFont="1" applyFill="1" applyBorder="1" applyAlignment="1" applyProtection="1">
      <alignment horizontal="center" vertical="center"/>
    </xf>
    <xf numFmtId="181" fontId="22" fillId="0" borderId="52" xfId="0" applyNumberFormat="1" applyFont="1" applyFill="1" applyBorder="1" applyAlignment="1" applyProtection="1">
      <alignment horizontal="center" vertical="center"/>
    </xf>
    <xf numFmtId="181" fontId="22" fillId="0" borderId="34" xfId="0" applyNumberFormat="1" applyFont="1" applyFill="1" applyBorder="1" applyAlignment="1" applyProtection="1">
      <alignment horizontal="center" vertical="center"/>
    </xf>
    <xf numFmtId="0" fontId="74" fillId="12" borderId="0" xfId="0" applyNumberFormat="1" applyFont="1" applyFill="1" applyBorder="1" applyAlignment="1" applyProtection="1">
      <alignment horizontal="center"/>
    </xf>
    <xf numFmtId="4" fontId="22" fillId="12" borderId="1" xfId="0" applyNumberFormat="1" applyFont="1" applyFill="1" applyBorder="1" applyAlignment="1" applyProtection="1">
      <alignment horizontal="center"/>
    </xf>
    <xf numFmtId="0" fontId="20" fillId="0" borderId="1" xfId="14" applyFont="1" applyFill="1" applyBorder="1"/>
    <xf numFmtId="0" fontId="20" fillId="0" borderId="1" xfId="14" applyFont="1" applyFill="1" applyBorder="1" applyAlignment="1">
      <alignment horizontal="center" vertical="center"/>
    </xf>
    <xf numFmtId="0" fontId="50" fillId="0" borderId="1" xfId="14" applyFont="1" applyFill="1" applyBorder="1" applyAlignment="1">
      <alignment horizontal="left" vertical="center" wrapText="1"/>
    </xf>
    <xf numFmtId="0" fontId="8" fillId="0" borderId="0" xfId="14" applyFont="1" applyFill="1" applyBorder="1" applyAlignment="1">
      <alignment horizontal="right" vertical="center"/>
    </xf>
    <xf numFmtId="0" fontId="8" fillId="0" borderId="145" xfId="14" applyFont="1" applyFill="1" applyBorder="1" applyAlignment="1">
      <alignment horizontal="right" vertical="center"/>
    </xf>
    <xf numFmtId="0" fontId="50" fillId="40" borderId="1" xfId="14" applyFont="1" applyFill="1" applyBorder="1" applyAlignment="1">
      <alignment horizontal="center" vertical="center" wrapText="1"/>
    </xf>
    <xf numFmtId="0" fontId="8" fillId="40" borderId="1" xfId="14" applyFont="1" applyFill="1" applyBorder="1" applyAlignment="1">
      <alignment horizontal="center" vertical="center" wrapText="1"/>
    </xf>
    <xf numFmtId="0" fontId="101" fillId="0" borderId="1" xfId="14" applyFont="1" applyFill="1" applyBorder="1" applyAlignment="1">
      <alignment horizontal="left" vertical="center" indent="1"/>
    </xf>
    <xf numFmtId="0" fontId="1" fillId="40" borderId="1" xfId="0" applyFont="1" applyFill="1" applyBorder="1" applyAlignment="1">
      <alignment horizontal="center" wrapText="1"/>
    </xf>
    <xf numFmtId="0" fontId="50" fillId="40" borderId="1" xfId="14" applyFont="1" applyFill="1" applyBorder="1" applyAlignment="1">
      <alignment horizontal="center" vertical="center"/>
    </xf>
    <xf numFmtId="0" fontId="101" fillId="0" borderId="1" xfId="14" applyFont="1" applyFill="1" applyBorder="1" applyAlignment="1">
      <alignment horizontal="left" vertical="center"/>
    </xf>
    <xf numFmtId="0" fontId="8" fillId="0" borderId="1" xfId="14" applyFont="1" applyFill="1" applyBorder="1" applyAlignment="1">
      <alignment horizontal="left" vertical="center" wrapText="1"/>
    </xf>
    <xf numFmtId="0" fontId="8" fillId="0" borderId="1" xfId="14" applyFont="1" applyFill="1" applyBorder="1" applyAlignment="1">
      <alignment horizontal="left" vertical="center"/>
    </xf>
    <xf numFmtId="0" fontId="20" fillId="0" borderId="108" xfId="14" applyFont="1" applyFill="1" applyBorder="1" applyAlignment="1">
      <alignment horizontal="center" vertical="center" wrapText="1"/>
    </xf>
    <xf numFmtId="0" fontId="20" fillId="0" borderId="141" xfId="14" applyFont="1" applyFill="1" applyBorder="1" applyAlignment="1">
      <alignment horizontal="center" vertical="center" wrapText="1"/>
    </xf>
    <xf numFmtId="0" fontId="20" fillId="0" borderId="41" xfId="14" applyFont="1" applyFill="1" applyBorder="1" applyAlignment="1">
      <alignment horizontal="center" vertical="center" wrapText="1"/>
    </xf>
    <xf numFmtId="0" fontId="20" fillId="0" borderId="142" xfId="14" applyFont="1" applyFill="1" applyBorder="1" applyAlignment="1">
      <alignment horizontal="center" vertical="center" wrapText="1"/>
    </xf>
    <xf numFmtId="0" fontId="8" fillId="40" borderId="1" xfId="14" applyFont="1" applyFill="1" applyBorder="1" applyAlignment="1">
      <alignment horizontal="center" vertical="center"/>
    </xf>
    <xf numFmtId="0" fontId="101" fillId="0" borderId="16" xfId="14" applyFont="1" applyFill="1" applyBorder="1" applyAlignment="1">
      <alignment horizontal="justify" vertical="center"/>
    </xf>
    <xf numFmtId="0" fontId="20" fillId="0" borderId="140" xfId="14" applyFont="1" applyFill="1" applyBorder="1" applyAlignment="1">
      <alignment horizontal="center" vertical="center"/>
    </xf>
    <xf numFmtId="0" fontId="20" fillId="0" borderId="141" xfId="14" applyFont="1" applyFill="1" applyBorder="1" applyAlignment="1">
      <alignment horizontal="center" vertical="center"/>
    </xf>
    <xf numFmtId="0" fontId="20" fillId="0" borderId="41" xfId="14" applyFont="1" applyFill="1" applyBorder="1" applyAlignment="1">
      <alignment horizontal="center" vertical="center"/>
    </xf>
    <xf numFmtId="0" fontId="20" fillId="0" borderId="22" xfId="2" applyFont="1" applyBorder="1" applyAlignment="1">
      <alignment horizontal="center"/>
    </xf>
    <xf numFmtId="0" fontId="20" fillId="0" borderId="25" xfId="2" applyFont="1" applyBorder="1" applyAlignment="1">
      <alignment horizontal="center"/>
    </xf>
    <xf numFmtId="0" fontId="50" fillId="17" borderId="13" xfId="14" applyFont="1" applyFill="1" applyBorder="1" applyAlignment="1">
      <alignment horizontal="center" vertical="center"/>
    </xf>
    <xf numFmtId="0" fontId="50" fillId="17" borderId="14" xfId="14" applyFont="1" applyFill="1" applyBorder="1" applyAlignment="1">
      <alignment horizontal="center" vertical="center"/>
    </xf>
    <xf numFmtId="0" fontId="50" fillId="17" borderId="16" xfId="14" applyFont="1" applyFill="1" applyBorder="1" applyAlignment="1">
      <alignment horizontal="center" vertical="center"/>
    </xf>
    <xf numFmtId="0" fontId="50" fillId="17" borderId="1" xfId="14" applyFont="1" applyFill="1" applyBorder="1" applyAlignment="1">
      <alignment horizontal="center" vertical="center"/>
    </xf>
    <xf numFmtId="0" fontId="105" fillId="17" borderId="14" xfId="14" applyFont="1" applyFill="1" applyBorder="1" applyAlignment="1">
      <alignment horizontal="center" vertical="center" wrapText="1"/>
    </xf>
    <xf numFmtId="0" fontId="105" fillId="17" borderId="15" xfId="14" applyFont="1" applyFill="1" applyBorder="1" applyAlignment="1">
      <alignment horizontal="center" vertical="center" wrapText="1"/>
    </xf>
    <xf numFmtId="0" fontId="105" fillId="7" borderId="112" xfId="2" applyFont="1" applyFill="1" applyBorder="1" applyAlignment="1">
      <alignment horizontal="center" vertical="center" wrapText="1"/>
    </xf>
    <xf numFmtId="0" fontId="105" fillId="7" borderId="115" xfId="2" applyFont="1" applyFill="1" applyBorder="1" applyAlignment="1">
      <alignment horizontal="center" vertical="center" wrapText="1"/>
    </xf>
    <xf numFmtId="0" fontId="50" fillId="7" borderId="27" xfId="0" applyFont="1" applyFill="1" applyBorder="1" applyAlignment="1">
      <alignment horizontal="left"/>
    </xf>
    <xf numFmtId="0" fontId="50" fillId="7" borderId="52" xfId="0" applyFont="1" applyFill="1" applyBorder="1" applyAlignment="1">
      <alignment horizontal="left"/>
    </xf>
    <xf numFmtId="0" fontId="50" fillId="7" borderId="34" xfId="0" applyFont="1" applyFill="1" applyBorder="1" applyAlignment="1">
      <alignment horizontal="left"/>
    </xf>
    <xf numFmtId="0" fontId="20" fillId="7" borderId="27" xfId="0" applyFont="1" applyFill="1" applyBorder="1" applyAlignment="1">
      <alignment horizontal="left"/>
    </xf>
    <xf numFmtId="0" fontId="20" fillId="7" borderId="52" xfId="0" applyFont="1" applyFill="1" applyBorder="1" applyAlignment="1">
      <alignment horizontal="left"/>
    </xf>
    <xf numFmtId="0" fontId="20" fillId="7" borderId="34" xfId="0" applyFont="1" applyFill="1" applyBorder="1" applyAlignment="1">
      <alignment horizontal="left"/>
    </xf>
    <xf numFmtId="0" fontId="105" fillId="7" borderId="143" xfId="2" applyFont="1" applyFill="1" applyBorder="1" applyAlignment="1">
      <alignment horizontal="center" vertical="center" wrapText="1"/>
    </xf>
    <xf numFmtId="0" fontId="137" fillId="32" borderId="32" xfId="0" applyFont="1" applyFill="1" applyBorder="1" applyAlignment="1">
      <alignment horizontal="center"/>
    </xf>
    <xf numFmtId="0" fontId="20" fillId="7" borderId="28" xfId="0" applyFont="1" applyFill="1" applyBorder="1" applyAlignment="1">
      <alignment horizontal="center" vertical="center" wrapText="1"/>
    </xf>
    <xf numFmtId="0" fontId="20" fillId="7" borderId="26" xfId="0" applyFont="1" applyFill="1" applyBorder="1" applyAlignment="1">
      <alignment horizontal="center" vertical="center" wrapText="1"/>
    </xf>
    <xf numFmtId="0" fontId="20" fillId="7" borderId="31" xfId="0" applyFont="1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wrapText="1"/>
    </xf>
    <xf numFmtId="0" fontId="0" fillId="7" borderId="26" xfId="0" applyFill="1" applyBorder="1" applyAlignment="1">
      <alignment horizontal="center" wrapText="1"/>
    </xf>
    <xf numFmtId="0" fontId="0" fillId="7" borderId="31" xfId="0" applyFill="1" applyBorder="1" applyAlignment="1">
      <alignment horizontal="center" wrapText="1"/>
    </xf>
    <xf numFmtId="0" fontId="116" fillId="37" borderId="32" xfId="0" applyFont="1" applyFill="1" applyBorder="1" applyAlignment="1">
      <alignment horizontal="center"/>
    </xf>
    <xf numFmtId="44" fontId="143" fillId="40" borderId="111" xfId="12" applyFont="1" applyFill="1" applyBorder="1" applyAlignment="1">
      <alignment horizontal="center" vertical="center"/>
    </xf>
    <xf numFmtId="44" fontId="143" fillId="40" borderId="125" xfId="12" applyFont="1" applyFill="1" applyBorder="1" applyAlignment="1">
      <alignment horizontal="center" vertical="center"/>
    </xf>
    <xf numFmtId="44" fontId="143" fillId="40" borderId="122" xfId="12" applyFont="1" applyFill="1" applyBorder="1" applyAlignment="1">
      <alignment horizontal="center" vertical="center"/>
    </xf>
    <xf numFmtId="44" fontId="2" fillId="40" borderId="111" xfId="12" applyFont="1" applyFill="1" applyBorder="1" applyAlignment="1">
      <alignment horizontal="center" vertical="center"/>
    </xf>
    <xf numFmtId="44" fontId="2" fillId="40" borderId="125" xfId="12" applyFont="1" applyFill="1" applyBorder="1" applyAlignment="1">
      <alignment horizontal="center" vertical="center"/>
    </xf>
    <xf numFmtId="44" fontId="2" fillId="40" borderId="122" xfId="12" applyFont="1" applyFill="1" applyBorder="1" applyAlignment="1">
      <alignment horizontal="center" vertical="center"/>
    </xf>
    <xf numFmtId="44" fontId="101" fillId="40" borderId="111" xfId="0" applyNumberFormat="1" applyFont="1" applyFill="1" applyBorder="1" applyAlignment="1">
      <alignment horizontal="center" vertical="center"/>
    </xf>
    <xf numFmtId="44" fontId="101" fillId="40" borderId="125" xfId="0" applyNumberFormat="1" applyFont="1" applyFill="1" applyBorder="1" applyAlignment="1">
      <alignment horizontal="center" vertical="center"/>
    </xf>
    <xf numFmtId="44" fontId="101" fillId="40" borderId="122" xfId="0" applyNumberFormat="1" applyFont="1" applyFill="1" applyBorder="1" applyAlignment="1">
      <alignment horizontal="center" vertical="center"/>
    </xf>
    <xf numFmtId="44" fontId="101" fillId="0" borderId="111" xfId="0" applyNumberFormat="1" applyFont="1" applyBorder="1" applyAlignment="1">
      <alignment horizontal="center" vertical="center"/>
    </xf>
    <xf numFmtId="44" fontId="101" fillId="0" borderId="125" xfId="0" applyNumberFormat="1" applyFont="1" applyBorder="1" applyAlignment="1">
      <alignment horizontal="center" vertical="center"/>
    </xf>
    <xf numFmtId="44" fontId="101" fillId="0" borderId="122" xfId="0" applyNumberFormat="1" applyFont="1" applyBorder="1" applyAlignment="1">
      <alignment horizontal="center" vertical="center"/>
    </xf>
    <xf numFmtId="0" fontId="45" fillId="17" borderId="27" xfId="0" applyFont="1" applyFill="1" applyBorder="1" applyAlignment="1">
      <alignment horizontal="center" wrapText="1"/>
    </xf>
    <xf numFmtId="0" fontId="45" fillId="17" borderId="52" xfId="0" applyFont="1" applyFill="1" applyBorder="1" applyAlignment="1">
      <alignment horizontal="center" wrapText="1"/>
    </xf>
    <xf numFmtId="0" fontId="45" fillId="17" borderId="34" xfId="0" applyFont="1" applyFill="1" applyBorder="1" applyAlignment="1">
      <alignment horizontal="center" wrapText="1"/>
    </xf>
    <xf numFmtId="0" fontId="117" fillId="17" borderId="28" xfId="0" applyFont="1" applyFill="1" applyBorder="1" applyAlignment="1">
      <alignment horizontal="center" vertical="center" wrapText="1"/>
    </xf>
    <xf numFmtId="0" fontId="117" fillId="17" borderId="31" xfId="0" applyFont="1" applyFill="1" applyBorder="1" applyAlignment="1">
      <alignment horizontal="center" vertical="center" wrapText="1"/>
    </xf>
    <xf numFmtId="0" fontId="138" fillId="42" borderId="127" xfId="0" applyFont="1" applyFill="1" applyBorder="1" applyAlignment="1">
      <alignment horizontal="left" vertical="center" wrapText="1"/>
    </xf>
    <xf numFmtId="0" fontId="138" fillId="42" borderId="128" xfId="0" applyFont="1" applyFill="1" applyBorder="1" applyAlignment="1">
      <alignment horizontal="left" vertical="center" wrapText="1"/>
    </xf>
    <xf numFmtId="0" fontId="138" fillId="42" borderId="129" xfId="0" applyFont="1" applyFill="1" applyBorder="1" applyAlignment="1">
      <alignment horizontal="left" vertical="center" wrapText="1"/>
    </xf>
    <xf numFmtId="0" fontId="142" fillId="0" borderId="127" xfId="0" applyFont="1" applyFill="1" applyBorder="1" applyAlignment="1">
      <alignment horizontal="left" vertical="center" wrapText="1"/>
    </xf>
    <xf numFmtId="0" fontId="142" fillId="0" borderId="128" xfId="0" applyFont="1" applyFill="1" applyBorder="1" applyAlignment="1">
      <alignment horizontal="left" vertical="center" wrapText="1"/>
    </xf>
    <xf numFmtId="0" fontId="142" fillId="0" borderId="129" xfId="0" applyFont="1" applyFill="1" applyBorder="1" applyAlignment="1">
      <alignment horizontal="left" vertical="center" wrapText="1"/>
    </xf>
    <xf numFmtId="0" fontId="120" fillId="0" borderId="127" xfId="0" applyFont="1" applyFill="1" applyBorder="1" applyAlignment="1">
      <alignment horizontal="left" vertical="center" wrapText="1"/>
    </xf>
    <xf numFmtId="0" fontId="120" fillId="0" borderId="128" xfId="0" applyFont="1" applyFill="1" applyBorder="1" applyAlignment="1">
      <alignment horizontal="left" vertical="center" wrapText="1"/>
    </xf>
    <xf numFmtId="0" fontId="120" fillId="0" borderId="129" xfId="0" applyFont="1" applyFill="1" applyBorder="1" applyAlignment="1">
      <alignment horizontal="left" vertical="center" wrapText="1"/>
    </xf>
    <xf numFmtId="0" fontId="8" fillId="40" borderId="130" xfId="0" applyFont="1" applyFill="1" applyBorder="1" applyAlignment="1">
      <alignment horizontal="center" vertical="center" wrapText="1"/>
    </xf>
    <xf numFmtId="0" fontId="8" fillId="40" borderId="131" xfId="0" applyFont="1" applyFill="1" applyBorder="1" applyAlignment="1">
      <alignment horizontal="center" vertical="center" wrapText="1"/>
    </xf>
    <xf numFmtId="0" fontId="8" fillId="40" borderId="132" xfId="0" applyFont="1" applyFill="1" applyBorder="1" applyAlignment="1">
      <alignment horizontal="center" vertical="center" wrapText="1"/>
    </xf>
    <xf numFmtId="0" fontId="101" fillId="17" borderId="111" xfId="0" applyFont="1" applyFill="1" applyBorder="1" applyAlignment="1">
      <alignment horizontal="center" vertical="center" wrapText="1"/>
    </xf>
    <xf numFmtId="0" fontId="101" fillId="17" borderId="125" xfId="0" applyFont="1" applyFill="1" applyBorder="1" applyAlignment="1">
      <alignment horizontal="center" vertical="center" wrapText="1"/>
    </xf>
    <xf numFmtId="0" fontId="101" fillId="17" borderId="122" xfId="0" applyFont="1" applyFill="1" applyBorder="1" applyAlignment="1">
      <alignment horizontal="center" vertical="center" wrapText="1"/>
    </xf>
    <xf numFmtId="0" fontId="101" fillId="0" borderId="118" xfId="0" applyFont="1" applyFill="1" applyBorder="1" applyAlignment="1">
      <alignment horizontal="left" vertical="center" wrapText="1" indent="2"/>
    </xf>
    <xf numFmtId="0" fontId="101" fillId="0" borderId="119" xfId="0" applyFont="1" applyFill="1" applyBorder="1" applyAlignment="1">
      <alignment horizontal="left" vertical="center" wrapText="1" indent="2"/>
    </xf>
    <xf numFmtId="0" fontId="101" fillId="0" borderId="120" xfId="0" applyFont="1" applyFill="1" applyBorder="1" applyAlignment="1">
      <alignment horizontal="left" vertical="center" wrapText="1" indent="2"/>
    </xf>
    <xf numFmtId="0" fontId="134" fillId="11" borderId="28" xfId="0" applyFont="1" applyFill="1" applyBorder="1" applyAlignment="1">
      <alignment horizontal="center" vertical="center"/>
    </xf>
    <xf numFmtId="0" fontId="134" fillId="11" borderId="31" xfId="0" applyFont="1" applyFill="1" applyBorder="1" applyAlignment="1">
      <alignment horizontal="center" vertical="center"/>
    </xf>
    <xf numFmtId="0" fontId="133" fillId="26" borderId="0" xfId="0" applyFont="1" applyFill="1" applyAlignment="1">
      <alignment horizontal="center" vertical="center"/>
    </xf>
    <xf numFmtId="0" fontId="76" fillId="11" borderId="28" xfId="0" applyFont="1" applyFill="1" applyBorder="1" applyAlignment="1">
      <alignment horizontal="center" vertical="center"/>
    </xf>
    <xf numFmtId="0" fontId="76" fillId="11" borderId="26" xfId="0" applyFont="1" applyFill="1" applyBorder="1" applyAlignment="1">
      <alignment horizontal="center" vertical="center"/>
    </xf>
    <xf numFmtId="0" fontId="76" fillId="11" borderId="31" xfId="0" applyFont="1" applyFill="1" applyBorder="1" applyAlignment="1">
      <alignment horizontal="center" vertical="center"/>
    </xf>
    <xf numFmtId="0" fontId="76" fillId="11" borderId="1" xfId="0" applyFont="1" applyFill="1" applyBorder="1" applyAlignment="1">
      <alignment horizontal="center"/>
    </xf>
    <xf numFmtId="0" fontId="76" fillId="11" borderId="28" xfId="0" applyFont="1" applyFill="1" applyBorder="1" applyAlignment="1">
      <alignment horizontal="justify" vertical="center"/>
    </xf>
    <xf numFmtId="0" fontId="76" fillId="11" borderId="31" xfId="0" applyFont="1" applyFill="1" applyBorder="1" applyAlignment="1">
      <alignment horizontal="justify" vertical="center"/>
    </xf>
    <xf numFmtId="0" fontId="145" fillId="0" borderId="16" xfId="2" applyFont="1" applyFill="1" applyBorder="1" applyAlignment="1">
      <alignment vertical="center" wrapText="1"/>
    </xf>
    <xf numFmtId="0" fontId="111" fillId="0" borderId="0" xfId="14" applyFont="1" applyFill="1" applyBorder="1" applyAlignment="1">
      <alignment vertical="center" wrapText="1"/>
    </xf>
    <xf numFmtId="188" fontId="40" fillId="0" borderId="0" xfId="3" applyNumberFormat="1" applyFont="1" applyFill="1" applyBorder="1" applyAlignment="1">
      <alignment horizontal="right" vertical="center" wrapText="1"/>
    </xf>
    <xf numFmtId="0" fontId="130" fillId="0" borderId="0" xfId="0" applyFont="1" applyFill="1"/>
    <xf numFmtId="44" fontId="130" fillId="0" borderId="0" xfId="12" applyFont="1" applyFill="1"/>
    <xf numFmtId="0" fontId="130" fillId="0" borderId="0" xfId="0" applyFont="1"/>
    <xf numFmtId="0" fontId="130" fillId="0" borderId="0" xfId="0" applyFont="1" applyFill="1" applyBorder="1"/>
    <xf numFmtId="44" fontId="130" fillId="0" borderId="0" xfId="12" applyFont="1" applyFill="1" applyBorder="1"/>
    <xf numFmtId="177" fontId="130" fillId="0" borderId="0" xfId="0" applyNumberFormat="1" applyFont="1" applyFill="1" applyBorder="1"/>
    <xf numFmtId="0" fontId="131" fillId="0" borderId="0" xfId="0" applyFont="1" applyFill="1" applyBorder="1"/>
    <xf numFmtId="0" fontId="131" fillId="0" borderId="0" xfId="0" applyFont="1" applyFill="1" applyBorder="1" applyAlignment="1">
      <alignment horizontal="center" vertical="center" wrapText="1"/>
    </xf>
    <xf numFmtId="44" fontId="138" fillId="0" borderId="1" xfId="12" applyFont="1" applyFill="1" applyBorder="1" applyAlignment="1">
      <alignment horizontal="center" vertical="center" wrapText="1"/>
    </xf>
    <xf numFmtId="44" fontId="138" fillId="0" borderId="0" xfId="12" applyFont="1" applyFill="1" applyBorder="1" applyAlignment="1">
      <alignment horizontal="center" vertical="center" wrapText="1"/>
    </xf>
    <xf numFmtId="0" fontId="138" fillId="0" borderId="0" xfId="0" applyFont="1" applyFill="1" applyBorder="1" applyAlignment="1">
      <alignment horizontal="center" vertical="center" wrapText="1"/>
    </xf>
    <xf numFmtId="0" fontId="138" fillId="0" borderId="36" xfId="0" applyFont="1" applyFill="1" applyBorder="1" applyAlignment="1">
      <alignment horizontal="center" vertical="center" wrapText="1"/>
    </xf>
    <xf numFmtId="0" fontId="138" fillId="0" borderId="33" xfId="0" applyFont="1" applyFill="1" applyBorder="1" applyAlignment="1">
      <alignment horizontal="center" vertical="center" wrapText="1"/>
    </xf>
    <xf numFmtId="0" fontId="131" fillId="0" borderId="0" xfId="0" applyFont="1"/>
    <xf numFmtId="44" fontId="131" fillId="0" borderId="0" xfId="12" applyFont="1" applyFill="1" applyBorder="1"/>
    <xf numFmtId="0" fontId="138" fillId="0" borderId="59" xfId="0" applyFont="1" applyFill="1" applyBorder="1" applyAlignment="1">
      <alignment horizontal="center" vertical="center" wrapText="1"/>
    </xf>
    <xf numFmtId="0" fontId="138" fillId="0" borderId="4" xfId="0" applyFont="1" applyFill="1" applyBorder="1" applyAlignment="1">
      <alignment horizontal="center" vertical="center" wrapText="1"/>
    </xf>
    <xf numFmtId="43" fontId="131" fillId="0" borderId="0" xfId="0" applyNumberFormat="1" applyFont="1" applyFill="1" applyBorder="1"/>
    <xf numFmtId="0" fontId="131" fillId="0" borderId="55" xfId="0" applyFont="1" applyFill="1" applyBorder="1" applyAlignment="1">
      <alignment vertical="center" wrapText="1"/>
    </xf>
    <xf numFmtId="0" fontId="131" fillId="0" borderId="23" xfId="0" applyFont="1" applyFill="1" applyBorder="1" applyAlignment="1">
      <alignment horizontal="center" vertical="center" wrapText="1"/>
    </xf>
    <xf numFmtId="0" fontId="131" fillId="0" borderId="59" xfId="0" applyFont="1" applyFill="1" applyBorder="1" applyAlignment="1">
      <alignment vertical="center" wrapText="1"/>
    </xf>
    <xf numFmtId="0" fontId="131" fillId="0" borderId="4" xfId="0" applyFont="1" applyFill="1" applyBorder="1" applyAlignment="1">
      <alignment horizontal="center" vertical="center" wrapText="1"/>
    </xf>
    <xf numFmtId="44" fontId="131" fillId="0" borderId="0" xfId="0" applyNumberFormat="1" applyFont="1" applyFill="1" applyBorder="1"/>
    <xf numFmtId="44" fontId="131" fillId="0" borderId="0" xfId="0" applyNumberFormat="1" applyFont="1"/>
    <xf numFmtId="179" fontId="131" fillId="0" borderId="0" xfId="0" applyNumberFormat="1" applyFont="1" applyFill="1" applyBorder="1"/>
    <xf numFmtId="0" fontId="138" fillId="0" borderId="0" xfId="0" applyFont="1" applyFill="1"/>
    <xf numFmtId="43" fontId="138" fillId="0" borderId="0" xfId="0" applyNumberFormat="1" applyFont="1" applyFill="1" applyBorder="1"/>
    <xf numFmtId="44" fontId="138" fillId="0" borderId="0" xfId="12" applyFont="1" applyFill="1" applyBorder="1"/>
    <xf numFmtId="0" fontId="138" fillId="0" borderId="0" xfId="0" applyFont="1" applyFill="1" applyBorder="1"/>
    <xf numFmtId="0" fontId="138" fillId="0" borderId="0" xfId="0" applyFont="1"/>
    <xf numFmtId="0" fontId="131" fillId="0" borderId="0" xfId="0" applyFont="1" applyFill="1"/>
    <xf numFmtId="43" fontId="138" fillId="0" borderId="0" xfId="0" applyNumberFormat="1" applyFont="1" applyFill="1"/>
    <xf numFmtId="0" fontId="131" fillId="0" borderId="0" xfId="0" applyFont="1" applyBorder="1"/>
    <xf numFmtId="43" fontId="131" fillId="0" borderId="0" xfId="0" applyNumberFormat="1" applyFont="1" applyFill="1"/>
    <xf numFmtId="44" fontId="130" fillId="0" borderId="0" xfId="12" applyFont="1"/>
    <xf numFmtId="0" fontId="130" fillId="0" borderId="0" xfId="0" applyFont="1" applyBorder="1"/>
    <xf numFmtId="0" fontId="131" fillId="0" borderId="0" xfId="0" applyFont="1" applyFill="1" applyBorder="1" applyAlignment="1">
      <alignment vertical="center" wrapText="1"/>
    </xf>
    <xf numFmtId="44" fontId="131" fillId="0" borderId="0" xfId="0" applyNumberFormat="1" applyFont="1" applyBorder="1"/>
    <xf numFmtId="0" fontId="138" fillId="0" borderId="0" xfId="0" applyFont="1" applyBorder="1"/>
    <xf numFmtId="2" fontId="131" fillId="0" borderId="0" xfId="0" applyNumberFormat="1" applyFont="1" applyFill="1" applyBorder="1"/>
    <xf numFmtId="179" fontId="138" fillId="0" borderId="0" xfId="0" applyNumberFormat="1" applyFont="1" applyFill="1" applyBorder="1"/>
    <xf numFmtId="2" fontId="138" fillId="0" borderId="0" xfId="0" applyNumberFormat="1" applyFont="1" applyFill="1" applyBorder="1"/>
    <xf numFmtId="164" fontId="138" fillId="0" borderId="0" xfId="0" applyNumberFormat="1" applyFont="1" applyFill="1"/>
    <xf numFmtId="179" fontId="131" fillId="0" borderId="0" xfId="0" applyNumberFormat="1" applyFont="1" applyFill="1"/>
    <xf numFmtId="164" fontId="131" fillId="0" borderId="0" xfId="0" applyNumberFormat="1" applyFont="1" applyFill="1"/>
    <xf numFmtId="44" fontId="131" fillId="0" borderId="0" xfId="12" applyFont="1"/>
    <xf numFmtId="4" fontId="131" fillId="0" borderId="0" xfId="0" applyNumberFormat="1" applyFont="1" applyFill="1" applyBorder="1"/>
    <xf numFmtId="164" fontId="131" fillId="0" borderId="0" xfId="0" applyNumberFormat="1" applyFont="1" applyFill="1" applyBorder="1"/>
    <xf numFmtId="0" fontId="131" fillId="0" borderId="0" xfId="0" applyFont="1" applyFill="1" applyBorder="1" applyAlignment="1">
      <alignment horizontal="center"/>
    </xf>
    <xf numFmtId="44" fontId="131" fillId="0" borderId="0" xfId="12" applyFont="1" applyFill="1"/>
    <xf numFmtId="0" fontId="131" fillId="0" borderId="0" xfId="0" applyFont="1" applyFill="1" applyAlignment="1">
      <alignment horizontal="center" vertical="center"/>
    </xf>
    <xf numFmtId="0" fontId="131" fillId="0" borderId="0" xfId="0" applyFont="1" applyFill="1" applyAlignment="1">
      <alignment horizontal="center"/>
    </xf>
    <xf numFmtId="0" fontId="131" fillId="0" borderId="0" xfId="0" applyFont="1" applyFill="1" applyAlignment="1"/>
    <xf numFmtId="44" fontId="131" fillId="0" borderId="0" xfId="12" applyFont="1" applyFill="1" applyAlignment="1">
      <alignment horizontal="right"/>
    </xf>
    <xf numFmtId="43" fontId="131" fillId="0" borderId="0" xfId="0" applyNumberFormat="1" applyFont="1"/>
    <xf numFmtId="0" fontId="138" fillId="23" borderId="1" xfId="0" applyFont="1" applyFill="1" applyBorder="1"/>
    <xf numFmtId="4" fontId="131" fillId="23" borderId="1" xfId="0" quotePrefix="1" applyNumberFormat="1" applyFont="1" applyFill="1" applyBorder="1" applyAlignment="1">
      <alignment horizontal="center"/>
    </xf>
    <xf numFmtId="0" fontId="131" fillId="22" borderId="1" xfId="0" applyFont="1" applyFill="1" applyBorder="1"/>
    <xf numFmtId="4" fontId="131" fillId="22" borderId="1" xfId="0" applyNumberFormat="1" applyFont="1" applyFill="1" applyBorder="1" applyAlignment="1">
      <alignment horizontal="center"/>
    </xf>
    <xf numFmtId="44" fontId="131" fillId="0" borderId="0" xfId="12" applyFont="1" applyFill="1" applyBorder="1" applyAlignment="1">
      <alignment horizontal="right"/>
    </xf>
    <xf numFmtId="0" fontId="138" fillId="26" borderId="0" xfId="0" applyFont="1" applyFill="1"/>
    <xf numFmtId="4" fontId="138" fillId="26" borderId="0" xfId="0" applyNumberFormat="1" applyFont="1" applyFill="1" applyAlignment="1">
      <alignment horizontal="center"/>
    </xf>
    <xf numFmtId="0" fontId="131" fillId="0" borderId="0" xfId="0" applyFont="1" applyAlignment="1">
      <alignment horizontal="center"/>
    </xf>
    <xf numFmtId="0" fontId="131" fillId="0" borderId="0" xfId="0" applyFont="1" applyAlignment="1">
      <alignment horizontal="center" vertical="center"/>
    </xf>
    <xf numFmtId="0" fontId="131" fillId="0" borderId="0" xfId="0" applyFont="1" applyAlignment="1"/>
    <xf numFmtId="0" fontId="130" fillId="0" borderId="0" xfId="0" applyFont="1" applyAlignment="1">
      <alignment horizontal="center" vertical="center"/>
    </xf>
    <xf numFmtId="0" fontId="130" fillId="0" borderId="0" xfId="0" applyFont="1" applyAlignment="1">
      <alignment horizontal="center"/>
    </xf>
    <xf numFmtId="0" fontId="130" fillId="0" borderId="0" xfId="0" applyFont="1" applyAlignment="1"/>
  </cellXfs>
  <cellStyles count="15">
    <cellStyle name="20% - Énfasis1" xfId="13" builtinId="30"/>
    <cellStyle name="Millares" xfId="3" builtinId="3"/>
    <cellStyle name="Millares 2" xfId="8"/>
    <cellStyle name="Millares 2 2 2 2" xfId="11"/>
    <cellStyle name="Moneda" xfId="12" builtinId="4"/>
    <cellStyle name="Normal" xfId="0" builtinId="0"/>
    <cellStyle name="Normal 2" xfId="2"/>
    <cellStyle name="Normal 2 2" xfId="14"/>
    <cellStyle name="Normal_GASTOSGENERALES_FF-08" xfId="10"/>
    <cellStyle name="Normal_IEC11013" xfId="5"/>
    <cellStyle name="Normal_IEC11028" xfId="7"/>
    <cellStyle name="Normal_IEC11040" xfId="6"/>
    <cellStyle name="Normal_PRESUPUESTOGENERAL_FF-07" xfId="9"/>
    <cellStyle name="Porcentaje" xfId="1" builtinId="5"/>
    <cellStyle name="style1537492310522 2" xfId="4"/>
  </cellStyles>
  <dxfs count="340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Tasa</a:t>
            </a:r>
            <a:r>
              <a:rPr lang="es-PE" baseline="0"/>
              <a:t> de crecimiento</a:t>
            </a:r>
            <a:endParaRPr lang="es-PE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'TC% CONS PERCAP'!$C$5:$H$5</c:f>
              <c:strCache>
                <c:ptCount val="6"/>
                <c:pt idx="0">
                  <c:v>1940-1961</c:v>
                </c:pt>
                <c:pt idx="1">
                  <c:v>1961-1972</c:v>
                </c:pt>
                <c:pt idx="2">
                  <c:v>1972-1981</c:v>
                </c:pt>
                <c:pt idx="3">
                  <c:v>1981-1993</c:v>
                </c:pt>
                <c:pt idx="4">
                  <c:v>1993-2007  </c:v>
                </c:pt>
                <c:pt idx="5">
                  <c:v>2007-2017  </c:v>
                </c:pt>
              </c:strCache>
            </c:strRef>
          </c:cat>
          <c:val>
            <c:numRef>
              <c:f>'TC% CONS PERCAP'!$C$6:$H$6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0.5</c:v>
                </c:pt>
                <c:pt idx="3">
                  <c:v>1.4</c:v>
                </c:pt>
                <c:pt idx="4">
                  <c:v>0.4</c:v>
                </c:pt>
                <c:pt idx="5" formatCode="#,##0.00_ ;\-#,##0.00\ 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8D-450D-AFD9-706D7D05B2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0255488"/>
        <c:axId val="110971136"/>
        <c:axId val="82170752"/>
      </c:line3DChart>
      <c:catAx>
        <c:axId val="110255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0971136"/>
        <c:crosses val="autoZero"/>
        <c:auto val="1"/>
        <c:lblAlgn val="ctr"/>
        <c:lblOffset val="100"/>
        <c:noMultiLvlLbl val="0"/>
      </c:catAx>
      <c:valAx>
        <c:axId val="1109711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0255488"/>
        <c:crosses val="autoZero"/>
        <c:crossBetween val="between"/>
      </c:valAx>
      <c:serAx>
        <c:axId val="82170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0971136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Oferta del Programa a Comer Pescado por Provincias - 2019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Ton.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[1]Oferta_Pescados!$B$188:$H$188</c:f>
              <c:strCache>
                <c:ptCount val="7"/>
                <c:pt idx="0">
                  <c:v>ABANCAY</c:v>
                </c:pt>
                <c:pt idx="1">
                  <c:v>ANDAHUAYLAS</c:v>
                </c:pt>
                <c:pt idx="2">
                  <c:v>ANTABAMBA</c:v>
                </c:pt>
                <c:pt idx="3">
                  <c:v>AYMARAES</c:v>
                </c:pt>
                <c:pt idx="4">
                  <c:v>CHINCHEROS</c:v>
                </c:pt>
                <c:pt idx="5">
                  <c:v>COTABAMBAS</c:v>
                </c:pt>
                <c:pt idx="6">
                  <c:v>GRAU</c:v>
                </c:pt>
              </c:strCache>
            </c:strRef>
          </c:cat>
          <c:val>
            <c:numRef>
              <c:f>[1]Oferta_Pescados!$B$189:$H$189</c:f>
              <c:numCache>
                <c:formatCode>General</c:formatCode>
                <c:ptCount val="7"/>
                <c:pt idx="0">
                  <c:v>38.615000000000002</c:v>
                </c:pt>
                <c:pt idx="1">
                  <c:v>23.62</c:v>
                </c:pt>
                <c:pt idx="2">
                  <c:v>2.5000000000000001E-2</c:v>
                </c:pt>
                <c:pt idx="3">
                  <c:v>1.18</c:v>
                </c:pt>
                <c:pt idx="4">
                  <c:v>39.29</c:v>
                </c:pt>
                <c:pt idx="5">
                  <c:v>1.24</c:v>
                </c:pt>
                <c:pt idx="6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7E-450A-8FE9-C3EFEF96C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70112"/>
        <c:axId val="114171904"/>
      </c:barChart>
      <c:catAx>
        <c:axId val="1141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171904"/>
        <c:crosses val="autoZero"/>
        <c:auto val="1"/>
        <c:lblAlgn val="ctr"/>
        <c:lblOffset val="100"/>
        <c:noMultiLvlLbl val="0"/>
      </c:catAx>
      <c:valAx>
        <c:axId val="1141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PRODUCCIÓN (Tn)</a:t>
                </a:r>
              </a:p>
            </c:rich>
          </c:tx>
          <c:layout>
            <c:manualLayout>
              <c:xMode val="edge"/>
              <c:yMode val="edge"/>
              <c:x val="2.1262167615720348E-2"/>
              <c:y val="0.291135503584440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170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Oferta Proyectada de Pescado en la Región Apurímac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Ton.</c:v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[1]Oferta_Pescados!$A$250:$A$260</c:f>
              <c:strCache>
                <c:ptCount val="11"/>
                <c:pt idx="0">
                  <c:v>Año 0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</c:strCache>
            </c:strRef>
          </c:cat>
          <c:val>
            <c:numRef>
              <c:f>[1]Oferta_Pescados!$B$250:$B$260</c:f>
              <c:numCache>
                <c:formatCode>General</c:formatCode>
                <c:ptCount val="11"/>
                <c:pt idx="0">
                  <c:v>497.49031316846288</c:v>
                </c:pt>
                <c:pt idx="1">
                  <c:v>499.9777647343052</c:v>
                </c:pt>
                <c:pt idx="2">
                  <c:v>504.97754238164828</c:v>
                </c:pt>
                <c:pt idx="3">
                  <c:v>512.55220551737295</c:v>
                </c:pt>
                <c:pt idx="4">
                  <c:v>522.80324962772045</c:v>
                </c:pt>
                <c:pt idx="5">
                  <c:v>535.8733308684134</c:v>
                </c:pt>
                <c:pt idx="6">
                  <c:v>551.94953079446577</c:v>
                </c:pt>
                <c:pt idx="7">
                  <c:v>571.26776437227204</c:v>
                </c:pt>
                <c:pt idx="8">
                  <c:v>594.11847494716289</c:v>
                </c:pt>
                <c:pt idx="9">
                  <c:v>620.85380631978524</c:v>
                </c:pt>
                <c:pt idx="10">
                  <c:v>651.8964966357745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83-40BB-955F-F34BAC420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14211072"/>
        <c:axId val="114216960"/>
      </c:barChart>
      <c:catAx>
        <c:axId val="1142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216960"/>
        <c:crosses val="autoZero"/>
        <c:auto val="1"/>
        <c:lblAlgn val="ctr"/>
        <c:lblOffset val="100"/>
        <c:noMultiLvlLbl val="0"/>
      </c:catAx>
      <c:valAx>
        <c:axId val="114216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PRODUCCIÓN (Tn)</a:t>
                </a:r>
              </a:p>
            </c:rich>
          </c:tx>
          <c:layout>
            <c:manualLayout>
              <c:xMode val="edge"/>
              <c:yMode val="edge"/>
              <c:x val="2.1262167615720348E-2"/>
              <c:y val="0.291135503584440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21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3"/>
          <c:order val="0"/>
          <c:tx>
            <c:v>D. Objetiva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[1]Demanda_Pescados!$C$28:$L$28</c:f>
              <c:strCache>
                <c:ptCount val="10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  <c:pt idx="5">
                  <c:v>Año 6</c:v>
                </c:pt>
                <c:pt idx="6">
                  <c:v>Año 7</c:v>
                </c:pt>
                <c:pt idx="7">
                  <c:v>Año 8</c:v>
                </c:pt>
                <c:pt idx="8">
                  <c:v>Año 9</c:v>
                </c:pt>
                <c:pt idx="9">
                  <c:v>Año 10</c:v>
                </c:pt>
              </c:strCache>
            </c:strRef>
          </c:cat>
          <c:val>
            <c:numRef>
              <c:f>[1]Demanda_Pescados!$C$33:$L$33</c:f>
              <c:numCache>
                <c:formatCode>General</c:formatCode>
                <c:ptCount val="10"/>
                <c:pt idx="0">
                  <c:v>482.64119999999997</c:v>
                </c:pt>
                <c:pt idx="1">
                  <c:v>482.88252059999991</c:v>
                </c:pt>
                <c:pt idx="2">
                  <c:v>483.12396186029991</c:v>
                </c:pt>
                <c:pt idx="3">
                  <c:v>483.36552384123007</c:v>
                </c:pt>
                <c:pt idx="4">
                  <c:v>483.6072066031507</c:v>
                </c:pt>
                <c:pt idx="5">
                  <c:v>483.84901020645225</c:v>
                </c:pt>
                <c:pt idx="6">
                  <c:v>484.09093471155546</c:v>
                </c:pt>
                <c:pt idx="7">
                  <c:v>484.33298017891121</c:v>
                </c:pt>
                <c:pt idx="8">
                  <c:v>484.57514666900067</c:v>
                </c:pt>
                <c:pt idx="9">
                  <c:v>484.81743424233514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A2-4D93-B4E2-D241CDD37385}"/>
            </c:ext>
          </c:extLst>
        </c:ser>
        <c:ser>
          <c:idx val="2"/>
          <c:order val="1"/>
          <c:tx>
            <c:v>D. Efectiva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[1]Demanda_Pescados!$C$28:$L$28</c:f>
              <c:strCache>
                <c:ptCount val="10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  <c:pt idx="5">
                  <c:v>Año 6</c:v>
                </c:pt>
                <c:pt idx="6">
                  <c:v>Año 7</c:v>
                </c:pt>
                <c:pt idx="7">
                  <c:v>Año 8</c:v>
                </c:pt>
                <c:pt idx="8">
                  <c:v>Año 9</c:v>
                </c:pt>
                <c:pt idx="9">
                  <c:v>Año 10</c:v>
                </c:pt>
              </c:strCache>
            </c:strRef>
          </c:cat>
          <c:val>
            <c:numRef>
              <c:f>[1]Demanda_Pescados!$C$32:$L$32</c:f>
              <c:numCache>
                <c:formatCode>General</c:formatCode>
                <c:ptCount val="10"/>
                <c:pt idx="0">
                  <c:v>4134.4839896500271</c:v>
                </c:pt>
                <c:pt idx="1">
                  <c:v>4180.8115370976902</c:v>
                </c:pt>
                <c:pt idx="2">
                  <c:v>4227.6581920465278</c:v>
                </c:pt>
                <c:pt idx="3">
                  <c:v>4275.0297711782487</c:v>
                </c:pt>
                <c:pt idx="4">
                  <c:v>4322.9321563513977</c:v>
                </c:pt>
                <c:pt idx="5">
                  <c:v>4371.3712953316763</c:v>
                </c:pt>
                <c:pt idx="6">
                  <c:v>4420.3532025304457</c:v>
                </c:pt>
                <c:pt idx="7">
                  <c:v>4469.8839597514916</c:v>
                </c:pt>
                <c:pt idx="8">
                  <c:v>4519.9697169461797</c:v>
                </c:pt>
                <c:pt idx="9">
                  <c:v>4570.6166929770516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A2-4D93-B4E2-D241CDD37385}"/>
            </c:ext>
          </c:extLst>
        </c:ser>
        <c:ser>
          <c:idx val="1"/>
          <c:order val="2"/>
          <c:tx>
            <c:v>D. Referencial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[1]Demanda_Pescados!$C$28:$L$28</c:f>
              <c:strCache>
                <c:ptCount val="10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  <c:pt idx="5">
                  <c:v>Año 6</c:v>
                </c:pt>
                <c:pt idx="6">
                  <c:v>Año 7</c:v>
                </c:pt>
                <c:pt idx="7">
                  <c:v>Año 8</c:v>
                </c:pt>
                <c:pt idx="8">
                  <c:v>Año 9</c:v>
                </c:pt>
                <c:pt idx="9">
                  <c:v>Año 10</c:v>
                </c:pt>
              </c:strCache>
            </c:strRef>
          </c:cat>
          <c:val>
            <c:numRef>
              <c:f>[1]Demanda_Pescados!$C$30:$L$30</c:f>
              <c:numCache>
                <c:formatCode>General</c:formatCode>
                <c:ptCount val="10"/>
                <c:pt idx="0">
                  <c:v>4670.3592824262014</c:v>
                </c:pt>
                <c:pt idx="1">
                  <c:v>4722.691397339664</c:v>
                </c:pt>
                <c:pt idx="2">
                  <c:v>4775.6099018830673</c:v>
                </c:pt>
                <c:pt idx="3">
                  <c:v>4829.1213666450203</c:v>
                </c:pt>
                <c:pt idx="4">
                  <c:v>4883.2324358386177</c:v>
                </c:pt>
                <c:pt idx="5">
                  <c:v>4937.9498281264114</c:v>
                </c:pt>
                <c:pt idx="6">
                  <c:v>4993.2803374546311</c:v>
                </c:pt>
                <c:pt idx="7">
                  <c:v>5049.2308338967505</c:v>
                </c:pt>
                <c:pt idx="8">
                  <c:v>5105.8082645065033</c:v>
                </c:pt>
                <c:pt idx="9">
                  <c:v>5163.019654180458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A2-4D93-B4E2-D241CDD37385}"/>
            </c:ext>
          </c:extLst>
        </c:ser>
        <c:ser>
          <c:idx val="0"/>
          <c:order val="3"/>
          <c:tx>
            <c:v>D. Total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[1]Demanda_Pescados!$C$28:$L$28</c:f>
              <c:strCache>
                <c:ptCount val="10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  <c:pt idx="5">
                  <c:v>Año 6</c:v>
                </c:pt>
                <c:pt idx="6">
                  <c:v>Año 7</c:v>
                </c:pt>
                <c:pt idx="7">
                  <c:v>Año 8</c:v>
                </c:pt>
                <c:pt idx="8">
                  <c:v>Año 9</c:v>
                </c:pt>
                <c:pt idx="9">
                  <c:v>Año 10</c:v>
                </c:pt>
              </c:strCache>
            </c:strRef>
          </c:cat>
          <c:val>
            <c:numRef>
              <c:f>[1]Demanda_Pescados!$C$29:$L$29</c:f>
              <c:numCache>
                <c:formatCode>General</c:formatCode>
                <c:ptCount val="10"/>
                <c:pt idx="0">
                  <c:v>6907.5215142527604</c:v>
                </c:pt>
                <c:pt idx="1">
                  <c:v>6910.1982295923244</c:v>
                </c:pt>
                <c:pt idx="2">
                  <c:v>6912.8759821787498</c:v>
                </c:pt>
                <c:pt idx="3">
                  <c:v>6915.5547724139778</c:v>
                </c:pt>
                <c:pt idx="4">
                  <c:v>6918.2346007001033</c:v>
                </c:pt>
                <c:pt idx="5">
                  <c:v>6920.9154674393803</c:v>
                </c:pt>
                <c:pt idx="6">
                  <c:v>6923.5973730342166</c:v>
                </c:pt>
                <c:pt idx="7">
                  <c:v>6926.2803178871745</c:v>
                </c:pt>
                <c:pt idx="8">
                  <c:v>6928.9643024009783</c:v>
                </c:pt>
                <c:pt idx="9">
                  <c:v>6931.6493269784987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A2-4D93-B4E2-D241CDD37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16192"/>
        <c:axId val="114617728"/>
      </c:lineChart>
      <c:catAx>
        <c:axId val="11461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617728"/>
        <c:crosses val="autoZero"/>
        <c:auto val="1"/>
        <c:lblAlgn val="ctr"/>
        <c:lblOffset val="100"/>
        <c:noMultiLvlLbl val="0"/>
      </c:catAx>
      <c:valAx>
        <c:axId val="1146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/>
                  <a:t>DEMANDA (Tn)</a:t>
                </a:r>
              </a:p>
            </c:rich>
          </c:tx>
          <c:layout>
            <c:manualLayout>
              <c:xMode val="edge"/>
              <c:yMode val="edge"/>
              <c:x val="5.4997112496933863E-2"/>
              <c:y val="0.272975478700655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616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Oferta Vs Demanda</a:t>
            </a:r>
          </a:p>
        </c:rich>
      </c:tx>
      <c:layout>
        <c:manualLayout>
          <c:xMode val="edge"/>
          <c:yMode val="edge"/>
          <c:x val="0.28024479173605832"/>
          <c:y val="4.78861486972061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130858642669664E-2"/>
          <c:y val="0.16933951670466418"/>
          <c:w val="0.83388569849821426"/>
          <c:h val="0.69275539840527978"/>
        </c:manualLayout>
      </c:layout>
      <c:lineChart>
        <c:grouping val="stacked"/>
        <c:varyColors val="0"/>
        <c:ser>
          <c:idx val="0"/>
          <c:order val="0"/>
          <c:tx>
            <c:v>OFERTA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414551607445008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E0-4DA7-83D3-F3B928C716EB}"/>
                </c:ext>
              </c:extLst>
            </c:dLbl>
            <c:dLbl>
              <c:idx val="1"/>
              <c:layout>
                <c:manualLayout>
                  <c:x val="-4.963338973491257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E0-4DA7-83D3-F3B928C716EB}"/>
                </c:ext>
              </c:extLst>
            </c:dLbl>
            <c:dLbl>
              <c:idx val="2"/>
              <c:layout>
                <c:manualLayout>
                  <c:x val="-5.414551607445008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E0-4DA7-83D3-F3B928C716EB}"/>
                </c:ext>
              </c:extLst>
            </c:dLbl>
            <c:dLbl>
              <c:idx val="3"/>
              <c:layout>
                <c:manualLayout>
                  <c:x val="-4.9633389734912575E-2"/>
                  <c:y val="-7.71827916407997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E0-4DA7-83D3-F3B928C716EB}"/>
                </c:ext>
              </c:extLst>
            </c:dLbl>
            <c:dLbl>
              <c:idx val="4"/>
              <c:layout>
                <c:manualLayout>
                  <c:x val="-4.963338973491257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E0-4DA7-83D3-F3B928C716EB}"/>
                </c:ext>
              </c:extLst>
            </c:dLbl>
            <c:dLbl>
              <c:idx val="5"/>
              <c:layout>
                <c:manualLayout>
                  <c:x val="-4.963338973491257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E0-4DA7-83D3-F3B928C716EB}"/>
                </c:ext>
              </c:extLst>
            </c:dLbl>
            <c:dLbl>
              <c:idx val="6"/>
              <c:layout>
                <c:manualLayout>
                  <c:x val="-5.188945290468133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E0-4DA7-83D3-F3B928C716EB}"/>
                </c:ext>
              </c:extLst>
            </c:dLbl>
            <c:dLbl>
              <c:idx val="7"/>
              <c:layout>
                <c:manualLayout>
                  <c:x val="-4.963338973491265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E0-4DA7-83D3-F3B928C716EB}"/>
                </c:ext>
              </c:extLst>
            </c:dLbl>
            <c:dLbl>
              <c:idx val="8"/>
              <c:layout>
                <c:manualLayout>
                  <c:x val="-5.188945290468133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E0-4DA7-83D3-F3B928C716EB}"/>
                </c:ext>
              </c:extLst>
            </c:dLbl>
            <c:dLbl>
              <c:idx val="9"/>
              <c:layout>
                <c:manualLayout>
                  <c:x val="-5.188945290468133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E0-4DA7-83D3-F3B928C716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'[1]Brecha Oferta-Demanda'!$B$3:$K$3</c:f>
              <c:strCache>
                <c:ptCount val="10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  <c:pt idx="5">
                  <c:v>Año 6</c:v>
                </c:pt>
                <c:pt idx="6">
                  <c:v>Año 7</c:v>
                </c:pt>
                <c:pt idx="7">
                  <c:v>Año 8</c:v>
                </c:pt>
                <c:pt idx="8">
                  <c:v>Año 9</c:v>
                </c:pt>
                <c:pt idx="9">
                  <c:v>Año 10</c:v>
                </c:pt>
              </c:strCache>
            </c:strRef>
          </c:cat>
          <c:val>
            <c:numRef>
              <c:f>'[1]Brecha Oferta-Demanda'!$B$4:$K$4</c:f>
              <c:numCache>
                <c:formatCode>General</c:formatCode>
                <c:ptCount val="10"/>
                <c:pt idx="0">
                  <c:v>499.9777647343052</c:v>
                </c:pt>
                <c:pt idx="1">
                  <c:v>504.97754238164828</c:v>
                </c:pt>
                <c:pt idx="2">
                  <c:v>512.55220551737295</c:v>
                </c:pt>
                <c:pt idx="3">
                  <c:v>522.80324962772045</c:v>
                </c:pt>
                <c:pt idx="4">
                  <c:v>535.8733308684134</c:v>
                </c:pt>
                <c:pt idx="5">
                  <c:v>551.94953079446577</c:v>
                </c:pt>
                <c:pt idx="6">
                  <c:v>571.26776437227204</c:v>
                </c:pt>
                <c:pt idx="7">
                  <c:v>594.11847494716289</c:v>
                </c:pt>
                <c:pt idx="8">
                  <c:v>620.85380631978524</c:v>
                </c:pt>
                <c:pt idx="9">
                  <c:v>651.8964966357745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FE0-4DA7-83D3-F3B928C716EB}"/>
            </c:ext>
          </c:extLst>
        </c:ser>
        <c:ser>
          <c:idx val="1"/>
          <c:order val="1"/>
          <c:tx>
            <c:v>DEMANDA EFECTIVA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4145516074450083E-2"/>
                  <c:y val="3.85913958203995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E0-4DA7-83D3-F3B928C716EB}"/>
                </c:ext>
              </c:extLst>
            </c:dLbl>
            <c:dLbl>
              <c:idx val="1"/>
              <c:layout>
                <c:manualLayout>
                  <c:x val="-5.188945290468133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E0-4DA7-83D3-F3B928C716EB}"/>
                </c:ext>
              </c:extLst>
            </c:dLbl>
            <c:dLbl>
              <c:idx val="2"/>
              <c:layout>
                <c:manualLayout>
                  <c:x val="-5.414551607445008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E0-4DA7-83D3-F3B928C716EB}"/>
                </c:ext>
              </c:extLst>
            </c:dLbl>
            <c:dLbl>
              <c:idx val="3"/>
              <c:layout>
                <c:manualLayout>
                  <c:x val="-5.4145516074450083E-2"/>
                  <c:y val="-7.075007502649576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E0-4DA7-83D3-F3B928C716EB}"/>
                </c:ext>
              </c:extLst>
            </c:dLbl>
            <c:dLbl>
              <c:idx val="4"/>
              <c:layout>
                <c:manualLayout>
                  <c:x val="-5.414551607445008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FE0-4DA7-83D3-F3B928C716EB}"/>
                </c:ext>
              </c:extLst>
            </c:dLbl>
            <c:dLbl>
              <c:idx val="5"/>
              <c:layout>
                <c:manualLayout>
                  <c:x val="-5.4145516074450083E-2"/>
                  <c:y val="-3.85913958203998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FE0-4DA7-83D3-F3B928C716EB}"/>
                </c:ext>
              </c:extLst>
            </c:dLbl>
            <c:dLbl>
              <c:idx val="6"/>
              <c:layout>
                <c:manualLayout>
                  <c:x val="-5.188945290468133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FE0-4DA7-83D3-F3B928C716EB}"/>
                </c:ext>
              </c:extLst>
            </c:dLbl>
            <c:dLbl>
              <c:idx val="7"/>
              <c:layout>
                <c:manualLayout>
                  <c:x val="-5.4145516074450166E-2"/>
                  <c:y val="-3.85913958204002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FE0-4DA7-83D3-F3B928C716EB}"/>
                </c:ext>
              </c:extLst>
            </c:dLbl>
            <c:dLbl>
              <c:idx val="8"/>
              <c:layout>
                <c:manualLayout>
                  <c:x val="-5.1889452904681332E-2"/>
                  <c:y val="-3.85913958203998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FE0-4DA7-83D3-F3B928C716EB}"/>
                </c:ext>
              </c:extLst>
            </c:dLbl>
            <c:dLbl>
              <c:idx val="9"/>
              <c:layout>
                <c:manualLayout>
                  <c:x val="-5.188945290468133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FE0-4DA7-83D3-F3B928C716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'[1]Brecha Oferta-Demanda'!$B$3:$K$3</c:f>
              <c:strCache>
                <c:ptCount val="10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  <c:pt idx="5">
                  <c:v>Año 6</c:v>
                </c:pt>
                <c:pt idx="6">
                  <c:v>Año 7</c:v>
                </c:pt>
                <c:pt idx="7">
                  <c:v>Año 8</c:v>
                </c:pt>
                <c:pt idx="8">
                  <c:v>Año 9</c:v>
                </c:pt>
                <c:pt idx="9">
                  <c:v>Año 10</c:v>
                </c:pt>
              </c:strCache>
            </c:strRef>
          </c:cat>
          <c:val>
            <c:numRef>
              <c:f>'[1]Brecha Oferta-Demanda'!$B$5:$K$5</c:f>
              <c:numCache>
                <c:formatCode>General</c:formatCode>
                <c:ptCount val="10"/>
                <c:pt idx="0">
                  <c:v>4134.4839896500271</c:v>
                </c:pt>
                <c:pt idx="1">
                  <c:v>4180.8115370976902</c:v>
                </c:pt>
                <c:pt idx="2">
                  <c:v>4227.6581920465278</c:v>
                </c:pt>
                <c:pt idx="3">
                  <c:v>4275.0297711782487</c:v>
                </c:pt>
                <c:pt idx="4">
                  <c:v>4322.9321563513977</c:v>
                </c:pt>
                <c:pt idx="5">
                  <c:v>4371.3712953316763</c:v>
                </c:pt>
                <c:pt idx="6">
                  <c:v>4420.3532025304457</c:v>
                </c:pt>
                <c:pt idx="7">
                  <c:v>4469.8839597514916</c:v>
                </c:pt>
                <c:pt idx="8">
                  <c:v>4519.9697169461797</c:v>
                </c:pt>
                <c:pt idx="9">
                  <c:v>4570.6166929770516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5FE0-4DA7-83D3-F3B928C716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175552"/>
        <c:axId val="114758400"/>
      </c:lineChart>
      <c:catAx>
        <c:axId val="11317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758400"/>
        <c:crosses val="autoZero"/>
        <c:auto val="1"/>
        <c:lblAlgn val="ctr"/>
        <c:lblOffset val="100"/>
        <c:noMultiLvlLbl val="0"/>
      </c:catAx>
      <c:valAx>
        <c:axId val="114758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317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99650701557039"/>
          <c:y val="3.0458578157078767E-2"/>
          <c:w val="0.23941431178970649"/>
          <c:h val="0.1302468725016249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PE">
                <a:latin typeface="Arial Narrow" panose="020B0606020202030204" pitchFamily="34" charset="0"/>
              </a:rPr>
              <a:t>Participación</a:t>
            </a:r>
            <a:r>
              <a:rPr lang="es-PE" baseline="0">
                <a:latin typeface="Arial Narrow" panose="020B0606020202030204" pitchFamily="34" charset="0"/>
              </a:rPr>
              <a:t> del Proyecto</a:t>
            </a:r>
            <a:endParaRPr lang="es-PE">
              <a:latin typeface="Arial Narrow" panose="020B0606020202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17710437710437"/>
          <c:y val="0.14469591666167861"/>
          <c:w val="0.71240404040404059"/>
          <c:h val="0.76199787239365846"/>
        </c:manualLayout>
      </c:layout>
      <c:areaChart>
        <c:grouping val="standard"/>
        <c:varyColors val="0"/>
        <c:ser>
          <c:idx val="0"/>
          <c:order val="0"/>
          <c:tx>
            <c:v>BRECHA</c:v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Lbl>
              <c:idx val="0"/>
              <c:layout>
                <c:manualLayout>
                  <c:x val="1.2882491582491582E-2"/>
                  <c:y val="-0.325791700435054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3C-4675-B31B-1B3ECC7381D1}"/>
                </c:ext>
              </c:extLst>
            </c:dLbl>
            <c:dLbl>
              <c:idx val="1"/>
              <c:layout>
                <c:manualLayout>
                  <c:x val="8.5882154882154886E-3"/>
                  <c:y val="-0.329813820193511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3C-4675-B31B-1B3ECC7381D1}"/>
                </c:ext>
              </c:extLst>
            </c:dLbl>
            <c:dLbl>
              <c:idx val="2"/>
              <c:layout>
                <c:manualLayout>
                  <c:x val="9.090909090909091E-6"/>
                  <c:y val="-0.329813820193511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3C-4675-B31B-1B3ECC7381D1}"/>
                </c:ext>
              </c:extLst>
            </c:dLbl>
            <c:dLbl>
              <c:idx val="3"/>
              <c:layout>
                <c:manualLayout>
                  <c:x val="-4.2941077441077833E-3"/>
                  <c:y val="-0.333835939951968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3C-4675-B31B-1B3ECC7381D1}"/>
                </c:ext>
              </c:extLst>
            </c:dLbl>
            <c:dLbl>
              <c:idx val="4"/>
              <c:layout>
                <c:manualLayout>
                  <c:x val="-8.5792929292929296E-3"/>
                  <c:y val="-0.337858059710426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3C-4675-B31B-1B3ECC7381D1}"/>
                </c:ext>
              </c:extLst>
            </c:dLbl>
            <c:dLbl>
              <c:idx val="5"/>
              <c:layout>
                <c:manualLayout>
                  <c:x val="-1.0726262626262705E-2"/>
                  <c:y val="-0.337858059710426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3C-4675-B31B-1B3ECC7381D1}"/>
                </c:ext>
              </c:extLst>
            </c:dLbl>
            <c:dLbl>
              <c:idx val="6"/>
              <c:layout>
                <c:manualLayout>
                  <c:x val="-2.1471380471380472E-3"/>
                  <c:y val="-0.341880179468883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3C-4675-B31B-1B3ECC7381D1}"/>
                </c:ext>
              </c:extLst>
            </c:dLbl>
            <c:dLbl>
              <c:idx val="7"/>
              <c:layout>
                <c:manualLayout>
                  <c:x val="-6.441245791245713E-3"/>
                  <c:y val="-0.345902299227341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3C-4675-B31B-1B3ECC7381D1}"/>
                </c:ext>
              </c:extLst>
            </c:dLbl>
            <c:dLbl>
              <c:idx val="8"/>
              <c:layout>
                <c:manualLayout>
                  <c:x val="-6.4412457912457911E-3"/>
                  <c:y val="-0.345902299227341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3C-4675-B31B-1B3ECC7381D1}"/>
                </c:ext>
              </c:extLst>
            </c:dLbl>
            <c:dLbl>
              <c:idx val="9"/>
              <c:layout>
                <c:manualLayout>
                  <c:x val="-1.7176596886741814E-2"/>
                  <c:y val="-0.345902299227341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3C-4675-B31B-1B3ECC738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'[1]Brecha Oferta-Demanda'!$B$31:$K$31</c:f>
              <c:strCache>
                <c:ptCount val="10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  <c:pt idx="5">
                  <c:v>Año 6</c:v>
                </c:pt>
                <c:pt idx="6">
                  <c:v>Año 7</c:v>
                </c:pt>
                <c:pt idx="7">
                  <c:v>Año 8</c:v>
                </c:pt>
                <c:pt idx="8">
                  <c:v>Año 9</c:v>
                </c:pt>
                <c:pt idx="9">
                  <c:v>Año 10</c:v>
                </c:pt>
              </c:strCache>
            </c:strRef>
          </c:cat>
          <c:val>
            <c:numRef>
              <c:f>'[1]Brecha Oferta-Demanda'!$B$32:$K$32</c:f>
              <c:numCache>
                <c:formatCode>General</c:formatCode>
                <c:ptCount val="10"/>
                <c:pt idx="0">
                  <c:v>3634.5062249157218</c:v>
                </c:pt>
                <c:pt idx="1">
                  <c:v>3675.8339947160421</c:v>
                </c:pt>
                <c:pt idx="2">
                  <c:v>3715.105986529155</c:v>
                </c:pt>
                <c:pt idx="3">
                  <c:v>3752.2265215505281</c:v>
                </c:pt>
                <c:pt idx="4">
                  <c:v>3787.0588254829845</c:v>
                </c:pt>
                <c:pt idx="5">
                  <c:v>3819.4217645372105</c:v>
                </c:pt>
                <c:pt idx="6">
                  <c:v>3849.0854381581739</c:v>
                </c:pt>
                <c:pt idx="7">
                  <c:v>3875.7654848043285</c:v>
                </c:pt>
                <c:pt idx="8">
                  <c:v>3899.1159106263945</c:v>
                </c:pt>
                <c:pt idx="9">
                  <c:v>3918.7201963412772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33C-4675-B31B-1B3ECC7381D1}"/>
            </c:ext>
          </c:extLst>
        </c:ser>
        <c:ser>
          <c:idx val="1"/>
          <c:order val="1"/>
          <c:tx>
            <c:v>PARTICIPACIÓN</c:v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Lbl>
              <c:idx val="0"/>
              <c:layout>
                <c:manualLayout>
                  <c:x val="6.4412238325281604E-3"/>
                  <c:y val="-5.6309676618404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3C-4675-B31B-1B3ECC7381D1}"/>
                </c:ext>
              </c:extLst>
            </c:dLbl>
            <c:dLbl>
              <c:idx val="1"/>
              <c:layout>
                <c:manualLayout>
                  <c:x val="-6.4412238325281803E-3"/>
                  <c:y val="-5.6309676618404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33C-4675-B31B-1B3ECC7381D1}"/>
                </c:ext>
              </c:extLst>
            </c:dLbl>
            <c:dLbl>
              <c:idx val="2"/>
              <c:layout>
                <c:manualLayout>
                  <c:x val="0"/>
                  <c:y val="-5.6309676618404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33C-4675-B31B-1B3ECC7381D1}"/>
                </c:ext>
              </c:extLst>
            </c:dLbl>
            <c:dLbl>
              <c:idx val="3"/>
              <c:layout>
                <c:manualLayout>
                  <c:x val="0"/>
                  <c:y val="-6.03317963768618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33C-4675-B31B-1B3ECC7381D1}"/>
                </c:ext>
              </c:extLst>
            </c:dLbl>
            <c:dLbl>
              <c:idx val="4"/>
              <c:layout>
                <c:manualLayout>
                  <c:x val="-6.4412238325281803E-3"/>
                  <c:y val="-5.6309676618404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33C-4675-B31B-1B3ECC7381D1}"/>
                </c:ext>
              </c:extLst>
            </c:dLbl>
            <c:dLbl>
              <c:idx val="5"/>
              <c:layout>
                <c:manualLayout>
                  <c:x val="-4.2941492216854536E-3"/>
                  <c:y val="-5.6309676618404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33C-4675-B31B-1B3ECC7381D1}"/>
                </c:ext>
              </c:extLst>
            </c:dLbl>
            <c:dLbl>
              <c:idx val="6"/>
              <c:layout>
                <c:manualLayout>
                  <c:x val="-2.1470746108428057E-3"/>
                  <c:y val="-5.6309676618404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33C-4675-B31B-1B3ECC7381D1}"/>
                </c:ext>
              </c:extLst>
            </c:dLbl>
            <c:dLbl>
              <c:idx val="7"/>
              <c:layout>
                <c:manualLayout>
                  <c:x val="7.8725159624471452E-17"/>
                  <c:y val="-5.63096766184045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3C-4675-B31B-1B3ECC7381D1}"/>
                </c:ext>
              </c:extLst>
            </c:dLbl>
            <c:dLbl>
              <c:idx val="8"/>
              <c:layout>
                <c:manualLayout>
                  <c:x val="-8.5792929292929296E-3"/>
                  <c:y val="-5.6309676618404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33C-4675-B31B-1B3ECC7381D1}"/>
                </c:ext>
              </c:extLst>
            </c:dLbl>
            <c:dLbl>
              <c:idx val="9"/>
              <c:layout>
                <c:manualLayout>
                  <c:x val="-2.5737878787878789E-2"/>
                  <c:y val="-5.6309676618404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3C-4675-B31B-1B3ECC738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accent5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'[1]Brecha Oferta-Demanda'!$B$31:$K$31</c:f>
              <c:strCache>
                <c:ptCount val="10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  <c:pt idx="5">
                  <c:v>Año 6</c:v>
                </c:pt>
                <c:pt idx="6">
                  <c:v>Año 7</c:v>
                </c:pt>
                <c:pt idx="7">
                  <c:v>Año 8</c:v>
                </c:pt>
                <c:pt idx="8">
                  <c:v>Año 9</c:v>
                </c:pt>
                <c:pt idx="9">
                  <c:v>Año 10</c:v>
                </c:pt>
              </c:strCache>
            </c:strRef>
          </c:cat>
          <c:val>
            <c:numRef>
              <c:f>'[1]Brecha Oferta-Demanda'!$B$34:$K$34</c:f>
              <c:numCache>
                <c:formatCode>General</c:formatCode>
                <c:ptCount val="10"/>
                <c:pt idx="0">
                  <c:v>404.62393977715874</c:v>
                </c:pt>
                <c:pt idx="1">
                  <c:v>409.22489627688157</c:v>
                </c:pt>
                <c:pt idx="2">
                  <c:v>413.59698620243574</c:v>
                </c:pt>
                <c:pt idx="3">
                  <c:v>417.72955778094013</c:v>
                </c:pt>
                <c:pt idx="4">
                  <c:v>421.60738414206924</c:v>
                </c:pt>
                <c:pt idx="5">
                  <c:v>425.21029994205321</c:v>
                </c:pt>
                <c:pt idx="6">
                  <c:v>428.51271070874719</c:v>
                </c:pt>
                <c:pt idx="7">
                  <c:v>431.48295891286352</c:v>
                </c:pt>
                <c:pt idx="8">
                  <c:v>434.08252559590522</c:v>
                </c:pt>
                <c:pt idx="9">
                  <c:v>436.26504031223561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A33C-4675-B31B-1B3ECC738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8048"/>
        <c:axId val="115225344"/>
      </c:areaChart>
      <c:catAx>
        <c:axId val="1148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15225344"/>
        <c:crosses val="autoZero"/>
        <c:auto val="1"/>
        <c:lblAlgn val="ctr"/>
        <c:lblOffset val="100"/>
        <c:noMultiLvlLbl val="0"/>
      </c:catAx>
      <c:valAx>
        <c:axId val="115225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PE">
                    <a:latin typeface="Arial Narrow" panose="020B0606020202030204" pitchFamily="34" charset="0"/>
                  </a:rPr>
                  <a:t>PESCADO</a:t>
                </a:r>
                <a:r>
                  <a:rPr lang="es-PE" baseline="0">
                    <a:latin typeface="Arial Narrow" panose="020B0606020202030204" pitchFamily="34" charset="0"/>
                  </a:rPr>
                  <a:t> CONGELADO (Tn)</a:t>
                </a:r>
                <a:endParaRPr lang="es-PE">
                  <a:latin typeface="Arial Narrow" panose="020B060602020203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11481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69444444444441"/>
          <c:y val="0.50246315247412621"/>
          <c:w val="0.15512861952861953"/>
          <c:h val="0.1294166121146880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Mensual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'TC% CONS PERCAP'!$B$88:$M$88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'TC% CONS PERCAP'!$B$89:$M$89</c:f>
              <c:numCache>
                <c:formatCode>0.0%</c:formatCode>
                <c:ptCount val="12"/>
                <c:pt idx="0">
                  <c:v>1</c:v>
                </c:pt>
                <c:pt idx="1">
                  <c:v>0.6642752756742395</c:v>
                </c:pt>
                <c:pt idx="2">
                  <c:v>5.3142022053939156E-2</c:v>
                </c:pt>
                <c:pt idx="3">
                  <c:v>0.16939019529693106</c:v>
                </c:pt>
                <c:pt idx="4">
                  <c:v>4.1517204729639968E-2</c:v>
                </c:pt>
                <c:pt idx="5">
                  <c:v>1.6606881891855985E-2</c:v>
                </c:pt>
                <c:pt idx="6">
                  <c:v>2.4910322837783976E-2</c:v>
                </c:pt>
                <c:pt idx="7">
                  <c:v>0</c:v>
                </c:pt>
                <c:pt idx="8">
                  <c:v>5.3142022053939156E-2</c:v>
                </c:pt>
                <c:pt idx="9">
                  <c:v>0</c:v>
                </c:pt>
                <c:pt idx="10">
                  <c:v>0.6642752756742395</c:v>
                </c:pt>
                <c:pt idx="11">
                  <c:v>0.73070280324166337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10-45EA-8395-15EF09F9026A}"/>
            </c:ext>
          </c:extLst>
        </c:ser>
        <c:ser>
          <c:idx val="1"/>
          <c:order val="1"/>
          <c:marker>
            <c:symbol val="none"/>
          </c:marker>
          <c:cat>
            <c:strRef>
              <c:f>'TC% CONS PERCAP'!$B$88:$M$88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'TC% CONS PERCAP'!$B$90:$M$90</c:f>
              <c:numCache>
                <c:formatCode>0.0</c:formatCode>
                <c:ptCount val="12"/>
                <c:pt idx="0">
                  <c:v>9.5782499499294804</c:v>
                </c:pt>
                <c:pt idx="1">
                  <c:v>6.3625946259661763</c:v>
                </c:pt>
                <c:pt idx="2">
                  <c:v>0.50900757007729402</c:v>
                </c:pt>
                <c:pt idx="3">
                  <c:v>1.6224616296213747</c:v>
                </c:pt>
                <c:pt idx="4">
                  <c:v>0.39766216412288602</c:v>
                </c:pt>
                <c:pt idx="5">
                  <c:v>0.1590648656491544</c:v>
                </c:pt>
                <c:pt idx="6">
                  <c:v>0.23859729847373157</c:v>
                </c:pt>
                <c:pt idx="7">
                  <c:v>0</c:v>
                </c:pt>
                <c:pt idx="8">
                  <c:v>0.50900757007729402</c:v>
                </c:pt>
                <c:pt idx="9">
                  <c:v>0</c:v>
                </c:pt>
                <c:pt idx="10">
                  <c:v>6.3625946259661763</c:v>
                </c:pt>
                <c:pt idx="11">
                  <c:v>6.9988540885627932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10-45EA-8395-15EF09F9026A}"/>
            </c:ext>
          </c:extLst>
        </c:ser>
        <c:ser>
          <c:idx val="2"/>
          <c:order val="2"/>
          <c:marker>
            <c:symbol val="none"/>
          </c:marker>
          <c:cat>
            <c:strRef>
              <c:f>'TC% CONS PERCAP'!$B$88:$M$88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'TC% CONS PERCAP'!$B$91:$M$91</c:f>
              <c:numCache>
                <c:formatCode>0.0</c:formatCode>
                <c:ptCount val="12"/>
                <c:pt idx="0">
                  <c:v>6.0909090909090917</c:v>
                </c:pt>
                <c:pt idx="1">
                  <c:v>4.0460403154703686</c:v>
                </c:pt>
                <c:pt idx="2">
                  <c:v>0.32368322523762943</c:v>
                </c:pt>
                <c:pt idx="3">
                  <c:v>1.0317402804449438</c:v>
                </c:pt>
                <c:pt idx="4">
                  <c:v>0.25287751971689804</c:v>
                </c:pt>
                <c:pt idx="5">
                  <c:v>0.10115100788675919</c:v>
                </c:pt>
                <c:pt idx="6">
                  <c:v>0.15172651183013877</c:v>
                </c:pt>
                <c:pt idx="7">
                  <c:v>0</c:v>
                </c:pt>
                <c:pt idx="8">
                  <c:v>0.32368322523762943</c:v>
                </c:pt>
                <c:pt idx="9">
                  <c:v>0</c:v>
                </c:pt>
                <c:pt idx="10">
                  <c:v>4.0460403154703686</c:v>
                </c:pt>
                <c:pt idx="11">
                  <c:v>4.4506443470174046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310-45EA-8395-15EF09F9026A}"/>
            </c:ext>
          </c:extLst>
        </c:ser>
        <c:ser>
          <c:idx val="3"/>
          <c:order val="3"/>
          <c:marker>
            <c:symbol val="none"/>
          </c:marker>
          <c:cat>
            <c:strRef>
              <c:f>'TC% CONS PERCAP'!$B$88:$M$88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'TC% CONS PERCAP'!$B$92:$M$92</c:f>
              <c:numCache>
                <c:formatCode>0.0</c:formatCode>
                <c:ptCount val="12"/>
                <c:pt idx="0">
                  <c:v>4.7962962962962958</c:v>
                </c:pt>
                <c:pt idx="1">
                  <c:v>3.1860610444375559</c:v>
                </c:pt>
                <c:pt idx="2">
                  <c:v>0.25488488355500444</c:v>
                </c:pt>
                <c:pt idx="3">
                  <c:v>0.81244556633157661</c:v>
                </c:pt>
                <c:pt idx="4">
                  <c:v>0.19912881527734724</c:v>
                </c:pt>
                <c:pt idx="5">
                  <c:v>7.9651526110938883E-2</c:v>
                </c:pt>
                <c:pt idx="6">
                  <c:v>0.11947728916640832</c:v>
                </c:pt>
                <c:pt idx="7">
                  <c:v>0</c:v>
                </c:pt>
                <c:pt idx="8">
                  <c:v>0.25488488355500444</c:v>
                </c:pt>
                <c:pt idx="9">
                  <c:v>0</c:v>
                </c:pt>
                <c:pt idx="10">
                  <c:v>3.1860610444375559</c:v>
                </c:pt>
                <c:pt idx="11">
                  <c:v>3.5046671488813108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310-45EA-8395-15EF09F90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08768"/>
        <c:axId val="112202496"/>
      </c:lineChart>
      <c:catAx>
        <c:axId val="111008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2202496"/>
        <c:crosses val="autoZero"/>
        <c:auto val="1"/>
        <c:lblAlgn val="ctr"/>
        <c:lblOffset val="100"/>
        <c:noMultiLvlLbl val="0"/>
      </c:catAx>
      <c:valAx>
        <c:axId val="112202496"/>
        <c:scaling>
          <c:orientation val="minMax"/>
        </c:scaling>
        <c:delete val="0"/>
        <c:axPos val="l"/>
        <c:majorGridlines/>
        <c:title>
          <c:overlay val="0"/>
        </c:title>
        <c:numFmt formatCode="0.0%" sourceLinked="1"/>
        <c:majorTickMark val="none"/>
        <c:minorTickMark val="none"/>
        <c:tickLblPos val="nextTo"/>
        <c:crossAx val="111008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'TC% CONS PERCAP'!$Q$104</c:f>
              <c:strCache>
                <c:ptCount val="1"/>
                <c:pt idx="0">
                  <c:v>Per Capita</c:v>
                </c:pt>
              </c:strCache>
            </c:strRef>
          </c:tx>
          <c:spPr>
            <a:ln w="19050">
              <a:noFill/>
            </a:ln>
          </c:spPr>
          <c:xVal>
            <c:strRef>
              <c:f>'TC% CONS PERCAP'!$P$105:$P$126</c:f>
              <c:strCache>
                <c:ptCount val="22"/>
                <c:pt idx="0">
                  <c:v>ABANCAY</c:v>
                </c:pt>
                <c:pt idx="1">
                  <c:v>CURAHUASI</c:v>
                </c:pt>
                <c:pt idx="2">
                  <c:v>HUANIPACA</c:v>
                </c:pt>
                <c:pt idx="3">
                  <c:v>CACHORA</c:v>
                </c:pt>
                <c:pt idx="4">
                  <c:v>TAMBURCO</c:v>
                </c:pt>
                <c:pt idx="5">
                  <c:v>ANDAHUAYLAS</c:v>
                </c:pt>
                <c:pt idx="6">
                  <c:v>HUANCARAMA</c:v>
                </c:pt>
                <c:pt idx="7">
                  <c:v>SAN JERONIMO</c:v>
                </c:pt>
                <c:pt idx="8">
                  <c:v>SANTA MARIA DE CHICMO</c:v>
                </c:pt>
                <c:pt idx="9">
                  <c:v>TALAVERA</c:v>
                </c:pt>
                <c:pt idx="10">
                  <c:v>ANTABAMBA</c:v>
                </c:pt>
                <c:pt idx="11">
                  <c:v>PACHACONAS</c:v>
                </c:pt>
                <c:pt idx="12">
                  <c:v>CHALHUANCA</c:v>
                </c:pt>
                <c:pt idx="13">
                  <c:v>COTARUSE</c:v>
                </c:pt>
                <c:pt idx="14">
                  <c:v>CHINCHEROS</c:v>
                </c:pt>
                <c:pt idx="15">
                  <c:v>URIPA</c:v>
                </c:pt>
                <c:pt idx="16">
                  <c:v>RANRACANCHA</c:v>
                </c:pt>
                <c:pt idx="17">
                  <c:v>TAMBOBAMBA</c:v>
                </c:pt>
                <c:pt idx="18">
                  <c:v>CHALLHUAHUACHO</c:v>
                </c:pt>
                <c:pt idx="19">
                  <c:v>CHUQUIBAMBILLA</c:v>
                </c:pt>
                <c:pt idx="20">
                  <c:v>PROGRESO</c:v>
                </c:pt>
                <c:pt idx="21">
                  <c:v>VILCABAMBA</c:v>
                </c:pt>
              </c:strCache>
            </c:strRef>
          </c:xVal>
          <c:yVal>
            <c:numRef>
              <c:f>'TC% CONS PERCAP'!$Q$105:$Q$126</c:f>
              <c:numCache>
                <c:formatCode>_ * #,##0.00_ ;_ * \-#,##0.00_ ;_ * "-"??_ ;_ @_ </c:formatCode>
                <c:ptCount val="22"/>
                <c:pt idx="0">
                  <c:v>17</c:v>
                </c:pt>
                <c:pt idx="1">
                  <c:v>17.170000000000002</c:v>
                </c:pt>
                <c:pt idx="2">
                  <c:v>17.34</c:v>
                </c:pt>
                <c:pt idx="3">
                  <c:v>17.170000000000002</c:v>
                </c:pt>
                <c:pt idx="4">
                  <c:v>17.510000000000002</c:v>
                </c:pt>
                <c:pt idx="5">
                  <c:v>16.66</c:v>
                </c:pt>
                <c:pt idx="6">
                  <c:v>16.32</c:v>
                </c:pt>
                <c:pt idx="7">
                  <c:v>16.32</c:v>
                </c:pt>
                <c:pt idx="8">
                  <c:v>16.150000000000002</c:v>
                </c:pt>
                <c:pt idx="9">
                  <c:v>16.150000000000002</c:v>
                </c:pt>
                <c:pt idx="10">
                  <c:v>15.81</c:v>
                </c:pt>
                <c:pt idx="11">
                  <c:v>15.47</c:v>
                </c:pt>
                <c:pt idx="12">
                  <c:v>15.385000000000002</c:v>
                </c:pt>
                <c:pt idx="13">
                  <c:v>17</c:v>
                </c:pt>
                <c:pt idx="14">
                  <c:v>16.66</c:v>
                </c:pt>
                <c:pt idx="15">
                  <c:v>17.510000000000002</c:v>
                </c:pt>
                <c:pt idx="16">
                  <c:v>16.830000000000002</c:v>
                </c:pt>
                <c:pt idx="17">
                  <c:v>19.040000000000006</c:v>
                </c:pt>
                <c:pt idx="18">
                  <c:v>19.55</c:v>
                </c:pt>
                <c:pt idx="19">
                  <c:v>18.02</c:v>
                </c:pt>
                <c:pt idx="20">
                  <c:v>17.34</c:v>
                </c:pt>
                <c:pt idx="21">
                  <c:v>17.68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08-4441-AF0C-AA0AC8FE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7568"/>
        <c:axId val="112247552"/>
      </c:scatterChart>
      <c:valAx>
        <c:axId val="11223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247552"/>
        <c:crosses val="autoZero"/>
        <c:crossBetween val="midCat"/>
      </c:valAx>
      <c:valAx>
        <c:axId val="112247552"/>
        <c:scaling>
          <c:orientation val="minMax"/>
        </c:scaling>
        <c:delete val="0"/>
        <c:axPos val="l"/>
        <c:majorGridlines/>
        <c:numFmt formatCode="_ * #,##0.00_ ;_ * \-#,##0.00_ ;_ * &quot;-&quot;??_ ;_ @_ " sourceLinked="1"/>
        <c:majorTickMark val="out"/>
        <c:minorTickMark val="none"/>
        <c:tickLblPos val="nextTo"/>
        <c:crossAx val="112237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PRODUCCIÓN DE JUREL 2010-2019 (Tn)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Ton.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[1]Oferta_Pescados!$B$4:$K$4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 P/</c:v>
                </c:pt>
              </c:strCache>
            </c:strRef>
          </c:cat>
          <c:val>
            <c:numRef>
              <c:f>[1]Oferta_Pescados!$B$7:$K$7</c:f>
              <c:numCache>
                <c:formatCode>General</c:formatCode>
                <c:ptCount val="10"/>
                <c:pt idx="0">
                  <c:v>17559</c:v>
                </c:pt>
                <c:pt idx="1">
                  <c:v>257241</c:v>
                </c:pt>
                <c:pt idx="2">
                  <c:v>184951</c:v>
                </c:pt>
                <c:pt idx="3">
                  <c:v>82111</c:v>
                </c:pt>
                <c:pt idx="4">
                  <c:v>81748</c:v>
                </c:pt>
                <c:pt idx="5">
                  <c:v>23036</c:v>
                </c:pt>
                <c:pt idx="6">
                  <c:v>15121</c:v>
                </c:pt>
                <c:pt idx="7">
                  <c:v>12110.3</c:v>
                </c:pt>
                <c:pt idx="8">
                  <c:v>46837.30000000001</c:v>
                </c:pt>
                <c:pt idx="9">
                  <c:v>116481.00000000003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9F-4AA0-A552-27F0EA5A5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49824"/>
        <c:axId val="111151360"/>
      </c:barChart>
      <c:catAx>
        <c:axId val="1111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1151360"/>
        <c:crosses val="autoZero"/>
        <c:auto val="1"/>
        <c:lblAlgn val="ctr"/>
        <c:lblOffset val="100"/>
        <c:noMultiLvlLbl val="0"/>
      </c:catAx>
      <c:valAx>
        <c:axId val="1111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PRODUCCIÓN</a:t>
                </a:r>
                <a:r>
                  <a:rPr lang="es-PE" b="1" baseline="0"/>
                  <a:t> (Tn)</a:t>
                </a:r>
                <a:endParaRPr lang="es-PE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1149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PRODUCCIÓN DE BONITO 2010-2019 (Tn)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Ton.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[1]Oferta_Pescados!$B$4:$K$4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 P/</c:v>
                </c:pt>
              </c:strCache>
            </c:strRef>
          </c:cat>
          <c:val>
            <c:numRef>
              <c:f>[1]Oferta_Pescados!$B$8:$K$8</c:f>
              <c:numCache>
                <c:formatCode>General</c:formatCode>
                <c:ptCount val="10"/>
                <c:pt idx="0">
                  <c:v>13144</c:v>
                </c:pt>
                <c:pt idx="1">
                  <c:v>14654</c:v>
                </c:pt>
                <c:pt idx="2">
                  <c:v>23893</c:v>
                </c:pt>
                <c:pt idx="3">
                  <c:v>77221</c:v>
                </c:pt>
                <c:pt idx="4">
                  <c:v>40826</c:v>
                </c:pt>
                <c:pt idx="5">
                  <c:v>93049</c:v>
                </c:pt>
                <c:pt idx="6">
                  <c:v>78571</c:v>
                </c:pt>
                <c:pt idx="7">
                  <c:v>121620.1</c:v>
                </c:pt>
                <c:pt idx="8">
                  <c:v>70126.7</c:v>
                </c:pt>
                <c:pt idx="9">
                  <c:v>38172.200000000004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B6-46D4-97C1-984EFC809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78112"/>
        <c:axId val="111179648"/>
      </c:barChart>
      <c:catAx>
        <c:axId val="11117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1179648"/>
        <c:crosses val="autoZero"/>
        <c:auto val="1"/>
        <c:lblAlgn val="ctr"/>
        <c:lblOffset val="100"/>
        <c:noMultiLvlLbl val="0"/>
      </c:catAx>
      <c:valAx>
        <c:axId val="1111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PRODUCCIÓN</a:t>
                </a:r>
                <a:r>
                  <a:rPr lang="es-PE" b="1" baseline="0"/>
                  <a:t> (Tn)</a:t>
                </a:r>
                <a:endParaRPr lang="es-PE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117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PRODUCCIÓN DE CABALLA 2010-2019 (Tn)</a:t>
            </a:r>
          </a:p>
        </c:rich>
      </c:tx>
      <c:layout>
        <c:manualLayout>
          <c:xMode val="edge"/>
          <c:yMode val="edge"/>
          <c:x val="0.14331868049221819"/>
          <c:y val="2.3148148148148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Ton.</c:v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[1]Oferta_Pescados!$B$4:$K$4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 P/</c:v>
                </c:pt>
              </c:strCache>
            </c:strRef>
          </c:cat>
          <c:val>
            <c:numRef>
              <c:f>[1]Oferta_Pescados!$B$9:$K$9</c:f>
              <c:numCache>
                <c:formatCode>General</c:formatCode>
                <c:ptCount val="10"/>
                <c:pt idx="0">
                  <c:v>20467</c:v>
                </c:pt>
                <c:pt idx="1">
                  <c:v>46945</c:v>
                </c:pt>
                <c:pt idx="2">
                  <c:v>26781</c:v>
                </c:pt>
                <c:pt idx="3">
                  <c:v>58297</c:v>
                </c:pt>
                <c:pt idx="4">
                  <c:v>73844</c:v>
                </c:pt>
                <c:pt idx="5">
                  <c:v>49964</c:v>
                </c:pt>
                <c:pt idx="6">
                  <c:v>165396</c:v>
                </c:pt>
                <c:pt idx="7">
                  <c:v>114260.20000000001</c:v>
                </c:pt>
                <c:pt idx="8">
                  <c:v>38175.200000000012</c:v>
                </c:pt>
                <c:pt idx="9">
                  <c:v>35800.499999999993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81-4DAA-9E7E-3F5EA6C2F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12896"/>
        <c:axId val="111314432"/>
      </c:barChart>
      <c:catAx>
        <c:axId val="1113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1314432"/>
        <c:crosses val="autoZero"/>
        <c:auto val="1"/>
        <c:lblAlgn val="ctr"/>
        <c:lblOffset val="100"/>
        <c:noMultiLvlLbl val="0"/>
      </c:catAx>
      <c:valAx>
        <c:axId val="1113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PRODUCCIÓN</a:t>
                </a:r>
                <a:r>
                  <a:rPr lang="es-PE" b="1" baseline="0"/>
                  <a:t> (Tn)</a:t>
                </a:r>
                <a:endParaRPr lang="es-PE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1312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3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>
                <a:solidFill>
                  <a:schemeClr val="accent3">
                    <a:lumMod val="50000"/>
                  </a:schemeClr>
                </a:solidFill>
              </a:rPr>
              <a:t>Venta Interna de Pescado Congelado 2010-2019</a:t>
            </a:r>
          </a:p>
        </c:rich>
      </c:tx>
      <c:layout>
        <c:manualLayout>
          <c:xMode val="edge"/>
          <c:yMode val="edge"/>
          <c:x val="0.14484959716451881"/>
          <c:y val="1.38888888888888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Venta Interna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[1]Oferta_Pescados!$B$78:$K$78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 P/</c:v>
                </c:pt>
              </c:strCache>
            </c:strRef>
          </c:cat>
          <c:val>
            <c:numRef>
              <c:f>[1]Oferta_Pescados!$B$83:$K$83</c:f>
              <c:numCache>
                <c:formatCode>General</c:formatCode>
                <c:ptCount val="10"/>
                <c:pt idx="0">
                  <c:v>98.6</c:v>
                </c:pt>
                <c:pt idx="1">
                  <c:v>68.3</c:v>
                </c:pt>
                <c:pt idx="2">
                  <c:v>71.599999999999994</c:v>
                </c:pt>
                <c:pt idx="3">
                  <c:v>80</c:v>
                </c:pt>
                <c:pt idx="4">
                  <c:v>88.57</c:v>
                </c:pt>
                <c:pt idx="5">
                  <c:v>106.9</c:v>
                </c:pt>
                <c:pt idx="6">
                  <c:v>119.3</c:v>
                </c:pt>
                <c:pt idx="7">
                  <c:v>128.30000000000001</c:v>
                </c:pt>
                <c:pt idx="8">
                  <c:v>140.19999999999999</c:v>
                </c:pt>
                <c:pt idx="9">
                  <c:v>91.4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F6-43C4-A6E1-8DF728433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773952"/>
        <c:axId val="113779840"/>
      </c:barChart>
      <c:catAx>
        <c:axId val="1137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3779840"/>
        <c:crosses val="autoZero"/>
        <c:auto val="1"/>
        <c:lblAlgn val="ctr"/>
        <c:lblOffset val="100"/>
        <c:noMultiLvlLbl val="0"/>
      </c:catAx>
      <c:valAx>
        <c:axId val="1137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>
                    <a:solidFill>
                      <a:schemeClr val="accent3">
                        <a:lumMod val="50000"/>
                      </a:schemeClr>
                    </a:solidFill>
                  </a:rPr>
                  <a:t>Miles de Toneladas</a:t>
                </a:r>
              </a:p>
            </c:rich>
          </c:tx>
          <c:layout>
            <c:manualLayout>
              <c:xMode val="edge"/>
              <c:yMode val="edge"/>
              <c:x val="5.0809579036902336E-2"/>
              <c:y val="0.36030074365704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3773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accent3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Oferta</a:t>
            </a:r>
            <a:r>
              <a:rPr lang="en-US" sz="1200" baseline="0"/>
              <a:t> Mayorista Anual de Pescado</a:t>
            </a:r>
          </a:p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Congelado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Ton.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[1]Oferta_Pescados!$C$179:$C$184</c:f>
              <c:strCache>
                <c:ptCount val="6"/>
                <c:pt idx="0">
                  <c:v>Abancay</c:v>
                </c:pt>
                <c:pt idx="1">
                  <c:v>Andahuaylas</c:v>
                </c:pt>
                <c:pt idx="2">
                  <c:v>Antabamba</c:v>
                </c:pt>
                <c:pt idx="3">
                  <c:v>Aymaraes</c:v>
                </c:pt>
                <c:pt idx="4">
                  <c:v>Cotabambas</c:v>
                </c:pt>
                <c:pt idx="5">
                  <c:v>Grau</c:v>
                </c:pt>
              </c:strCache>
            </c:strRef>
          </c:cat>
          <c:val>
            <c:numRef>
              <c:f>[1]Oferta_Pescados!$D$179:$D$184</c:f>
              <c:numCache>
                <c:formatCode>General</c:formatCode>
                <c:ptCount val="6"/>
                <c:pt idx="0">
                  <c:v>158.4</c:v>
                </c:pt>
                <c:pt idx="1">
                  <c:v>62.4</c:v>
                </c:pt>
                <c:pt idx="2">
                  <c:v>50.4</c:v>
                </c:pt>
                <c:pt idx="3">
                  <c:v>43.2</c:v>
                </c:pt>
                <c:pt idx="4">
                  <c:v>57.6</c:v>
                </c:pt>
                <c:pt idx="5">
                  <c:v>110.4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72-4276-A37E-71DE230B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89952"/>
        <c:axId val="113820416"/>
      </c:barChart>
      <c:catAx>
        <c:axId val="1137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3820416"/>
        <c:crosses val="autoZero"/>
        <c:auto val="1"/>
        <c:lblAlgn val="ctr"/>
        <c:lblOffset val="100"/>
        <c:noMultiLvlLbl val="0"/>
      </c:catAx>
      <c:valAx>
        <c:axId val="1138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800" b="1"/>
                  <a:t>PRODUCCIÓN</a:t>
                </a:r>
                <a:r>
                  <a:rPr lang="es-PE" sz="800" b="1" baseline="0"/>
                  <a:t> (Tn)</a:t>
                </a:r>
                <a:endParaRPr lang="es-PE" sz="800" b="1"/>
              </a:p>
            </c:rich>
          </c:tx>
          <c:layout>
            <c:manualLayout>
              <c:xMode val="edge"/>
              <c:yMode val="edge"/>
              <c:x val="2.9143894652393653E-2"/>
              <c:y val="0.285165562913907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3789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Oferta del Programa a Comer Pescado Mensualizado - 2019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Ton.</c:v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[1]Oferta_Pescados!$A$190:$A$200</c:f>
              <c:strCache>
                <c:ptCount val="11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</c:strCache>
            </c:strRef>
          </c:cat>
          <c:val>
            <c:numRef>
              <c:f>[1]Oferta_Pescados!$I$190:$I$200</c:f>
              <c:numCache>
                <c:formatCode>General</c:formatCode>
                <c:ptCount val="11"/>
                <c:pt idx="0">
                  <c:v>2.2999999999999998</c:v>
                </c:pt>
                <c:pt idx="1">
                  <c:v>3.9</c:v>
                </c:pt>
                <c:pt idx="2">
                  <c:v>6.5399999999999991</c:v>
                </c:pt>
                <c:pt idx="3">
                  <c:v>27.56</c:v>
                </c:pt>
                <c:pt idx="4">
                  <c:v>12.45</c:v>
                </c:pt>
                <c:pt idx="5">
                  <c:v>11.3</c:v>
                </c:pt>
                <c:pt idx="6">
                  <c:v>9.6199999999999992</c:v>
                </c:pt>
                <c:pt idx="7">
                  <c:v>9.86</c:v>
                </c:pt>
                <c:pt idx="8">
                  <c:v>9.5</c:v>
                </c:pt>
                <c:pt idx="9">
                  <c:v>7.94</c:v>
                </c:pt>
                <c:pt idx="10">
                  <c:v>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FF-47E4-B542-429FDAB1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973888"/>
        <c:axId val="113996160"/>
      </c:barChart>
      <c:catAx>
        <c:axId val="1139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3996160"/>
        <c:crosses val="autoZero"/>
        <c:auto val="1"/>
        <c:lblAlgn val="ctr"/>
        <c:lblOffset val="100"/>
        <c:noMultiLvlLbl val="0"/>
      </c:catAx>
      <c:valAx>
        <c:axId val="1139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PRODUCCIÓN (Tn)</a:t>
                </a:r>
              </a:p>
            </c:rich>
          </c:tx>
          <c:layout>
            <c:manualLayout>
              <c:xMode val="edge"/>
              <c:yMode val="edge"/>
              <c:x val="2.1262167615720348E-2"/>
              <c:y val="0.291135503584440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3973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/>
      </a:pPr>
      <a:endParaRPr lang="es-P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8</xdr:row>
      <xdr:rowOff>90487</xdr:rowOff>
    </xdr:from>
    <xdr:to>
      <xdr:col>7</xdr:col>
      <xdr:colOff>314325</xdr:colOff>
      <xdr:row>22</xdr:row>
      <xdr:rowOff>166687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134471</xdr:colOff>
      <xdr:row>102</xdr:row>
      <xdr:rowOff>45943</xdr:rowOff>
    </xdr:from>
    <xdr:to>
      <xdr:col>8</xdr:col>
      <xdr:colOff>168088</xdr:colOff>
      <xdr:row>125</xdr:row>
      <xdr:rowOff>112058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99391</xdr:colOff>
      <xdr:row>103</xdr:row>
      <xdr:rowOff>115127</xdr:rowOff>
    </xdr:from>
    <xdr:to>
      <xdr:col>28</xdr:col>
      <xdr:colOff>99391</xdr:colOff>
      <xdr:row>118</xdr:row>
      <xdr:rowOff>827</xdr:rowOff>
    </xdr:to>
    <xdr:graphicFrame macro="">
      <xdr:nvGraphicFramePr>
        <xdr:cNvPr id="7" name="6 Gráfico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777875</xdr:colOff>
      <xdr:row>78</xdr:row>
      <xdr:rowOff>53181</xdr:rowOff>
    </xdr:from>
    <xdr:to>
      <xdr:col>8</xdr:col>
      <xdr:colOff>388937</xdr:colOff>
      <xdr:row>96</xdr:row>
      <xdr:rowOff>81756</xdr:rowOff>
    </xdr:to>
    <xdr:graphicFrame macro="">
      <xdr:nvGraphicFramePr>
        <xdr:cNvPr id="10" name="Gráfico 1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762001</xdr:colOff>
      <xdr:row>97</xdr:row>
      <xdr:rowOff>69055</xdr:rowOff>
    </xdr:from>
    <xdr:to>
      <xdr:col>8</xdr:col>
      <xdr:colOff>396876</xdr:colOff>
      <xdr:row>115</xdr:row>
      <xdr:rowOff>97630</xdr:rowOff>
    </xdr:to>
    <xdr:graphicFrame macro="">
      <xdr:nvGraphicFramePr>
        <xdr:cNvPr id="11" name="Gráfico 2">
          <a:extLst>
            <a:ext uri="{FF2B5EF4-FFF2-40B4-BE49-F238E27FC236}">
              <a16:creationId xmlns=""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116</xdr:row>
      <xdr:rowOff>29369</xdr:rowOff>
    </xdr:from>
    <xdr:to>
      <xdr:col>8</xdr:col>
      <xdr:colOff>412750</xdr:colOff>
      <xdr:row>134</xdr:row>
      <xdr:rowOff>57944</xdr:rowOff>
    </xdr:to>
    <xdr:graphicFrame macro="">
      <xdr:nvGraphicFramePr>
        <xdr:cNvPr id="12" name="Gráfico 3">
          <a:extLst>
            <a:ext uri="{FF2B5EF4-FFF2-40B4-BE49-F238E27FC236}">
              <a16:creationId xmlns=""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833435</xdr:colOff>
      <xdr:row>157</xdr:row>
      <xdr:rowOff>132555</xdr:rowOff>
    </xdr:from>
    <xdr:to>
      <xdr:col>9</xdr:col>
      <xdr:colOff>396874</xdr:colOff>
      <xdr:row>176</xdr:row>
      <xdr:rowOff>10318</xdr:rowOff>
    </xdr:to>
    <xdr:graphicFrame macro="">
      <xdr:nvGraphicFramePr>
        <xdr:cNvPr id="13" name="Gráfico 6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237</xdr:row>
      <xdr:rowOff>71439</xdr:rowOff>
    </xdr:from>
    <xdr:to>
      <xdr:col>9</xdr:col>
      <xdr:colOff>412751</xdr:colOff>
      <xdr:row>247</xdr:row>
      <xdr:rowOff>147639</xdr:rowOff>
    </xdr:to>
    <xdr:graphicFrame macro="">
      <xdr:nvGraphicFramePr>
        <xdr:cNvPr id="14" name="Gráfico 5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55562</xdr:colOff>
      <xdr:row>268</xdr:row>
      <xdr:rowOff>95250</xdr:rowOff>
    </xdr:from>
    <xdr:to>
      <xdr:col>5</xdr:col>
      <xdr:colOff>507999</xdr:colOff>
      <xdr:row>282</xdr:row>
      <xdr:rowOff>111125</xdr:rowOff>
    </xdr:to>
    <xdr:graphicFrame macro="">
      <xdr:nvGraphicFramePr>
        <xdr:cNvPr id="15" name="Gráfico 7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55562</xdr:colOff>
      <xdr:row>283</xdr:row>
      <xdr:rowOff>79375</xdr:rowOff>
    </xdr:from>
    <xdr:to>
      <xdr:col>5</xdr:col>
      <xdr:colOff>507999</xdr:colOff>
      <xdr:row>297</xdr:row>
      <xdr:rowOff>95250</xdr:rowOff>
    </xdr:to>
    <xdr:graphicFrame macro="">
      <xdr:nvGraphicFramePr>
        <xdr:cNvPr id="16" name="Gráfico 8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357188</xdr:colOff>
      <xdr:row>309</xdr:row>
      <xdr:rowOff>142875</xdr:rowOff>
    </xdr:from>
    <xdr:to>
      <xdr:col>8</xdr:col>
      <xdr:colOff>111125</xdr:colOff>
      <xdr:row>324</xdr:row>
      <xdr:rowOff>7938</xdr:rowOff>
    </xdr:to>
    <xdr:graphicFrame macro="">
      <xdr:nvGraphicFramePr>
        <xdr:cNvPr id="17" name="Gráfico 9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896472</xdr:colOff>
      <xdr:row>34</xdr:row>
      <xdr:rowOff>34737</xdr:rowOff>
    </xdr:from>
    <xdr:to>
      <xdr:col>10</xdr:col>
      <xdr:colOff>11207</xdr:colOff>
      <xdr:row>52</xdr:row>
      <xdr:rowOff>89647</xdr:rowOff>
    </xdr:to>
    <xdr:graphicFrame macro="">
      <xdr:nvGraphicFramePr>
        <xdr:cNvPr id="2" name="Gráfico 2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533399</xdr:colOff>
      <xdr:row>67</xdr:row>
      <xdr:rowOff>90486</xdr:rowOff>
    </xdr:from>
    <xdr:to>
      <xdr:col>9</xdr:col>
      <xdr:colOff>66674</xdr:colOff>
      <xdr:row>87</xdr:row>
      <xdr:rowOff>142875</xdr:rowOff>
    </xdr:to>
    <xdr:graphicFrame macro="">
      <xdr:nvGraphicFramePr>
        <xdr:cNvPr id="5" name="Gráfico 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1609724</xdr:colOff>
      <xdr:row>96</xdr:row>
      <xdr:rowOff>42861</xdr:rowOff>
    </xdr:from>
    <xdr:to>
      <xdr:col>8</xdr:col>
      <xdr:colOff>605999</xdr:colOff>
      <xdr:row>115</xdr:row>
      <xdr:rowOff>123825</xdr:rowOff>
    </xdr:to>
    <xdr:graphicFrame macro="">
      <xdr:nvGraphicFramePr>
        <xdr:cNvPr id="6" name="Gráfico 2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RFEI/PESCADO/Plamchaso/Estudio%20de%20Mercado%20Pescado/OFERTA-DEMAND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RFEI-GERMUT/Downloads/Formato%206b%20Pescad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RFEI/PESCADO/Plamchaso/EXPEDIENTE%20TECNICO%20PIP%20COMUNAL%20-%20PBM/PRESUPUESTO%20TOTAL%20EXPEDIENTE%20TECNICO%20PIP%20COMU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Básicos"/>
      <sheetName val="Oferta Histórica"/>
      <sheetName val="Oferta_Pescados"/>
      <sheetName val="Demanda_Pescados"/>
      <sheetName val="Brecha Oferta-Demanda"/>
    </sheetNames>
    <sheetDataSet>
      <sheetData sheetId="0">
        <row r="5">
          <cell r="E5">
            <v>3.8750734746773041E-4</v>
          </cell>
        </row>
        <row r="32">
          <cell r="G32">
            <v>120734.96158128347</v>
          </cell>
        </row>
        <row r="55">
          <cell r="G55">
            <v>81782.056574228904</v>
          </cell>
        </row>
        <row r="62">
          <cell r="O62">
            <v>3.3597829195201183</v>
          </cell>
        </row>
        <row r="69">
          <cell r="P69">
            <v>229.35103725842006</v>
          </cell>
        </row>
        <row r="70">
          <cell r="P70">
            <v>72398.413719286487</v>
          </cell>
        </row>
        <row r="82">
          <cell r="AO82">
            <v>7.9551028728975703</v>
          </cell>
        </row>
        <row r="83">
          <cell r="AO83">
            <v>5.0587329273032386</v>
          </cell>
        </row>
        <row r="84">
          <cell r="AO84">
            <v>3.9835074930588501</v>
          </cell>
        </row>
        <row r="85">
          <cell r="AO85">
            <v>16.997343293259661</v>
          </cell>
        </row>
      </sheetData>
      <sheetData sheetId="1"/>
      <sheetData sheetId="2">
        <row r="4">
          <cell r="B4">
            <v>2010</v>
          </cell>
          <cell r="C4">
            <v>2011</v>
          </cell>
          <cell r="D4">
            <v>2012</v>
          </cell>
          <cell r="E4">
            <v>2013</v>
          </cell>
          <cell r="F4">
            <v>2014</v>
          </cell>
          <cell r="G4">
            <v>2015</v>
          </cell>
          <cell r="H4">
            <v>2016</v>
          </cell>
          <cell r="I4">
            <v>2017</v>
          </cell>
          <cell r="J4">
            <v>2018</v>
          </cell>
          <cell r="K4" t="str">
            <v>2019 P/</v>
          </cell>
        </row>
        <row r="7">
          <cell r="B7">
            <v>17559</v>
          </cell>
          <cell r="C7">
            <v>257241</v>
          </cell>
          <cell r="D7">
            <v>184951</v>
          </cell>
          <cell r="E7">
            <v>82111</v>
          </cell>
          <cell r="F7">
            <v>81748</v>
          </cell>
          <cell r="G7">
            <v>23036</v>
          </cell>
          <cell r="H7">
            <v>15121</v>
          </cell>
          <cell r="I7">
            <v>12110.3</v>
          </cell>
          <cell r="J7">
            <v>46837.30000000001</v>
          </cell>
          <cell r="K7">
            <v>116481.00000000003</v>
          </cell>
        </row>
        <row r="8">
          <cell r="B8">
            <v>13144</v>
          </cell>
          <cell r="C8">
            <v>14654</v>
          </cell>
          <cell r="D8">
            <v>23893</v>
          </cell>
          <cell r="E8">
            <v>77221</v>
          </cell>
          <cell r="F8">
            <v>40826</v>
          </cell>
          <cell r="G8">
            <v>93049</v>
          </cell>
          <cell r="H8">
            <v>78571</v>
          </cell>
          <cell r="I8">
            <v>121620.1</v>
          </cell>
          <cell r="J8">
            <v>70126.7</v>
          </cell>
          <cell r="K8">
            <v>38172.200000000004</v>
          </cell>
        </row>
        <row r="9">
          <cell r="B9">
            <v>20467</v>
          </cell>
          <cell r="C9">
            <v>46945</v>
          </cell>
          <cell r="D9">
            <v>26781</v>
          </cell>
          <cell r="E9">
            <v>58297</v>
          </cell>
          <cell r="F9">
            <v>73844</v>
          </cell>
          <cell r="G9">
            <v>49964</v>
          </cell>
          <cell r="H9">
            <v>165396</v>
          </cell>
          <cell r="I9">
            <v>114260.20000000001</v>
          </cell>
          <cell r="J9">
            <v>38175.200000000012</v>
          </cell>
          <cell r="K9">
            <v>35800.499999999993</v>
          </cell>
        </row>
        <row r="78">
          <cell r="B78">
            <v>2010</v>
          </cell>
          <cell r="C78">
            <v>2011</v>
          </cell>
          <cell r="D78">
            <v>2012</v>
          </cell>
          <cell r="E78">
            <v>2013</v>
          </cell>
          <cell r="F78">
            <v>2014</v>
          </cell>
          <cell r="G78">
            <v>2015</v>
          </cell>
          <cell r="H78">
            <v>2016</v>
          </cell>
          <cell r="I78">
            <v>2017</v>
          </cell>
          <cell r="J78">
            <v>2018</v>
          </cell>
          <cell r="K78" t="str">
            <v>2019 P/</v>
          </cell>
        </row>
        <row r="83">
          <cell r="B83">
            <v>98.6</v>
          </cell>
          <cell r="C83">
            <v>68.3</v>
          </cell>
          <cell r="D83">
            <v>71.599999999999994</v>
          </cell>
          <cell r="E83">
            <v>80</v>
          </cell>
          <cell r="F83">
            <v>88.57</v>
          </cell>
          <cell r="G83">
            <v>106.9</v>
          </cell>
          <cell r="H83">
            <v>119.3</v>
          </cell>
          <cell r="I83">
            <v>128.30000000000001</v>
          </cell>
          <cell r="J83">
            <v>140.19999999999999</v>
          </cell>
          <cell r="K83">
            <v>91.4</v>
          </cell>
        </row>
        <row r="179">
          <cell r="C179" t="str">
            <v>Abancay</v>
          </cell>
          <cell r="D179">
            <v>158.4</v>
          </cell>
        </row>
        <row r="180">
          <cell r="C180" t="str">
            <v>Andahuaylas</v>
          </cell>
          <cell r="D180">
            <v>62.4</v>
          </cell>
        </row>
        <row r="181">
          <cell r="C181" t="str">
            <v>Antabamba</v>
          </cell>
          <cell r="D181">
            <v>50.4</v>
          </cell>
        </row>
        <row r="182">
          <cell r="C182" t="str">
            <v>Aymaraes</v>
          </cell>
          <cell r="D182">
            <v>43.2</v>
          </cell>
        </row>
        <row r="183">
          <cell r="C183" t="str">
            <v>Cotabambas</v>
          </cell>
          <cell r="D183">
            <v>57.6</v>
          </cell>
        </row>
        <row r="184">
          <cell r="C184" t="str">
            <v>Grau</v>
          </cell>
          <cell r="D184">
            <v>110.4</v>
          </cell>
        </row>
        <row r="188">
          <cell r="B188" t="str">
            <v>ABANCAY</v>
          </cell>
          <cell r="C188" t="str">
            <v>ANDAHUAYLAS</v>
          </cell>
          <cell r="D188" t="str">
            <v>ANTABAMBA</v>
          </cell>
          <cell r="E188" t="str">
            <v>AYMARAES</v>
          </cell>
          <cell r="F188" t="str">
            <v>CHINCHEROS</v>
          </cell>
          <cell r="G188" t="str">
            <v>COTABAMBAS</v>
          </cell>
          <cell r="H188" t="str">
            <v>GRAU</v>
          </cell>
        </row>
        <row r="189">
          <cell r="B189">
            <v>38.615000000000002</v>
          </cell>
          <cell r="C189">
            <v>23.62</v>
          </cell>
          <cell r="D189">
            <v>2.5000000000000001E-2</v>
          </cell>
          <cell r="E189">
            <v>1.18</v>
          </cell>
          <cell r="F189">
            <v>39.29</v>
          </cell>
          <cell r="G189">
            <v>1.24</v>
          </cell>
          <cell r="H189">
            <v>0.4</v>
          </cell>
        </row>
        <row r="190">
          <cell r="A190" t="str">
            <v>Enero</v>
          </cell>
          <cell r="I190">
            <v>2.2999999999999998</v>
          </cell>
        </row>
        <row r="191">
          <cell r="A191" t="str">
            <v>Febrero</v>
          </cell>
          <cell r="I191">
            <v>3.9</v>
          </cell>
        </row>
        <row r="192">
          <cell r="A192" t="str">
            <v>Marzo</v>
          </cell>
          <cell r="I192">
            <v>6.5399999999999991</v>
          </cell>
        </row>
        <row r="193">
          <cell r="A193" t="str">
            <v>Abril</v>
          </cell>
          <cell r="I193">
            <v>27.56</v>
          </cell>
        </row>
        <row r="194">
          <cell r="A194" t="str">
            <v>Mayo</v>
          </cell>
          <cell r="I194">
            <v>12.45</v>
          </cell>
        </row>
        <row r="195">
          <cell r="A195" t="str">
            <v>Junio</v>
          </cell>
          <cell r="I195">
            <v>11.3</v>
          </cell>
        </row>
        <row r="196">
          <cell r="A196" t="str">
            <v>Julio</v>
          </cell>
          <cell r="I196">
            <v>9.6199999999999992</v>
          </cell>
        </row>
        <row r="197">
          <cell r="A197" t="str">
            <v>Agosto</v>
          </cell>
          <cell r="I197">
            <v>9.86</v>
          </cell>
        </row>
        <row r="198">
          <cell r="A198" t="str">
            <v>Septiembre</v>
          </cell>
          <cell r="I198">
            <v>9.5</v>
          </cell>
        </row>
        <row r="199">
          <cell r="A199" t="str">
            <v>Octubre</v>
          </cell>
          <cell r="I199">
            <v>7.94</v>
          </cell>
        </row>
        <row r="200">
          <cell r="A200" t="str">
            <v>Noviembre</v>
          </cell>
          <cell r="I200">
            <v>3.4</v>
          </cell>
        </row>
        <row r="250">
          <cell r="A250" t="str">
            <v>Año 0</v>
          </cell>
          <cell r="B250">
            <v>497.49031316846288</v>
          </cell>
        </row>
        <row r="251">
          <cell r="A251" t="str">
            <v>Año 1</v>
          </cell>
          <cell r="B251">
            <v>499.9777647343052</v>
          </cell>
        </row>
        <row r="252">
          <cell r="A252" t="str">
            <v>Año 2</v>
          </cell>
          <cell r="B252">
            <v>504.97754238164828</v>
          </cell>
        </row>
        <row r="253">
          <cell r="A253" t="str">
            <v>Año 3</v>
          </cell>
          <cell r="B253">
            <v>512.55220551737295</v>
          </cell>
        </row>
        <row r="254">
          <cell r="A254" t="str">
            <v>Año 4</v>
          </cell>
          <cell r="B254">
            <v>522.80324962772045</v>
          </cell>
        </row>
        <row r="255">
          <cell r="A255" t="str">
            <v>Año 5</v>
          </cell>
          <cell r="B255">
            <v>535.8733308684134</v>
          </cell>
        </row>
        <row r="256">
          <cell r="A256" t="str">
            <v>Año 6</v>
          </cell>
          <cell r="B256">
            <v>551.94953079446577</v>
          </cell>
        </row>
        <row r="257">
          <cell r="A257" t="str">
            <v>Año 7</v>
          </cell>
          <cell r="B257">
            <v>571.26776437227204</v>
          </cell>
        </row>
        <row r="258">
          <cell r="A258" t="str">
            <v>Año 8</v>
          </cell>
          <cell r="B258">
            <v>594.11847494716289</v>
          </cell>
        </row>
        <row r="259">
          <cell r="A259" t="str">
            <v>Año 9</v>
          </cell>
          <cell r="B259">
            <v>620.85380631978524</v>
          </cell>
        </row>
        <row r="260">
          <cell r="A260" t="str">
            <v>Año 10</v>
          </cell>
          <cell r="B260">
            <v>651.8964966357745</v>
          </cell>
        </row>
      </sheetData>
      <sheetData sheetId="3">
        <row r="28">
          <cell r="C28" t="str">
            <v>Año 1</v>
          </cell>
          <cell r="D28" t="str">
            <v>Año 2</v>
          </cell>
          <cell r="E28" t="str">
            <v>Año 3</v>
          </cell>
          <cell r="F28" t="str">
            <v>Año 4</v>
          </cell>
          <cell r="G28" t="str">
            <v>Año 5</v>
          </cell>
          <cell r="H28" t="str">
            <v>Año 6</v>
          </cell>
          <cell r="I28" t="str">
            <v>Año 7</v>
          </cell>
          <cell r="J28" t="str">
            <v>Año 8</v>
          </cell>
          <cell r="K28" t="str">
            <v>Año 9</v>
          </cell>
          <cell r="L28" t="str">
            <v>Año 10</v>
          </cell>
        </row>
        <row r="29">
          <cell r="C29">
            <v>6907.5215142527604</v>
          </cell>
          <cell r="D29">
            <v>6910.1982295923244</v>
          </cell>
          <cell r="E29">
            <v>6912.8759821787498</v>
          </cell>
          <cell r="F29">
            <v>6915.5547724139778</v>
          </cell>
          <cell r="G29">
            <v>6918.2346007001033</v>
          </cell>
          <cell r="H29">
            <v>6920.9154674393803</v>
          </cell>
          <cell r="I29">
            <v>6923.5973730342166</v>
          </cell>
          <cell r="J29">
            <v>6926.2803178871745</v>
          </cell>
          <cell r="K29">
            <v>6928.9643024009783</v>
          </cell>
          <cell r="L29">
            <v>6931.6493269784987</v>
          </cell>
        </row>
        <row r="30">
          <cell r="C30">
            <v>4670.3592824262014</v>
          </cell>
          <cell r="D30">
            <v>4722.691397339664</v>
          </cell>
          <cell r="E30">
            <v>4775.6099018830673</v>
          </cell>
          <cell r="F30">
            <v>4829.1213666450203</v>
          </cell>
          <cell r="G30">
            <v>4883.2324358386177</v>
          </cell>
          <cell r="H30">
            <v>4937.9498281264114</v>
          </cell>
          <cell r="I30">
            <v>4993.2803374546311</v>
          </cell>
          <cell r="J30">
            <v>5049.2308338967505</v>
          </cell>
          <cell r="K30">
            <v>5105.8082645065033</v>
          </cell>
          <cell r="L30">
            <v>5163.019654180458</v>
          </cell>
        </row>
        <row r="32">
          <cell r="C32">
            <v>4134.4839896500271</v>
          </cell>
          <cell r="D32">
            <v>4180.8115370976902</v>
          </cell>
          <cell r="E32">
            <v>4227.6581920465278</v>
          </cell>
          <cell r="F32">
            <v>4275.0297711782487</v>
          </cell>
          <cell r="G32">
            <v>4322.9321563513977</v>
          </cell>
          <cell r="H32">
            <v>4371.3712953316763</v>
          </cell>
          <cell r="I32">
            <v>4420.3532025304457</v>
          </cell>
          <cell r="J32">
            <v>4469.8839597514916</v>
          </cell>
          <cell r="K32">
            <v>4519.9697169461797</v>
          </cell>
          <cell r="L32">
            <v>4570.6166929770516</v>
          </cell>
        </row>
        <row r="33">
          <cell r="C33">
            <v>482.64119999999997</v>
          </cell>
          <cell r="D33">
            <v>482.88252059999991</v>
          </cell>
          <cell r="E33">
            <v>483.12396186029991</v>
          </cell>
          <cell r="F33">
            <v>483.36552384123007</v>
          </cell>
          <cell r="G33">
            <v>483.6072066031507</v>
          </cell>
          <cell r="H33">
            <v>483.84901020645225</v>
          </cell>
          <cell r="I33">
            <v>484.09093471155546</v>
          </cell>
          <cell r="J33">
            <v>484.33298017891121</v>
          </cell>
          <cell r="K33">
            <v>484.57514666900067</v>
          </cell>
          <cell r="L33">
            <v>484.81743424233514</v>
          </cell>
        </row>
      </sheetData>
      <sheetData sheetId="4">
        <row r="3">
          <cell r="B3" t="str">
            <v>Año 1</v>
          </cell>
          <cell r="C3" t="str">
            <v>Año 2</v>
          </cell>
          <cell r="D3" t="str">
            <v>Año 3</v>
          </cell>
          <cell r="E3" t="str">
            <v>Año 4</v>
          </cell>
          <cell r="F3" t="str">
            <v>Año 5</v>
          </cell>
          <cell r="G3" t="str">
            <v>Año 6</v>
          </cell>
          <cell r="H3" t="str">
            <v>Año 7</v>
          </cell>
          <cell r="I3" t="str">
            <v>Año 8</v>
          </cell>
          <cell r="J3" t="str">
            <v>Año 9</v>
          </cell>
          <cell r="K3" t="str">
            <v>Año 10</v>
          </cell>
        </row>
        <row r="4">
          <cell r="B4">
            <v>499.9777647343052</v>
          </cell>
          <cell r="C4">
            <v>504.97754238164828</v>
          </cell>
          <cell r="D4">
            <v>512.55220551737295</v>
          </cell>
          <cell r="E4">
            <v>522.80324962772045</v>
          </cell>
          <cell r="F4">
            <v>535.8733308684134</v>
          </cell>
          <cell r="G4">
            <v>551.94953079446577</v>
          </cell>
          <cell r="H4">
            <v>571.26776437227204</v>
          </cell>
          <cell r="I4">
            <v>594.11847494716289</v>
          </cell>
          <cell r="J4">
            <v>620.85380631978524</v>
          </cell>
          <cell r="K4">
            <v>651.8964966357745</v>
          </cell>
        </row>
        <row r="5">
          <cell r="B5">
            <v>4134.4839896500271</v>
          </cell>
          <cell r="C5">
            <v>4180.8115370976902</v>
          </cell>
          <cell r="D5">
            <v>4227.6581920465278</v>
          </cell>
          <cell r="E5">
            <v>4275.0297711782487</v>
          </cell>
          <cell r="F5">
            <v>4322.9321563513977</v>
          </cell>
          <cell r="G5">
            <v>4371.3712953316763</v>
          </cell>
          <cell r="H5">
            <v>4420.3532025304457</v>
          </cell>
          <cell r="I5">
            <v>4469.8839597514916</v>
          </cell>
          <cell r="J5">
            <v>4519.9697169461797</v>
          </cell>
          <cell r="K5">
            <v>4570.6166929770516</v>
          </cell>
        </row>
        <row r="31">
          <cell r="B31" t="str">
            <v>Año 1</v>
          </cell>
          <cell r="C31" t="str">
            <v>Año 2</v>
          </cell>
          <cell r="D31" t="str">
            <v>Año 3</v>
          </cell>
          <cell r="E31" t="str">
            <v>Año 4</v>
          </cell>
          <cell r="F31" t="str">
            <v>Año 5</v>
          </cell>
          <cell r="G31" t="str">
            <v>Año 6</v>
          </cell>
          <cell r="H31" t="str">
            <v>Año 7</v>
          </cell>
          <cell r="I31" t="str">
            <v>Año 8</v>
          </cell>
          <cell r="J31" t="str">
            <v>Año 9</v>
          </cell>
          <cell r="K31" t="str">
            <v>Año 10</v>
          </cell>
        </row>
        <row r="32">
          <cell r="B32">
            <v>3634.5062249157218</v>
          </cell>
          <cell r="C32">
            <v>3675.8339947160421</v>
          </cell>
          <cell r="D32">
            <v>3715.105986529155</v>
          </cell>
          <cell r="E32">
            <v>3752.2265215505281</v>
          </cell>
          <cell r="F32">
            <v>3787.0588254829845</v>
          </cell>
          <cell r="G32">
            <v>3819.4217645372105</v>
          </cell>
          <cell r="H32">
            <v>3849.0854381581739</v>
          </cell>
          <cell r="I32">
            <v>3875.7654848043285</v>
          </cell>
          <cell r="J32">
            <v>3899.1159106263945</v>
          </cell>
          <cell r="K32">
            <v>3918.7201963412772</v>
          </cell>
        </row>
        <row r="34">
          <cell r="B34">
            <v>404.62393977715874</v>
          </cell>
          <cell r="C34">
            <v>409.22489627688157</v>
          </cell>
          <cell r="D34">
            <v>413.59698620243574</v>
          </cell>
          <cell r="E34">
            <v>417.72955778094013</v>
          </cell>
          <cell r="F34">
            <v>421.60738414206924</v>
          </cell>
          <cell r="G34">
            <v>425.21029994205321</v>
          </cell>
          <cell r="H34">
            <v>428.51271070874719</v>
          </cell>
          <cell r="I34">
            <v>431.48295891286352</v>
          </cell>
          <cell r="J34">
            <v>434.08252559590522</v>
          </cell>
          <cell r="K34">
            <v>436.26504031223561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F-05"/>
      <sheetName val="FF-06A"/>
      <sheetName val="FF-06"/>
      <sheetName val="FF-07"/>
      <sheetName val="FF-08A"/>
      <sheetName val="FF-08B"/>
      <sheetName val="FF-09A"/>
      <sheetName val="FF-09B"/>
      <sheetName val="FF-EXP"/>
      <sheetName val="FF-10"/>
      <sheetName val="FF-11"/>
      <sheetName val="FF-11A"/>
      <sheetName val="FF-12 A"/>
      <sheetName val="FF-12"/>
      <sheetName val="FF-14"/>
      <sheetName val="FF-15"/>
      <sheetName val="FF-16"/>
      <sheetName val="FF-16A"/>
      <sheetName val="FF-17"/>
      <sheetName val="FF-18"/>
    </sheetNames>
    <sheetDataSet>
      <sheetData sheetId="0"/>
      <sheetData sheetId="1"/>
      <sheetData sheetId="2">
        <row r="121">
          <cell r="D121">
            <v>1</v>
          </cell>
        </row>
      </sheetData>
      <sheetData sheetId="3">
        <row r="129">
          <cell r="F129">
            <v>11650295.26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0">
          <cell r="B20" t="str">
            <v xml:space="preserve">Papel bond A4 80 gr. </v>
          </cell>
          <cell r="C20" t="str">
            <v>Millar</v>
          </cell>
        </row>
        <row r="21">
          <cell r="B21" t="str">
            <v>Papel bond A1</v>
          </cell>
          <cell r="C21" t="str">
            <v>Unidad</v>
          </cell>
        </row>
        <row r="22">
          <cell r="B22" t="str">
            <v>Papel Kraft</v>
          </cell>
          <cell r="C22" t="str">
            <v>Unidad</v>
          </cell>
        </row>
        <row r="23">
          <cell r="B23" t="str">
            <v>Plumones de papelografo punta gruesa</v>
          </cell>
          <cell r="C23" t="str">
            <v>Unidad</v>
          </cell>
        </row>
        <row r="24">
          <cell r="B24" t="str">
            <v>Plumones para pizarra acrilica</v>
          </cell>
          <cell r="C24" t="str">
            <v>Unidad</v>
          </cell>
        </row>
        <row r="25">
          <cell r="B25" t="str">
            <v>Tablero acrilico</v>
          </cell>
          <cell r="C25" t="str">
            <v>Unidad</v>
          </cell>
        </row>
        <row r="26">
          <cell r="B26" t="str">
            <v>Lapicero</v>
          </cell>
          <cell r="C26" t="str">
            <v>Unidad</v>
          </cell>
        </row>
        <row r="27">
          <cell r="B27" t="str">
            <v>Cuaderno de trabajo de campo</v>
          </cell>
          <cell r="C27" t="str">
            <v>Unidad</v>
          </cell>
        </row>
        <row r="28">
          <cell r="B28" t="str">
            <v>Cds</v>
          </cell>
          <cell r="C28" t="str">
            <v>Unidad</v>
          </cell>
        </row>
        <row r="29">
          <cell r="B29" t="str">
            <v>Toner para impresora</v>
          </cell>
          <cell r="C29" t="str">
            <v>Unidad</v>
          </cell>
        </row>
        <row r="30">
          <cell r="B30" t="str">
            <v>Cinta masking de 3/4 x 40  Yrd.</v>
          </cell>
          <cell r="C30" t="str">
            <v>Unidad</v>
          </cell>
        </row>
        <row r="31">
          <cell r="B31" t="str">
            <v>Cartulina</v>
          </cell>
          <cell r="C31" t="str">
            <v>Unidad</v>
          </cell>
        </row>
        <row r="32">
          <cell r="B32" t="str">
            <v>Pizarra acrilica</v>
          </cell>
          <cell r="C32" t="str">
            <v>Unidad</v>
          </cell>
        </row>
        <row r="33">
          <cell r="B33" t="str">
            <v>Folder manila A4</v>
          </cell>
          <cell r="C33" t="str">
            <v>Unidad</v>
          </cell>
        </row>
        <row r="89">
          <cell r="B89" t="str">
            <v>Papel bond 80gr. A4</v>
          </cell>
          <cell r="C89" t="str">
            <v>Millar</v>
          </cell>
        </row>
        <row r="90">
          <cell r="B90" t="str">
            <v>Papel Kraft</v>
          </cell>
          <cell r="C90" t="str">
            <v>Und.</v>
          </cell>
        </row>
        <row r="91">
          <cell r="B91" t="str">
            <v>Cuaderno de 50 hojas</v>
          </cell>
          <cell r="C91" t="str">
            <v>Unid</v>
          </cell>
        </row>
        <row r="92">
          <cell r="B92" t="str">
            <v>Plumones de papelografo punta gruesa</v>
          </cell>
          <cell r="C92" t="str">
            <v>Und.</v>
          </cell>
        </row>
        <row r="93">
          <cell r="B93" t="str">
            <v xml:space="preserve">Plumones para pizarra acrilica </v>
          </cell>
          <cell r="C93" t="str">
            <v>Und.</v>
          </cell>
        </row>
        <row r="94">
          <cell r="B94" t="str">
            <v>Cinta masking de 3/4 x 40  Yrd.</v>
          </cell>
          <cell r="C94" t="str">
            <v>Und.</v>
          </cell>
        </row>
        <row r="95">
          <cell r="B95" t="str">
            <v>Cartulina de colores</v>
          </cell>
          <cell r="C95" t="str">
            <v>Und.</v>
          </cell>
        </row>
        <row r="96">
          <cell r="B96" t="str">
            <v>Lapicero</v>
          </cell>
          <cell r="C96" t="str">
            <v>Und</v>
          </cell>
        </row>
        <row r="97">
          <cell r="B97" t="str">
            <v>Calculadora basica</v>
          </cell>
          <cell r="C97" t="str">
            <v>Und.</v>
          </cell>
        </row>
        <row r="98">
          <cell r="B98" t="str">
            <v>Folder manila A4</v>
          </cell>
          <cell r="C98" t="str">
            <v>Und</v>
          </cell>
        </row>
        <row r="106">
          <cell r="B106" t="str">
            <v>Papel bond 80gr. A4</v>
          </cell>
          <cell r="C106" t="str">
            <v>Millar</v>
          </cell>
        </row>
        <row r="107">
          <cell r="B107" t="str">
            <v>Papel Kraft</v>
          </cell>
          <cell r="C107" t="str">
            <v>Und.</v>
          </cell>
        </row>
        <row r="108">
          <cell r="B108" t="str">
            <v>Folder manila A4</v>
          </cell>
          <cell r="C108" t="str">
            <v>Und.</v>
          </cell>
        </row>
        <row r="109">
          <cell r="B109" t="str">
            <v>Lapiceros</v>
          </cell>
          <cell r="C109" t="str">
            <v>Und.</v>
          </cell>
        </row>
        <row r="139">
          <cell r="B139" t="str">
            <v>Libro de actas</v>
          </cell>
          <cell r="C139" t="str">
            <v>Unidad</v>
          </cell>
        </row>
        <row r="140">
          <cell r="B140" t="str">
            <v>Papel bond 80 gr. A-4</v>
          </cell>
          <cell r="C140" t="str">
            <v>Millar</v>
          </cell>
        </row>
        <row r="141">
          <cell r="B141" t="str">
            <v>Toner</v>
          </cell>
          <cell r="C141" t="str">
            <v>unidad</v>
          </cell>
        </row>
        <row r="142">
          <cell r="B142" t="str">
            <v>Cinta masking de 3/4 x 40  Yrd.</v>
          </cell>
          <cell r="C142" t="str">
            <v>unidad</v>
          </cell>
        </row>
        <row r="143">
          <cell r="B143" t="str">
            <v>Lapicero punta fina de color azul</v>
          </cell>
          <cell r="C143" t="str">
            <v>unidad</v>
          </cell>
        </row>
        <row r="144">
          <cell r="B144" t="str">
            <v>Papelografo kraft</v>
          </cell>
          <cell r="C144" t="str">
            <v>unidad</v>
          </cell>
        </row>
        <row r="145">
          <cell r="B145" t="str">
            <v>Plumones de papelografo punta gruesa</v>
          </cell>
          <cell r="C145" t="str">
            <v>unidad</v>
          </cell>
        </row>
        <row r="146">
          <cell r="B146" t="str">
            <v>Plumon acrilico de color negro y azul</v>
          </cell>
          <cell r="C146" t="str">
            <v>unidad</v>
          </cell>
        </row>
        <row r="147">
          <cell r="B147" t="str">
            <v>Folder manila A - 4</v>
          </cell>
          <cell r="C147" t="str">
            <v>unidad</v>
          </cell>
        </row>
        <row r="148">
          <cell r="B148" t="str">
            <v>Cartulina de colores</v>
          </cell>
          <cell r="C148" t="str">
            <v>unidad</v>
          </cell>
        </row>
        <row r="246">
          <cell r="B246" t="str">
            <v>Papel bond 80 gr. A-4</v>
          </cell>
          <cell r="C246" t="str">
            <v>Millar</v>
          </cell>
        </row>
        <row r="247">
          <cell r="B247" t="str">
            <v>Papelografo kraft</v>
          </cell>
          <cell r="C247" t="str">
            <v xml:space="preserve">Unidad   </v>
          </cell>
        </row>
        <row r="248">
          <cell r="B248" t="str">
            <v>Cartulina de colores</v>
          </cell>
          <cell r="C248" t="str">
            <v xml:space="preserve">Unidad   </v>
          </cell>
        </row>
      </sheetData>
      <sheetData sheetId="17"/>
      <sheetData sheetId="18"/>
      <sheetData sheetId="19">
        <row r="124">
          <cell r="B124" t="str">
            <v>Jurado</v>
          </cell>
          <cell r="C124" t="str">
            <v>Persona</v>
          </cell>
        </row>
        <row r="125">
          <cell r="B125" t="str">
            <v>Especialista en instalacion de cocinas mejoradas</v>
          </cell>
          <cell r="C125" t="str">
            <v>Persona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2"/>
  <sheetViews>
    <sheetView tabSelected="1" workbookViewId="0">
      <selection activeCell="F17" sqref="F17"/>
    </sheetView>
  </sheetViews>
  <sheetFormatPr baseColWidth="10" defaultRowHeight="15" x14ac:dyDescent="0.25"/>
  <cols>
    <col min="2" max="2" width="42.28515625" customWidth="1"/>
    <col min="3" max="3" width="47.85546875" customWidth="1"/>
  </cols>
  <sheetData>
    <row r="2" spans="2:9" ht="15.75" thickBot="1" x14ac:dyDescent="0.3"/>
    <row r="3" spans="2:9" ht="15.75" thickBot="1" x14ac:dyDescent="0.3">
      <c r="B3" s="1576" t="s">
        <v>262</v>
      </c>
      <c r="C3" s="1577"/>
    </row>
    <row r="4" spans="2:9" ht="15.75" thickBot="1" x14ac:dyDescent="0.3">
      <c r="B4" s="1110" t="s">
        <v>255</v>
      </c>
      <c r="C4" s="1111" t="s">
        <v>256</v>
      </c>
    </row>
    <row r="5" spans="2:9" ht="15.75" thickBot="1" x14ac:dyDescent="0.3">
      <c r="B5" s="1112" t="s">
        <v>257</v>
      </c>
      <c r="C5" s="1113" t="s">
        <v>258</v>
      </c>
    </row>
    <row r="6" spans="2:9" ht="30.75" thickBot="1" x14ac:dyDescent="0.3">
      <c r="B6" s="1114" t="s">
        <v>1380</v>
      </c>
      <c r="C6" s="1115" t="s">
        <v>1381</v>
      </c>
    </row>
    <row r="7" spans="2:9" ht="26.25" thickBot="1" x14ac:dyDescent="0.3">
      <c r="B7" s="1112" t="s">
        <v>259</v>
      </c>
      <c r="C7" s="1113" t="s">
        <v>260</v>
      </c>
      <c r="D7" s="99"/>
      <c r="E7" s="99"/>
      <c r="F7" s="99"/>
      <c r="G7" s="99"/>
      <c r="H7" s="99"/>
      <c r="I7" s="99"/>
    </row>
    <row r="8" spans="2:9" ht="17.25" thickBot="1" x14ac:dyDescent="0.3">
      <c r="B8" s="1112" t="s">
        <v>261</v>
      </c>
      <c r="C8" s="1113" t="s">
        <v>1619</v>
      </c>
      <c r="D8" s="37"/>
      <c r="E8" s="37"/>
      <c r="F8" s="37"/>
      <c r="G8" s="37"/>
      <c r="H8" s="37"/>
      <c r="I8" s="37"/>
    </row>
    <row r="9" spans="2:9" ht="17.25" thickBot="1" x14ac:dyDescent="0.3">
      <c r="B9" s="1116" t="s">
        <v>1382</v>
      </c>
      <c r="C9" s="1117" t="s">
        <v>1383</v>
      </c>
      <c r="D9" s="37"/>
      <c r="E9" s="37"/>
      <c r="F9" s="37"/>
      <c r="G9" s="37"/>
      <c r="H9" s="37"/>
      <c r="I9" s="37"/>
    </row>
    <row r="10" spans="2:9" ht="17.25" thickBot="1" x14ac:dyDescent="0.3">
      <c r="B10" s="1116" t="s">
        <v>1384</v>
      </c>
      <c r="C10" s="1117" t="s">
        <v>1385</v>
      </c>
      <c r="D10" s="37"/>
      <c r="E10" s="37"/>
      <c r="F10" s="37"/>
      <c r="G10" s="37"/>
      <c r="H10" s="37"/>
      <c r="I10" s="37"/>
    </row>
    <row r="11" spans="2:9" ht="16.5" x14ac:dyDescent="0.25">
      <c r="B11" s="1578" t="s">
        <v>1386</v>
      </c>
      <c r="C11" s="1341" t="s">
        <v>1387</v>
      </c>
      <c r="D11" s="37"/>
      <c r="E11" s="37"/>
      <c r="F11" s="37"/>
      <c r="G11" s="37"/>
      <c r="H11" s="37"/>
      <c r="I11" s="37"/>
    </row>
    <row r="12" spans="2:9" ht="16.5" x14ac:dyDescent="0.25">
      <c r="B12" s="1579"/>
      <c r="C12" s="1118" t="s">
        <v>1388</v>
      </c>
      <c r="D12" s="37"/>
      <c r="E12" s="37"/>
      <c r="F12" s="37"/>
      <c r="G12" s="37"/>
      <c r="H12" s="37"/>
      <c r="I12" s="37"/>
    </row>
    <row r="13" spans="2:9" ht="16.5" x14ac:dyDescent="0.25">
      <c r="B13" s="1579"/>
      <c r="C13" s="1118" t="s">
        <v>1389</v>
      </c>
      <c r="D13" s="37"/>
      <c r="E13" s="37"/>
      <c r="F13" s="37"/>
      <c r="G13" s="37"/>
      <c r="H13" s="37"/>
      <c r="I13" s="37"/>
    </row>
    <row r="14" spans="2:9" ht="16.5" x14ac:dyDescent="0.25">
      <c r="B14" s="1579"/>
      <c r="C14" s="1118" t="s">
        <v>1390</v>
      </c>
      <c r="D14" s="37"/>
      <c r="E14" s="37"/>
      <c r="F14" s="37"/>
      <c r="G14" s="37"/>
      <c r="H14" s="37"/>
      <c r="I14" s="37"/>
    </row>
    <row r="15" spans="2:9" ht="17.25" thickBot="1" x14ac:dyDescent="0.3">
      <c r="B15" s="1580"/>
      <c r="C15" s="1119" t="s">
        <v>1391</v>
      </c>
      <c r="D15" s="37"/>
      <c r="E15" s="37"/>
      <c r="F15" s="37"/>
      <c r="G15" s="37"/>
      <c r="H15" s="37"/>
      <c r="I15" s="37"/>
    </row>
    <row r="16" spans="2:9" ht="17.25" thickBot="1" x14ac:dyDescent="0.3">
      <c r="B16" s="36"/>
      <c r="C16" s="36"/>
      <c r="D16" s="37"/>
      <c r="E16" s="37"/>
      <c r="F16" s="37"/>
      <c r="G16" s="37"/>
      <c r="H16" s="37"/>
      <c r="I16" s="37"/>
    </row>
    <row r="17" spans="2:9" ht="17.25" thickBot="1" x14ac:dyDescent="0.3">
      <c r="B17" s="1576" t="s">
        <v>266</v>
      </c>
      <c r="C17" s="1577"/>
      <c r="D17" s="37"/>
      <c r="E17" s="37"/>
      <c r="F17" s="37"/>
      <c r="G17" s="37"/>
      <c r="H17" s="37"/>
      <c r="I17" s="37"/>
    </row>
    <row r="18" spans="2:9" ht="17.25" thickBot="1" x14ac:dyDescent="0.3">
      <c r="B18" s="1121" t="s">
        <v>263</v>
      </c>
      <c r="C18" s="1122" t="s">
        <v>1392</v>
      </c>
      <c r="D18" s="37"/>
      <c r="E18" s="37"/>
      <c r="F18" s="37"/>
      <c r="G18" s="37"/>
      <c r="H18" s="37"/>
      <c r="I18" s="37"/>
    </row>
    <row r="19" spans="2:9" ht="15.75" thickBot="1" x14ac:dyDescent="0.3">
      <c r="B19" s="1123" t="s">
        <v>1393</v>
      </c>
      <c r="C19" s="1124" t="s">
        <v>1394</v>
      </c>
    </row>
    <row r="20" spans="2:9" ht="15.75" thickBot="1" x14ac:dyDescent="0.3">
      <c r="B20" s="1123" t="s">
        <v>1395</v>
      </c>
      <c r="C20" s="1124" t="s">
        <v>1396</v>
      </c>
    </row>
    <row r="21" spans="2:9" ht="15.75" thickBot="1" x14ac:dyDescent="0.3">
      <c r="B21" s="1123" t="s">
        <v>1397</v>
      </c>
      <c r="C21" s="1124" t="s">
        <v>1398</v>
      </c>
    </row>
    <row r="22" spans="2:9" ht="15.75" thickBot="1" x14ac:dyDescent="0.3">
      <c r="B22" s="1123" t="s">
        <v>1399</v>
      </c>
      <c r="C22" s="1124" t="s">
        <v>1400</v>
      </c>
    </row>
    <row r="23" spans="2:9" ht="15.75" thickBot="1" x14ac:dyDescent="0.3">
      <c r="B23" s="1123" t="s">
        <v>265</v>
      </c>
      <c r="C23" s="1124" t="s">
        <v>1401</v>
      </c>
    </row>
    <row r="24" spans="2:9" ht="15.75" thickBot="1" x14ac:dyDescent="0.3">
      <c r="B24" s="1123" t="s">
        <v>1402</v>
      </c>
      <c r="C24" s="1124" t="s">
        <v>1403</v>
      </c>
    </row>
    <row r="25" spans="2:9" ht="26.25" thickBot="1" x14ac:dyDescent="0.3">
      <c r="B25" s="1123" t="s">
        <v>1404</v>
      </c>
      <c r="C25" s="1124" t="s">
        <v>1405</v>
      </c>
    </row>
    <row r="26" spans="2:9" ht="15.75" thickBot="1" x14ac:dyDescent="0.3">
      <c r="B26" s="1123" t="s">
        <v>1406</v>
      </c>
      <c r="C26" s="1124" t="s">
        <v>1407</v>
      </c>
    </row>
    <row r="27" spans="2:9" ht="15.75" thickBot="1" x14ac:dyDescent="0.3">
      <c r="B27" s="1120"/>
      <c r="C27" s="1120"/>
    </row>
    <row r="28" spans="2:9" ht="15.75" thickBot="1" x14ac:dyDescent="0.3">
      <c r="B28" s="1576" t="s">
        <v>273</v>
      </c>
      <c r="C28" s="1577"/>
    </row>
    <row r="29" spans="2:9" ht="15.75" thickBot="1" x14ac:dyDescent="0.3">
      <c r="B29" s="1110" t="s">
        <v>267</v>
      </c>
      <c r="C29" s="1111" t="s">
        <v>268</v>
      </c>
    </row>
    <row r="30" spans="2:9" ht="15.75" thickBot="1" x14ac:dyDescent="0.3">
      <c r="B30" s="1112" t="s">
        <v>269</v>
      </c>
      <c r="C30" s="1113" t="s">
        <v>1617</v>
      </c>
    </row>
    <row r="31" spans="2:9" ht="26.25" thickBot="1" x14ac:dyDescent="0.3">
      <c r="B31" s="1112" t="s">
        <v>270</v>
      </c>
      <c r="C31" s="1113" t="s">
        <v>1408</v>
      </c>
    </row>
    <row r="32" spans="2:9" ht="39" thickBot="1" x14ac:dyDescent="0.3">
      <c r="B32" s="1112" t="s">
        <v>272</v>
      </c>
      <c r="C32" s="1113" t="s">
        <v>1618</v>
      </c>
    </row>
    <row r="33" spans="2:6" ht="15.75" thickBot="1" x14ac:dyDescent="0.3">
      <c r="B33" s="1125"/>
      <c r="C33" s="1126"/>
    </row>
    <row r="34" spans="2:6" ht="15.75" thickBot="1" x14ac:dyDescent="0.3">
      <c r="B34" s="1581" t="s">
        <v>1409</v>
      </c>
      <c r="C34" s="1582"/>
      <c r="D34" s="1127" t="s">
        <v>1410</v>
      </c>
    </row>
    <row r="35" spans="2:6" ht="15.75" thickBot="1" x14ac:dyDescent="0.3">
      <c r="B35" s="1583" t="s">
        <v>1411</v>
      </c>
      <c r="C35" s="1128" t="s">
        <v>1412</v>
      </c>
      <c r="D35" s="1129">
        <v>729306.4</v>
      </c>
    </row>
    <row r="36" spans="2:6" ht="15.75" thickBot="1" x14ac:dyDescent="0.3">
      <c r="B36" s="1584"/>
      <c r="C36" s="1128" t="s">
        <v>1413</v>
      </c>
      <c r="D36" s="1129">
        <v>8492022.5700000003</v>
      </c>
    </row>
    <row r="38" spans="2:6" ht="15.75" thickBot="1" x14ac:dyDescent="0.3"/>
    <row r="39" spans="2:6" ht="15.75" thickBot="1" x14ac:dyDescent="0.3">
      <c r="B39" s="1576" t="s">
        <v>281</v>
      </c>
      <c r="C39" s="1577"/>
    </row>
    <row r="40" spans="2:6" ht="26.25" thickBot="1" x14ac:dyDescent="0.3">
      <c r="B40" s="1110" t="s">
        <v>274</v>
      </c>
      <c r="C40" s="1111" t="s">
        <v>1414</v>
      </c>
    </row>
    <row r="41" spans="2:6" ht="26.25" thickBot="1" x14ac:dyDescent="0.3">
      <c r="B41" s="1112" t="s">
        <v>275</v>
      </c>
      <c r="C41" s="1113" t="s">
        <v>1415</v>
      </c>
    </row>
    <row r="42" spans="2:6" ht="15.75" thickBot="1" x14ac:dyDescent="0.3">
      <c r="B42" s="1112" t="s">
        <v>276</v>
      </c>
      <c r="C42" s="1113" t="s">
        <v>1416</v>
      </c>
    </row>
    <row r="43" spans="2:6" ht="15.75" thickBot="1" x14ac:dyDescent="0.3">
      <c r="B43" s="1112" t="s">
        <v>277</v>
      </c>
      <c r="C43" s="1113" t="s">
        <v>271</v>
      </c>
    </row>
    <row r="44" spans="2:6" ht="15.75" thickBot="1" x14ac:dyDescent="0.3">
      <c r="B44" s="1112" t="s">
        <v>278</v>
      </c>
      <c r="C44" s="1329">
        <v>2020</v>
      </c>
    </row>
    <row r="45" spans="2:6" ht="15.75" thickBot="1" x14ac:dyDescent="0.3">
      <c r="B45" s="1112" t="s">
        <v>279</v>
      </c>
      <c r="C45" s="1330">
        <v>2173.3823999999986</v>
      </c>
    </row>
    <row r="46" spans="2:6" ht="15.75" thickBot="1" x14ac:dyDescent="0.3">
      <c r="B46" s="1112" t="s">
        <v>280</v>
      </c>
      <c r="C46" s="1330">
        <v>2173.3823999999986</v>
      </c>
    </row>
    <row r="47" spans="2:6" ht="15.75" thickBot="1" x14ac:dyDescent="0.3"/>
    <row r="48" spans="2:6" ht="26.25" thickBot="1" x14ac:dyDescent="0.3">
      <c r="B48" s="1130" t="s">
        <v>1417</v>
      </c>
      <c r="C48" s="1131" t="s">
        <v>276</v>
      </c>
      <c r="D48" s="1131" t="s">
        <v>1418</v>
      </c>
      <c r="E48" s="1131" t="s">
        <v>278</v>
      </c>
      <c r="F48" s="1131" t="s">
        <v>279</v>
      </c>
    </row>
    <row r="49" spans="2:6" ht="48" customHeight="1" x14ac:dyDescent="0.25">
      <c r="B49" s="1586" t="s">
        <v>1419</v>
      </c>
      <c r="C49" s="1583" t="s">
        <v>1420</v>
      </c>
      <c r="D49" s="1583" t="s">
        <v>1421</v>
      </c>
      <c r="E49" s="1583">
        <v>2020</v>
      </c>
      <c r="F49" s="1585">
        <f>C46</f>
        <v>2173.3823999999986</v>
      </c>
    </row>
    <row r="50" spans="2:6" ht="15.75" thickBot="1" x14ac:dyDescent="0.3">
      <c r="B50" s="1587"/>
      <c r="C50" s="1584"/>
      <c r="D50" s="1584"/>
      <c r="E50" s="1584"/>
      <c r="F50" s="1584"/>
    </row>
    <row r="51" spans="2:6" ht="15.75" thickBot="1" x14ac:dyDescent="0.3"/>
    <row r="52" spans="2:6" ht="15.75" thickBot="1" x14ac:dyDescent="0.3">
      <c r="B52" s="1133" t="s">
        <v>1422</v>
      </c>
      <c r="C52" s="1331">
        <f>F49</f>
        <v>2173.3823999999986</v>
      </c>
    </row>
    <row r="53" spans="2:6" ht="15.75" thickBot="1" x14ac:dyDescent="0.3"/>
    <row r="54" spans="2:6" ht="15.75" thickBot="1" x14ac:dyDescent="0.3">
      <c r="B54" s="1110" t="s">
        <v>1423</v>
      </c>
      <c r="C54" s="1134" t="s">
        <v>1398</v>
      </c>
    </row>
    <row r="55" spans="2:6" ht="15.75" thickBot="1" x14ac:dyDescent="0.3">
      <c r="B55" s="1135" t="s">
        <v>1424</v>
      </c>
      <c r="C55" s="1117" t="s">
        <v>264</v>
      </c>
    </row>
    <row r="56" spans="2:6" ht="15.75" thickBot="1" x14ac:dyDescent="0.3">
      <c r="B56" s="1135" t="s">
        <v>1380</v>
      </c>
      <c r="C56" s="1117" t="s">
        <v>1425</v>
      </c>
    </row>
    <row r="57" spans="2:6" ht="15.75" thickBot="1" x14ac:dyDescent="0.3">
      <c r="B57" s="1135" t="s">
        <v>1426</v>
      </c>
      <c r="C57" s="1117" t="s">
        <v>1425</v>
      </c>
    </row>
    <row r="58" spans="2:6" ht="15.75" thickBot="1" x14ac:dyDescent="0.3">
      <c r="B58" s="1135" t="s">
        <v>1427</v>
      </c>
      <c r="C58" s="1117" t="s">
        <v>1428</v>
      </c>
    </row>
    <row r="59" spans="2:6" x14ac:dyDescent="0.25">
      <c r="B59" s="1586" t="s">
        <v>1429</v>
      </c>
      <c r="C59" s="1136" t="s">
        <v>1430</v>
      </c>
    </row>
    <row r="60" spans="2:6" ht="15.75" thickBot="1" x14ac:dyDescent="0.3">
      <c r="B60" s="1587"/>
      <c r="C60" s="1113" t="s">
        <v>1431</v>
      </c>
    </row>
    <row r="61" spans="2:6" x14ac:dyDescent="0.25">
      <c r="B61" s="1332" t="s">
        <v>1432</v>
      </c>
      <c r="C61" s="1136" t="s">
        <v>1433</v>
      </c>
    </row>
    <row r="62" spans="2:6" ht="15.75" thickBot="1" x14ac:dyDescent="0.3">
      <c r="B62" s="1135" t="s">
        <v>1434</v>
      </c>
      <c r="C62" s="1113" t="s">
        <v>1435</v>
      </c>
    </row>
  </sheetData>
  <mergeCells count="13">
    <mergeCell ref="C49:C50"/>
    <mergeCell ref="D49:D50"/>
    <mergeCell ref="E49:E50"/>
    <mergeCell ref="F49:F50"/>
    <mergeCell ref="B59:B60"/>
    <mergeCell ref="B49:B50"/>
    <mergeCell ref="B39:C39"/>
    <mergeCell ref="B3:C3"/>
    <mergeCell ref="B17:C17"/>
    <mergeCell ref="B28:C28"/>
    <mergeCell ref="B11:B15"/>
    <mergeCell ref="B34:C34"/>
    <mergeCell ref="B35:B3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85"/>
  <sheetViews>
    <sheetView topLeftCell="A32" zoomScale="115" zoomScaleNormal="115" workbookViewId="0">
      <selection activeCell="E32" sqref="E32:F32"/>
    </sheetView>
  </sheetViews>
  <sheetFormatPr baseColWidth="10" defaultRowHeight="15" x14ac:dyDescent="0.25"/>
  <cols>
    <col min="6" max="6" width="10.7109375" customWidth="1"/>
  </cols>
  <sheetData>
    <row r="3" spans="2:14" ht="18.75" thickBot="1" x14ac:dyDescent="0.3">
      <c r="B3" s="1371" t="s">
        <v>1651</v>
      </c>
      <c r="C3" s="1372"/>
      <c r="D3" s="1372"/>
      <c r="E3" s="1372"/>
      <c r="F3" s="1373"/>
      <c r="G3" s="1374"/>
      <c r="H3" s="1374"/>
      <c r="I3" s="1373"/>
      <c r="J3" s="1375"/>
      <c r="K3" s="1376"/>
      <c r="L3" s="1375"/>
      <c r="M3" s="1375"/>
    </row>
    <row r="4" spans="2:14" ht="30" x14ac:dyDescent="0.25">
      <c r="B4" s="1383" t="s">
        <v>1436</v>
      </c>
      <c r="C4" s="1743" t="s">
        <v>1641</v>
      </c>
      <c r="D4" s="1743"/>
      <c r="E4" s="1743"/>
      <c r="F4" s="1384" t="s">
        <v>895</v>
      </c>
      <c r="G4" s="1385" t="s">
        <v>1642</v>
      </c>
      <c r="H4" s="1743" t="s">
        <v>1643</v>
      </c>
      <c r="I4" s="1744"/>
      <c r="J4" s="1378"/>
      <c r="K4" s="1377"/>
      <c r="L4" s="1379"/>
      <c r="M4" s="1379"/>
    </row>
    <row r="5" spans="2:14" ht="25.5" x14ac:dyDescent="0.25">
      <c r="B5" s="1386">
        <v>1</v>
      </c>
      <c r="C5" s="1745" t="s">
        <v>1644</v>
      </c>
      <c r="D5" s="1745"/>
      <c r="E5" s="1745"/>
      <c r="F5" s="1350" t="s">
        <v>1645</v>
      </c>
      <c r="G5" s="1380">
        <v>2173</v>
      </c>
      <c r="H5" s="1746" t="s">
        <v>1646</v>
      </c>
      <c r="I5" s="1747"/>
      <c r="J5" s="1378"/>
      <c r="K5" s="1377"/>
      <c r="L5" s="1379"/>
      <c r="M5" s="1379"/>
    </row>
    <row r="6" spans="2:14" x14ac:dyDescent="0.25">
      <c r="B6" s="1386">
        <v>2</v>
      </c>
      <c r="C6" s="1754" t="s">
        <v>1647</v>
      </c>
      <c r="D6" s="1754"/>
      <c r="E6" s="1754"/>
      <c r="F6" s="1382" t="s">
        <v>1648</v>
      </c>
      <c r="G6" s="1382">
        <v>2</v>
      </c>
      <c r="H6" s="1746" t="s">
        <v>1646</v>
      </c>
      <c r="I6" s="1747"/>
      <c r="J6" s="1378"/>
      <c r="K6" s="1377"/>
      <c r="L6" s="1379"/>
      <c r="M6" s="1379"/>
    </row>
    <row r="7" spans="2:14" x14ac:dyDescent="0.25">
      <c r="B7" s="1386">
        <v>3</v>
      </c>
      <c r="C7" s="1755" t="s">
        <v>1649</v>
      </c>
      <c r="D7" s="1755"/>
      <c r="E7" s="1755"/>
      <c r="F7" s="1382" t="s">
        <v>660</v>
      </c>
      <c r="G7" s="1382">
        <v>34</v>
      </c>
      <c r="H7" s="1746" t="s">
        <v>1646</v>
      </c>
      <c r="I7" s="1747"/>
      <c r="J7" s="1378"/>
      <c r="K7" s="1377"/>
      <c r="L7" s="1379"/>
      <c r="M7" s="1379"/>
    </row>
    <row r="8" spans="2:14" ht="15.75" thickBot="1" x14ac:dyDescent="0.3">
      <c r="B8" s="1387">
        <v>4</v>
      </c>
      <c r="C8" s="1756" t="s">
        <v>1650</v>
      </c>
      <c r="D8" s="1756"/>
      <c r="E8" s="1756"/>
      <c r="F8" s="1388" t="s">
        <v>1634</v>
      </c>
      <c r="G8" s="1388">
        <v>31</v>
      </c>
      <c r="H8" s="1749" t="s">
        <v>1646</v>
      </c>
      <c r="I8" s="1750"/>
      <c r="J8" s="1378"/>
      <c r="K8" s="1377"/>
      <c r="L8" s="1379"/>
      <c r="M8" s="1379"/>
    </row>
    <row r="10" spans="2:14" ht="15.75" thickBot="1" x14ac:dyDescent="0.3">
      <c r="B10" s="1390" t="s">
        <v>1658</v>
      </c>
      <c r="C10" s="1390"/>
      <c r="D10" s="1390"/>
      <c r="E10" s="1390"/>
      <c r="F10" s="1390"/>
      <c r="G10" s="1390"/>
      <c r="H10" s="1390"/>
      <c r="I10" s="1390"/>
      <c r="J10" s="1391"/>
      <c r="K10" s="1391"/>
      <c r="L10" s="1391"/>
      <c r="M10" s="1391"/>
      <c r="N10" s="1391"/>
    </row>
    <row r="11" spans="2:14" ht="15.75" x14ac:dyDescent="0.25">
      <c r="B11" s="1383" t="s">
        <v>1652</v>
      </c>
      <c r="C11" s="1743" t="s">
        <v>1653</v>
      </c>
      <c r="D11" s="1743"/>
      <c r="E11" s="1743"/>
      <c r="F11" s="1743" t="s">
        <v>1654</v>
      </c>
      <c r="G11" s="1743"/>
      <c r="H11" s="1743" t="s">
        <v>1643</v>
      </c>
      <c r="I11" s="1744"/>
      <c r="J11" s="1378"/>
      <c r="K11" s="1377"/>
      <c r="L11" s="1379"/>
      <c r="M11" s="1379"/>
      <c r="N11" s="1389"/>
    </row>
    <row r="12" spans="2:14" ht="46.5" customHeight="1" thickBot="1" x14ac:dyDescent="0.3">
      <c r="B12" s="1387">
        <v>1</v>
      </c>
      <c r="C12" s="1748" t="s">
        <v>1655</v>
      </c>
      <c r="D12" s="1748"/>
      <c r="E12" s="1748"/>
      <c r="F12" s="1749" t="s">
        <v>1656</v>
      </c>
      <c r="G12" s="1749"/>
      <c r="H12" s="1749" t="s">
        <v>1657</v>
      </c>
      <c r="I12" s="1750"/>
      <c r="J12" s="1378"/>
      <c r="K12" s="1377"/>
      <c r="L12" s="1379"/>
      <c r="M12" s="1379"/>
      <c r="N12" s="1389"/>
    </row>
    <row r="14" spans="2:14" ht="15.75" thickBot="1" x14ac:dyDescent="0.3">
      <c r="B14" s="1751" t="s">
        <v>1713</v>
      </c>
      <c r="C14" s="1751"/>
      <c r="D14" s="1751"/>
      <c r="E14" s="1751"/>
      <c r="F14" s="1751"/>
      <c r="G14" s="1751"/>
      <c r="H14" s="1751"/>
      <c r="I14" s="1751"/>
      <c r="J14" s="1751"/>
      <c r="K14" s="1751"/>
      <c r="L14" s="1751"/>
      <c r="M14" s="1751"/>
      <c r="N14" s="1751"/>
    </row>
    <row r="15" spans="2:14" x14ac:dyDescent="0.25">
      <c r="B15" s="1752" t="s">
        <v>1659</v>
      </c>
      <c r="C15" s="1757" t="s">
        <v>1660</v>
      </c>
      <c r="D15" s="1757"/>
      <c r="E15" s="1757" t="s">
        <v>1661</v>
      </c>
      <c r="F15" s="1757"/>
      <c r="G15" s="1757" t="s">
        <v>1662</v>
      </c>
      <c r="H15" s="1757"/>
      <c r="I15" s="1757" t="s">
        <v>1663</v>
      </c>
      <c r="J15" s="1757"/>
      <c r="K15" s="1757"/>
      <c r="L15" s="1757" t="s">
        <v>1664</v>
      </c>
      <c r="M15" s="1757"/>
      <c r="N15" s="1759"/>
    </row>
    <row r="16" spans="2:14" x14ac:dyDescent="0.25">
      <c r="B16" s="1753"/>
      <c r="C16" s="1758"/>
      <c r="D16" s="1758"/>
      <c r="E16" s="1758"/>
      <c r="F16" s="1758"/>
      <c r="G16" s="1758"/>
      <c r="H16" s="1758"/>
      <c r="I16" s="1392" t="s">
        <v>1665</v>
      </c>
      <c r="J16" s="1392" t="s">
        <v>1666</v>
      </c>
      <c r="K16" s="1392" t="s">
        <v>1667</v>
      </c>
      <c r="L16" s="1758"/>
      <c r="M16" s="1758"/>
      <c r="N16" s="1760"/>
    </row>
    <row r="17" spans="2:14" ht="38.25" x14ac:dyDescent="0.25">
      <c r="B17" s="1761" t="s">
        <v>1668</v>
      </c>
      <c r="C17" s="1734" t="s">
        <v>1669</v>
      </c>
      <c r="D17" s="1734"/>
      <c r="E17" s="1762" t="s">
        <v>1670</v>
      </c>
      <c r="F17" s="1762"/>
      <c r="G17" s="1734" t="s">
        <v>1671</v>
      </c>
      <c r="H17" s="1734"/>
      <c r="I17" s="1393" t="s">
        <v>1672</v>
      </c>
      <c r="J17" s="1393"/>
      <c r="K17" s="1393"/>
      <c r="L17" s="1734" t="s">
        <v>1673</v>
      </c>
      <c r="M17" s="1734"/>
      <c r="N17" s="1763"/>
    </row>
    <row r="18" spans="2:14" ht="38.25" x14ac:dyDescent="0.25">
      <c r="B18" s="1761"/>
      <c r="C18" s="1734"/>
      <c r="D18" s="1734"/>
      <c r="E18" s="1762" t="s">
        <v>1674</v>
      </c>
      <c r="F18" s="1762"/>
      <c r="G18" s="1734" t="s">
        <v>1671</v>
      </c>
      <c r="H18" s="1734"/>
      <c r="I18" s="1393" t="s">
        <v>1672</v>
      </c>
      <c r="J18" s="1393"/>
      <c r="K18" s="1393"/>
      <c r="L18" s="1734" t="s">
        <v>1673</v>
      </c>
      <c r="M18" s="1734"/>
      <c r="N18" s="1763"/>
    </row>
    <row r="19" spans="2:14" ht="38.25" x14ac:dyDescent="0.25">
      <c r="B19" s="1733" t="s">
        <v>1675</v>
      </c>
      <c r="C19" s="1734" t="s">
        <v>1624</v>
      </c>
      <c r="D19" s="1734"/>
      <c r="E19" s="1762" t="s">
        <v>1139</v>
      </c>
      <c r="F19" s="1762"/>
      <c r="G19" s="1746" t="s">
        <v>1676</v>
      </c>
      <c r="H19" s="1746"/>
      <c r="I19" s="1393" t="s">
        <v>1677</v>
      </c>
      <c r="J19" s="1393"/>
      <c r="K19" s="1393"/>
      <c r="L19" s="1734" t="s">
        <v>1678</v>
      </c>
      <c r="M19" s="1734"/>
      <c r="N19" s="1763"/>
    </row>
    <row r="20" spans="2:14" ht="38.25" x14ac:dyDescent="0.25">
      <c r="B20" s="1733"/>
      <c r="C20" s="1734"/>
      <c r="D20" s="1734"/>
      <c r="E20" s="1762" t="s">
        <v>1679</v>
      </c>
      <c r="F20" s="1762"/>
      <c r="G20" s="1746" t="s">
        <v>1680</v>
      </c>
      <c r="H20" s="1746"/>
      <c r="I20" s="1393" t="s">
        <v>1677</v>
      </c>
      <c r="J20" s="1393"/>
      <c r="K20" s="1393"/>
      <c r="L20" s="1734" t="s">
        <v>1678</v>
      </c>
      <c r="M20" s="1734"/>
      <c r="N20" s="1763"/>
    </row>
    <row r="21" spans="2:14" ht="38.25" x14ac:dyDescent="0.25">
      <c r="B21" s="1733"/>
      <c r="C21" s="1734"/>
      <c r="D21" s="1734"/>
      <c r="E21" s="1762" t="s">
        <v>1138</v>
      </c>
      <c r="F21" s="1762"/>
      <c r="G21" s="1746" t="s">
        <v>1681</v>
      </c>
      <c r="H21" s="1746"/>
      <c r="I21" s="1393" t="s">
        <v>1677</v>
      </c>
      <c r="J21" s="1393"/>
      <c r="K21" s="1393"/>
      <c r="L21" s="1734" t="s">
        <v>1678</v>
      </c>
      <c r="M21" s="1734"/>
      <c r="N21" s="1763"/>
    </row>
    <row r="22" spans="2:14" ht="38.25" x14ac:dyDescent="0.25">
      <c r="B22" s="1733"/>
      <c r="C22" s="1734" t="s">
        <v>1628</v>
      </c>
      <c r="D22" s="1734"/>
      <c r="E22" s="1762" t="s">
        <v>1682</v>
      </c>
      <c r="F22" s="1762"/>
      <c r="G22" s="1746" t="s">
        <v>1683</v>
      </c>
      <c r="H22" s="1746"/>
      <c r="I22" s="1393" t="s">
        <v>1677</v>
      </c>
      <c r="J22" s="1393"/>
      <c r="K22" s="1393"/>
      <c r="L22" s="1734" t="s">
        <v>1678</v>
      </c>
      <c r="M22" s="1734"/>
      <c r="N22" s="1763"/>
    </row>
    <row r="23" spans="2:14" ht="38.25" x14ac:dyDescent="0.25">
      <c r="B23" s="1733"/>
      <c r="C23" s="1734"/>
      <c r="D23" s="1734"/>
      <c r="E23" s="1762" t="s">
        <v>1684</v>
      </c>
      <c r="F23" s="1762"/>
      <c r="G23" s="1746" t="s">
        <v>1685</v>
      </c>
      <c r="H23" s="1746"/>
      <c r="I23" s="1394" t="s">
        <v>1677</v>
      </c>
      <c r="J23" s="1393"/>
      <c r="K23" s="1393"/>
      <c r="L23" s="1734" t="s">
        <v>1678</v>
      </c>
      <c r="M23" s="1734"/>
      <c r="N23" s="1763"/>
    </row>
    <row r="24" spans="2:14" ht="38.25" x14ac:dyDescent="0.25">
      <c r="B24" s="1733"/>
      <c r="C24" s="1734" t="s">
        <v>1686</v>
      </c>
      <c r="D24" s="1734"/>
      <c r="E24" s="1762" t="s">
        <v>1687</v>
      </c>
      <c r="F24" s="1762"/>
      <c r="G24" s="1734" t="s">
        <v>1688</v>
      </c>
      <c r="H24" s="1734"/>
      <c r="I24" s="1394" t="s">
        <v>1677</v>
      </c>
      <c r="J24" s="1393"/>
      <c r="K24" s="1393"/>
      <c r="L24" s="1734" t="s">
        <v>1678</v>
      </c>
      <c r="M24" s="1734"/>
      <c r="N24" s="1763"/>
    </row>
    <row r="25" spans="2:14" ht="38.25" x14ac:dyDescent="0.25">
      <c r="B25" s="1733"/>
      <c r="C25" s="1734" t="s">
        <v>1689</v>
      </c>
      <c r="D25" s="1734"/>
      <c r="E25" s="1762" t="s">
        <v>1690</v>
      </c>
      <c r="F25" s="1762"/>
      <c r="G25" s="1734" t="s">
        <v>1688</v>
      </c>
      <c r="H25" s="1734"/>
      <c r="I25" s="1394" t="s">
        <v>1677</v>
      </c>
      <c r="J25" s="1393"/>
      <c r="K25" s="1393"/>
      <c r="L25" s="1734" t="s">
        <v>1678</v>
      </c>
      <c r="M25" s="1734"/>
      <c r="N25" s="1763"/>
    </row>
    <row r="26" spans="2:14" ht="38.25" x14ac:dyDescent="0.25">
      <c r="B26" s="1733" t="s">
        <v>1691</v>
      </c>
      <c r="C26" s="1734" t="s">
        <v>1633</v>
      </c>
      <c r="D26" s="1734"/>
      <c r="E26" s="1762" t="s">
        <v>1692</v>
      </c>
      <c r="F26" s="1762"/>
      <c r="G26" s="1734" t="s">
        <v>1693</v>
      </c>
      <c r="H26" s="1734"/>
      <c r="I26" s="1394" t="s">
        <v>1694</v>
      </c>
      <c r="J26" s="1393"/>
      <c r="K26" s="1393"/>
      <c r="L26" s="1734" t="s">
        <v>1695</v>
      </c>
      <c r="M26" s="1734"/>
      <c r="N26" s="1763"/>
    </row>
    <row r="27" spans="2:14" ht="38.25" x14ac:dyDescent="0.25">
      <c r="B27" s="1733"/>
      <c r="C27" s="1734"/>
      <c r="D27" s="1734"/>
      <c r="E27" s="1762" t="s">
        <v>1696</v>
      </c>
      <c r="F27" s="1762"/>
      <c r="G27" s="1734" t="s">
        <v>1693</v>
      </c>
      <c r="H27" s="1734"/>
      <c r="I27" s="1393" t="s">
        <v>1694</v>
      </c>
      <c r="J27" s="1393"/>
      <c r="K27" s="1393"/>
      <c r="L27" s="1734" t="s">
        <v>1695</v>
      </c>
      <c r="M27" s="1734"/>
      <c r="N27" s="1763"/>
    </row>
    <row r="28" spans="2:14" ht="38.25" x14ac:dyDescent="0.25">
      <c r="B28" s="1733"/>
      <c r="C28" s="1734"/>
      <c r="D28" s="1734"/>
      <c r="E28" s="1762" t="s">
        <v>1697</v>
      </c>
      <c r="F28" s="1762"/>
      <c r="G28" s="1734" t="s">
        <v>1693</v>
      </c>
      <c r="H28" s="1734"/>
      <c r="I28" s="1393" t="s">
        <v>1694</v>
      </c>
      <c r="J28" s="1393"/>
      <c r="K28" s="1393"/>
      <c r="L28" s="1734" t="s">
        <v>1695</v>
      </c>
      <c r="M28" s="1734"/>
      <c r="N28" s="1763"/>
    </row>
    <row r="29" spans="2:14" ht="38.25" x14ac:dyDescent="0.25">
      <c r="B29" s="1733"/>
      <c r="C29" s="1734"/>
      <c r="D29" s="1734"/>
      <c r="E29" s="1762" t="s">
        <v>1698</v>
      </c>
      <c r="F29" s="1762"/>
      <c r="G29" s="1734" t="s">
        <v>1693</v>
      </c>
      <c r="H29" s="1734"/>
      <c r="I29" s="1393" t="s">
        <v>1694</v>
      </c>
      <c r="J29" s="1393"/>
      <c r="K29" s="1393"/>
      <c r="L29" s="1734" t="s">
        <v>1695</v>
      </c>
      <c r="M29" s="1734"/>
      <c r="N29" s="1763"/>
    </row>
    <row r="30" spans="2:14" ht="38.25" x14ac:dyDescent="0.25">
      <c r="B30" s="1733"/>
      <c r="C30" s="1734"/>
      <c r="D30" s="1734"/>
      <c r="E30" s="1762" t="s">
        <v>1699</v>
      </c>
      <c r="F30" s="1762"/>
      <c r="G30" s="1734" t="s">
        <v>1693</v>
      </c>
      <c r="H30" s="1734"/>
      <c r="I30" s="1393" t="s">
        <v>1694</v>
      </c>
      <c r="J30" s="1393"/>
      <c r="K30" s="1393"/>
      <c r="L30" s="1734" t="s">
        <v>1695</v>
      </c>
      <c r="M30" s="1734"/>
      <c r="N30" s="1763"/>
    </row>
    <row r="31" spans="2:14" ht="38.25" x14ac:dyDescent="0.25">
      <c r="B31" s="1733"/>
      <c r="C31" s="1734"/>
      <c r="D31" s="1734"/>
      <c r="E31" s="1762" t="s">
        <v>1700</v>
      </c>
      <c r="F31" s="1762"/>
      <c r="G31" s="1734" t="s">
        <v>1693</v>
      </c>
      <c r="H31" s="1734"/>
      <c r="I31" s="1393" t="s">
        <v>1694</v>
      </c>
      <c r="J31" s="1393"/>
      <c r="K31" s="1393"/>
      <c r="L31" s="1734" t="s">
        <v>1695</v>
      </c>
      <c r="M31" s="1734"/>
      <c r="N31" s="1763"/>
    </row>
    <row r="32" spans="2:14" ht="38.25" x14ac:dyDescent="0.25">
      <c r="B32" s="1733"/>
      <c r="C32" s="1734" t="s">
        <v>1635</v>
      </c>
      <c r="D32" s="1734"/>
      <c r="E32" s="1762" t="s">
        <v>1701</v>
      </c>
      <c r="F32" s="1762"/>
      <c r="G32" s="1734" t="s">
        <v>1693</v>
      </c>
      <c r="H32" s="1734"/>
      <c r="I32" s="1393" t="s">
        <v>1694</v>
      </c>
      <c r="J32" s="1393"/>
      <c r="K32" s="1393"/>
      <c r="L32" s="1734" t="s">
        <v>1695</v>
      </c>
      <c r="M32" s="1734"/>
      <c r="N32" s="1763"/>
    </row>
    <row r="33" spans="2:15" ht="38.25" x14ac:dyDescent="0.25">
      <c r="B33" s="1733"/>
      <c r="C33" s="1734"/>
      <c r="D33" s="1734"/>
      <c r="E33" s="1762" t="s">
        <v>1702</v>
      </c>
      <c r="F33" s="1762"/>
      <c r="G33" s="1734" t="s">
        <v>1693</v>
      </c>
      <c r="H33" s="1734"/>
      <c r="I33" s="1393" t="s">
        <v>1694</v>
      </c>
      <c r="J33" s="1393"/>
      <c r="K33" s="1393"/>
      <c r="L33" s="1734" t="s">
        <v>1695</v>
      </c>
      <c r="M33" s="1734"/>
      <c r="N33" s="1763"/>
    </row>
    <row r="34" spans="2:15" ht="38.25" x14ac:dyDescent="0.25">
      <c r="B34" s="1733" t="s">
        <v>1703</v>
      </c>
      <c r="C34" s="1734" t="s">
        <v>1704</v>
      </c>
      <c r="D34" s="1734"/>
      <c r="E34" s="1762" t="s">
        <v>1002</v>
      </c>
      <c r="F34" s="1762"/>
      <c r="G34" s="1734" t="s">
        <v>1693</v>
      </c>
      <c r="H34" s="1734"/>
      <c r="I34" s="1393" t="s">
        <v>1694</v>
      </c>
      <c r="J34" s="1393"/>
      <c r="K34" s="1393"/>
      <c r="L34" s="1734" t="s">
        <v>1695</v>
      </c>
      <c r="M34" s="1734"/>
      <c r="N34" s="1763"/>
    </row>
    <row r="35" spans="2:15" ht="38.25" x14ac:dyDescent="0.25">
      <c r="B35" s="1733"/>
      <c r="C35" s="1734"/>
      <c r="D35" s="1734"/>
      <c r="E35" s="1762" t="s">
        <v>1705</v>
      </c>
      <c r="F35" s="1762"/>
      <c r="G35" s="1734" t="s">
        <v>1693</v>
      </c>
      <c r="H35" s="1734"/>
      <c r="I35" s="1393" t="s">
        <v>1694</v>
      </c>
      <c r="J35" s="1393"/>
      <c r="K35" s="1393"/>
      <c r="L35" s="1734" t="s">
        <v>1695</v>
      </c>
      <c r="M35" s="1734"/>
      <c r="N35" s="1763"/>
    </row>
    <row r="36" spans="2:15" ht="38.25" x14ac:dyDescent="0.25">
      <c r="B36" s="1733"/>
      <c r="C36" s="1734"/>
      <c r="D36" s="1734"/>
      <c r="E36" s="1762" t="s">
        <v>1706</v>
      </c>
      <c r="F36" s="1762"/>
      <c r="G36" s="1734" t="s">
        <v>1693</v>
      </c>
      <c r="H36" s="1734"/>
      <c r="I36" s="1393" t="s">
        <v>1694</v>
      </c>
      <c r="J36" s="1393"/>
      <c r="K36" s="1393"/>
      <c r="L36" s="1734" t="s">
        <v>1695</v>
      </c>
      <c r="M36" s="1734"/>
      <c r="N36" s="1763"/>
    </row>
    <row r="37" spans="2:15" ht="38.25" x14ac:dyDescent="0.25">
      <c r="B37" s="1733"/>
      <c r="C37" s="1734" t="s">
        <v>1637</v>
      </c>
      <c r="D37" s="1734"/>
      <c r="E37" s="1762" t="s">
        <v>1005</v>
      </c>
      <c r="F37" s="1762"/>
      <c r="G37" s="1734" t="s">
        <v>1693</v>
      </c>
      <c r="H37" s="1734"/>
      <c r="I37" s="1393" t="s">
        <v>1694</v>
      </c>
      <c r="J37" s="1393"/>
      <c r="K37" s="1393"/>
      <c r="L37" s="1734" t="s">
        <v>1695</v>
      </c>
      <c r="M37" s="1734"/>
      <c r="N37" s="1763"/>
    </row>
    <row r="38" spans="2:15" ht="38.25" x14ac:dyDescent="0.25">
      <c r="B38" s="1733"/>
      <c r="C38" s="1734"/>
      <c r="D38" s="1734"/>
      <c r="E38" s="1762" t="s">
        <v>1707</v>
      </c>
      <c r="F38" s="1762"/>
      <c r="G38" s="1734" t="s">
        <v>1693</v>
      </c>
      <c r="H38" s="1734"/>
      <c r="I38" s="1393" t="s">
        <v>1694</v>
      </c>
      <c r="J38" s="1393"/>
      <c r="K38" s="1393"/>
      <c r="L38" s="1734" t="s">
        <v>1695</v>
      </c>
      <c r="M38" s="1734"/>
      <c r="N38" s="1763"/>
    </row>
    <row r="39" spans="2:15" ht="38.25" x14ac:dyDescent="0.25">
      <c r="B39" s="1733"/>
      <c r="C39" s="1734"/>
      <c r="D39" s="1734"/>
      <c r="E39" s="1762" t="s">
        <v>1146</v>
      </c>
      <c r="F39" s="1762"/>
      <c r="G39" s="1734" t="s">
        <v>1693</v>
      </c>
      <c r="H39" s="1734"/>
      <c r="I39" s="1393" t="s">
        <v>1694</v>
      </c>
      <c r="J39" s="1393"/>
      <c r="K39" s="1393"/>
      <c r="L39" s="1734" t="s">
        <v>1695</v>
      </c>
      <c r="M39" s="1734"/>
      <c r="N39" s="1763"/>
    </row>
    <row r="40" spans="2:15" ht="38.25" x14ac:dyDescent="0.25">
      <c r="B40" s="1733"/>
      <c r="C40" s="1734"/>
      <c r="D40" s="1734"/>
      <c r="E40" s="1762" t="s">
        <v>1147</v>
      </c>
      <c r="F40" s="1762"/>
      <c r="G40" s="1734" t="s">
        <v>1693</v>
      </c>
      <c r="H40" s="1734"/>
      <c r="I40" s="1393" t="s">
        <v>1694</v>
      </c>
      <c r="J40" s="1393"/>
      <c r="K40" s="1393"/>
      <c r="L40" s="1734" t="s">
        <v>1695</v>
      </c>
      <c r="M40" s="1734"/>
      <c r="N40" s="1763"/>
    </row>
    <row r="41" spans="2:15" ht="38.25" x14ac:dyDescent="0.25">
      <c r="B41" s="1733"/>
      <c r="C41" s="1734"/>
      <c r="D41" s="1734"/>
      <c r="E41" s="1762" t="s">
        <v>1148</v>
      </c>
      <c r="F41" s="1762"/>
      <c r="G41" s="1734" t="s">
        <v>1693</v>
      </c>
      <c r="H41" s="1734"/>
      <c r="I41" s="1393" t="s">
        <v>1694</v>
      </c>
      <c r="J41" s="1393"/>
      <c r="K41" s="1393"/>
      <c r="L41" s="1734" t="s">
        <v>1695</v>
      </c>
      <c r="M41" s="1734"/>
      <c r="N41" s="1763"/>
    </row>
    <row r="42" spans="2:15" ht="38.25" x14ac:dyDescent="0.25">
      <c r="B42" s="1733"/>
      <c r="C42" s="1734" t="s">
        <v>1708</v>
      </c>
      <c r="D42" s="1734"/>
      <c r="E42" s="1762" t="s">
        <v>1709</v>
      </c>
      <c r="F42" s="1762"/>
      <c r="G42" s="1734" t="s">
        <v>1693</v>
      </c>
      <c r="H42" s="1734"/>
      <c r="I42" s="1393" t="s">
        <v>1694</v>
      </c>
      <c r="J42" s="1393"/>
      <c r="K42" s="1393"/>
      <c r="L42" s="1734" t="s">
        <v>1695</v>
      </c>
      <c r="M42" s="1734"/>
      <c r="N42" s="1763"/>
    </row>
    <row r="43" spans="2:15" ht="38.25" x14ac:dyDescent="0.25">
      <c r="B43" s="1733"/>
      <c r="C43" s="1734"/>
      <c r="D43" s="1734"/>
      <c r="E43" s="1762" t="s">
        <v>1710</v>
      </c>
      <c r="F43" s="1762"/>
      <c r="G43" s="1734" t="s">
        <v>1693</v>
      </c>
      <c r="H43" s="1734"/>
      <c r="I43" s="1393" t="s">
        <v>1694</v>
      </c>
      <c r="J43" s="1393"/>
      <c r="K43" s="1393"/>
      <c r="L43" s="1734" t="s">
        <v>1695</v>
      </c>
      <c r="M43" s="1734"/>
      <c r="N43" s="1763"/>
    </row>
    <row r="44" spans="2:15" ht="38.25" x14ac:dyDescent="0.25">
      <c r="B44" s="1733"/>
      <c r="C44" s="1734"/>
      <c r="D44" s="1734"/>
      <c r="E44" s="1762" t="s">
        <v>1711</v>
      </c>
      <c r="F44" s="1762"/>
      <c r="G44" s="1734" t="s">
        <v>1693</v>
      </c>
      <c r="H44" s="1734"/>
      <c r="I44" s="1393" t="s">
        <v>1694</v>
      </c>
      <c r="J44" s="1393"/>
      <c r="K44" s="1393"/>
      <c r="L44" s="1734" t="s">
        <v>1695</v>
      </c>
      <c r="M44" s="1734"/>
      <c r="N44" s="1763"/>
    </row>
    <row r="45" spans="2:15" ht="39" thickBot="1" x14ac:dyDescent="0.3">
      <c r="B45" s="1764"/>
      <c r="C45" s="1737" t="s">
        <v>1712</v>
      </c>
      <c r="D45" s="1737"/>
      <c r="E45" s="1767" t="s">
        <v>1379</v>
      </c>
      <c r="F45" s="1767"/>
      <c r="G45" s="1737" t="s">
        <v>1693</v>
      </c>
      <c r="H45" s="1737"/>
      <c r="I45" s="1395" t="s">
        <v>1694</v>
      </c>
      <c r="J45" s="1395"/>
      <c r="K45" s="1395"/>
      <c r="L45" s="1737" t="s">
        <v>1695</v>
      </c>
      <c r="M45" s="1737"/>
      <c r="N45" s="1768"/>
    </row>
    <row r="47" spans="2:15" ht="18.75" customHeight="1" x14ac:dyDescent="0.25">
      <c r="B47" s="1774" t="s">
        <v>1728</v>
      </c>
      <c r="C47" s="1774"/>
      <c r="D47" s="1774"/>
      <c r="E47" s="1774"/>
      <c r="F47" s="1774"/>
      <c r="G47" s="1774"/>
      <c r="H47" s="1774"/>
      <c r="I47" s="1774"/>
      <c r="J47" s="1774"/>
      <c r="K47" s="1774"/>
      <c r="L47" s="1774"/>
      <c r="M47" s="1774"/>
      <c r="N47" s="1774"/>
      <c r="O47" s="1774"/>
    </row>
    <row r="48" spans="2:15" x14ac:dyDescent="0.25">
      <c r="B48" s="1765" t="s">
        <v>1714</v>
      </c>
      <c r="C48" s="1765"/>
      <c r="D48" s="1765" t="s">
        <v>1715</v>
      </c>
      <c r="E48" s="1765"/>
      <c r="F48" s="1765"/>
      <c r="G48" s="1765"/>
      <c r="H48" s="1765"/>
      <c r="I48" s="1765"/>
      <c r="J48" s="1765" t="s">
        <v>1716</v>
      </c>
      <c r="K48" s="1765"/>
      <c r="L48" s="1765" t="s">
        <v>1717</v>
      </c>
      <c r="M48" s="1765"/>
      <c r="N48" s="1765" t="s">
        <v>1718</v>
      </c>
      <c r="O48" s="1765"/>
    </row>
    <row r="49" spans="2:15" x14ac:dyDescent="0.25">
      <c r="B49" s="1765"/>
      <c r="C49" s="1765"/>
      <c r="D49" s="1766" t="s">
        <v>1719</v>
      </c>
      <c r="E49" s="1766"/>
      <c r="F49" s="1766" t="s">
        <v>1720</v>
      </c>
      <c r="G49" s="1766"/>
      <c r="H49" s="1766" t="s">
        <v>1721</v>
      </c>
      <c r="I49" s="1766"/>
      <c r="J49" s="1765"/>
      <c r="K49" s="1765"/>
      <c r="L49" s="1765"/>
      <c r="M49" s="1765"/>
      <c r="N49" s="1765"/>
      <c r="O49" s="1765"/>
    </row>
    <row r="50" spans="2:15" ht="409.5" customHeight="1" x14ac:dyDescent="0.25">
      <c r="B50" s="1772" t="s">
        <v>1722</v>
      </c>
      <c r="C50" s="1773"/>
      <c r="D50" s="1782" t="s">
        <v>1723</v>
      </c>
      <c r="E50" s="1783"/>
      <c r="F50" s="1782" t="s">
        <v>304</v>
      </c>
      <c r="G50" s="1783"/>
      <c r="H50" s="1772" t="s">
        <v>1724</v>
      </c>
      <c r="I50" s="1773"/>
      <c r="J50" s="1784" t="s">
        <v>1725</v>
      </c>
      <c r="K50" s="1773"/>
      <c r="L50" s="1772" t="s">
        <v>1726</v>
      </c>
      <c r="M50" s="1773"/>
      <c r="N50" s="1772" t="s">
        <v>1727</v>
      </c>
      <c r="O50" s="1773"/>
    </row>
    <row r="53" spans="2:15" ht="15.75" thickBot="1" x14ac:dyDescent="0.3">
      <c r="B53" s="1396" t="s">
        <v>1729</v>
      </c>
      <c r="C53" s="1397"/>
      <c r="D53" s="1397"/>
      <c r="E53" s="1397"/>
      <c r="F53" s="1373"/>
      <c r="G53" s="1374"/>
      <c r="H53" s="1374"/>
      <c r="I53" s="1373"/>
      <c r="J53" s="1373"/>
      <c r="K53" s="1397"/>
    </row>
    <row r="54" spans="2:15" x14ac:dyDescent="0.25">
      <c r="B54" s="1775" t="s">
        <v>1730</v>
      </c>
      <c r="C54" s="1776"/>
      <c r="D54" s="1776"/>
      <c r="E54" s="1776"/>
      <c r="F54" s="1777" t="s">
        <v>1731</v>
      </c>
      <c r="G54" s="1777"/>
      <c r="H54" s="1776" t="s">
        <v>1732</v>
      </c>
      <c r="I54" s="1776"/>
      <c r="J54" s="1777" t="s">
        <v>1733</v>
      </c>
      <c r="K54" s="1779"/>
    </row>
    <row r="55" spans="2:15" x14ac:dyDescent="0.25">
      <c r="B55" s="1781" t="s">
        <v>1734</v>
      </c>
      <c r="C55" s="1778"/>
      <c r="D55" s="1778" t="s">
        <v>1735</v>
      </c>
      <c r="E55" s="1778"/>
      <c r="F55" s="1778"/>
      <c r="G55" s="1778"/>
      <c r="H55" s="1766"/>
      <c r="I55" s="1766"/>
      <c r="J55" s="1778"/>
      <c r="K55" s="1780"/>
    </row>
    <row r="56" spans="2:15" ht="25.5" x14ac:dyDescent="0.25">
      <c r="B56" s="1781"/>
      <c r="C56" s="1778"/>
      <c r="D56" s="1778"/>
      <c r="E56" s="1778"/>
      <c r="F56" s="1778"/>
      <c r="G56" s="1778"/>
      <c r="H56" s="1399" t="s">
        <v>1736</v>
      </c>
      <c r="I56" s="1400" t="s">
        <v>889</v>
      </c>
      <c r="J56" s="1399" t="s">
        <v>1736</v>
      </c>
      <c r="K56" s="1401" t="s">
        <v>889</v>
      </c>
    </row>
    <row r="57" spans="2:15" ht="72.75" customHeight="1" x14ac:dyDescent="0.25">
      <c r="B57" s="1769" t="s">
        <v>1737</v>
      </c>
      <c r="C57" s="1770"/>
      <c r="D57" s="1771" t="s">
        <v>1738</v>
      </c>
      <c r="E57" s="1771"/>
      <c r="F57" s="1771" t="s">
        <v>1299</v>
      </c>
      <c r="G57" s="1771"/>
      <c r="H57" s="1350" t="s">
        <v>1739</v>
      </c>
      <c r="I57" s="1382">
        <v>2</v>
      </c>
      <c r="J57" s="1382" t="s">
        <v>1301</v>
      </c>
      <c r="K57" s="1398">
        <v>112.2</v>
      </c>
    </row>
    <row r="58" spans="2:15" ht="66" customHeight="1" x14ac:dyDescent="0.25">
      <c r="B58" s="1769" t="s">
        <v>1674</v>
      </c>
      <c r="C58" s="1770"/>
      <c r="D58" s="1771" t="s">
        <v>1738</v>
      </c>
      <c r="E58" s="1771"/>
      <c r="F58" s="1771" t="s">
        <v>1299</v>
      </c>
      <c r="G58" s="1771"/>
      <c r="H58" s="1350" t="s">
        <v>1739</v>
      </c>
      <c r="I58" s="1382">
        <v>1</v>
      </c>
      <c r="J58" s="1382" t="s">
        <v>1301</v>
      </c>
      <c r="K58" s="1398">
        <v>115.4</v>
      </c>
    </row>
    <row r="59" spans="2:15" ht="27.75" customHeight="1" x14ac:dyDescent="0.25">
      <c r="B59" s="1769" t="s">
        <v>1139</v>
      </c>
      <c r="C59" s="1770"/>
      <c r="D59" s="1771" t="s">
        <v>1126</v>
      </c>
      <c r="E59" s="1771"/>
      <c r="F59" s="1771" t="s">
        <v>1126</v>
      </c>
      <c r="G59" s="1771"/>
      <c r="H59" s="1350" t="s">
        <v>1302</v>
      </c>
      <c r="I59" s="1382">
        <v>1</v>
      </c>
      <c r="J59" s="1382" t="s">
        <v>647</v>
      </c>
      <c r="K59" s="1398">
        <v>1</v>
      </c>
    </row>
    <row r="60" spans="2:15" ht="31.5" customHeight="1" x14ac:dyDescent="0.25">
      <c r="B60" s="1769" t="s">
        <v>1679</v>
      </c>
      <c r="C60" s="1770"/>
      <c r="D60" s="1771" t="s">
        <v>1127</v>
      </c>
      <c r="E60" s="1771"/>
      <c r="F60" s="1771" t="s">
        <v>1127</v>
      </c>
      <c r="G60" s="1771"/>
      <c r="H60" s="1350" t="s">
        <v>1303</v>
      </c>
      <c r="I60" s="1382">
        <v>1</v>
      </c>
      <c r="J60" s="1382" t="s">
        <v>647</v>
      </c>
      <c r="K60" s="1398">
        <v>2</v>
      </c>
    </row>
    <row r="61" spans="2:15" ht="54.75" customHeight="1" x14ac:dyDescent="0.25">
      <c r="B61" s="1769" t="s">
        <v>1740</v>
      </c>
      <c r="C61" s="1770"/>
      <c r="D61" s="1771" t="s">
        <v>1126</v>
      </c>
      <c r="E61" s="1771"/>
      <c r="F61" s="1771" t="s">
        <v>1126</v>
      </c>
      <c r="G61" s="1771"/>
      <c r="H61" s="1350" t="s">
        <v>1302</v>
      </c>
      <c r="I61" s="1382">
        <v>1</v>
      </c>
      <c r="J61" s="1382" t="s">
        <v>647</v>
      </c>
      <c r="K61" s="1398">
        <v>2</v>
      </c>
    </row>
    <row r="62" spans="2:15" ht="30.75" customHeight="1" x14ac:dyDescent="0.25">
      <c r="B62" s="1769" t="s">
        <v>1741</v>
      </c>
      <c r="C62" s="1770"/>
      <c r="D62" s="1771" t="s">
        <v>1127</v>
      </c>
      <c r="E62" s="1771"/>
      <c r="F62" s="1771" t="s">
        <v>1127</v>
      </c>
      <c r="G62" s="1771"/>
      <c r="H62" s="1350" t="s">
        <v>1303</v>
      </c>
      <c r="I62" s="1382">
        <v>2</v>
      </c>
      <c r="J62" s="1382" t="s">
        <v>647</v>
      </c>
      <c r="K62" s="1398">
        <v>7</v>
      </c>
    </row>
    <row r="63" spans="2:15" ht="25.5" x14ac:dyDescent="0.25">
      <c r="B63" s="1769" t="s">
        <v>1684</v>
      </c>
      <c r="C63" s="1770"/>
      <c r="D63" s="1771" t="s">
        <v>1127</v>
      </c>
      <c r="E63" s="1771"/>
      <c r="F63" s="1771" t="s">
        <v>1127</v>
      </c>
      <c r="G63" s="1771"/>
      <c r="H63" s="1350" t="s">
        <v>1303</v>
      </c>
      <c r="I63" s="1382">
        <v>1</v>
      </c>
      <c r="J63" s="1382" t="s">
        <v>647</v>
      </c>
      <c r="K63" s="1398">
        <v>1</v>
      </c>
    </row>
    <row r="64" spans="2:15" ht="38.25" x14ac:dyDescent="0.25">
      <c r="B64" s="1769" t="s">
        <v>1687</v>
      </c>
      <c r="C64" s="1770"/>
      <c r="D64" s="1771" t="s">
        <v>1126</v>
      </c>
      <c r="E64" s="1771"/>
      <c r="F64" s="1771" t="s">
        <v>1126</v>
      </c>
      <c r="G64" s="1771"/>
      <c r="H64" s="1350" t="s">
        <v>1302</v>
      </c>
      <c r="I64" s="1382">
        <v>22</v>
      </c>
      <c r="J64" s="1382" t="s">
        <v>647</v>
      </c>
      <c r="K64" s="1398">
        <v>22</v>
      </c>
    </row>
    <row r="65" spans="2:11" ht="25.5" x14ac:dyDescent="0.25">
      <c r="B65" s="1769" t="s">
        <v>1690</v>
      </c>
      <c r="C65" s="1770"/>
      <c r="D65" s="1771" t="s">
        <v>1126</v>
      </c>
      <c r="E65" s="1771"/>
      <c r="F65" s="1771" t="s">
        <v>703</v>
      </c>
      <c r="G65" s="1771"/>
      <c r="H65" s="1350" t="s">
        <v>1742</v>
      </c>
      <c r="I65" s="1382">
        <v>6</v>
      </c>
      <c r="J65" s="1382" t="s">
        <v>647</v>
      </c>
      <c r="K65" s="1398">
        <v>10</v>
      </c>
    </row>
    <row r="66" spans="2:11" ht="25.5" x14ac:dyDescent="0.25">
      <c r="B66" s="1769" t="s">
        <v>1743</v>
      </c>
      <c r="C66" s="1770"/>
      <c r="D66" s="1771" t="s">
        <v>1318</v>
      </c>
      <c r="E66" s="1771"/>
      <c r="F66" s="1771" t="s">
        <v>1318</v>
      </c>
      <c r="G66" s="1771"/>
      <c r="H66" s="1350" t="s">
        <v>1319</v>
      </c>
      <c r="I66" s="1382">
        <v>1</v>
      </c>
      <c r="J66" s="1382" t="s">
        <v>1634</v>
      </c>
      <c r="K66" s="1398">
        <v>1</v>
      </c>
    </row>
    <row r="67" spans="2:11" ht="57.75" customHeight="1" x14ac:dyDescent="0.25">
      <c r="B67" s="1769" t="s">
        <v>1744</v>
      </c>
      <c r="C67" s="1770"/>
      <c r="D67" s="1771" t="s">
        <v>1318</v>
      </c>
      <c r="E67" s="1771"/>
      <c r="F67" s="1771" t="s">
        <v>1318</v>
      </c>
      <c r="G67" s="1771"/>
      <c r="H67" s="1350" t="s">
        <v>1319</v>
      </c>
      <c r="I67" s="1382">
        <v>1</v>
      </c>
      <c r="J67" s="1382" t="s">
        <v>1634</v>
      </c>
      <c r="K67" s="1398">
        <v>1</v>
      </c>
    </row>
    <row r="68" spans="2:11" ht="66.75" customHeight="1" x14ac:dyDescent="0.25">
      <c r="B68" s="1769" t="s">
        <v>1745</v>
      </c>
      <c r="C68" s="1770"/>
      <c r="D68" s="1771" t="s">
        <v>1318</v>
      </c>
      <c r="E68" s="1771"/>
      <c r="F68" s="1771" t="s">
        <v>1318</v>
      </c>
      <c r="G68" s="1771"/>
      <c r="H68" s="1350" t="s">
        <v>1319</v>
      </c>
      <c r="I68" s="1382">
        <v>1</v>
      </c>
      <c r="J68" s="1382" t="s">
        <v>1634</v>
      </c>
      <c r="K68" s="1398">
        <v>1</v>
      </c>
    </row>
    <row r="69" spans="2:11" ht="71.25" customHeight="1" x14ac:dyDescent="0.25">
      <c r="B69" s="1769" t="s">
        <v>1746</v>
      </c>
      <c r="C69" s="1770"/>
      <c r="D69" s="1771" t="s">
        <v>1318</v>
      </c>
      <c r="E69" s="1771"/>
      <c r="F69" s="1771" t="s">
        <v>1318</v>
      </c>
      <c r="G69" s="1771"/>
      <c r="H69" s="1350" t="s">
        <v>1319</v>
      </c>
      <c r="I69" s="1382">
        <v>1</v>
      </c>
      <c r="J69" s="1382" t="s">
        <v>1634</v>
      </c>
      <c r="K69" s="1398">
        <v>1</v>
      </c>
    </row>
    <row r="70" spans="2:11" ht="50.25" customHeight="1" x14ac:dyDescent="0.25">
      <c r="B70" s="1769" t="s">
        <v>1747</v>
      </c>
      <c r="C70" s="1770"/>
      <c r="D70" s="1771" t="s">
        <v>1318</v>
      </c>
      <c r="E70" s="1771"/>
      <c r="F70" s="1771" t="s">
        <v>1318</v>
      </c>
      <c r="G70" s="1771"/>
      <c r="H70" s="1350" t="s">
        <v>1319</v>
      </c>
      <c r="I70" s="1382">
        <v>1</v>
      </c>
      <c r="J70" s="1382" t="s">
        <v>1634</v>
      </c>
      <c r="K70" s="1398">
        <v>1</v>
      </c>
    </row>
    <row r="71" spans="2:11" ht="60" customHeight="1" x14ac:dyDescent="0.25">
      <c r="B71" s="1769" t="s">
        <v>1748</v>
      </c>
      <c r="C71" s="1770"/>
      <c r="D71" s="1771" t="s">
        <v>1318</v>
      </c>
      <c r="E71" s="1771"/>
      <c r="F71" s="1771" t="s">
        <v>1318</v>
      </c>
      <c r="G71" s="1771"/>
      <c r="H71" s="1350" t="s">
        <v>1319</v>
      </c>
      <c r="I71" s="1382">
        <v>1</v>
      </c>
      <c r="J71" s="1382" t="s">
        <v>1634</v>
      </c>
      <c r="K71" s="1398">
        <v>1</v>
      </c>
    </row>
    <row r="72" spans="2:11" ht="53.25" customHeight="1" x14ac:dyDescent="0.25">
      <c r="B72" s="1769" t="s">
        <v>1749</v>
      </c>
      <c r="C72" s="1770"/>
      <c r="D72" s="1771" t="s">
        <v>1318</v>
      </c>
      <c r="E72" s="1771"/>
      <c r="F72" s="1771" t="s">
        <v>1318</v>
      </c>
      <c r="G72" s="1771"/>
      <c r="H72" s="1350" t="s">
        <v>1319</v>
      </c>
      <c r="I72" s="1382">
        <v>1</v>
      </c>
      <c r="J72" s="1382" t="s">
        <v>1634</v>
      </c>
      <c r="K72" s="1398">
        <v>1</v>
      </c>
    </row>
    <row r="73" spans="2:11" ht="59.25" customHeight="1" x14ac:dyDescent="0.25">
      <c r="B73" s="1769" t="s">
        <v>1750</v>
      </c>
      <c r="C73" s="1770"/>
      <c r="D73" s="1771" t="s">
        <v>1318</v>
      </c>
      <c r="E73" s="1771"/>
      <c r="F73" s="1771" t="s">
        <v>1318</v>
      </c>
      <c r="G73" s="1771"/>
      <c r="H73" s="1350" t="s">
        <v>1319</v>
      </c>
      <c r="I73" s="1382">
        <v>1</v>
      </c>
      <c r="J73" s="1382" t="s">
        <v>1634</v>
      </c>
      <c r="K73" s="1398">
        <v>1</v>
      </c>
    </row>
    <row r="74" spans="2:11" ht="57.75" customHeight="1" x14ac:dyDescent="0.25">
      <c r="B74" s="1769" t="s">
        <v>1002</v>
      </c>
      <c r="C74" s="1770"/>
      <c r="D74" s="1771" t="s">
        <v>1324</v>
      </c>
      <c r="E74" s="1771"/>
      <c r="F74" s="1771" t="s">
        <v>1324</v>
      </c>
      <c r="G74" s="1771"/>
      <c r="H74" s="1350" t="s">
        <v>1325</v>
      </c>
      <c r="I74" s="1382">
        <v>1</v>
      </c>
      <c r="J74" s="1382" t="s">
        <v>689</v>
      </c>
      <c r="K74" s="1398">
        <v>300</v>
      </c>
    </row>
    <row r="75" spans="2:11" ht="60" customHeight="1" x14ac:dyDescent="0.25">
      <c r="B75" s="1769" t="s">
        <v>1705</v>
      </c>
      <c r="C75" s="1770"/>
      <c r="D75" s="1771" t="s">
        <v>1324</v>
      </c>
      <c r="E75" s="1771"/>
      <c r="F75" s="1771" t="s">
        <v>1324</v>
      </c>
      <c r="G75" s="1771"/>
      <c r="H75" s="1350" t="s">
        <v>1325</v>
      </c>
      <c r="I75" s="1382">
        <v>1</v>
      </c>
      <c r="J75" s="1382" t="s">
        <v>689</v>
      </c>
      <c r="K75" s="1398">
        <v>27</v>
      </c>
    </row>
    <row r="76" spans="2:11" ht="73.5" customHeight="1" x14ac:dyDescent="0.25">
      <c r="B76" s="1769" t="s">
        <v>1706</v>
      </c>
      <c r="C76" s="1770"/>
      <c r="D76" s="1771" t="s">
        <v>1324</v>
      </c>
      <c r="E76" s="1771"/>
      <c r="F76" s="1771" t="s">
        <v>1324</v>
      </c>
      <c r="G76" s="1771"/>
      <c r="H76" s="1350" t="s">
        <v>1325</v>
      </c>
      <c r="I76" s="1382">
        <v>1</v>
      </c>
      <c r="J76" s="1382" t="s">
        <v>689</v>
      </c>
      <c r="K76" s="1398">
        <v>600</v>
      </c>
    </row>
    <row r="77" spans="2:11" ht="69.75" customHeight="1" x14ac:dyDescent="0.25">
      <c r="B77" s="1769" t="s">
        <v>1005</v>
      </c>
      <c r="C77" s="1770"/>
      <c r="D77" s="1771" t="s">
        <v>1324</v>
      </c>
      <c r="E77" s="1771"/>
      <c r="F77" s="1771" t="s">
        <v>1324</v>
      </c>
      <c r="G77" s="1771"/>
      <c r="H77" s="1350" t="s">
        <v>1325</v>
      </c>
      <c r="I77" s="1382">
        <v>1</v>
      </c>
      <c r="J77" s="1382" t="s">
        <v>689</v>
      </c>
      <c r="K77" s="1398">
        <v>60</v>
      </c>
    </row>
    <row r="78" spans="2:11" ht="80.25" customHeight="1" x14ac:dyDescent="0.25">
      <c r="B78" s="1769" t="s">
        <v>1707</v>
      </c>
      <c r="C78" s="1770"/>
      <c r="D78" s="1771" t="s">
        <v>1324</v>
      </c>
      <c r="E78" s="1771"/>
      <c r="F78" s="1771" t="s">
        <v>1324</v>
      </c>
      <c r="G78" s="1771"/>
      <c r="H78" s="1350" t="s">
        <v>1325</v>
      </c>
      <c r="I78" s="1382">
        <v>22</v>
      </c>
      <c r="J78" s="1382" t="s">
        <v>647</v>
      </c>
      <c r="K78" s="1398">
        <v>22</v>
      </c>
    </row>
    <row r="79" spans="2:11" ht="48" customHeight="1" x14ac:dyDescent="0.25">
      <c r="B79" s="1769" t="s">
        <v>1146</v>
      </c>
      <c r="C79" s="1770"/>
      <c r="D79" s="1771" t="s">
        <v>1318</v>
      </c>
      <c r="E79" s="1771"/>
      <c r="F79" s="1771" t="s">
        <v>1318</v>
      </c>
      <c r="G79" s="1771"/>
      <c r="H79" s="1350" t="s">
        <v>1319</v>
      </c>
      <c r="I79" s="1382">
        <v>2</v>
      </c>
      <c r="J79" s="1382" t="s">
        <v>1370</v>
      </c>
      <c r="K79" s="1398">
        <v>44</v>
      </c>
    </row>
    <row r="80" spans="2:11" ht="40.5" customHeight="1" x14ac:dyDescent="0.25">
      <c r="B80" s="1769" t="s">
        <v>1147</v>
      </c>
      <c r="C80" s="1770"/>
      <c r="D80" s="1771" t="s">
        <v>1318</v>
      </c>
      <c r="E80" s="1771"/>
      <c r="F80" s="1771" t="s">
        <v>1318</v>
      </c>
      <c r="G80" s="1771"/>
      <c r="H80" s="1350" t="s">
        <v>1319</v>
      </c>
      <c r="I80" s="1382">
        <v>2</v>
      </c>
      <c r="J80" s="1382" t="s">
        <v>1370</v>
      </c>
      <c r="K80" s="1398">
        <v>14</v>
      </c>
    </row>
    <row r="81" spans="2:11" ht="51.75" customHeight="1" x14ac:dyDescent="0.25">
      <c r="B81" s="1769" t="s">
        <v>1148</v>
      </c>
      <c r="C81" s="1770"/>
      <c r="D81" s="1771" t="s">
        <v>1318</v>
      </c>
      <c r="E81" s="1771"/>
      <c r="F81" s="1771" t="s">
        <v>1318</v>
      </c>
      <c r="G81" s="1771"/>
      <c r="H81" s="1350" t="s">
        <v>1319</v>
      </c>
      <c r="I81" s="1382">
        <v>2</v>
      </c>
      <c r="J81" s="1382" t="s">
        <v>1370</v>
      </c>
      <c r="K81" s="1398">
        <v>2</v>
      </c>
    </row>
    <row r="82" spans="2:11" ht="32.25" customHeight="1" x14ac:dyDescent="0.25">
      <c r="B82" s="1769" t="s">
        <v>1709</v>
      </c>
      <c r="C82" s="1770"/>
      <c r="D82" s="1771" t="s">
        <v>1318</v>
      </c>
      <c r="E82" s="1771"/>
      <c r="F82" s="1771" t="s">
        <v>1318</v>
      </c>
      <c r="G82" s="1771"/>
      <c r="H82" s="1350" t="s">
        <v>1319</v>
      </c>
      <c r="I82" s="1382">
        <v>2</v>
      </c>
      <c r="J82" s="1382" t="s">
        <v>1370</v>
      </c>
      <c r="K82" s="1398">
        <v>44</v>
      </c>
    </row>
    <row r="83" spans="2:11" ht="48.75" customHeight="1" x14ac:dyDescent="0.25">
      <c r="B83" s="1769" t="s">
        <v>1710</v>
      </c>
      <c r="C83" s="1770"/>
      <c r="D83" s="1771" t="s">
        <v>1318</v>
      </c>
      <c r="E83" s="1771"/>
      <c r="F83" s="1771" t="s">
        <v>1318</v>
      </c>
      <c r="G83" s="1771"/>
      <c r="H83" s="1350" t="s">
        <v>1319</v>
      </c>
      <c r="I83" s="1382">
        <v>2</v>
      </c>
      <c r="J83" s="1382" t="s">
        <v>1370</v>
      </c>
      <c r="K83" s="1398">
        <v>2</v>
      </c>
    </row>
    <row r="84" spans="2:11" ht="25.5" x14ac:dyDescent="0.25">
      <c r="B84" s="1769" t="s">
        <v>1711</v>
      </c>
      <c r="C84" s="1770"/>
      <c r="D84" s="1771" t="s">
        <v>1318</v>
      </c>
      <c r="E84" s="1771"/>
      <c r="F84" s="1771" t="s">
        <v>1318</v>
      </c>
      <c r="G84" s="1771"/>
      <c r="H84" s="1350" t="s">
        <v>1319</v>
      </c>
      <c r="I84" s="1382">
        <v>1</v>
      </c>
      <c r="J84" s="1382" t="s">
        <v>647</v>
      </c>
      <c r="K84" s="1398">
        <v>1</v>
      </c>
    </row>
    <row r="85" spans="2:11" ht="57.75" customHeight="1" thickBot="1" x14ac:dyDescent="0.3">
      <c r="B85" s="1785" t="s">
        <v>1379</v>
      </c>
      <c r="C85" s="1786"/>
      <c r="D85" s="1787" t="s">
        <v>1324</v>
      </c>
      <c r="E85" s="1787"/>
      <c r="F85" s="1787" t="s">
        <v>1324</v>
      </c>
      <c r="G85" s="1787"/>
      <c r="H85" s="1352" t="s">
        <v>1325</v>
      </c>
      <c r="I85" s="1388">
        <v>1</v>
      </c>
      <c r="J85" s="1388" t="s">
        <v>689</v>
      </c>
      <c r="K85" s="1403">
        <v>1000</v>
      </c>
    </row>
  </sheetData>
  <mergeCells count="234">
    <mergeCell ref="B85:C85"/>
    <mergeCell ref="D85:E85"/>
    <mergeCell ref="F85:G85"/>
    <mergeCell ref="B83:C83"/>
    <mergeCell ref="D83:E83"/>
    <mergeCell ref="F83:G83"/>
    <mergeCell ref="B84:C84"/>
    <mergeCell ref="D84:E84"/>
    <mergeCell ref="F84:G84"/>
    <mergeCell ref="B81:C81"/>
    <mergeCell ref="D81:E81"/>
    <mergeCell ref="F81:G81"/>
    <mergeCell ref="B82:C82"/>
    <mergeCell ref="D82:E82"/>
    <mergeCell ref="F82:G82"/>
    <mergeCell ref="B79:C79"/>
    <mergeCell ref="D79:E79"/>
    <mergeCell ref="F79:G79"/>
    <mergeCell ref="B80:C80"/>
    <mergeCell ref="D80:E80"/>
    <mergeCell ref="F80:G80"/>
    <mergeCell ref="B77:C77"/>
    <mergeCell ref="D77:E77"/>
    <mergeCell ref="F77:G77"/>
    <mergeCell ref="B78:C78"/>
    <mergeCell ref="D78:E78"/>
    <mergeCell ref="F78:G78"/>
    <mergeCell ref="B75:C75"/>
    <mergeCell ref="D75:E75"/>
    <mergeCell ref="F75:G75"/>
    <mergeCell ref="B76:C76"/>
    <mergeCell ref="D76:E76"/>
    <mergeCell ref="F76:G76"/>
    <mergeCell ref="B73:C73"/>
    <mergeCell ref="D73:E73"/>
    <mergeCell ref="F73:G73"/>
    <mergeCell ref="B74:C74"/>
    <mergeCell ref="D74:E74"/>
    <mergeCell ref="F74:G74"/>
    <mergeCell ref="B71:C71"/>
    <mergeCell ref="D71:E71"/>
    <mergeCell ref="F71:G71"/>
    <mergeCell ref="B72:C72"/>
    <mergeCell ref="D72:E72"/>
    <mergeCell ref="F72:G72"/>
    <mergeCell ref="B69:C69"/>
    <mergeCell ref="D69:E69"/>
    <mergeCell ref="F69:G69"/>
    <mergeCell ref="B70:C70"/>
    <mergeCell ref="D70:E70"/>
    <mergeCell ref="F70:G70"/>
    <mergeCell ref="B67:C67"/>
    <mergeCell ref="D67:E67"/>
    <mergeCell ref="F67:G67"/>
    <mergeCell ref="B68:C68"/>
    <mergeCell ref="D68:E68"/>
    <mergeCell ref="F68:G68"/>
    <mergeCell ref="B65:C65"/>
    <mergeCell ref="D65:E65"/>
    <mergeCell ref="F65:G65"/>
    <mergeCell ref="B66:C66"/>
    <mergeCell ref="D66:E66"/>
    <mergeCell ref="F66:G66"/>
    <mergeCell ref="B63:C63"/>
    <mergeCell ref="D63:E63"/>
    <mergeCell ref="F63:G63"/>
    <mergeCell ref="B64:C64"/>
    <mergeCell ref="D64:E64"/>
    <mergeCell ref="F64:G64"/>
    <mergeCell ref="B61:C61"/>
    <mergeCell ref="D61:E61"/>
    <mergeCell ref="F61:G61"/>
    <mergeCell ref="B62:C62"/>
    <mergeCell ref="D62:E62"/>
    <mergeCell ref="F62:G62"/>
    <mergeCell ref="B59:C59"/>
    <mergeCell ref="D59:E59"/>
    <mergeCell ref="F59:G59"/>
    <mergeCell ref="B60:C60"/>
    <mergeCell ref="D60:E60"/>
    <mergeCell ref="F60:G60"/>
    <mergeCell ref="B57:C57"/>
    <mergeCell ref="D57:E57"/>
    <mergeCell ref="F57:G57"/>
    <mergeCell ref="B58:C58"/>
    <mergeCell ref="D58:E58"/>
    <mergeCell ref="F58:G58"/>
    <mergeCell ref="N50:O50"/>
    <mergeCell ref="B47:O47"/>
    <mergeCell ref="B54:E54"/>
    <mergeCell ref="F54:G56"/>
    <mergeCell ref="H54:I55"/>
    <mergeCell ref="J54:K55"/>
    <mergeCell ref="B55:C56"/>
    <mergeCell ref="D55:E56"/>
    <mergeCell ref="B50:C50"/>
    <mergeCell ref="D50:E50"/>
    <mergeCell ref="F50:G50"/>
    <mergeCell ref="H50:I50"/>
    <mergeCell ref="J50:K50"/>
    <mergeCell ref="L50:M50"/>
    <mergeCell ref="B48:C49"/>
    <mergeCell ref="D48:I48"/>
    <mergeCell ref="J48:K49"/>
    <mergeCell ref="L48:M49"/>
    <mergeCell ref="L37:N37"/>
    <mergeCell ref="E38:F38"/>
    <mergeCell ref="G38:H38"/>
    <mergeCell ref="L38:N38"/>
    <mergeCell ref="E39:F39"/>
    <mergeCell ref="G39:H39"/>
    <mergeCell ref="N48:O49"/>
    <mergeCell ref="D49:E49"/>
    <mergeCell ref="F49:G49"/>
    <mergeCell ref="H49:I49"/>
    <mergeCell ref="C45:D45"/>
    <mergeCell ref="E45:F45"/>
    <mergeCell ref="G45:H45"/>
    <mergeCell ref="L45:N45"/>
    <mergeCell ref="C42:D44"/>
    <mergeCell ref="E42:F42"/>
    <mergeCell ref="G42:H42"/>
    <mergeCell ref="L42:N42"/>
    <mergeCell ref="E43:F43"/>
    <mergeCell ref="G43:H43"/>
    <mergeCell ref="L43:N43"/>
    <mergeCell ref="E44:F44"/>
    <mergeCell ref="G44:H44"/>
    <mergeCell ref="L44:N44"/>
    <mergeCell ref="E33:F33"/>
    <mergeCell ref="G33:H33"/>
    <mergeCell ref="L33:N33"/>
    <mergeCell ref="B34:B45"/>
    <mergeCell ref="C34:D36"/>
    <mergeCell ref="E34:F34"/>
    <mergeCell ref="G34:H34"/>
    <mergeCell ref="L34:N34"/>
    <mergeCell ref="E35:F35"/>
    <mergeCell ref="G35:H35"/>
    <mergeCell ref="L35:N35"/>
    <mergeCell ref="E36:F36"/>
    <mergeCell ref="G36:H36"/>
    <mergeCell ref="L39:N39"/>
    <mergeCell ref="E40:F40"/>
    <mergeCell ref="G40:H40"/>
    <mergeCell ref="L40:N40"/>
    <mergeCell ref="E41:F41"/>
    <mergeCell ref="G41:H41"/>
    <mergeCell ref="L41:N41"/>
    <mergeCell ref="L36:N36"/>
    <mergeCell ref="C37:D41"/>
    <mergeCell ref="E37:F37"/>
    <mergeCell ref="G37:H37"/>
    <mergeCell ref="L28:N28"/>
    <mergeCell ref="E29:F29"/>
    <mergeCell ref="G29:H29"/>
    <mergeCell ref="L29:N29"/>
    <mergeCell ref="E30:F30"/>
    <mergeCell ref="G30:H30"/>
    <mergeCell ref="L30:N30"/>
    <mergeCell ref="B26:B33"/>
    <mergeCell ref="C26:D31"/>
    <mergeCell ref="E26:F26"/>
    <mergeCell ref="G26:H26"/>
    <mergeCell ref="L26:N26"/>
    <mergeCell ref="E27:F27"/>
    <mergeCell ref="G27:H27"/>
    <mergeCell ref="L27:N27"/>
    <mergeCell ref="E28:F28"/>
    <mergeCell ref="G28:H28"/>
    <mergeCell ref="E31:F31"/>
    <mergeCell ref="G31:H31"/>
    <mergeCell ref="L31:N31"/>
    <mergeCell ref="C32:D33"/>
    <mergeCell ref="E32:F32"/>
    <mergeCell ref="G32:H32"/>
    <mergeCell ref="L32:N32"/>
    <mergeCell ref="G23:H23"/>
    <mergeCell ref="L23:N23"/>
    <mergeCell ref="C24:D24"/>
    <mergeCell ref="E24:F24"/>
    <mergeCell ref="G24:H24"/>
    <mergeCell ref="L24:N24"/>
    <mergeCell ref="C25:D25"/>
    <mergeCell ref="E25:F25"/>
    <mergeCell ref="G25:H25"/>
    <mergeCell ref="L25:N25"/>
    <mergeCell ref="B17:B18"/>
    <mergeCell ref="C17:D18"/>
    <mergeCell ref="E17:F17"/>
    <mergeCell ref="G17:H17"/>
    <mergeCell ref="L17:N17"/>
    <mergeCell ref="E18:F18"/>
    <mergeCell ref="G18:H18"/>
    <mergeCell ref="L18:N18"/>
    <mergeCell ref="B19:B25"/>
    <mergeCell ref="C19:D21"/>
    <mergeCell ref="E19:F19"/>
    <mergeCell ref="G19:H19"/>
    <mergeCell ref="L19:N19"/>
    <mergeCell ref="E20:F20"/>
    <mergeCell ref="G20:H20"/>
    <mergeCell ref="L20:N20"/>
    <mergeCell ref="E21:F21"/>
    <mergeCell ref="G21:H21"/>
    <mergeCell ref="L21:N21"/>
    <mergeCell ref="C22:D23"/>
    <mergeCell ref="E22:F22"/>
    <mergeCell ref="G22:H22"/>
    <mergeCell ref="L22:N22"/>
    <mergeCell ref="E23:F23"/>
    <mergeCell ref="B14:N14"/>
    <mergeCell ref="B15:B16"/>
    <mergeCell ref="C6:E6"/>
    <mergeCell ref="H6:I6"/>
    <mergeCell ref="C7:E7"/>
    <mergeCell ref="H7:I7"/>
    <mergeCell ref="C8:E8"/>
    <mergeCell ref="H8:I8"/>
    <mergeCell ref="C15:D16"/>
    <mergeCell ref="E15:F16"/>
    <mergeCell ref="G15:H16"/>
    <mergeCell ref="I15:K15"/>
    <mergeCell ref="L15:N16"/>
    <mergeCell ref="C4:E4"/>
    <mergeCell ref="H4:I4"/>
    <mergeCell ref="C5:E5"/>
    <mergeCell ref="H5:I5"/>
    <mergeCell ref="C11:E11"/>
    <mergeCell ref="F11:G11"/>
    <mergeCell ref="H11:I11"/>
    <mergeCell ref="C12:E12"/>
    <mergeCell ref="F12:G12"/>
    <mergeCell ref="H12:I1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[2]Hoja2!#REF!</xm:f>
          </x14:formula1>
          <xm:sqref>I17:K45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54" zoomScaleNormal="100" workbookViewId="0">
      <selection activeCell="G19" sqref="G19"/>
    </sheetView>
  </sheetViews>
  <sheetFormatPr baseColWidth="10" defaultRowHeight="15" x14ac:dyDescent="0.25"/>
  <cols>
    <col min="2" max="2" width="47.140625" customWidth="1"/>
    <col min="3" max="3" width="15.42578125" customWidth="1"/>
    <col min="4" max="4" width="13.140625" style="682" customWidth="1"/>
    <col min="5" max="5" width="8.140625" customWidth="1"/>
    <col min="7" max="7" width="14.5703125" customWidth="1"/>
    <col min="8" max="8" width="15.7109375" customWidth="1"/>
    <col min="9" max="9" width="20.5703125" style="692" customWidth="1"/>
    <col min="10" max="10" width="21.28515625" style="692" hidden="1" customWidth="1"/>
    <col min="11" max="11" width="16" bestFit="1" customWidth="1"/>
    <col min="19" max="19" width="17.28515625" customWidth="1"/>
  </cols>
  <sheetData>
    <row r="1" spans="1:19" x14ac:dyDescent="0.25">
      <c r="S1" s="716"/>
    </row>
    <row r="2" spans="1:19" ht="15.75" x14ac:dyDescent="0.25">
      <c r="A2" s="1791" t="s">
        <v>839</v>
      </c>
      <c r="B2" s="1791"/>
      <c r="C2" s="1791"/>
      <c r="D2" s="1791"/>
      <c r="E2" s="1791"/>
      <c r="F2" s="1791"/>
      <c r="G2" s="1791"/>
      <c r="H2" s="1791"/>
      <c r="I2" s="1791"/>
      <c r="J2" s="1791"/>
    </row>
    <row r="3" spans="1:19" x14ac:dyDescent="0.25">
      <c r="A3" s="428"/>
      <c r="B3" s="428"/>
      <c r="C3" s="428"/>
      <c r="D3" s="679"/>
      <c r="E3" s="428"/>
      <c r="F3" s="428"/>
      <c r="G3" s="428"/>
      <c r="H3" s="428"/>
      <c r="I3" s="686"/>
      <c r="J3" s="686"/>
    </row>
    <row r="4" spans="1:19" x14ac:dyDescent="0.25">
      <c r="A4" s="429" t="s">
        <v>840</v>
      </c>
      <c r="B4" s="1792" t="s">
        <v>829</v>
      </c>
      <c r="C4" s="1792"/>
      <c r="D4" s="1792"/>
      <c r="E4" s="1792"/>
      <c r="F4" s="1792"/>
      <c r="G4" s="1792"/>
      <c r="H4" s="1792"/>
      <c r="I4" s="1792"/>
      <c r="J4" s="1792"/>
    </row>
    <row r="5" spans="1:19" x14ac:dyDescent="0.25">
      <c r="A5" s="430" t="s">
        <v>841</v>
      </c>
      <c r="B5" s="431" t="s">
        <v>811</v>
      </c>
      <c r="C5" s="431"/>
      <c r="D5" s="680"/>
      <c r="E5" s="431"/>
      <c r="F5" s="432"/>
      <c r="G5" s="432"/>
      <c r="H5" s="432"/>
      <c r="I5" s="687"/>
      <c r="J5" s="687"/>
    </row>
    <row r="6" spans="1:19" x14ac:dyDescent="0.25">
      <c r="A6" s="430" t="s">
        <v>842</v>
      </c>
      <c r="B6" s="433" t="s">
        <v>830</v>
      </c>
      <c r="C6" s="433"/>
      <c r="D6" s="681"/>
      <c r="E6" s="433"/>
      <c r="F6" s="434"/>
      <c r="G6" s="434"/>
      <c r="H6" s="434"/>
      <c r="I6" s="687"/>
      <c r="J6" s="687"/>
    </row>
    <row r="7" spans="1:19" x14ac:dyDescent="0.25">
      <c r="F7" s="66"/>
      <c r="G7" s="66"/>
      <c r="H7" s="66"/>
      <c r="I7" s="688"/>
      <c r="J7" s="688"/>
    </row>
    <row r="8" spans="1:19" x14ac:dyDescent="0.25">
      <c r="A8" s="1794" t="s">
        <v>843</v>
      </c>
      <c r="B8" s="1798" t="s">
        <v>844</v>
      </c>
      <c r="C8" s="1798" t="s">
        <v>1120</v>
      </c>
      <c r="D8" s="1793" t="s">
        <v>1121</v>
      </c>
      <c r="E8" s="1794"/>
      <c r="F8" s="1795" t="s">
        <v>1122</v>
      </c>
      <c r="G8" s="1796"/>
      <c r="H8" s="1802" t="s">
        <v>847</v>
      </c>
      <c r="I8" s="1800" t="s">
        <v>239</v>
      </c>
      <c r="J8" s="1800" t="s">
        <v>848</v>
      </c>
    </row>
    <row r="9" spans="1:19" x14ac:dyDescent="0.25">
      <c r="A9" s="1797"/>
      <c r="B9" s="1799"/>
      <c r="C9" s="1799"/>
      <c r="D9" s="677" t="s">
        <v>845</v>
      </c>
      <c r="E9" s="678" t="s">
        <v>889</v>
      </c>
      <c r="F9" s="677" t="s">
        <v>845</v>
      </c>
      <c r="G9" s="678" t="s">
        <v>889</v>
      </c>
      <c r="H9" s="1803"/>
      <c r="I9" s="1801"/>
      <c r="J9" s="1801"/>
    </row>
    <row r="10" spans="1:19" x14ac:dyDescent="0.25">
      <c r="A10" s="683" t="s">
        <v>1125</v>
      </c>
      <c r="B10" s="684" t="s">
        <v>1124</v>
      </c>
      <c r="C10" s="684"/>
      <c r="D10" s="684"/>
      <c r="E10" s="685"/>
      <c r="F10" s="684"/>
      <c r="G10" s="685"/>
      <c r="H10" s="685"/>
      <c r="I10" s="689"/>
      <c r="J10" s="689"/>
    </row>
    <row r="11" spans="1:19" ht="44.25" customHeight="1" thickBot="1" x14ac:dyDescent="0.3">
      <c r="A11" s="980" t="s">
        <v>980</v>
      </c>
      <c r="B11" s="981" t="str">
        <f>COSTOS1!B135</f>
        <v>COMPONENTE 1. INSTALACIONES ADECUADAS PARA LA PROVISIÓN DE LOS SERVICIOS.</v>
      </c>
      <c r="C11" s="982"/>
      <c r="D11" s="983"/>
      <c r="E11" s="983"/>
      <c r="F11" s="983"/>
      <c r="G11" s="1058"/>
      <c r="H11" s="983"/>
      <c r="I11" s="984">
        <f>I12</f>
        <v>173043</v>
      </c>
      <c r="J11" s="984">
        <f>J12+J15+J24</f>
        <v>1026769.78</v>
      </c>
      <c r="K11" s="692"/>
    </row>
    <row r="12" spans="1:19" ht="33" customHeight="1" thickBot="1" x14ac:dyDescent="0.3">
      <c r="A12" s="988" t="s">
        <v>981</v>
      </c>
      <c r="B12" s="989" t="str">
        <f>COSTOS1!B136</f>
        <v>Adecuación de ambientes para el funcionamiento de la Dirección de pesquería-DIREPRO.</v>
      </c>
      <c r="C12" s="990"/>
      <c r="D12" s="990"/>
      <c r="E12" s="990"/>
      <c r="F12" s="991"/>
      <c r="G12" s="1059"/>
      <c r="H12" s="992"/>
      <c r="I12" s="992">
        <f>SUM(I13:I14)</f>
        <v>173043</v>
      </c>
      <c r="J12" s="992">
        <f>SUM(J13:J14)</f>
        <v>173043</v>
      </c>
    </row>
    <row r="13" spans="1:19" ht="34.5" customHeight="1" thickBot="1" x14ac:dyDescent="0.3">
      <c r="A13" s="997" t="s">
        <v>982</v>
      </c>
      <c r="B13" s="998" t="str">
        <f>COSTOS1!B137</f>
        <v>Adecuación de ambiente para el correcto funcionamiento de la Dirección de Pesquería DIREPRO.</v>
      </c>
      <c r="C13" s="999" t="s">
        <v>1299</v>
      </c>
      <c r="D13" s="999" t="s">
        <v>1300</v>
      </c>
      <c r="E13" s="999">
        <v>1</v>
      </c>
      <c r="F13" s="1000" t="s">
        <v>1301</v>
      </c>
      <c r="G13" s="1056">
        <v>70</v>
      </c>
      <c r="H13" s="1001">
        <v>714.28571428571433</v>
      </c>
      <c r="I13" s="1001">
        <f>COSTOS1!H137</f>
        <v>50000</v>
      </c>
      <c r="J13" s="1001">
        <f>COSTOS1!H137</f>
        <v>50000</v>
      </c>
    </row>
    <row r="14" spans="1:19" ht="29.25" customHeight="1" thickBot="1" x14ac:dyDescent="0.3">
      <c r="A14" s="1002" t="s">
        <v>983</v>
      </c>
      <c r="B14" s="1003" t="str">
        <f>COSTOS1!B139</f>
        <v>Adecuación de ambiente para el correcto funcionamiento de la Cámara frigorífica, DIREPRO.</v>
      </c>
      <c r="C14" s="999" t="s">
        <v>1299</v>
      </c>
      <c r="D14" s="999" t="s">
        <v>1300</v>
      </c>
      <c r="E14" s="999">
        <v>1</v>
      </c>
      <c r="F14" s="1000" t="s">
        <v>1301</v>
      </c>
      <c r="G14" s="1056">
        <v>42.2</v>
      </c>
      <c r="H14" s="1001">
        <v>2915.7109004739336</v>
      </c>
      <c r="I14" s="1001">
        <f>COSTOS1!H139</f>
        <v>123043</v>
      </c>
      <c r="J14" s="1001">
        <f>COSTOS1!H139</f>
        <v>123043</v>
      </c>
    </row>
    <row r="15" spans="1:19" ht="16.5" customHeight="1" thickBot="1" x14ac:dyDescent="0.3">
      <c r="A15" s="985" t="s">
        <v>984</v>
      </c>
      <c r="B15" s="1004" t="s">
        <v>1201</v>
      </c>
      <c r="C15" s="1005"/>
      <c r="D15" s="1005"/>
      <c r="E15" s="1005"/>
      <c r="F15" s="986"/>
      <c r="G15" s="1060"/>
      <c r="H15" s="987"/>
      <c r="I15" s="987">
        <f>I16+I20+I23+I26</f>
        <v>930737.78</v>
      </c>
      <c r="J15" s="987">
        <f>SUM(J16:J23)</f>
        <v>721726.78</v>
      </c>
    </row>
    <row r="16" spans="1:19" ht="29.25" thickBot="1" x14ac:dyDescent="0.3">
      <c r="A16" s="993" t="s">
        <v>985</v>
      </c>
      <c r="B16" s="994" t="s">
        <v>1530</v>
      </c>
      <c r="C16" s="1006"/>
      <c r="D16" s="1006"/>
      <c r="E16" s="1006"/>
      <c r="F16" s="995"/>
      <c r="G16" s="1061"/>
      <c r="H16" s="1007"/>
      <c r="I16" s="1007">
        <f>SUM(I17:I19)</f>
        <v>336726.78</v>
      </c>
      <c r="J16" s="1007">
        <f>G16*I16</f>
        <v>0</v>
      </c>
    </row>
    <row r="17" spans="1:10" ht="31.5" customHeight="1" thickBot="1" x14ac:dyDescent="0.3">
      <c r="A17" s="1002" t="s">
        <v>990</v>
      </c>
      <c r="B17" s="1003" t="s">
        <v>1139</v>
      </c>
      <c r="C17" s="1010" t="s">
        <v>1126</v>
      </c>
      <c r="D17" s="1010" t="s">
        <v>1302</v>
      </c>
      <c r="E17" s="1010">
        <v>1</v>
      </c>
      <c r="F17" s="1000" t="s">
        <v>647</v>
      </c>
      <c r="G17" s="1062">
        <v>1</v>
      </c>
      <c r="H17" s="1072">
        <v>230605.65000000002</v>
      </c>
      <c r="I17" s="1011">
        <f>COSTOS1!H169</f>
        <v>276726.78000000003</v>
      </c>
      <c r="J17" s="1011">
        <f>COSTOS1!H169</f>
        <v>276726.78000000003</v>
      </c>
    </row>
    <row r="18" spans="1:10" ht="15.75" thickBot="1" x14ac:dyDescent="0.3">
      <c r="A18" s="1002" t="s">
        <v>991</v>
      </c>
      <c r="B18" s="1003" t="s">
        <v>1145</v>
      </c>
      <c r="C18" s="1010" t="s">
        <v>1127</v>
      </c>
      <c r="D18" s="1010" t="s">
        <v>1303</v>
      </c>
      <c r="E18" s="1010">
        <v>1</v>
      </c>
      <c r="F18" s="1000" t="s">
        <v>647</v>
      </c>
      <c r="G18" s="1062">
        <v>1</v>
      </c>
      <c r="H18" s="1072">
        <v>50000</v>
      </c>
      <c r="I18" s="1011">
        <f>COSTOS1!H171</f>
        <v>50000</v>
      </c>
      <c r="J18" s="1011">
        <f>COSTOS1!H171</f>
        <v>50000</v>
      </c>
    </row>
    <row r="19" spans="1:10" ht="29.25" customHeight="1" thickBot="1" x14ac:dyDescent="0.3">
      <c r="A19" s="1002" t="s">
        <v>992</v>
      </c>
      <c r="B19" s="1003" t="s">
        <v>1138</v>
      </c>
      <c r="C19" s="1010" t="s">
        <v>1126</v>
      </c>
      <c r="D19" s="1010" t="s">
        <v>1302</v>
      </c>
      <c r="E19" s="1010">
        <v>1</v>
      </c>
      <c r="F19" s="1000" t="s">
        <v>638</v>
      </c>
      <c r="G19" s="1062">
        <v>1</v>
      </c>
      <c r="H19" s="1072">
        <v>10000</v>
      </c>
      <c r="I19" s="1011">
        <f>COSTOS1!H173</f>
        <v>10000</v>
      </c>
      <c r="J19" s="1011">
        <f>COSTOS1!H173</f>
        <v>10000</v>
      </c>
    </row>
    <row r="20" spans="1:10" s="112" customFormat="1" ht="31.5" customHeight="1" thickBot="1" x14ac:dyDescent="0.3">
      <c r="A20" s="1008" t="s">
        <v>986</v>
      </c>
      <c r="B20" s="1009" t="s">
        <v>987</v>
      </c>
      <c r="C20" s="1006"/>
      <c r="D20" s="1006"/>
      <c r="E20" s="1006"/>
      <c r="F20" s="995"/>
      <c r="G20" s="1061"/>
      <c r="H20" s="1007"/>
      <c r="I20" s="1007">
        <f>SUM(I21:I22)</f>
        <v>385000</v>
      </c>
      <c r="J20" s="1007"/>
    </row>
    <row r="21" spans="1:10" ht="32.25" customHeight="1" thickBot="1" x14ac:dyDescent="0.3">
      <c r="A21" s="1002" t="s">
        <v>1304</v>
      </c>
      <c r="B21" s="1003" t="s">
        <v>1531</v>
      </c>
      <c r="C21" s="1010" t="s">
        <v>1127</v>
      </c>
      <c r="D21" s="1010" t="s">
        <v>1303</v>
      </c>
      <c r="E21" s="1010">
        <v>2</v>
      </c>
      <c r="F21" s="1000" t="s">
        <v>647</v>
      </c>
      <c r="G21" s="1063">
        <v>2</v>
      </c>
      <c r="H21" s="1011">
        <v>130000</v>
      </c>
      <c r="I21" s="1011">
        <f>COSTOS1!H176</f>
        <v>260000</v>
      </c>
      <c r="J21" s="1011">
        <f>COSTOS1!H176</f>
        <v>260000</v>
      </c>
    </row>
    <row r="22" spans="1:10" ht="43.5" thickBot="1" x14ac:dyDescent="0.3">
      <c r="A22" s="1002" t="s">
        <v>1134</v>
      </c>
      <c r="B22" s="1003" t="s">
        <v>1143</v>
      </c>
      <c r="C22" s="1010" t="s">
        <v>1127</v>
      </c>
      <c r="D22" s="1010" t="s">
        <v>1303</v>
      </c>
      <c r="E22" s="1010">
        <v>1</v>
      </c>
      <c r="F22" s="1000" t="s">
        <v>647</v>
      </c>
      <c r="G22" s="1063">
        <v>1</v>
      </c>
      <c r="H22" s="1011">
        <v>125000</v>
      </c>
      <c r="I22" s="1011">
        <f>COSTOS1!H179</f>
        <v>125000</v>
      </c>
      <c r="J22" s="1011">
        <f>COSTOS1!H179</f>
        <v>125000</v>
      </c>
    </row>
    <row r="23" spans="1:10" s="112" customFormat="1" ht="29.25" thickBot="1" x14ac:dyDescent="0.3">
      <c r="A23" s="1008" t="s">
        <v>988</v>
      </c>
      <c r="B23" s="1009" t="str">
        <f>COSTOS1!B181</f>
        <v>ACONDICIONAMIENTO De congeladoras industriales para productos hidrobiológicos azules.</v>
      </c>
      <c r="C23" s="1006"/>
      <c r="D23" s="1006"/>
      <c r="E23" s="1006"/>
      <c r="F23" s="995"/>
      <c r="G23" s="1061"/>
      <c r="H23" s="1007"/>
      <c r="I23" s="1007">
        <f>SUM(I24:I25)</f>
        <v>136000</v>
      </c>
      <c r="J23" s="1007"/>
    </row>
    <row r="24" spans="1:10" ht="57.75" customHeight="1" thickBot="1" x14ac:dyDescent="0.3">
      <c r="A24" s="1015" t="s">
        <v>996</v>
      </c>
      <c r="B24" s="1016" t="str">
        <f>COSTOS1!B182</f>
        <v>Acondicionamiento e Instalacion de conservadoras industriales de 500 kg para productos hidrobiológicos azules estacionario y Enseres: 0.5 tn a 1 tn</v>
      </c>
      <c r="C24" s="1010" t="s">
        <v>1126</v>
      </c>
      <c r="D24" s="1010" t="s">
        <v>1302</v>
      </c>
      <c r="E24" s="1010">
        <v>22</v>
      </c>
      <c r="F24" s="1000" t="s">
        <v>647</v>
      </c>
      <c r="G24" s="1056">
        <v>22</v>
      </c>
      <c r="H24" s="1001">
        <v>6000</v>
      </c>
      <c r="I24" s="1001">
        <f>COSTOS1!H182</f>
        <v>132000</v>
      </c>
      <c r="J24" s="1001">
        <f>COSTOS1!H182</f>
        <v>132000</v>
      </c>
    </row>
    <row r="25" spans="1:10" ht="48" customHeight="1" thickBot="1" x14ac:dyDescent="0.3">
      <c r="A25" s="997" t="s">
        <v>997</v>
      </c>
      <c r="B25" s="998" t="str">
        <f>COSTOS1!B183</f>
        <v>Acondicionamiento  e Instalacion de congeladoras industriales 250 kg para productos hidrobiológicos azules Portátil y Enseres. 0.25 a 500 kg</v>
      </c>
      <c r="C25" s="1010" t="s">
        <v>1126</v>
      </c>
      <c r="D25" s="1010" t="s">
        <v>1302</v>
      </c>
      <c r="E25" s="1010">
        <v>1</v>
      </c>
      <c r="F25" s="1000" t="s">
        <v>647</v>
      </c>
      <c r="G25" s="1063">
        <v>1</v>
      </c>
      <c r="H25" s="1011">
        <v>4000</v>
      </c>
      <c r="I25" s="1011">
        <f>COSTOS1!H183</f>
        <v>4000</v>
      </c>
      <c r="J25" s="1011">
        <f>COSTOS1!H183</f>
        <v>4000</v>
      </c>
    </row>
    <row r="26" spans="1:10" ht="29.25" thickBot="1" x14ac:dyDescent="0.3">
      <c r="A26" s="1008" t="s">
        <v>1305</v>
      </c>
      <c r="B26" s="1009" t="str">
        <f>COSTOS1!B184</f>
        <v>Áreas correctamente equipadas con equipos de cómputo, materiales y útiles de oficina.</v>
      </c>
      <c r="C26" s="1018"/>
      <c r="D26" s="1018"/>
      <c r="E26" s="1018"/>
      <c r="F26" s="995"/>
      <c r="G26" s="1061"/>
      <c r="H26" s="1007"/>
      <c r="I26" s="1007">
        <f>SUM(I27:I28)</f>
        <v>73011</v>
      </c>
      <c r="J26" s="1007">
        <f>G26*I26</f>
        <v>0</v>
      </c>
    </row>
    <row r="27" spans="1:10" s="1029" customFormat="1" ht="29.25" thickBot="1" x14ac:dyDescent="0.3">
      <c r="A27" s="1015" t="s">
        <v>984</v>
      </c>
      <c r="B27" s="1016" t="s">
        <v>1286</v>
      </c>
      <c r="C27" s="1010" t="s">
        <v>892</v>
      </c>
      <c r="D27" s="1010" t="s">
        <v>1306</v>
      </c>
      <c r="E27" s="1010">
        <v>6</v>
      </c>
      <c r="F27" s="1027" t="s">
        <v>638</v>
      </c>
      <c r="G27" s="1055">
        <v>6</v>
      </c>
      <c r="H27" s="1028">
        <v>3659.3</v>
      </c>
      <c r="I27" s="1028">
        <f>COSTOS1!H185</f>
        <v>29263</v>
      </c>
      <c r="J27" s="1028">
        <f>COSTOS1!H185</f>
        <v>29263</v>
      </c>
    </row>
    <row r="28" spans="1:10" s="1029" customFormat="1" ht="15.75" thickBot="1" x14ac:dyDescent="0.3">
      <c r="A28" s="1015" t="s">
        <v>985</v>
      </c>
      <c r="B28" s="1030" t="s">
        <v>1285</v>
      </c>
      <c r="C28" s="1025" t="s">
        <v>1126</v>
      </c>
      <c r="D28" s="1025" t="s">
        <v>1306</v>
      </c>
      <c r="E28" s="1025">
        <v>6</v>
      </c>
      <c r="F28" s="1000" t="s">
        <v>638</v>
      </c>
      <c r="G28" s="1056">
        <v>6</v>
      </c>
      <c r="H28" s="1001">
        <v>8264.7999999999993</v>
      </c>
      <c r="I28" s="1001">
        <f>COSTOS1!H217</f>
        <v>43748</v>
      </c>
      <c r="J28" s="1001">
        <f>COSTOS1!H217</f>
        <v>43748</v>
      </c>
    </row>
    <row r="29" spans="1:10" s="112" customFormat="1" ht="30.75" customHeight="1" thickBot="1" x14ac:dyDescent="0.3">
      <c r="A29" s="1019" t="s">
        <v>998</v>
      </c>
      <c r="B29" s="1020" t="str">
        <f>COSTOS1!B228</f>
        <v>COMPONENTE 3. FORMALIDAD EN LOS PROCESOS Y PROCEDIMIENTOS INSTITUCIONALES.</v>
      </c>
      <c r="C29" s="1021"/>
      <c r="D29" s="1022"/>
      <c r="E29" s="1022"/>
      <c r="F29" s="1013"/>
      <c r="G29" s="1064"/>
      <c r="H29" s="1014"/>
      <c r="I29" s="1014">
        <f>I30+I37</f>
        <v>91968</v>
      </c>
      <c r="J29" s="1014"/>
    </row>
    <row r="30" spans="1:10" ht="43.5" thickBot="1" x14ac:dyDescent="0.3">
      <c r="A30" s="1008" t="s">
        <v>999</v>
      </c>
      <c r="B30" s="1024" t="s">
        <v>1216</v>
      </c>
      <c r="C30" s="1018"/>
      <c r="D30" s="1023"/>
      <c r="E30" s="1023"/>
      <c r="F30" s="995"/>
      <c r="G30" s="1061"/>
      <c r="H30" s="1007"/>
      <c r="I30" s="1007">
        <f>SUM(I31:I36)</f>
        <v>27108</v>
      </c>
      <c r="J30" s="1007">
        <f>G30*I30</f>
        <v>0</v>
      </c>
    </row>
    <row r="31" spans="1:10" ht="29.25" thickBot="1" x14ac:dyDescent="0.3">
      <c r="A31" s="1002" t="s">
        <v>1307</v>
      </c>
      <c r="B31" s="1026" t="s">
        <v>1218</v>
      </c>
      <c r="C31" s="1017" t="s">
        <v>1318</v>
      </c>
      <c r="D31" s="1025" t="s">
        <v>1319</v>
      </c>
      <c r="E31" s="1025">
        <v>1</v>
      </c>
      <c r="F31" s="1000" t="s">
        <v>638</v>
      </c>
      <c r="G31" s="1063">
        <v>1</v>
      </c>
      <c r="H31" s="1011">
        <v>4518</v>
      </c>
      <c r="I31" s="1011">
        <v>4518</v>
      </c>
      <c r="J31" s="1011">
        <f>COSTOS1!H230</f>
        <v>4518</v>
      </c>
    </row>
    <row r="32" spans="1:10" ht="29.25" thickBot="1" x14ac:dyDescent="0.3">
      <c r="A32" s="1002" t="s">
        <v>1308</v>
      </c>
      <c r="B32" s="1026" t="s">
        <v>1312</v>
      </c>
      <c r="C32" s="1017" t="s">
        <v>1318</v>
      </c>
      <c r="D32" s="1025" t="s">
        <v>1319</v>
      </c>
      <c r="E32" s="1025">
        <v>1</v>
      </c>
      <c r="F32" s="1000" t="s">
        <v>638</v>
      </c>
      <c r="G32" s="1063">
        <v>1</v>
      </c>
      <c r="H32" s="1011">
        <v>4518</v>
      </c>
      <c r="I32" s="1011">
        <v>4518</v>
      </c>
      <c r="J32" s="1011">
        <f>COSTOS1!H239</f>
        <v>4518</v>
      </c>
    </row>
    <row r="33" spans="1:10" ht="29.25" customHeight="1" thickBot="1" x14ac:dyDescent="0.3">
      <c r="A33" s="1002" t="s">
        <v>1309</v>
      </c>
      <c r="B33" s="1026" t="s">
        <v>1313</v>
      </c>
      <c r="C33" s="1017" t="s">
        <v>1318</v>
      </c>
      <c r="D33" s="1025" t="s">
        <v>1319</v>
      </c>
      <c r="E33" s="1025">
        <v>1</v>
      </c>
      <c r="F33" s="1000" t="s">
        <v>638</v>
      </c>
      <c r="G33" s="1063">
        <v>1</v>
      </c>
      <c r="H33" s="1011">
        <v>4518</v>
      </c>
      <c r="I33" s="1011">
        <v>4518</v>
      </c>
      <c r="J33" s="1011">
        <f>COSTOS1!H248</f>
        <v>4518</v>
      </c>
    </row>
    <row r="34" spans="1:10" ht="30" customHeight="1" thickBot="1" x14ac:dyDescent="0.3">
      <c r="A34" s="1002" t="s">
        <v>1310</v>
      </c>
      <c r="B34" s="1026" t="s">
        <v>1314</v>
      </c>
      <c r="C34" s="1017" t="s">
        <v>1318</v>
      </c>
      <c r="D34" s="1025" t="s">
        <v>1319</v>
      </c>
      <c r="E34" s="1025">
        <v>1</v>
      </c>
      <c r="F34" s="1000" t="s">
        <v>638</v>
      </c>
      <c r="G34" s="1063">
        <v>1</v>
      </c>
      <c r="H34" s="1011">
        <v>4518</v>
      </c>
      <c r="I34" s="1011">
        <v>4518</v>
      </c>
      <c r="J34" s="1011">
        <f>COSTOS1!H257</f>
        <v>4518</v>
      </c>
    </row>
    <row r="35" spans="1:10" ht="29.25" thickBot="1" x14ac:dyDescent="0.3">
      <c r="A35" s="1002" t="s">
        <v>1311</v>
      </c>
      <c r="B35" s="1026" t="s">
        <v>1315</v>
      </c>
      <c r="C35" s="1017" t="s">
        <v>1318</v>
      </c>
      <c r="D35" s="1025" t="s">
        <v>1319</v>
      </c>
      <c r="E35" s="1025">
        <v>1</v>
      </c>
      <c r="F35" s="1000" t="s">
        <v>638</v>
      </c>
      <c r="G35" s="1063">
        <v>1</v>
      </c>
      <c r="H35" s="1011">
        <v>4518</v>
      </c>
      <c r="I35" s="1011">
        <v>4518</v>
      </c>
      <c r="J35" s="1011">
        <f>COSTOS1!H266</f>
        <v>4518</v>
      </c>
    </row>
    <row r="36" spans="1:10" ht="29.25" thickBot="1" x14ac:dyDescent="0.3">
      <c r="A36" s="1002" t="s">
        <v>1317</v>
      </c>
      <c r="B36" s="1026" t="s">
        <v>1316</v>
      </c>
      <c r="C36" s="1017" t="s">
        <v>1318</v>
      </c>
      <c r="D36" s="1025" t="s">
        <v>1319</v>
      </c>
      <c r="E36" s="1025">
        <v>1</v>
      </c>
      <c r="F36" s="1000" t="s">
        <v>638</v>
      </c>
      <c r="G36" s="1063">
        <v>1</v>
      </c>
      <c r="H36" s="1011">
        <v>4518</v>
      </c>
      <c r="I36" s="1011">
        <v>4518</v>
      </c>
      <c r="J36" s="1011">
        <f>COSTOS1!H275</f>
        <v>4518</v>
      </c>
    </row>
    <row r="37" spans="1:10" ht="29.25" thickBot="1" x14ac:dyDescent="0.3">
      <c r="A37" s="1036" t="s">
        <v>1000</v>
      </c>
      <c r="B37" s="1009" t="s">
        <v>1219</v>
      </c>
      <c r="C37" s="1018"/>
      <c r="D37" s="1023"/>
      <c r="E37" s="1023"/>
      <c r="F37" s="995"/>
      <c r="G37" s="1061"/>
      <c r="H37" s="1007"/>
      <c r="I37" s="1007">
        <f>SUM(I38:I39)</f>
        <v>64860</v>
      </c>
      <c r="J37" s="1007"/>
    </row>
    <row r="38" spans="1:10" s="1029" customFormat="1" ht="32.25" customHeight="1" thickBot="1" x14ac:dyDescent="0.3">
      <c r="A38" s="1015" t="s">
        <v>1001</v>
      </c>
      <c r="B38" s="1039" t="s">
        <v>1222</v>
      </c>
      <c r="C38" s="1017" t="s">
        <v>1318</v>
      </c>
      <c r="D38" s="1025" t="s">
        <v>1319</v>
      </c>
      <c r="E38" s="1025">
        <v>1</v>
      </c>
      <c r="F38" s="1000" t="s">
        <v>638</v>
      </c>
      <c r="G38" s="1063">
        <v>1</v>
      </c>
      <c r="H38" s="1011">
        <v>18380</v>
      </c>
      <c r="I38" s="1001">
        <f>COSTOS1!H285</f>
        <v>18380</v>
      </c>
      <c r="J38" s="1001">
        <f>J39+J47</f>
        <v>6980050.5999999996</v>
      </c>
    </row>
    <row r="39" spans="1:10" ht="29.25" thickBot="1" x14ac:dyDescent="0.3">
      <c r="A39" s="1038" t="s">
        <v>1003</v>
      </c>
      <c r="B39" s="1016" t="s">
        <v>1320</v>
      </c>
      <c r="C39" s="1017" t="s">
        <v>1318</v>
      </c>
      <c r="D39" s="1025" t="s">
        <v>1319</v>
      </c>
      <c r="E39" s="1025">
        <v>1</v>
      </c>
      <c r="F39" s="1000" t="s">
        <v>638</v>
      </c>
      <c r="G39" s="1063">
        <v>1</v>
      </c>
      <c r="H39" s="1011">
        <v>46480</v>
      </c>
      <c r="I39" s="1001">
        <f>COSTOS1!H324</f>
        <v>46480</v>
      </c>
      <c r="J39" s="1001">
        <f>SUM(J40:J46)</f>
        <v>6191430</v>
      </c>
    </row>
    <row r="40" spans="1:10" ht="29.25" thickBot="1" x14ac:dyDescent="0.3">
      <c r="A40" s="1019" t="s">
        <v>1321</v>
      </c>
      <c r="B40" s="1040" t="s">
        <v>1233</v>
      </c>
      <c r="C40" s="1021"/>
      <c r="D40" s="1012"/>
      <c r="E40" s="1012"/>
      <c r="F40" s="1013"/>
      <c r="G40" s="1064"/>
      <c r="H40" s="1014"/>
      <c r="I40" s="1037">
        <f>I41+I47+I51+I55</f>
        <v>1252324</v>
      </c>
      <c r="J40" s="690">
        <f>G40*I40</f>
        <v>0</v>
      </c>
    </row>
    <row r="41" spans="1:10" ht="29.25" thickBot="1" x14ac:dyDescent="0.3">
      <c r="A41" s="1008" t="s">
        <v>1322</v>
      </c>
      <c r="B41" s="1009" t="s">
        <v>1058</v>
      </c>
      <c r="C41" s="1018"/>
      <c r="D41" s="1006"/>
      <c r="E41" s="1006"/>
      <c r="F41" s="995"/>
      <c r="G41" s="1061"/>
      <c r="H41" s="1007"/>
      <c r="I41" s="996">
        <f>SUM(I42:I46)</f>
        <v>626501</v>
      </c>
      <c r="J41" s="690">
        <f t="shared" ref="J41:J46" si="0">G41*I41</f>
        <v>0</v>
      </c>
    </row>
    <row r="42" spans="1:10" ht="29.25" thickBot="1" x14ac:dyDescent="0.3">
      <c r="A42" s="1002" t="s">
        <v>1326</v>
      </c>
      <c r="B42" s="1003" t="s">
        <v>1002</v>
      </c>
      <c r="C42" s="1017" t="s">
        <v>1324</v>
      </c>
      <c r="D42" s="1010" t="s">
        <v>1325</v>
      </c>
      <c r="E42" s="1010">
        <v>1</v>
      </c>
      <c r="F42" s="1000" t="s">
        <v>689</v>
      </c>
      <c r="G42" s="1063">
        <v>30</v>
      </c>
      <c r="H42" s="1011">
        <v>1183.3666666666666</v>
      </c>
      <c r="I42" s="1001">
        <f>COSTOS1!H425</f>
        <v>35501</v>
      </c>
      <c r="J42" s="690">
        <f t="shared" si="0"/>
        <v>1065030</v>
      </c>
    </row>
    <row r="43" spans="1:10" ht="29.25" thickBot="1" x14ac:dyDescent="0.3">
      <c r="A43" s="1002" t="s">
        <v>1327</v>
      </c>
      <c r="B43" s="1003" t="s">
        <v>1004</v>
      </c>
      <c r="C43" s="1017" t="s">
        <v>1324</v>
      </c>
      <c r="D43" s="1010" t="s">
        <v>1325</v>
      </c>
      <c r="E43" s="1010">
        <v>1</v>
      </c>
      <c r="F43" s="1000" t="s">
        <v>689</v>
      </c>
      <c r="G43" s="1063">
        <v>27</v>
      </c>
      <c r="H43" s="1011">
        <v>6000</v>
      </c>
      <c r="I43" s="1001">
        <f>COSTOS1!H438</f>
        <v>162000</v>
      </c>
      <c r="J43" s="690">
        <f t="shared" si="0"/>
        <v>4374000</v>
      </c>
    </row>
    <row r="44" spans="1:10" ht="43.5" thickBot="1" x14ac:dyDescent="0.3">
      <c r="A44" s="1002" t="s">
        <v>1328</v>
      </c>
      <c r="B44" s="1003" t="s">
        <v>1323</v>
      </c>
      <c r="C44" s="1017" t="s">
        <v>1324</v>
      </c>
      <c r="D44" s="1010" t="s">
        <v>1325</v>
      </c>
      <c r="E44" s="1010">
        <v>1</v>
      </c>
      <c r="F44" s="1000" t="s">
        <v>638</v>
      </c>
      <c r="G44" s="1063">
        <v>1</v>
      </c>
      <c r="H44" s="1011">
        <v>393200</v>
      </c>
      <c r="I44" s="1001">
        <f>COSTOS1!H448</f>
        <v>393200</v>
      </c>
      <c r="J44" s="690">
        <f t="shared" si="0"/>
        <v>393200</v>
      </c>
    </row>
    <row r="45" spans="1:10" ht="43.5" thickBot="1" x14ac:dyDescent="0.3">
      <c r="A45" s="1002" t="s">
        <v>1329</v>
      </c>
      <c r="B45" s="1003" t="s">
        <v>1005</v>
      </c>
      <c r="C45" s="1017" t="s">
        <v>1324</v>
      </c>
      <c r="D45" s="1010" t="s">
        <v>1325</v>
      </c>
      <c r="E45" s="1010">
        <v>1</v>
      </c>
      <c r="F45" s="1000" t="s">
        <v>638</v>
      </c>
      <c r="G45" s="1063">
        <v>1</v>
      </c>
      <c r="H45" s="1011">
        <v>20400</v>
      </c>
      <c r="I45" s="1001">
        <f>COSTOS1!H471</f>
        <v>20400</v>
      </c>
      <c r="J45" s="690">
        <f t="shared" si="0"/>
        <v>20400</v>
      </c>
    </row>
    <row r="46" spans="1:10" ht="43.5" thickBot="1" x14ac:dyDescent="0.3">
      <c r="A46" s="1002" t="s">
        <v>1330</v>
      </c>
      <c r="B46" s="1003" t="s">
        <v>1006</v>
      </c>
      <c r="C46" s="1017" t="s">
        <v>1324</v>
      </c>
      <c r="D46" s="1010" t="s">
        <v>1325</v>
      </c>
      <c r="E46" s="1010">
        <v>1</v>
      </c>
      <c r="F46" s="1000" t="s">
        <v>638</v>
      </c>
      <c r="G46" s="1063">
        <v>22</v>
      </c>
      <c r="H46" s="1011">
        <v>700</v>
      </c>
      <c r="I46" s="1001">
        <f>COSTOS1!H476</f>
        <v>15400</v>
      </c>
      <c r="J46" s="690">
        <f t="shared" si="0"/>
        <v>338800</v>
      </c>
    </row>
    <row r="47" spans="1:10" ht="28.5" x14ac:dyDescent="0.25">
      <c r="A47" s="1041" t="s">
        <v>1331</v>
      </c>
      <c r="B47" s="1042" t="s">
        <v>1142</v>
      </c>
      <c r="C47" s="1043"/>
      <c r="D47" s="1044"/>
      <c r="E47" s="1044"/>
      <c r="F47" s="1045"/>
      <c r="G47" s="1065"/>
      <c r="H47" s="1073"/>
      <c r="I47" s="1046">
        <f>SUM(I48:I50)</f>
        <v>354220.6</v>
      </c>
      <c r="J47" s="699">
        <f>I47+J48</f>
        <v>788620.6</v>
      </c>
    </row>
    <row r="48" spans="1:10" ht="28.5" x14ac:dyDescent="0.25">
      <c r="A48" s="1039" t="s">
        <v>1333</v>
      </c>
      <c r="B48" s="1047" t="s">
        <v>1146</v>
      </c>
      <c r="C48" s="1017" t="s">
        <v>1318</v>
      </c>
      <c r="D48" s="1010" t="s">
        <v>1319</v>
      </c>
      <c r="E48" s="1010">
        <v>3</v>
      </c>
      <c r="F48" s="1000" t="s">
        <v>638</v>
      </c>
      <c r="G48" s="1066">
        <v>3</v>
      </c>
      <c r="H48" s="1011">
        <v>48266.666666666664</v>
      </c>
      <c r="I48" s="1048">
        <f>COSTOS1!H481</f>
        <v>144800</v>
      </c>
      <c r="J48" s="698">
        <f>G48*I48</f>
        <v>434400</v>
      </c>
    </row>
    <row r="49" spans="1:11" ht="28.5" x14ac:dyDescent="0.25">
      <c r="A49" s="1049" t="s">
        <v>1334</v>
      </c>
      <c r="B49" s="1050" t="s">
        <v>1147</v>
      </c>
      <c r="C49" s="1017" t="s">
        <v>1318</v>
      </c>
      <c r="D49" s="1010" t="s">
        <v>1319</v>
      </c>
      <c r="E49" s="1010">
        <v>3</v>
      </c>
      <c r="F49" s="1000" t="s">
        <v>638</v>
      </c>
      <c r="G49" s="1067">
        <v>3</v>
      </c>
      <c r="H49" s="1001">
        <v>36083.333333333336</v>
      </c>
      <c r="I49" s="1001">
        <f>COSTOS1!H490</f>
        <v>108250</v>
      </c>
      <c r="J49" s="696">
        <f>SUM(J50:J51)</f>
        <v>303511.80000000005</v>
      </c>
    </row>
    <row r="50" spans="1:11" ht="28.5" x14ac:dyDescent="0.25">
      <c r="A50" s="1039" t="s">
        <v>1335</v>
      </c>
      <c r="B50" s="1047" t="s">
        <v>1148</v>
      </c>
      <c r="C50" s="1017" t="s">
        <v>1318</v>
      </c>
      <c r="D50" s="1010" t="s">
        <v>1319</v>
      </c>
      <c r="E50" s="1010">
        <v>3</v>
      </c>
      <c r="F50" s="1000" t="s">
        <v>638</v>
      </c>
      <c r="G50" s="1066">
        <v>3</v>
      </c>
      <c r="H50" s="1011">
        <v>33723.533333333333</v>
      </c>
      <c r="I50" s="1048">
        <f>COSTOS1!H497</f>
        <v>101170.6</v>
      </c>
      <c r="J50" s="695">
        <f>G50*I50</f>
        <v>303511.80000000005</v>
      </c>
    </row>
    <row r="51" spans="1:11" ht="15.75" thickBot="1" x14ac:dyDescent="0.3">
      <c r="A51" s="1008" t="s">
        <v>1336</v>
      </c>
      <c r="B51" s="1009" t="s">
        <v>1332</v>
      </c>
      <c r="C51" s="1051"/>
      <c r="D51" s="1052"/>
      <c r="E51" s="1052"/>
      <c r="F51" s="1053"/>
      <c r="G51" s="1068"/>
      <c r="H51" s="1074"/>
      <c r="I51" s="1054">
        <f>SUM(I52:I54)</f>
        <v>253602.4</v>
      </c>
      <c r="J51" s="695">
        <f>G51*I51</f>
        <v>0</v>
      </c>
    </row>
    <row r="52" spans="1:11" ht="15.75" thickBot="1" x14ac:dyDescent="0.3">
      <c r="A52" s="1015" t="s">
        <v>1337</v>
      </c>
      <c r="B52" s="1016" t="s">
        <v>1128</v>
      </c>
      <c r="C52" s="1017" t="s">
        <v>1318</v>
      </c>
      <c r="D52" s="1010" t="s">
        <v>1319</v>
      </c>
      <c r="E52" s="1010">
        <v>2</v>
      </c>
      <c r="F52" s="1027" t="s">
        <v>638</v>
      </c>
      <c r="G52" s="1069">
        <v>3</v>
      </c>
      <c r="H52" s="1028">
        <v>18946.466666666667</v>
      </c>
      <c r="I52" s="1028">
        <f>COSTOS1!H532</f>
        <v>56839.4</v>
      </c>
      <c r="J52" s="697" t="e">
        <f>J53+J56+#REF!+#REF!+#REF!+#REF!</f>
        <v>#REF!</v>
      </c>
    </row>
    <row r="53" spans="1:11" ht="29.25" thickBot="1" x14ac:dyDescent="0.3">
      <c r="A53" s="1015" t="s">
        <v>1338</v>
      </c>
      <c r="B53" s="1050" t="s">
        <v>1133</v>
      </c>
      <c r="C53" s="1017" t="s">
        <v>1318</v>
      </c>
      <c r="D53" s="999" t="s">
        <v>1319</v>
      </c>
      <c r="E53" s="999">
        <v>2</v>
      </c>
      <c r="F53" s="1000" t="s">
        <v>638</v>
      </c>
      <c r="G53" s="1070">
        <v>3</v>
      </c>
      <c r="H53" s="1001">
        <v>42954.333333333336</v>
      </c>
      <c r="I53" s="1001">
        <f>COSTOS1!H560</f>
        <v>128863</v>
      </c>
      <c r="J53" s="696">
        <f>SUM(J54:J55)</f>
        <v>2444400</v>
      </c>
    </row>
    <row r="54" spans="1:11" ht="16.5" customHeight="1" thickBot="1" x14ac:dyDescent="0.3">
      <c r="A54" s="997" t="s">
        <v>1339</v>
      </c>
      <c r="B54" s="998" t="s">
        <v>1129</v>
      </c>
      <c r="C54" s="1017" t="s">
        <v>1318</v>
      </c>
      <c r="D54" s="1010" t="s">
        <v>1340</v>
      </c>
      <c r="E54" s="1010">
        <v>1</v>
      </c>
      <c r="F54" s="1000" t="s">
        <v>638</v>
      </c>
      <c r="G54" s="1071">
        <v>36</v>
      </c>
      <c r="H54" s="1011">
        <v>1886.1111111111111</v>
      </c>
      <c r="I54" s="1011">
        <f>COSTOS1!H576</f>
        <v>67900</v>
      </c>
      <c r="J54" s="694">
        <f>G54*I54</f>
        <v>2444400</v>
      </c>
    </row>
    <row r="55" spans="1:11" ht="29.25" thickBot="1" x14ac:dyDescent="0.3">
      <c r="A55" s="1008" t="s">
        <v>1341</v>
      </c>
      <c r="B55" s="1009" t="s">
        <v>1089</v>
      </c>
      <c r="C55" s="1006"/>
      <c r="D55" s="1006"/>
      <c r="E55" s="1006"/>
      <c r="F55" s="995"/>
      <c r="G55" s="1061"/>
      <c r="H55" s="1007"/>
      <c r="I55" s="1007">
        <f>SUM(I56)</f>
        <v>18000</v>
      </c>
      <c r="J55" s="694">
        <f>G55*I55</f>
        <v>0</v>
      </c>
    </row>
    <row r="56" spans="1:11" s="1029" customFormat="1" ht="29.25" thickBot="1" x14ac:dyDescent="0.3">
      <c r="A56" s="1015" t="s">
        <v>1342</v>
      </c>
      <c r="B56" s="1039" t="s">
        <v>1117</v>
      </c>
      <c r="C56" s="1025" t="s">
        <v>1324</v>
      </c>
      <c r="D56" s="1025" t="s">
        <v>1325</v>
      </c>
      <c r="E56" s="1025">
        <v>1</v>
      </c>
      <c r="F56" s="1000" t="s">
        <v>638</v>
      </c>
      <c r="G56" s="1056">
        <v>1</v>
      </c>
      <c r="H56" s="1001">
        <v>18000</v>
      </c>
      <c r="I56" s="1001">
        <f>COSTOS1!H588</f>
        <v>18000</v>
      </c>
      <c r="J56" s="1057">
        <f>SUM(J57:J60)</f>
        <v>220000</v>
      </c>
    </row>
    <row r="57" spans="1:11" ht="15.75" thickBot="1" x14ac:dyDescent="0.3">
      <c r="A57" s="1075"/>
      <c r="B57" s="1076" t="s">
        <v>1515</v>
      </c>
      <c r="C57" s="1032" t="s">
        <v>1294</v>
      </c>
      <c r="D57" s="1032" t="s">
        <v>1299</v>
      </c>
      <c r="E57" s="1032">
        <v>1</v>
      </c>
      <c r="F57" s="1033" t="s">
        <v>638</v>
      </c>
      <c r="G57" s="1034">
        <v>1</v>
      </c>
      <c r="H57" s="1034">
        <v>20000</v>
      </c>
      <c r="I57" s="1035">
        <f>COSTOS1!H592</f>
        <v>40000</v>
      </c>
      <c r="J57" s="694">
        <f>G57*I57</f>
        <v>40000</v>
      </c>
      <c r="K57" s="1084">
        <f t="shared" ref="K57:K59" si="1">I57/$I$67</f>
        <v>1.1651404947672403E-2</v>
      </c>
    </row>
    <row r="58" spans="1:11" ht="15.75" thickBot="1" x14ac:dyDescent="0.3">
      <c r="A58" s="1031"/>
      <c r="B58" s="1077" t="s">
        <v>849</v>
      </c>
      <c r="C58" s="1032" t="s">
        <v>849</v>
      </c>
      <c r="D58" s="1032" t="s">
        <v>1123</v>
      </c>
      <c r="E58" s="1032">
        <v>1</v>
      </c>
      <c r="F58" s="1033" t="s">
        <v>638</v>
      </c>
      <c r="G58" s="1034">
        <v>1</v>
      </c>
      <c r="H58" s="1034">
        <v>20000</v>
      </c>
      <c r="I58" s="1035">
        <f>COSTOS1!H594</f>
        <v>140000</v>
      </c>
      <c r="J58" s="694">
        <f t="shared" ref="J58:J60" si="2">G58*I58</f>
        <v>140000</v>
      </c>
      <c r="K58" s="1084">
        <f t="shared" si="1"/>
        <v>4.077991731685341E-2</v>
      </c>
    </row>
    <row r="59" spans="1:11" ht="15.75" thickBot="1" x14ac:dyDescent="0.3">
      <c r="A59" s="1031"/>
      <c r="B59" s="1077" t="s">
        <v>1343</v>
      </c>
      <c r="C59" s="1032" t="s">
        <v>1344</v>
      </c>
      <c r="D59" s="1032" t="s">
        <v>1123</v>
      </c>
      <c r="E59" s="1032">
        <v>1</v>
      </c>
      <c r="F59" s="1033" t="s">
        <v>638</v>
      </c>
      <c r="G59" s="1034">
        <v>2</v>
      </c>
      <c r="H59" s="1034">
        <v>10000</v>
      </c>
      <c r="I59" s="1035">
        <f>COSTOS1!H596</f>
        <v>20000</v>
      </c>
      <c r="J59" s="694">
        <f t="shared" si="2"/>
        <v>40000</v>
      </c>
      <c r="K59" s="1084">
        <f t="shared" si="1"/>
        <v>5.8257024738362015E-3</v>
      </c>
    </row>
    <row r="60" spans="1:11" x14ac:dyDescent="0.25">
      <c r="A60" s="1804" t="s">
        <v>851</v>
      </c>
      <c r="B60" s="1805"/>
      <c r="C60" s="1805"/>
      <c r="D60" s="1805"/>
      <c r="E60" s="1805"/>
      <c r="F60" s="1805"/>
      <c r="G60" s="1806"/>
      <c r="H60" s="1078" t="s">
        <v>239</v>
      </c>
      <c r="I60" s="1079">
        <f>I11+I15+I29+I40+I57+I58+I59</f>
        <v>2648072.7800000003</v>
      </c>
      <c r="J60" s="694">
        <f t="shared" si="2"/>
        <v>0</v>
      </c>
    </row>
    <row r="61" spans="1:11" x14ac:dyDescent="0.25">
      <c r="A61" s="1080"/>
      <c r="B61" s="1081" t="s">
        <v>852</v>
      </c>
      <c r="C61" s="1082" t="s">
        <v>1123</v>
      </c>
      <c r="D61" s="1033" t="s">
        <v>701</v>
      </c>
      <c r="E61" s="1082">
        <v>1</v>
      </c>
      <c r="F61" s="1082" t="s">
        <v>638</v>
      </c>
      <c r="G61" s="1082">
        <v>1</v>
      </c>
      <c r="H61" s="1085">
        <v>1178227.6000000001</v>
      </c>
      <c r="I61" s="1083">
        <f>COSTOS1!O28</f>
        <v>372035.5</v>
      </c>
      <c r="J61" s="691">
        <f>COSTOS1!O28</f>
        <v>372035.5</v>
      </c>
      <c r="K61" s="1084">
        <f>I61/$I$67</f>
        <v>0.10836840663524441</v>
      </c>
    </row>
    <row r="62" spans="1:11" x14ac:dyDescent="0.25">
      <c r="A62" s="1080"/>
      <c r="B62" s="1081" t="s">
        <v>853</v>
      </c>
      <c r="C62" s="1082" t="s">
        <v>1123</v>
      </c>
      <c r="D62" s="1033" t="s">
        <v>701</v>
      </c>
      <c r="E62" s="1082">
        <v>1</v>
      </c>
      <c r="F62" s="1082" t="s">
        <v>638</v>
      </c>
      <c r="G62" s="1082">
        <v>1</v>
      </c>
      <c r="H62" s="1085">
        <v>41520</v>
      </c>
      <c r="I62" s="1083">
        <f>COSTOS1!O30</f>
        <v>41520</v>
      </c>
      <c r="J62" s="691">
        <f>COSTOS1!O30</f>
        <v>41520</v>
      </c>
      <c r="K62" s="1084">
        <f t="shared" ref="K62:K65" si="3">I62/$I$67</f>
        <v>1.2094158335683955E-2</v>
      </c>
    </row>
    <row r="63" spans="1:11" x14ac:dyDescent="0.25">
      <c r="A63" s="1080"/>
      <c r="B63" s="1081" t="s">
        <v>854</v>
      </c>
      <c r="C63" s="1082" t="s">
        <v>1123</v>
      </c>
      <c r="D63" s="1033" t="s">
        <v>701</v>
      </c>
      <c r="E63" s="1082">
        <v>1</v>
      </c>
      <c r="F63" s="1082" t="s">
        <v>638</v>
      </c>
      <c r="G63" s="1082">
        <v>1</v>
      </c>
      <c r="H63" s="1085">
        <v>1715.5</v>
      </c>
      <c r="I63" s="1083">
        <f>COSTOS1!O29</f>
        <v>251434.1</v>
      </c>
      <c r="J63" s="691" t="e">
        <f>COSTOS1!#REF!</f>
        <v>#REF!</v>
      </c>
      <c r="K63" s="1084">
        <f t="shared" si="3"/>
        <v>7.3239012918838942E-2</v>
      </c>
    </row>
    <row r="64" spans="1:11" x14ac:dyDescent="0.25">
      <c r="A64" s="1080"/>
      <c r="B64" s="1081" t="s">
        <v>855</v>
      </c>
      <c r="C64" s="1082" t="s">
        <v>1123</v>
      </c>
      <c r="D64" s="1033" t="s">
        <v>701</v>
      </c>
      <c r="E64" s="1082">
        <v>1</v>
      </c>
      <c r="F64" s="1082" t="s">
        <v>701</v>
      </c>
      <c r="G64" s="1082">
        <v>1</v>
      </c>
      <c r="H64" s="1085">
        <v>90000</v>
      </c>
      <c r="I64" s="1083">
        <f>GEXPTEC!G14</f>
        <v>90000</v>
      </c>
      <c r="J64" s="691" t="e">
        <f>COSTOS1!#REF!</f>
        <v>#REF!</v>
      </c>
      <c r="K64" s="1084">
        <f t="shared" si="3"/>
        <v>2.6215661132262907E-2</v>
      </c>
    </row>
    <row r="65" spans="1:11" x14ac:dyDescent="0.25">
      <c r="A65" s="1080"/>
      <c r="B65" s="1081" t="s">
        <v>702</v>
      </c>
      <c r="C65" s="1082" t="s">
        <v>1123</v>
      </c>
      <c r="D65" s="1033" t="s">
        <v>701</v>
      </c>
      <c r="E65" s="1082">
        <v>1</v>
      </c>
      <c r="F65" s="1082" t="s">
        <v>701</v>
      </c>
      <c r="G65" s="1082">
        <v>1</v>
      </c>
      <c r="H65" s="1085">
        <v>30000</v>
      </c>
      <c r="I65" s="1083">
        <f>COSTOS1!O32</f>
        <v>30000</v>
      </c>
      <c r="J65" s="691">
        <f>COSTOS1!O32</f>
        <v>30000</v>
      </c>
      <c r="K65" s="1084">
        <f t="shared" si="3"/>
        <v>8.7385537107543022E-3</v>
      </c>
    </row>
    <row r="66" spans="1:11" x14ac:dyDescent="0.25">
      <c r="A66" s="1788" t="s">
        <v>856</v>
      </c>
      <c r="B66" s="1789"/>
      <c r="C66" s="1789"/>
      <c r="D66" s="1789"/>
      <c r="E66" s="1789"/>
      <c r="F66" s="1789"/>
      <c r="G66" s="1790"/>
      <c r="H66" s="1078" t="s">
        <v>239</v>
      </c>
      <c r="I66" s="1079">
        <f>SUM(I61:I65)</f>
        <v>784989.6</v>
      </c>
      <c r="J66" s="693" t="e">
        <f>SUM(J61:J65)</f>
        <v>#REF!</v>
      </c>
      <c r="K66" s="700"/>
    </row>
    <row r="67" spans="1:11" x14ac:dyDescent="0.25">
      <c r="A67" s="1788" t="s">
        <v>857</v>
      </c>
      <c r="B67" s="1789"/>
      <c r="C67" s="1789"/>
      <c r="D67" s="1789"/>
      <c r="E67" s="1789"/>
      <c r="F67" s="1789"/>
      <c r="G67" s="1790"/>
      <c r="H67" s="1078" t="s">
        <v>239</v>
      </c>
      <c r="I67" s="1079">
        <f>I60+I66</f>
        <v>3433062.3800000004</v>
      </c>
      <c r="J67" s="693" t="e">
        <f>#REF!+J66</f>
        <v>#REF!</v>
      </c>
    </row>
  </sheetData>
  <mergeCells count="13">
    <mergeCell ref="A67:G67"/>
    <mergeCell ref="A2:J2"/>
    <mergeCell ref="B4:J4"/>
    <mergeCell ref="D8:E8"/>
    <mergeCell ref="F8:G8"/>
    <mergeCell ref="A8:A9"/>
    <mergeCell ref="B8:B9"/>
    <mergeCell ref="C8:C9"/>
    <mergeCell ref="I8:I9"/>
    <mergeCell ref="J8:J9"/>
    <mergeCell ref="H8:H9"/>
    <mergeCell ref="A60:G60"/>
    <mergeCell ref="A66:G6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87"/>
  <sheetViews>
    <sheetView topLeftCell="A661" zoomScale="110" zoomScaleNormal="110" workbookViewId="0">
      <selection activeCell="F601" sqref="F601"/>
    </sheetView>
  </sheetViews>
  <sheetFormatPr baseColWidth="10" defaultRowHeight="12" x14ac:dyDescent="0.2"/>
  <cols>
    <col min="1" max="1" width="8.140625" style="710" customWidth="1"/>
    <col min="2" max="2" width="43.5703125" style="667" customWidth="1"/>
    <col min="3" max="3" width="13.42578125" style="669" customWidth="1"/>
    <col min="4" max="4" width="12.42578125" style="672" bestFit="1" customWidth="1"/>
    <col min="5" max="5" width="13.7109375" style="671" bestFit="1" customWidth="1"/>
    <col min="6" max="6" width="15" style="671" customWidth="1"/>
    <col min="7" max="7" width="16.140625" style="671" customWidth="1"/>
    <col min="8" max="8" width="17.28515625" style="671" customWidth="1"/>
    <col min="9" max="9" width="6.5703125" style="667" customWidth="1"/>
    <col min="10" max="10" width="12.85546875" style="667" customWidth="1"/>
    <col min="11" max="11" width="15.140625" style="671" customWidth="1"/>
    <col min="12" max="12" width="15.42578125" style="671" bestFit="1" customWidth="1"/>
    <col min="13" max="14" width="11.42578125" style="667"/>
    <col min="15" max="15" width="15.28515625" style="667" bestFit="1" customWidth="1"/>
    <col min="16" max="16384" width="11.42578125" style="667"/>
  </cols>
  <sheetData>
    <row r="1" spans="1:25" x14ac:dyDescent="0.2">
      <c r="A1" s="1808" t="s">
        <v>801</v>
      </c>
      <c r="B1" s="1808"/>
      <c r="C1" s="1808"/>
      <c r="D1" s="1808"/>
      <c r="E1" s="1808"/>
      <c r="F1" s="1808"/>
      <c r="G1" s="1808"/>
      <c r="H1" s="1808"/>
      <c r="I1" s="1966"/>
      <c r="J1" s="1966"/>
      <c r="K1" s="1967"/>
      <c r="L1" s="1967"/>
      <c r="M1" s="1966"/>
      <c r="N1" s="1966"/>
      <c r="O1" s="1966"/>
      <c r="P1" s="1966"/>
      <c r="Q1" s="1968"/>
      <c r="R1" s="1968"/>
      <c r="S1" s="1968"/>
      <c r="T1" s="1968"/>
      <c r="U1" s="676"/>
      <c r="V1" s="676"/>
      <c r="W1" s="676"/>
      <c r="X1" s="676"/>
      <c r="Y1" s="676"/>
    </row>
    <row r="2" spans="1:25" x14ac:dyDescent="0.2">
      <c r="A2" s="1809" t="s">
        <v>802</v>
      </c>
      <c r="B2" s="1809"/>
      <c r="C2" s="1809"/>
      <c r="D2" s="1809"/>
      <c r="E2" s="1809"/>
      <c r="F2" s="1809"/>
      <c r="G2" s="1809"/>
      <c r="H2" s="1809"/>
      <c r="I2" s="1966"/>
      <c r="J2" s="1966"/>
      <c r="K2" s="1967"/>
      <c r="L2" s="1967"/>
      <c r="M2" s="1966"/>
      <c r="N2" s="1966"/>
      <c r="O2" s="1966"/>
      <c r="P2" s="1966"/>
      <c r="Q2" s="1968"/>
      <c r="R2" s="1968"/>
      <c r="S2" s="1968"/>
      <c r="T2" s="1968"/>
    </row>
    <row r="3" spans="1:25" x14ac:dyDescent="0.2">
      <c r="A3" s="929"/>
      <c r="B3" s="930"/>
      <c r="C3" s="930"/>
      <c r="D3" s="931"/>
      <c r="E3" s="932"/>
      <c r="F3" s="932"/>
      <c r="G3" s="933"/>
      <c r="H3" s="933"/>
      <c r="I3" s="1966"/>
      <c r="J3" s="1966"/>
      <c r="K3" s="1967"/>
      <c r="L3" s="1967"/>
      <c r="M3" s="1966"/>
      <c r="N3" s="1966"/>
      <c r="O3" s="1966"/>
      <c r="P3" s="1966"/>
      <c r="Q3" s="1968"/>
      <c r="R3" s="1968"/>
      <c r="S3" s="1968"/>
      <c r="T3" s="1968"/>
    </row>
    <row r="4" spans="1:25" x14ac:dyDescent="0.2">
      <c r="A4" s="934" t="s">
        <v>803</v>
      </c>
      <c r="B4" s="1810"/>
      <c r="C4" s="1810"/>
      <c r="D4" s="935"/>
      <c r="E4" s="936" t="s">
        <v>1758</v>
      </c>
      <c r="F4" s="928"/>
      <c r="G4" s="937"/>
      <c r="H4" s="937"/>
      <c r="I4" s="1966"/>
      <c r="J4" s="1969"/>
      <c r="K4" s="1970"/>
      <c r="L4" s="1970"/>
      <c r="M4" s="1969"/>
      <c r="N4" s="1969"/>
      <c r="O4" s="1969"/>
      <c r="P4" s="1969"/>
      <c r="Q4" s="1968"/>
      <c r="R4" s="1968"/>
      <c r="S4" s="1968"/>
      <c r="T4" s="1968"/>
    </row>
    <row r="5" spans="1:25" x14ac:dyDescent="0.2">
      <c r="A5" s="934" t="s">
        <v>804</v>
      </c>
      <c r="B5" s="938"/>
      <c r="C5" s="939"/>
      <c r="D5" s="1811" t="s">
        <v>1759</v>
      </c>
      <c r="E5" s="1811"/>
      <c r="F5" s="1811"/>
      <c r="G5" s="940" t="s">
        <v>805</v>
      </c>
      <c r="H5" s="941">
        <f>F598</f>
        <v>2648072.7800000003</v>
      </c>
      <c r="I5" s="1966"/>
      <c r="J5" s="1971"/>
      <c r="K5" s="1970"/>
      <c r="L5" s="1970"/>
      <c r="M5" s="1969"/>
      <c r="N5" s="1969"/>
      <c r="O5" s="1969"/>
      <c r="P5" s="1969"/>
      <c r="Q5" s="1968"/>
      <c r="R5" s="1968"/>
      <c r="S5" s="1968"/>
      <c r="T5" s="1968"/>
    </row>
    <row r="6" spans="1:25" x14ac:dyDescent="0.2">
      <c r="A6" s="934" t="s">
        <v>806</v>
      </c>
      <c r="B6" s="938"/>
      <c r="C6" s="939"/>
      <c r="D6" s="1811"/>
      <c r="E6" s="1811"/>
      <c r="F6" s="1811"/>
      <c r="G6" s="940" t="s">
        <v>807</v>
      </c>
      <c r="H6" s="941">
        <f>G598</f>
        <v>784989.6</v>
      </c>
      <c r="I6" s="1966"/>
      <c r="J6" s="1969"/>
      <c r="K6" s="1970"/>
      <c r="L6" s="1970"/>
      <c r="M6" s="1971"/>
      <c r="N6" s="1969"/>
      <c r="O6" s="1969"/>
      <c r="P6" s="1969"/>
      <c r="Q6" s="1968"/>
      <c r="R6" s="1968"/>
      <c r="S6" s="1968"/>
      <c r="T6" s="1968"/>
    </row>
    <row r="7" spans="1:25" x14ac:dyDescent="0.2">
      <c r="A7" s="942" t="s">
        <v>808</v>
      </c>
      <c r="B7" s="938" t="s">
        <v>809</v>
      </c>
      <c r="C7" s="939"/>
      <c r="D7" s="1811"/>
      <c r="E7" s="1811"/>
      <c r="F7" s="1811"/>
      <c r="G7" s="1812"/>
      <c r="H7" s="1812"/>
      <c r="I7" s="1966"/>
      <c r="J7" s="1969"/>
      <c r="K7" s="1970"/>
      <c r="L7" s="1970"/>
      <c r="M7" s="1971"/>
      <c r="N7" s="1969"/>
      <c r="O7" s="1969"/>
      <c r="P7" s="1969"/>
      <c r="Q7" s="1968"/>
      <c r="R7" s="1968"/>
      <c r="S7" s="1968"/>
      <c r="T7" s="1968"/>
    </row>
    <row r="8" spans="1:25" x14ac:dyDescent="0.2">
      <c r="A8" s="934"/>
      <c r="B8" s="943"/>
      <c r="C8" s="939"/>
      <c r="D8" s="944"/>
      <c r="E8" s="945"/>
      <c r="F8" s="945"/>
      <c r="G8" s="940"/>
      <c r="H8" s="940"/>
      <c r="I8" s="1966"/>
      <c r="J8" s="1969"/>
      <c r="K8" s="1970"/>
      <c r="L8" s="1970"/>
      <c r="M8" s="1971"/>
      <c r="N8" s="1969"/>
      <c r="O8" s="1969"/>
      <c r="P8" s="1969"/>
      <c r="Q8" s="1968"/>
      <c r="R8" s="1968"/>
      <c r="S8" s="1968"/>
      <c r="T8" s="1968"/>
    </row>
    <row r="9" spans="1:25" x14ac:dyDescent="0.2">
      <c r="A9" s="934" t="s">
        <v>810</v>
      </c>
      <c r="B9" s="943" t="s">
        <v>811</v>
      </c>
      <c r="C9" s="939"/>
      <c r="D9" s="946"/>
      <c r="E9" s="947"/>
      <c r="F9" s="947"/>
      <c r="G9" s="948" t="s">
        <v>239</v>
      </c>
      <c r="H9" s="949">
        <f>H5+H6</f>
        <v>3433062.3800000004</v>
      </c>
      <c r="I9" s="1966"/>
      <c r="J9" s="1969"/>
      <c r="K9" s="1970"/>
      <c r="L9" s="1970"/>
      <c r="M9" s="1971"/>
      <c r="N9" s="1969"/>
      <c r="O9" s="1969"/>
      <c r="P9" s="1969"/>
      <c r="Q9" s="1968"/>
      <c r="R9" s="1968"/>
      <c r="S9" s="1968"/>
      <c r="T9" s="1968"/>
    </row>
    <row r="10" spans="1:25" x14ac:dyDescent="0.2">
      <c r="A10" s="934" t="s">
        <v>812</v>
      </c>
      <c r="B10" s="950" t="s">
        <v>830</v>
      </c>
      <c r="C10" s="951"/>
      <c r="D10" s="946"/>
      <c r="E10" s="947"/>
      <c r="F10" s="947"/>
      <c r="G10" s="937"/>
      <c r="H10" s="937"/>
      <c r="I10" s="1966"/>
      <c r="J10" s="1969"/>
      <c r="K10" s="1970"/>
      <c r="L10" s="1970"/>
      <c r="M10" s="1971"/>
      <c r="N10" s="1969"/>
      <c r="O10" s="1969"/>
      <c r="P10" s="1969"/>
      <c r="Q10" s="1968"/>
      <c r="R10" s="1968"/>
      <c r="S10" s="1968"/>
      <c r="T10" s="1968"/>
    </row>
    <row r="11" spans="1:25" ht="12.75" thickBot="1" x14ac:dyDescent="0.25">
      <c r="A11" s="952"/>
      <c r="B11" s="668"/>
      <c r="C11" s="939"/>
      <c r="D11" s="935"/>
      <c r="E11" s="937"/>
      <c r="F11" s="928"/>
      <c r="G11" s="937"/>
      <c r="H11" s="953"/>
      <c r="I11" s="1966"/>
      <c r="J11" s="1969"/>
      <c r="K11" s="1970"/>
      <c r="L11" s="1970"/>
      <c r="M11" s="1969"/>
      <c r="N11" s="1969"/>
      <c r="O11" s="1969"/>
      <c r="P11" s="1969"/>
      <c r="Q11" s="1968"/>
      <c r="R11" s="1968"/>
      <c r="S11" s="1968"/>
      <c r="T11" s="1968"/>
    </row>
    <row r="12" spans="1:25" s="727" customFormat="1" ht="24.75" customHeight="1" x14ac:dyDescent="0.2">
      <c r="A12" s="769"/>
      <c r="B12" s="769" t="s">
        <v>630</v>
      </c>
      <c r="C12" s="770" t="s">
        <v>631</v>
      </c>
      <c r="D12" s="770" t="s">
        <v>813</v>
      </c>
      <c r="E12" s="771" t="s">
        <v>633</v>
      </c>
      <c r="F12" s="771" t="s">
        <v>814</v>
      </c>
      <c r="G12" s="771" t="s">
        <v>815</v>
      </c>
      <c r="H12" s="771" t="s">
        <v>634</v>
      </c>
      <c r="I12" s="1972"/>
      <c r="J12" s="1973" t="s">
        <v>831</v>
      </c>
      <c r="K12" s="1974" t="s">
        <v>832</v>
      </c>
      <c r="L12" s="1975"/>
      <c r="M12" s="1976"/>
      <c r="N12" s="1977"/>
      <c r="O12" s="1978"/>
      <c r="P12" s="1972"/>
      <c r="Q12" s="1979"/>
      <c r="R12" s="1979"/>
      <c r="S12" s="1979"/>
      <c r="T12" s="1979"/>
    </row>
    <row r="13" spans="1:25" s="727" customFormat="1" ht="12" customHeight="1" thickBot="1" x14ac:dyDescent="0.25">
      <c r="A13" s="772"/>
      <c r="B13" s="772" t="s">
        <v>857</v>
      </c>
      <c r="C13" s="773"/>
      <c r="D13" s="774"/>
      <c r="E13" s="775"/>
      <c r="F13" s="775"/>
      <c r="G13" s="776"/>
      <c r="H13" s="776"/>
      <c r="I13" s="1972"/>
      <c r="J13" s="1972"/>
      <c r="K13" s="1980"/>
      <c r="L13" s="1980"/>
      <c r="M13" s="1972"/>
      <c r="N13" s="1981" t="s">
        <v>833</v>
      </c>
      <c r="O13" s="1982" t="s">
        <v>834</v>
      </c>
      <c r="P13" s="1972"/>
      <c r="Q13" s="1979"/>
      <c r="R13" s="1979"/>
      <c r="S13" s="1979"/>
      <c r="T13" s="1979"/>
    </row>
    <row r="14" spans="1:25" s="727" customFormat="1" ht="17.25" customHeight="1" thickBot="1" x14ac:dyDescent="0.25">
      <c r="A14" s="777"/>
      <c r="B14" s="778" t="s">
        <v>1162</v>
      </c>
      <c r="C14" s="779"/>
      <c r="D14" s="780"/>
      <c r="E14" s="781"/>
      <c r="F14" s="781"/>
      <c r="G14" s="793"/>
      <c r="H14" s="793">
        <f>SUM(H15:H18)</f>
        <v>288706</v>
      </c>
      <c r="I14" s="1972"/>
      <c r="J14" s="1972"/>
      <c r="K14" s="1980"/>
      <c r="L14" s="1980">
        <f>SUM(K15:K18)</f>
        <v>262722.45999999996</v>
      </c>
      <c r="M14" s="1972"/>
      <c r="N14" s="1981" t="s">
        <v>833</v>
      </c>
      <c r="O14" s="1982" t="s">
        <v>834</v>
      </c>
      <c r="P14" s="1972"/>
      <c r="Q14" s="1979"/>
      <c r="R14" s="1979"/>
      <c r="S14" s="1979"/>
      <c r="T14" s="1979"/>
    </row>
    <row r="15" spans="1:25" s="727" customFormat="1" ht="15" customHeight="1" x14ac:dyDescent="0.2">
      <c r="A15" s="728"/>
      <c r="B15" s="782" t="s">
        <v>637</v>
      </c>
      <c r="C15" s="739" t="s">
        <v>638</v>
      </c>
      <c r="D15" s="731">
        <v>1</v>
      </c>
      <c r="E15" s="732">
        <v>111095</v>
      </c>
      <c r="F15" s="734"/>
      <c r="G15" s="783">
        <f>D15*E15</f>
        <v>111095</v>
      </c>
      <c r="H15" s="783">
        <f>F15+G15</f>
        <v>111095</v>
      </c>
      <c r="I15" s="1972"/>
      <c r="J15" s="1983">
        <v>0.91</v>
      </c>
      <c r="K15" s="1980">
        <f>+H15*J15</f>
        <v>101096.45</v>
      </c>
      <c r="L15" s="1980"/>
      <c r="M15" s="1983"/>
      <c r="N15" s="1984" t="s">
        <v>835</v>
      </c>
      <c r="O15" s="1985">
        <v>0.84699999999999998</v>
      </c>
      <c r="P15" s="1972"/>
      <c r="Q15" s="1979"/>
      <c r="R15" s="1979"/>
      <c r="S15" s="1979"/>
      <c r="T15" s="1979"/>
    </row>
    <row r="16" spans="1:25" s="727" customFormat="1" ht="15" customHeight="1" x14ac:dyDescent="0.2">
      <c r="A16" s="784"/>
      <c r="B16" s="782" t="s">
        <v>639</v>
      </c>
      <c r="C16" s="739" t="s">
        <v>638</v>
      </c>
      <c r="D16" s="731">
        <v>3</v>
      </c>
      <c r="E16" s="732">
        <v>28245</v>
      </c>
      <c r="F16" s="734"/>
      <c r="G16" s="783">
        <f t="shared" ref="G16:G18" si="0">D16*E16</f>
        <v>84735</v>
      </c>
      <c r="H16" s="783">
        <f t="shared" ref="H16:H18" si="1">F16+G16</f>
        <v>84735</v>
      </c>
      <c r="I16" s="1972"/>
      <c r="J16" s="1983">
        <v>0.91</v>
      </c>
      <c r="K16" s="1980">
        <f t="shared" ref="K16:K18" si="2">+H16*J16</f>
        <v>77108.850000000006</v>
      </c>
      <c r="L16" s="1980"/>
      <c r="M16" s="1983"/>
      <c r="N16" s="1984" t="s">
        <v>836</v>
      </c>
      <c r="O16" s="1985">
        <v>0.86</v>
      </c>
      <c r="P16" s="1972"/>
      <c r="Q16" s="1979"/>
      <c r="R16" s="1979"/>
      <c r="S16" s="1979"/>
      <c r="T16" s="1979"/>
    </row>
    <row r="17" spans="1:20" s="727" customFormat="1" ht="15" customHeight="1" x14ac:dyDescent="0.2">
      <c r="A17" s="728"/>
      <c r="B17" s="782" t="s">
        <v>640</v>
      </c>
      <c r="C17" s="739" t="s">
        <v>638</v>
      </c>
      <c r="D17" s="731">
        <v>1</v>
      </c>
      <c r="E17" s="732">
        <v>75516</v>
      </c>
      <c r="F17" s="734"/>
      <c r="G17" s="783">
        <f t="shared" si="0"/>
        <v>75516</v>
      </c>
      <c r="H17" s="783">
        <f t="shared" si="1"/>
        <v>75516</v>
      </c>
      <c r="I17" s="1972"/>
      <c r="J17" s="1983">
        <v>0.91</v>
      </c>
      <c r="K17" s="1980">
        <f t="shared" si="2"/>
        <v>68719.56</v>
      </c>
      <c r="L17" s="1980"/>
      <c r="M17" s="1983"/>
      <c r="N17" s="1984" t="s">
        <v>837</v>
      </c>
      <c r="O17" s="1985">
        <v>0.91</v>
      </c>
      <c r="P17" s="1972"/>
      <c r="Q17" s="1979"/>
      <c r="R17" s="1979"/>
      <c r="S17" s="1979"/>
      <c r="T17" s="1979"/>
    </row>
    <row r="18" spans="1:20" s="727" customFormat="1" ht="15" customHeight="1" thickBot="1" x14ac:dyDescent="0.25">
      <c r="A18" s="728"/>
      <c r="B18" s="782" t="s">
        <v>641</v>
      </c>
      <c r="C18" s="739" t="s">
        <v>638</v>
      </c>
      <c r="D18" s="731">
        <v>1</v>
      </c>
      <c r="E18" s="732">
        <v>17360</v>
      </c>
      <c r="F18" s="734"/>
      <c r="G18" s="783">
        <f t="shared" si="0"/>
        <v>17360</v>
      </c>
      <c r="H18" s="783">
        <f t="shared" si="1"/>
        <v>17360</v>
      </c>
      <c r="I18" s="1972"/>
      <c r="J18" s="1983">
        <v>0.91</v>
      </c>
      <c r="K18" s="1980">
        <f t="shared" si="2"/>
        <v>15797.6</v>
      </c>
      <c r="L18" s="1980"/>
      <c r="M18" s="1983"/>
      <c r="N18" s="1986" t="s">
        <v>838</v>
      </c>
      <c r="O18" s="1987">
        <v>0.66</v>
      </c>
      <c r="P18" s="1972"/>
      <c r="Q18" s="1979"/>
      <c r="R18" s="1979"/>
      <c r="S18" s="1979"/>
      <c r="T18" s="1979"/>
    </row>
    <row r="19" spans="1:20" s="727" customFormat="1" ht="17.25" customHeight="1" thickBot="1" x14ac:dyDescent="0.25">
      <c r="A19" s="777"/>
      <c r="B19" s="778" t="s">
        <v>1752</v>
      </c>
      <c r="C19" s="779"/>
      <c r="D19" s="780"/>
      <c r="E19" s="781"/>
      <c r="F19" s="781"/>
      <c r="G19" s="793"/>
      <c r="H19" s="793">
        <f>SUM(H20:H23)</f>
        <v>46294</v>
      </c>
      <c r="I19" s="1972"/>
      <c r="J19" s="1972"/>
      <c r="K19" s="1980"/>
      <c r="L19" s="1980">
        <f>SUM(K20:K23)</f>
        <v>42127.54</v>
      </c>
      <c r="M19" s="1972"/>
      <c r="N19" s="1981" t="s">
        <v>833</v>
      </c>
      <c r="O19" s="1982" t="s">
        <v>834</v>
      </c>
      <c r="P19" s="1972"/>
      <c r="Q19" s="1979"/>
      <c r="R19" s="1979"/>
      <c r="S19" s="1979"/>
      <c r="T19" s="1979"/>
    </row>
    <row r="20" spans="1:20" s="727" customFormat="1" ht="15" customHeight="1" x14ac:dyDescent="0.2">
      <c r="A20" s="728"/>
      <c r="B20" s="782" t="s">
        <v>637</v>
      </c>
      <c r="C20" s="739" t="s">
        <v>638</v>
      </c>
      <c r="D20" s="1405">
        <v>1</v>
      </c>
      <c r="E20" s="1406">
        <v>18905</v>
      </c>
      <c r="F20" s="734"/>
      <c r="G20" s="783">
        <f>D20*E20</f>
        <v>18905</v>
      </c>
      <c r="H20" s="783">
        <f>F20+G20</f>
        <v>18905</v>
      </c>
      <c r="I20" s="1972"/>
      <c r="J20" s="1983">
        <v>0.91</v>
      </c>
      <c r="K20" s="1980">
        <f>+H20*J20</f>
        <v>17203.55</v>
      </c>
      <c r="L20" s="1980"/>
      <c r="M20" s="1983"/>
      <c r="N20" s="1984" t="s">
        <v>835</v>
      </c>
      <c r="O20" s="1985">
        <v>0.84699999999999998</v>
      </c>
      <c r="P20" s="1972"/>
      <c r="Q20" s="1979"/>
      <c r="R20" s="1979"/>
      <c r="S20" s="1979"/>
      <c r="T20" s="1979"/>
    </row>
    <row r="21" spans="1:20" s="727" customFormat="1" ht="15" customHeight="1" x14ac:dyDescent="0.2">
      <c r="A21" s="784"/>
      <c r="B21" s="782" t="s">
        <v>639</v>
      </c>
      <c r="C21" s="739" t="s">
        <v>638</v>
      </c>
      <c r="D21" s="1405">
        <v>3</v>
      </c>
      <c r="E21" s="1406">
        <v>4421.666666666667</v>
      </c>
      <c r="F21" s="734"/>
      <c r="G21" s="783">
        <f t="shared" ref="G21:G23" si="3">D21*E21</f>
        <v>13265</v>
      </c>
      <c r="H21" s="783">
        <f t="shared" ref="H21:H23" si="4">F21+G21</f>
        <v>13265</v>
      </c>
      <c r="I21" s="1972"/>
      <c r="J21" s="1983">
        <v>0.91</v>
      </c>
      <c r="K21" s="1980">
        <f t="shared" ref="K21:K23" si="5">+H21*J21</f>
        <v>12071.15</v>
      </c>
      <c r="L21" s="1980"/>
      <c r="M21" s="1983"/>
      <c r="N21" s="1984" t="s">
        <v>836</v>
      </c>
      <c r="O21" s="1985">
        <v>0.86</v>
      </c>
      <c r="P21" s="1972"/>
      <c r="Q21" s="1979"/>
      <c r="R21" s="1979"/>
      <c r="S21" s="1979"/>
      <c r="T21" s="1979"/>
    </row>
    <row r="22" spans="1:20" s="727" customFormat="1" ht="15" customHeight="1" x14ac:dyDescent="0.2">
      <c r="A22" s="728"/>
      <c r="B22" s="782" t="s">
        <v>640</v>
      </c>
      <c r="C22" s="739" t="s">
        <v>638</v>
      </c>
      <c r="D22" s="1405">
        <v>1</v>
      </c>
      <c r="E22" s="1406">
        <v>11484</v>
      </c>
      <c r="F22" s="734"/>
      <c r="G22" s="783">
        <f t="shared" si="3"/>
        <v>11484</v>
      </c>
      <c r="H22" s="783">
        <f t="shared" si="4"/>
        <v>11484</v>
      </c>
      <c r="I22" s="1972"/>
      <c r="J22" s="1983">
        <v>0.91</v>
      </c>
      <c r="K22" s="1980">
        <f t="shared" si="5"/>
        <v>10450.44</v>
      </c>
      <c r="L22" s="1980"/>
      <c r="M22" s="1983"/>
      <c r="N22" s="1984" t="s">
        <v>837</v>
      </c>
      <c r="O22" s="1985">
        <v>0.91</v>
      </c>
      <c r="P22" s="1972"/>
      <c r="Q22" s="1979"/>
      <c r="R22" s="1979"/>
      <c r="S22" s="1979"/>
      <c r="T22" s="1979"/>
    </row>
    <row r="23" spans="1:20" s="727" customFormat="1" ht="15" customHeight="1" thickBot="1" x14ac:dyDescent="0.25">
      <c r="A23" s="728"/>
      <c r="B23" s="782" t="s">
        <v>641</v>
      </c>
      <c r="C23" s="739" t="s">
        <v>638</v>
      </c>
      <c r="D23" s="1405">
        <v>1</v>
      </c>
      <c r="E23" s="1406">
        <v>2640</v>
      </c>
      <c r="F23" s="734"/>
      <c r="G23" s="783">
        <f t="shared" si="3"/>
        <v>2640</v>
      </c>
      <c r="H23" s="783">
        <f t="shared" si="4"/>
        <v>2640</v>
      </c>
      <c r="I23" s="1972"/>
      <c r="J23" s="1983">
        <v>0.91</v>
      </c>
      <c r="K23" s="1980">
        <f t="shared" si="5"/>
        <v>2402.4</v>
      </c>
      <c r="L23" s="1980"/>
      <c r="M23" s="1983"/>
      <c r="N23" s="1986" t="s">
        <v>838</v>
      </c>
      <c r="O23" s="1987">
        <v>0.66</v>
      </c>
      <c r="P23" s="1972"/>
      <c r="Q23" s="1979"/>
      <c r="R23" s="1979"/>
      <c r="S23" s="1979"/>
      <c r="T23" s="1979"/>
    </row>
    <row r="24" spans="1:20" s="727" customFormat="1" ht="15" customHeight="1" x14ac:dyDescent="0.2">
      <c r="A24" s="777"/>
      <c r="B24" s="778" t="s">
        <v>1753</v>
      </c>
      <c r="C24" s="779"/>
      <c r="D24" s="780"/>
      <c r="E24" s="781"/>
      <c r="F24" s="781"/>
      <c r="G24" s="793"/>
      <c r="H24" s="793">
        <f>SUM(H25:H28)</f>
        <v>6000</v>
      </c>
      <c r="I24" s="1972"/>
      <c r="J24" s="1983"/>
      <c r="K24" s="1980"/>
      <c r="L24" s="1980">
        <f>SUM(K25:K28)</f>
        <v>5460</v>
      </c>
      <c r="M24" s="1983"/>
      <c r="N24" s="1972"/>
      <c r="O24" s="1972"/>
      <c r="P24" s="1972"/>
      <c r="Q24" s="1979"/>
      <c r="R24" s="1979"/>
      <c r="S24" s="1979"/>
      <c r="T24" s="1979"/>
    </row>
    <row r="25" spans="1:20" s="727" customFormat="1" ht="15" customHeight="1" x14ac:dyDescent="0.2">
      <c r="A25" s="728"/>
      <c r="B25" s="782" t="s">
        <v>637</v>
      </c>
      <c r="C25" s="739" t="s">
        <v>786</v>
      </c>
      <c r="D25" s="1405">
        <v>5</v>
      </c>
      <c r="E25" s="1406">
        <v>300</v>
      </c>
      <c r="F25" s="734"/>
      <c r="G25" s="783">
        <f>D25*E25</f>
        <v>1500</v>
      </c>
      <c r="H25" s="783">
        <f>F25+G25</f>
        <v>1500</v>
      </c>
      <c r="I25" s="1972"/>
      <c r="J25" s="1983">
        <v>0.91</v>
      </c>
      <c r="K25" s="1980">
        <f>+H25*J25</f>
        <v>1365</v>
      </c>
      <c r="L25" s="1980"/>
      <c r="M25" s="1983"/>
      <c r="N25" s="1972"/>
      <c r="O25" s="1972"/>
      <c r="P25" s="1972"/>
      <c r="Q25" s="1979"/>
      <c r="R25" s="1979"/>
      <c r="S25" s="1979"/>
      <c r="T25" s="1979"/>
    </row>
    <row r="26" spans="1:20" s="727" customFormat="1" ht="15" customHeight="1" x14ac:dyDescent="0.2">
      <c r="A26" s="784"/>
      <c r="B26" s="782" t="s">
        <v>639</v>
      </c>
      <c r="C26" s="739" t="s">
        <v>786</v>
      </c>
      <c r="D26" s="1405">
        <v>5</v>
      </c>
      <c r="E26" s="1406">
        <v>300</v>
      </c>
      <c r="F26" s="734"/>
      <c r="G26" s="783">
        <f t="shared" ref="G26:G28" si="6">D26*E26</f>
        <v>1500</v>
      </c>
      <c r="H26" s="783">
        <f t="shared" ref="H26:H28" si="7">F26+G26</f>
        <v>1500</v>
      </c>
      <c r="I26" s="1972"/>
      <c r="J26" s="1983">
        <v>0.91</v>
      </c>
      <c r="K26" s="1980">
        <f t="shared" ref="K26:K28" si="8">+H26*J26</f>
        <v>1365</v>
      </c>
      <c r="L26" s="1980"/>
      <c r="M26" s="1983"/>
      <c r="N26" s="1972"/>
      <c r="O26" s="1972"/>
      <c r="P26" s="1972"/>
      <c r="Q26" s="1979"/>
      <c r="R26" s="1979"/>
      <c r="S26" s="1979"/>
      <c r="T26" s="1979"/>
    </row>
    <row r="27" spans="1:20" s="727" customFormat="1" ht="15" customHeight="1" x14ac:dyDescent="0.2">
      <c r="A27" s="728"/>
      <c r="B27" s="782" t="s">
        <v>640</v>
      </c>
      <c r="C27" s="739" t="s">
        <v>786</v>
      </c>
      <c r="D27" s="1405">
        <v>5</v>
      </c>
      <c r="E27" s="1406">
        <v>300</v>
      </c>
      <c r="F27" s="734"/>
      <c r="G27" s="783">
        <f t="shared" si="6"/>
        <v>1500</v>
      </c>
      <c r="H27" s="783">
        <f t="shared" si="7"/>
        <v>1500</v>
      </c>
      <c r="I27" s="1972"/>
      <c r="J27" s="1983">
        <v>0.91</v>
      </c>
      <c r="K27" s="1980">
        <f t="shared" si="8"/>
        <v>1365</v>
      </c>
      <c r="L27" s="1980"/>
      <c r="M27" s="1983"/>
      <c r="N27" s="1972"/>
      <c r="O27" s="1972"/>
      <c r="P27" s="1972"/>
      <c r="Q27" s="1979"/>
      <c r="R27" s="1979"/>
      <c r="S27" s="1979"/>
      <c r="T27" s="1979"/>
    </row>
    <row r="28" spans="1:20" s="727" customFormat="1" ht="15" customHeight="1" x14ac:dyDescent="0.2">
      <c r="A28" s="728"/>
      <c r="B28" s="782" t="s">
        <v>641</v>
      </c>
      <c r="C28" s="739" t="s">
        <v>786</v>
      </c>
      <c r="D28" s="1405">
        <v>5</v>
      </c>
      <c r="E28" s="1406">
        <v>300</v>
      </c>
      <c r="F28" s="734"/>
      <c r="G28" s="783">
        <f t="shared" si="6"/>
        <v>1500</v>
      </c>
      <c r="H28" s="783">
        <f t="shared" si="7"/>
        <v>1500</v>
      </c>
      <c r="I28" s="1972"/>
      <c r="J28" s="1983">
        <v>0.91</v>
      </c>
      <c r="K28" s="1980">
        <f t="shared" si="8"/>
        <v>1365</v>
      </c>
      <c r="L28" s="1980"/>
      <c r="M28" s="1983"/>
      <c r="N28" s="1972" t="s">
        <v>1158</v>
      </c>
      <c r="O28" s="1988">
        <f>H14+H19+H24+H29+H34+H40+H65+H71+H74</f>
        <v>372035.5</v>
      </c>
      <c r="P28" s="1972"/>
      <c r="Q28" s="1979"/>
      <c r="R28" s="1979"/>
      <c r="S28" s="1979"/>
      <c r="T28" s="1979"/>
    </row>
    <row r="29" spans="1:20" s="727" customFormat="1" ht="12.75" x14ac:dyDescent="0.2">
      <c r="A29" s="777"/>
      <c r="B29" s="778" t="s">
        <v>1754</v>
      </c>
      <c r="C29" s="779"/>
      <c r="D29" s="787"/>
      <c r="E29" s="793"/>
      <c r="F29" s="781"/>
      <c r="G29" s="793"/>
      <c r="H29" s="793">
        <f>SUM(H30:H33)</f>
        <v>12300</v>
      </c>
      <c r="I29" s="1972"/>
      <c r="J29" s="1983"/>
      <c r="K29" s="1980"/>
      <c r="L29" s="1980">
        <f>SUM(K30:K33)</f>
        <v>10418.099999999999</v>
      </c>
      <c r="M29" s="1983"/>
      <c r="N29" s="1979" t="s">
        <v>1298</v>
      </c>
      <c r="O29" s="1989">
        <f>H77+H81+H85+H89+H92+H98</f>
        <v>251434.1</v>
      </c>
      <c r="P29" s="1972"/>
      <c r="Q29" s="1979"/>
      <c r="R29" s="1979"/>
      <c r="S29" s="1979"/>
      <c r="T29" s="1979"/>
    </row>
    <row r="30" spans="1:20" s="727" customFormat="1" ht="12.75" x14ac:dyDescent="0.2">
      <c r="A30" s="728"/>
      <c r="B30" s="729" t="s">
        <v>654</v>
      </c>
      <c r="C30" s="794" t="s">
        <v>647</v>
      </c>
      <c r="D30" s="795">
        <v>1</v>
      </c>
      <c r="E30" s="792">
        <v>1700</v>
      </c>
      <c r="F30" s="792"/>
      <c r="G30" s="783">
        <f>D30*E30</f>
        <v>1700</v>
      </c>
      <c r="H30" s="783">
        <f>F30+G30</f>
        <v>1700</v>
      </c>
      <c r="I30" s="1972"/>
      <c r="J30" s="1990">
        <v>0.84699999999999998</v>
      </c>
      <c r="K30" s="1980">
        <f>+H30*J30</f>
        <v>1439.8999999999999</v>
      </c>
      <c r="L30" s="1980"/>
      <c r="M30" s="1983"/>
      <c r="N30" s="1972" t="s">
        <v>1159</v>
      </c>
      <c r="O30" s="1988">
        <f>H123</f>
        <v>41520</v>
      </c>
      <c r="P30" s="1972"/>
      <c r="Q30" s="1979"/>
      <c r="R30" s="1979"/>
      <c r="S30" s="1979"/>
      <c r="T30" s="1979"/>
    </row>
    <row r="31" spans="1:20" s="727" customFormat="1" ht="12.75" x14ac:dyDescent="0.2">
      <c r="A31" s="728"/>
      <c r="B31" s="729" t="s">
        <v>655</v>
      </c>
      <c r="C31" s="794" t="s">
        <v>647</v>
      </c>
      <c r="D31" s="795">
        <v>1</v>
      </c>
      <c r="E31" s="792">
        <v>700</v>
      </c>
      <c r="F31" s="792"/>
      <c r="G31" s="783">
        <f t="shared" ref="G31:G33" si="9">D31*E31</f>
        <v>700</v>
      </c>
      <c r="H31" s="783">
        <f>F31+G31</f>
        <v>700</v>
      </c>
      <c r="I31" s="1972"/>
      <c r="J31" s="1990">
        <v>0.84699999999999998</v>
      </c>
      <c r="K31" s="1980">
        <f>+H31*J31</f>
        <v>592.9</v>
      </c>
      <c r="L31" s="1980"/>
      <c r="M31" s="1983"/>
      <c r="N31" s="1979" t="s">
        <v>1769</v>
      </c>
      <c r="O31" s="1989">
        <f>H133</f>
        <v>90000</v>
      </c>
      <c r="P31" s="1972"/>
      <c r="Q31" s="1979"/>
      <c r="R31" s="1979"/>
      <c r="S31" s="1979"/>
      <c r="T31" s="1979"/>
    </row>
    <row r="32" spans="1:20" s="727" customFormat="1" ht="12.75" x14ac:dyDescent="0.2">
      <c r="A32" s="728"/>
      <c r="B32" s="729" t="s">
        <v>657</v>
      </c>
      <c r="C32" s="794" t="s">
        <v>647</v>
      </c>
      <c r="D32" s="791">
        <v>2</v>
      </c>
      <c r="E32" s="792">
        <v>3500</v>
      </c>
      <c r="F32" s="796"/>
      <c r="G32" s="783">
        <f t="shared" si="9"/>
        <v>7000</v>
      </c>
      <c r="H32" s="783">
        <f>F32+G32</f>
        <v>7000</v>
      </c>
      <c r="I32" s="1972"/>
      <c r="J32" s="1990">
        <v>0.84699999999999998</v>
      </c>
      <c r="K32" s="1980">
        <f>+H32*J32</f>
        <v>5929</v>
      </c>
      <c r="L32" s="1980"/>
      <c r="M32" s="1983"/>
      <c r="N32" s="1972" t="s">
        <v>1160</v>
      </c>
      <c r="O32" s="1988">
        <f>G134</f>
        <v>30000</v>
      </c>
      <c r="P32" s="1972"/>
      <c r="Q32" s="1979"/>
      <c r="R32" s="1979"/>
      <c r="S32" s="1979"/>
      <c r="T32" s="1979"/>
    </row>
    <row r="33" spans="1:20" s="727" customFormat="1" ht="12.75" x14ac:dyDescent="0.2">
      <c r="A33" s="728"/>
      <c r="B33" s="729" t="s">
        <v>658</v>
      </c>
      <c r="C33" s="794" t="s">
        <v>647</v>
      </c>
      <c r="D33" s="791">
        <v>1</v>
      </c>
      <c r="E33" s="792">
        <v>2900</v>
      </c>
      <c r="F33" s="792"/>
      <c r="G33" s="783">
        <f t="shared" si="9"/>
        <v>2900</v>
      </c>
      <c r="H33" s="783">
        <f>F33+G33</f>
        <v>2900</v>
      </c>
      <c r="I33" s="1972"/>
      <c r="J33" s="1990">
        <v>0.84699999999999998</v>
      </c>
      <c r="K33" s="1980">
        <f>+H33*J33</f>
        <v>2456.2999999999997</v>
      </c>
      <c r="L33" s="1980"/>
      <c r="M33" s="1983"/>
      <c r="N33" s="1972"/>
      <c r="O33" s="1988">
        <f>SUM(O28:O32)</f>
        <v>784989.6</v>
      </c>
      <c r="P33" s="1972"/>
      <c r="Q33" s="1979"/>
      <c r="R33" s="1979"/>
      <c r="S33" s="1979"/>
      <c r="T33" s="1979"/>
    </row>
    <row r="34" spans="1:20" s="727" customFormat="1" ht="12.75" x14ac:dyDescent="0.2">
      <c r="A34" s="777"/>
      <c r="B34" s="778" t="s">
        <v>1760</v>
      </c>
      <c r="C34" s="779"/>
      <c r="D34" s="787"/>
      <c r="E34" s="793"/>
      <c r="F34" s="781"/>
      <c r="G34" s="793"/>
      <c r="H34" s="793">
        <f>SUM(H35:H39)</f>
        <v>3120</v>
      </c>
      <c r="I34" s="1972"/>
      <c r="J34" s="1983"/>
      <c r="K34" s="1980"/>
      <c r="L34" s="1980">
        <f>SUM(K35:K38)</f>
        <v>2617.2299999999996</v>
      </c>
      <c r="M34" s="1983"/>
      <c r="N34" s="1979"/>
      <c r="O34" s="1989"/>
      <c r="P34" s="1972"/>
      <c r="Q34" s="1979"/>
      <c r="R34" s="1979"/>
      <c r="S34" s="1979"/>
      <c r="T34" s="1979"/>
    </row>
    <row r="35" spans="1:20" s="727" customFormat="1" ht="12.75" x14ac:dyDescent="0.2">
      <c r="A35" s="728"/>
      <c r="B35" s="729" t="s">
        <v>703</v>
      </c>
      <c r="C35" s="794" t="s">
        <v>638</v>
      </c>
      <c r="D35" s="795">
        <v>1</v>
      </c>
      <c r="E35" s="792">
        <v>3000</v>
      </c>
      <c r="F35" s="792"/>
      <c r="G35" s="783">
        <f>D35*E35</f>
        <v>3000</v>
      </c>
      <c r="H35" s="783">
        <f>F35+G35</f>
        <v>3000</v>
      </c>
      <c r="I35" s="1972"/>
      <c r="J35" s="1990">
        <v>0.84699999999999998</v>
      </c>
      <c r="K35" s="1980">
        <f>+H35*J35</f>
        <v>2541</v>
      </c>
      <c r="L35" s="1980"/>
      <c r="M35" s="1983"/>
      <c r="N35" s="1972"/>
      <c r="O35" s="1988"/>
      <c r="P35" s="1972"/>
      <c r="Q35" s="1979"/>
      <c r="R35" s="1979"/>
      <c r="S35" s="1979"/>
      <c r="T35" s="1979"/>
    </row>
    <row r="36" spans="1:20" s="727" customFormat="1" ht="12.75" x14ac:dyDescent="0.2">
      <c r="A36" s="728"/>
      <c r="B36" s="729" t="s">
        <v>704</v>
      </c>
      <c r="C36" s="794" t="s">
        <v>647</v>
      </c>
      <c r="D36" s="795">
        <v>3</v>
      </c>
      <c r="E36" s="792">
        <v>10</v>
      </c>
      <c r="F36" s="792"/>
      <c r="G36" s="783">
        <f t="shared" ref="G36:G39" si="10">D36*E36</f>
        <v>30</v>
      </c>
      <c r="H36" s="783">
        <f t="shared" ref="H36:H39" si="11">F36+G36</f>
        <v>30</v>
      </c>
      <c r="I36" s="1972"/>
      <c r="J36" s="1990">
        <v>0.84699999999999998</v>
      </c>
      <c r="K36" s="1980">
        <f>+H36*J36</f>
        <v>25.41</v>
      </c>
      <c r="L36" s="1980"/>
      <c r="M36" s="1983"/>
      <c r="N36" s="1972"/>
      <c r="O36" s="1988"/>
      <c r="P36" s="1972"/>
      <c r="Q36" s="1979"/>
      <c r="R36" s="1979"/>
      <c r="S36" s="1979"/>
      <c r="T36" s="1979"/>
    </row>
    <row r="37" spans="1:20" s="727" customFormat="1" ht="12.75" x14ac:dyDescent="0.2">
      <c r="A37" s="728"/>
      <c r="B37" s="729" t="s">
        <v>705</v>
      </c>
      <c r="C37" s="794" t="s">
        <v>647</v>
      </c>
      <c r="D37" s="791">
        <v>3</v>
      </c>
      <c r="E37" s="792">
        <v>10</v>
      </c>
      <c r="F37" s="796"/>
      <c r="G37" s="783">
        <f t="shared" si="10"/>
        <v>30</v>
      </c>
      <c r="H37" s="783">
        <f t="shared" si="11"/>
        <v>30</v>
      </c>
      <c r="I37" s="1972"/>
      <c r="J37" s="1990">
        <v>0.84699999999999998</v>
      </c>
      <c r="K37" s="1980">
        <f>+H37*J37</f>
        <v>25.41</v>
      </c>
      <c r="L37" s="1980"/>
      <c r="M37" s="1983"/>
      <c r="N37" s="1972"/>
      <c r="O37" s="1988"/>
      <c r="P37" s="1972"/>
      <c r="Q37" s="1979"/>
      <c r="R37" s="1979"/>
      <c r="S37" s="1979"/>
      <c r="T37" s="1979"/>
    </row>
    <row r="38" spans="1:20" s="727" customFormat="1" ht="12.75" x14ac:dyDescent="0.2">
      <c r="A38" s="728"/>
      <c r="B38" s="729" t="s">
        <v>706</v>
      </c>
      <c r="C38" s="794" t="s">
        <v>647</v>
      </c>
      <c r="D38" s="791">
        <v>3</v>
      </c>
      <c r="E38" s="792">
        <v>10</v>
      </c>
      <c r="F38" s="792"/>
      <c r="G38" s="783">
        <f t="shared" si="10"/>
        <v>30</v>
      </c>
      <c r="H38" s="783">
        <f t="shared" si="11"/>
        <v>30</v>
      </c>
      <c r="I38" s="1972"/>
      <c r="J38" s="1990">
        <v>0.84699999999999998</v>
      </c>
      <c r="K38" s="1980">
        <f>+H38*J38</f>
        <v>25.41</v>
      </c>
      <c r="L38" s="1980"/>
      <c r="M38" s="1983"/>
      <c r="N38" s="1972"/>
      <c r="O38" s="1988"/>
      <c r="P38" s="1972"/>
      <c r="Q38" s="1979"/>
      <c r="R38" s="1979"/>
      <c r="S38" s="1979"/>
      <c r="T38" s="1979"/>
    </row>
    <row r="39" spans="1:20" s="727" customFormat="1" ht="15" customHeight="1" x14ac:dyDescent="0.2">
      <c r="A39" s="728"/>
      <c r="B39" s="782" t="s">
        <v>707</v>
      </c>
      <c r="C39" s="739" t="s">
        <v>647</v>
      </c>
      <c r="D39" s="1405">
        <v>3</v>
      </c>
      <c r="E39" s="1406">
        <v>10</v>
      </c>
      <c r="F39" s="734"/>
      <c r="G39" s="783">
        <f t="shared" si="10"/>
        <v>30</v>
      </c>
      <c r="H39" s="783">
        <f t="shared" si="11"/>
        <v>30</v>
      </c>
      <c r="I39" s="1972"/>
      <c r="J39" s="1983"/>
      <c r="K39" s="1980"/>
      <c r="L39" s="1980"/>
      <c r="M39" s="1983"/>
      <c r="N39" s="1972"/>
      <c r="O39" s="1972"/>
      <c r="P39" s="1972"/>
      <c r="Q39" s="1979"/>
      <c r="R39" s="1979"/>
      <c r="S39" s="1979"/>
      <c r="T39" s="1979"/>
    </row>
    <row r="40" spans="1:20" s="720" customFormat="1" ht="12.75" x14ac:dyDescent="0.2">
      <c r="A40" s="777"/>
      <c r="B40" s="785" t="s">
        <v>1755</v>
      </c>
      <c r="C40" s="798"/>
      <c r="D40" s="799"/>
      <c r="E40" s="800"/>
      <c r="F40" s="801"/>
      <c r="G40" s="800"/>
      <c r="H40" s="800">
        <f>SUM(H41:H64)</f>
        <v>1715.5</v>
      </c>
      <c r="I40" s="1991"/>
      <c r="J40" s="1992"/>
      <c r="K40" s="1993"/>
      <c r="L40" s="1980">
        <f>SUM(K41:K64)</f>
        <v>1453.0284999999999</v>
      </c>
      <c r="M40" s="1992"/>
      <c r="N40" s="1994"/>
      <c r="O40" s="1994"/>
      <c r="P40" s="1994"/>
      <c r="Q40" s="1995"/>
      <c r="R40" s="1995"/>
      <c r="S40" s="1995"/>
      <c r="T40" s="1995"/>
    </row>
    <row r="41" spans="1:20" s="727" customFormat="1" ht="12.75" x14ac:dyDescent="0.2">
      <c r="A41" s="728"/>
      <c r="B41" s="729" t="s">
        <v>662</v>
      </c>
      <c r="C41" s="790" t="s">
        <v>653</v>
      </c>
      <c r="D41" s="797">
        <v>10</v>
      </c>
      <c r="E41" s="792">
        <v>10</v>
      </c>
      <c r="F41" s="792"/>
      <c r="G41" s="783">
        <f>D41*E41</f>
        <v>100</v>
      </c>
      <c r="H41" s="783">
        <f t="shared" ref="H41:H64" si="12">F41+G41</f>
        <v>100</v>
      </c>
      <c r="I41" s="1996"/>
      <c r="J41" s="1990">
        <v>0.84699999999999998</v>
      </c>
      <c r="K41" s="1980">
        <f>+H41*J41</f>
        <v>84.7</v>
      </c>
      <c r="L41" s="1980"/>
      <c r="M41" s="1983"/>
      <c r="N41" s="1972"/>
      <c r="O41" s="1972"/>
      <c r="P41" s="1972"/>
      <c r="Q41" s="1979"/>
      <c r="R41" s="1979"/>
      <c r="S41" s="1979"/>
      <c r="T41" s="1979"/>
    </row>
    <row r="42" spans="1:20" s="727" customFormat="1" ht="12.75" x14ac:dyDescent="0.2">
      <c r="A42" s="728"/>
      <c r="B42" s="729" t="s">
        <v>663</v>
      </c>
      <c r="C42" s="790" t="s">
        <v>653</v>
      </c>
      <c r="D42" s="797">
        <v>10</v>
      </c>
      <c r="E42" s="792">
        <v>1.5</v>
      </c>
      <c r="F42" s="792"/>
      <c r="G42" s="783">
        <f t="shared" ref="G42:G64" si="13">D42*E42</f>
        <v>15</v>
      </c>
      <c r="H42" s="783">
        <f t="shared" si="12"/>
        <v>15</v>
      </c>
      <c r="I42" s="1996"/>
      <c r="J42" s="1990">
        <v>0.84699999999999998</v>
      </c>
      <c r="K42" s="1980">
        <f>+H42*J42</f>
        <v>12.705</v>
      </c>
      <c r="L42" s="1980"/>
      <c r="M42" s="1983"/>
      <c r="N42" s="1972"/>
      <c r="O42" s="1972"/>
      <c r="P42" s="1972"/>
      <c r="Q42" s="1979"/>
      <c r="R42" s="1979"/>
      <c r="S42" s="1979"/>
      <c r="T42" s="1979"/>
    </row>
    <row r="43" spans="1:20" s="727" customFormat="1" ht="12.75" x14ac:dyDescent="0.2">
      <c r="A43" s="728"/>
      <c r="B43" s="729" t="s">
        <v>1144</v>
      </c>
      <c r="C43" s="790" t="s">
        <v>653</v>
      </c>
      <c r="D43" s="797">
        <v>4</v>
      </c>
      <c r="E43" s="792">
        <v>45</v>
      </c>
      <c r="F43" s="792"/>
      <c r="G43" s="783">
        <f t="shared" si="13"/>
        <v>180</v>
      </c>
      <c r="H43" s="783">
        <f t="shared" si="12"/>
        <v>180</v>
      </c>
      <c r="I43" s="1996"/>
      <c r="J43" s="1990">
        <v>0.84699999999999998</v>
      </c>
      <c r="K43" s="1980">
        <f>+H43*J43</f>
        <v>152.46</v>
      </c>
      <c r="L43" s="1980"/>
      <c r="M43" s="1983"/>
      <c r="N43" s="1972"/>
      <c r="O43" s="1972"/>
      <c r="P43" s="1972"/>
      <c r="Q43" s="1979"/>
      <c r="R43" s="1979"/>
      <c r="S43" s="1979"/>
      <c r="T43" s="1979"/>
    </row>
    <row r="44" spans="1:20" s="727" customFormat="1" ht="12.75" x14ac:dyDescent="0.2">
      <c r="A44" s="728"/>
      <c r="B44" s="729" t="s">
        <v>664</v>
      </c>
      <c r="C44" s="790" t="s">
        <v>665</v>
      </c>
      <c r="D44" s="797">
        <v>3</v>
      </c>
      <c r="E44" s="792">
        <v>2.5</v>
      </c>
      <c r="F44" s="792"/>
      <c r="G44" s="783">
        <f t="shared" si="13"/>
        <v>7.5</v>
      </c>
      <c r="H44" s="783">
        <f t="shared" si="12"/>
        <v>7.5</v>
      </c>
      <c r="I44" s="1996"/>
      <c r="J44" s="1990">
        <v>0.84699999999999998</v>
      </c>
      <c r="K44" s="1980">
        <f t="shared" ref="K44:K64" si="14">+H44*J44</f>
        <v>6.3525</v>
      </c>
      <c r="L44" s="1980"/>
      <c r="M44" s="1983"/>
      <c r="N44" s="1972"/>
      <c r="O44" s="1972"/>
      <c r="P44" s="1972"/>
      <c r="Q44" s="1979"/>
      <c r="R44" s="1979"/>
      <c r="S44" s="1979"/>
      <c r="T44" s="1979"/>
    </row>
    <row r="45" spans="1:20" s="727" customFormat="1" ht="12.75" x14ac:dyDescent="0.2">
      <c r="A45" s="728"/>
      <c r="B45" s="729" t="s">
        <v>666</v>
      </c>
      <c r="C45" s="790" t="s">
        <v>667</v>
      </c>
      <c r="D45" s="797">
        <v>3</v>
      </c>
      <c r="E45" s="792">
        <v>1.5</v>
      </c>
      <c r="F45" s="792"/>
      <c r="G45" s="783">
        <f t="shared" si="13"/>
        <v>4.5</v>
      </c>
      <c r="H45" s="783">
        <f t="shared" si="12"/>
        <v>4.5</v>
      </c>
      <c r="I45" s="1996"/>
      <c r="J45" s="1990">
        <v>0.84699999999999998</v>
      </c>
      <c r="K45" s="1980">
        <f t="shared" si="14"/>
        <v>3.8114999999999997</v>
      </c>
      <c r="L45" s="1980"/>
      <c r="M45" s="1983"/>
      <c r="N45" s="1972"/>
      <c r="O45" s="1972"/>
      <c r="P45" s="1972"/>
      <c r="Q45" s="1979"/>
      <c r="R45" s="1979"/>
      <c r="S45" s="1979"/>
      <c r="T45" s="1979"/>
    </row>
    <row r="46" spans="1:20" s="727" customFormat="1" ht="12.75" x14ac:dyDescent="0.2">
      <c r="A46" s="728"/>
      <c r="B46" s="729" t="s">
        <v>668</v>
      </c>
      <c r="C46" s="790" t="s">
        <v>653</v>
      </c>
      <c r="D46" s="797">
        <v>3</v>
      </c>
      <c r="E46" s="792">
        <v>5</v>
      </c>
      <c r="F46" s="792"/>
      <c r="G46" s="783">
        <f t="shared" si="13"/>
        <v>15</v>
      </c>
      <c r="H46" s="783">
        <f t="shared" si="12"/>
        <v>15</v>
      </c>
      <c r="I46" s="1996"/>
      <c r="J46" s="1990">
        <v>0.84699999999999998</v>
      </c>
      <c r="K46" s="1980">
        <f t="shared" si="14"/>
        <v>12.705</v>
      </c>
      <c r="L46" s="1980"/>
      <c r="M46" s="1983"/>
      <c r="N46" s="1972"/>
      <c r="O46" s="1972"/>
      <c r="P46" s="1972"/>
      <c r="Q46" s="1979"/>
      <c r="R46" s="1979"/>
      <c r="S46" s="1979"/>
      <c r="T46" s="1979"/>
    </row>
    <row r="47" spans="1:20" s="727" customFormat="1" ht="12.75" x14ac:dyDescent="0.2">
      <c r="A47" s="728"/>
      <c r="B47" s="729" t="s">
        <v>669</v>
      </c>
      <c r="C47" s="790" t="s">
        <v>653</v>
      </c>
      <c r="D47" s="797">
        <v>3</v>
      </c>
      <c r="E47" s="792">
        <v>20</v>
      </c>
      <c r="F47" s="792"/>
      <c r="G47" s="783">
        <f t="shared" si="13"/>
        <v>60</v>
      </c>
      <c r="H47" s="783">
        <f t="shared" si="12"/>
        <v>60</v>
      </c>
      <c r="I47" s="1996"/>
      <c r="J47" s="1990">
        <v>0.84699999999999998</v>
      </c>
      <c r="K47" s="1980">
        <f t="shared" si="14"/>
        <v>50.82</v>
      </c>
      <c r="L47" s="1980"/>
      <c r="M47" s="1983"/>
      <c r="N47" s="1972"/>
      <c r="O47" s="1972"/>
      <c r="P47" s="1972"/>
      <c r="Q47" s="1979"/>
      <c r="R47" s="1979"/>
      <c r="S47" s="1979"/>
      <c r="T47" s="1979"/>
    </row>
    <row r="48" spans="1:20" s="727" customFormat="1" ht="12.75" x14ac:dyDescent="0.2">
      <c r="A48" s="728"/>
      <c r="B48" s="729" t="s">
        <v>670</v>
      </c>
      <c r="C48" s="790" t="s">
        <v>653</v>
      </c>
      <c r="D48" s="797">
        <v>3</v>
      </c>
      <c r="E48" s="792">
        <v>6.5</v>
      </c>
      <c r="F48" s="792"/>
      <c r="G48" s="783">
        <f t="shared" si="13"/>
        <v>19.5</v>
      </c>
      <c r="H48" s="783">
        <f t="shared" si="12"/>
        <v>19.5</v>
      </c>
      <c r="I48" s="1996"/>
      <c r="J48" s="1990">
        <v>0.84699999999999998</v>
      </c>
      <c r="K48" s="1980">
        <f t="shared" si="14"/>
        <v>16.516500000000001</v>
      </c>
      <c r="L48" s="1980"/>
      <c r="M48" s="1983"/>
      <c r="N48" s="1972"/>
      <c r="O48" s="1972"/>
      <c r="P48" s="1972"/>
      <c r="Q48" s="1979"/>
      <c r="R48" s="1979"/>
      <c r="S48" s="1979"/>
      <c r="T48" s="1979"/>
    </row>
    <row r="49" spans="1:20" s="727" customFormat="1" ht="12.75" x14ac:dyDescent="0.2">
      <c r="A49" s="728"/>
      <c r="B49" s="729" t="s">
        <v>671</v>
      </c>
      <c r="C49" s="790" t="s">
        <v>672</v>
      </c>
      <c r="D49" s="797">
        <v>25</v>
      </c>
      <c r="E49" s="792">
        <v>0.5</v>
      </c>
      <c r="F49" s="792"/>
      <c r="G49" s="783">
        <f t="shared" si="13"/>
        <v>12.5</v>
      </c>
      <c r="H49" s="783">
        <f t="shared" si="12"/>
        <v>12.5</v>
      </c>
      <c r="I49" s="1996"/>
      <c r="J49" s="1990">
        <v>0.84699999999999998</v>
      </c>
      <c r="K49" s="1980">
        <f t="shared" si="14"/>
        <v>10.5875</v>
      </c>
      <c r="L49" s="1980"/>
      <c r="M49" s="1983"/>
      <c r="N49" s="1972"/>
      <c r="O49" s="1972"/>
      <c r="P49" s="1972"/>
      <c r="Q49" s="1979"/>
      <c r="R49" s="1979"/>
      <c r="S49" s="1979"/>
      <c r="T49" s="1979"/>
    </row>
    <row r="50" spans="1:20" s="727" customFormat="1" ht="12.75" x14ac:dyDescent="0.2">
      <c r="A50" s="728"/>
      <c r="B50" s="729" t="s">
        <v>673</v>
      </c>
      <c r="C50" s="790" t="s">
        <v>653</v>
      </c>
      <c r="D50" s="797">
        <v>25</v>
      </c>
      <c r="E50" s="792">
        <v>1.5</v>
      </c>
      <c r="F50" s="792"/>
      <c r="G50" s="783">
        <f t="shared" si="13"/>
        <v>37.5</v>
      </c>
      <c r="H50" s="783">
        <f t="shared" si="12"/>
        <v>37.5</v>
      </c>
      <c r="I50" s="1996"/>
      <c r="J50" s="1990">
        <v>0.84699999999999998</v>
      </c>
      <c r="K50" s="1980">
        <f t="shared" si="14"/>
        <v>31.762499999999999</v>
      </c>
      <c r="L50" s="1980"/>
      <c r="M50" s="1983"/>
      <c r="N50" s="1972"/>
      <c r="O50" s="1972"/>
      <c r="P50" s="1972"/>
      <c r="Q50" s="1979"/>
      <c r="R50" s="1979"/>
      <c r="S50" s="1979"/>
      <c r="T50" s="1979"/>
    </row>
    <row r="51" spans="1:20" s="727" customFormat="1" ht="12.75" x14ac:dyDescent="0.2">
      <c r="A51" s="728"/>
      <c r="B51" s="729" t="s">
        <v>674</v>
      </c>
      <c r="C51" s="790" t="s">
        <v>675</v>
      </c>
      <c r="D51" s="797">
        <v>3</v>
      </c>
      <c r="E51" s="792">
        <v>18</v>
      </c>
      <c r="F51" s="792"/>
      <c r="G51" s="783">
        <f t="shared" si="13"/>
        <v>54</v>
      </c>
      <c r="H51" s="783">
        <f t="shared" si="12"/>
        <v>54</v>
      </c>
      <c r="I51" s="1996"/>
      <c r="J51" s="1990">
        <v>0.84699999999999998</v>
      </c>
      <c r="K51" s="1980">
        <f t="shared" si="14"/>
        <v>45.738</v>
      </c>
      <c r="L51" s="1980"/>
      <c r="M51" s="1983"/>
      <c r="N51" s="1972"/>
      <c r="O51" s="1972"/>
      <c r="P51" s="1972"/>
      <c r="Q51" s="1979"/>
      <c r="R51" s="1979"/>
      <c r="S51" s="1979"/>
      <c r="T51" s="1979"/>
    </row>
    <row r="52" spans="1:20" s="727" customFormat="1" ht="12.75" x14ac:dyDescent="0.2">
      <c r="A52" s="728"/>
      <c r="B52" s="729" t="s">
        <v>676</v>
      </c>
      <c r="C52" s="790" t="s">
        <v>677</v>
      </c>
      <c r="D52" s="797">
        <v>3</v>
      </c>
      <c r="E52" s="792">
        <v>3</v>
      </c>
      <c r="F52" s="792"/>
      <c r="G52" s="783">
        <f t="shared" si="13"/>
        <v>9</v>
      </c>
      <c r="H52" s="783">
        <f t="shared" si="12"/>
        <v>9</v>
      </c>
      <c r="I52" s="1996"/>
      <c r="J52" s="1990">
        <v>0.84699999999999998</v>
      </c>
      <c r="K52" s="1980">
        <f t="shared" si="14"/>
        <v>7.6229999999999993</v>
      </c>
      <c r="L52" s="1980"/>
      <c r="M52" s="1983"/>
      <c r="N52" s="1972"/>
      <c r="O52" s="1972"/>
      <c r="P52" s="1972"/>
      <c r="Q52" s="1979"/>
      <c r="R52" s="1979"/>
      <c r="S52" s="1979"/>
      <c r="T52" s="1979"/>
    </row>
    <row r="53" spans="1:20" s="727" customFormat="1" ht="12.75" x14ac:dyDescent="0.2">
      <c r="A53" s="728"/>
      <c r="B53" s="729" t="s">
        <v>678</v>
      </c>
      <c r="C53" s="790" t="s">
        <v>653</v>
      </c>
      <c r="D53" s="797">
        <v>3</v>
      </c>
      <c r="E53" s="792">
        <v>5</v>
      </c>
      <c r="F53" s="792"/>
      <c r="G53" s="783">
        <f t="shared" si="13"/>
        <v>15</v>
      </c>
      <c r="H53" s="783">
        <f t="shared" si="12"/>
        <v>15</v>
      </c>
      <c r="I53" s="1996"/>
      <c r="J53" s="1990">
        <v>0.84699999999999998</v>
      </c>
      <c r="K53" s="1980">
        <f t="shared" si="14"/>
        <v>12.705</v>
      </c>
      <c r="L53" s="1980"/>
      <c r="M53" s="1983"/>
      <c r="N53" s="1972"/>
      <c r="O53" s="1972"/>
      <c r="P53" s="1972"/>
      <c r="Q53" s="1979"/>
      <c r="R53" s="1979"/>
      <c r="S53" s="1979"/>
      <c r="T53" s="1979"/>
    </row>
    <row r="54" spans="1:20" s="727" customFormat="1" ht="12.75" x14ac:dyDescent="0.2">
      <c r="A54" s="728"/>
      <c r="B54" s="729" t="s">
        <v>679</v>
      </c>
      <c r="C54" s="790" t="s">
        <v>653</v>
      </c>
      <c r="D54" s="797">
        <v>3</v>
      </c>
      <c r="E54" s="792">
        <v>4</v>
      </c>
      <c r="F54" s="792"/>
      <c r="G54" s="783">
        <f t="shared" si="13"/>
        <v>12</v>
      </c>
      <c r="H54" s="783">
        <f t="shared" si="12"/>
        <v>12</v>
      </c>
      <c r="I54" s="1996"/>
      <c r="J54" s="1990">
        <v>0.84699999999999998</v>
      </c>
      <c r="K54" s="1980">
        <f t="shared" si="14"/>
        <v>10.164</v>
      </c>
      <c r="L54" s="1980"/>
      <c r="M54" s="1983"/>
      <c r="N54" s="1972"/>
      <c r="O54" s="1972"/>
      <c r="P54" s="1972"/>
      <c r="Q54" s="1979"/>
      <c r="R54" s="1979"/>
      <c r="S54" s="1979"/>
      <c r="T54" s="1979"/>
    </row>
    <row r="55" spans="1:20" s="727" customFormat="1" ht="12.75" x14ac:dyDescent="0.2">
      <c r="A55" s="728"/>
      <c r="B55" s="729" t="s">
        <v>680</v>
      </c>
      <c r="C55" s="790" t="s">
        <v>667</v>
      </c>
      <c r="D55" s="797">
        <v>1</v>
      </c>
      <c r="E55" s="792">
        <v>20</v>
      </c>
      <c r="F55" s="792"/>
      <c r="G55" s="783">
        <f t="shared" si="13"/>
        <v>20</v>
      </c>
      <c r="H55" s="783">
        <f t="shared" si="12"/>
        <v>20</v>
      </c>
      <c r="I55" s="1996"/>
      <c r="J55" s="1990">
        <v>0.84699999999999998</v>
      </c>
      <c r="K55" s="1980">
        <f t="shared" si="14"/>
        <v>16.939999999999998</v>
      </c>
      <c r="L55" s="1980"/>
      <c r="M55" s="1983"/>
      <c r="N55" s="1972"/>
      <c r="O55" s="1972"/>
      <c r="P55" s="1972"/>
      <c r="Q55" s="1979"/>
      <c r="R55" s="1979"/>
      <c r="S55" s="1979"/>
      <c r="T55" s="1979"/>
    </row>
    <row r="56" spans="1:20" s="727" customFormat="1" ht="12.75" x14ac:dyDescent="0.2">
      <c r="A56" s="728"/>
      <c r="B56" s="729" t="s">
        <v>681</v>
      </c>
      <c r="C56" s="790" t="s">
        <v>667</v>
      </c>
      <c r="D56" s="797">
        <v>1</v>
      </c>
      <c r="E56" s="792">
        <v>20</v>
      </c>
      <c r="F56" s="792"/>
      <c r="G56" s="783">
        <f t="shared" si="13"/>
        <v>20</v>
      </c>
      <c r="H56" s="783">
        <f t="shared" si="12"/>
        <v>20</v>
      </c>
      <c r="I56" s="1996"/>
      <c r="J56" s="1990">
        <v>0.84699999999999998</v>
      </c>
      <c r="K56" s="1980">
        <f t="shared" si="14"/>
        <v>16.939999999999998</v>
      </c>
      <c r="L56" s="1980"/>
      <c r="M56" s="1983"/>
      <c r="N56" s="1972"/>
      <c r="O56" s="1972"/>
      <c r="P56" s="1972"/>
      <c r="Q56" s="1979"/>
      <c r="R56" s="1979"/>
      <c r="S56" s="1979"/>
      <c r="T56" s="1979"/>
    </row>
    <row r="57" spans="1:20" s="727" customFormat="1" ht="12.75" x14ac:dyDescent="0.2">
      <c r="A57" s="728"/>
      <c r="B57" s="729" t="s">
        <v>682</v>
      </c>
      <c r="C57" s="790" t="s">
        <v>667</v>
      </c>
      <c r="D57" s="797">
        <v>1</v>
      </c>
      <c r="E57" s="792">
        <v>15</v>
      </c>
      <c r="F57" s="792"/>
      <c r="G57" s="783">
        <f t="shared" si="13"/>
        <v>15</v>
      </c>
      <c r="H57" s="783">
        <f t="shared" si="12"/>
        <v>15</v>
      </c>
      <c r="I57" s="1996"/>
      <c r="J57" s="1990">
        <v>0.84699999999999998</v>
      </c>
      <c r="K57" s="1980">
        <f t="shared" si="14"/>
        <v>12.705</v>
      </c>
      <c r="L57" s="1980"/>
      <c r="M57" s="1983"/>
      <c r="N57" s="1972"/>
      <c r="O57" s="1972"/>
      <c r="P57" s="1972"/>
      <c r="Q57" s="1979"/>
      <c r="R57" s="1979"/>
      <c r="S57" s="1979"/>
      <c r="T57" s="1979"/>
    </row>
    <row r="58" spans="1:20" s="727" customFormat="1" ht="12.75" x14ac:dyDescent="0.2">
      <c r="A58" s="728"/>
      <c r="B58" s="729" t="s">
        <v>683</v>
      </c>
      <c r="C58" s="790" t="s">
        <v>653</v>
      </c>
      <c r="D58" s="797">
        <v>1</v>
      </c>
      <c r="E58" s="792">
        <v>30</v>
      </c>
      <c r="F58" s="792"/>
      <c r="G58" s="783">
        <f t="shared" si="13"/>
        <v>30</v>
      </c>
      <c r="H58" s="783">
        <f t="shared" si="12"/>
        <v>30</v>
      </c>
      <c r="I58" s="1996"/>
      <c r="J58" s="1990">
        <v>0.84699999999999998</v>
      </c>
      <c r="K58" s="1980">
        <f t="shared" si="14"/>
        <v>25.41</v>
      </c>
      <c r="L58" s="1980"/>
      <c r="M58" s="1983"/>
      <c r="N58" s="1972"/>
      <c r="O58" s="1972"/>
      <c r="P58" s="1972"/>
      <c r="Q58" s="1979"/>
      <c r="R58" s="1979"/>
      <c r="S58" s="1979"/>
      <c r="T58" s="1979"/>
    </row>
    <row r="59" spans="1:20" s="727" customFormat="1" ht="12.75" x14ac:dyDescent="0.2">
      <c r="A59" s="728"/>
      <c r="B59" s="729" t="s">
        <v>684</v>
      </c>
      <c r="C59" s="790" t="s">
        <v>653</v>
      </c>
      <c r="D59" s="797">
        <v>1</v>
      </c>
      <c r="E59" s="792">
        <v>30</v>
      </c>
      <c r="F59" s="792"/>
      <c r="G59" s="783">
        <f t="shared" si="13"/>
        <v>30</v>
      </c>
      <c r="H59" s="783">
        <f t="shared" si="12"/>
        <v>30</v>
      </c>
      <c r="I59" s="1996"/>
      <c r="J59" s="1990">
        <v>0.84699999999999998</v>
      </c>
      <c r="K59" s="1980">
        <f t="shared" si="14"/>
        <v>25.41</v>
      </c>
      <c r="L59" s="1980"/>
      <c r="M59" s="1983"/>
      <c r="N59" s="1972"/>
      <c r="O59" s="1972"/>
      <c r="P59" s="1972"/>
      <c r="Q59" s="1979"/>
      <c r="R59" s="1979"/>
      <c r="S59" s="1979"/>
      <c r="T59" s="1979"/>
    </row>
    <row r="60" spans="1:20" s="727" customFormat="1" ht="12.75" x14ac:dyDescent="0.2">
      <c r="A60" s="728"/>
      <c r="B60" s="729" t="s">
        <v>685</v>
      </c>
      <c r="C60" s="790" t="s">
        <v>667</v>
      </c>
      <c r="D60" s="797">
        <v>1</v>
      </c>
      <c r="E60" s="792">
        <v>10</v>
      </c>
      <c r="F60" s="792"/>
      <c r="G60" s="783">
        <f t="shared" si="13"/>
        <v>10</v>
      </c>
      <c r="H60" s="783">
        <f t="shared" si="12"/>
        <v>10</v>
      </c>
      <c r="I60" s="1996"/>
      <c r="J60" s="1990">
        <v>0.84699999999999998</v>
      </c>
      <c r="K60" s="1980">
        <f t="shared" si="14"/>
        <v>8.4699999999999989</v>
      </c>
      <c r="L60" s="1980"/>
      <c r="M60" s="1983"/>
      <c r="N60" s="1972"/>
      <c r="O60" s="1972"/>
      <c r="P60" s="1972"/>
      <c r="Q60" s="1979"/>
      <c r="R60" s="1979"/>
      <c r="S60" s="1979"/>
      <c r="T60" s="1979"/>
    </row>
    <row r="61" spans="1:20" s="727" customFormat="1" ht="12.75" x14ac:dyDescent="0.2">
      <c r="A61" s="728"/>
      <c r="B61" s="729" t="s">
        <v>686</v>
      </c>
      <c r="C61" s="790" t="s">
        <v>687</v>
      </c>
      <c r="D61" s="797">
        <v>3</v>
      </c>
      <c r="E61" s="792">
        <v>35</v>
      </c>
      <c r="F61" s="792"/>
      <c r="G61" s="783">
        <f t="shared" si="13"/>
        <v>105</v>
      </c>
      <c r="H61" s="783">
        <f t="shared" si="12"/>
        <v>105</v>
      </c>
      <c r="I61" s="1996"/>
      <c r="J61" s="1990">
        <v>0.84699999999999998</v>
      </c>
      <c r="K61" s="1980">
        <f t="shared" si="14"/>
        <v>88.935000000000002</v>
      </c>
      <c r="L61" s="1980"/>
      <c r="M61" s="1983"/>
      <c r="N61" s="1972"/>
      <c r="O61" s="1972"/>
      <c r="P61" s="1972"/>
      <c r="Q61" s="1979"/>
      <c r="R61" s="1979"/>
      <c r="S61" s="1979"/>
      <c r="T61" s="1979"/>
    </row>
    <row r="62" spans="1:20" s="727" customFormat="1" ht="12.75" x14ac:dyDescent="0.2">
      <c r="A62" s="728"/>
      <c r="B62" s="729" t="s">
        <v>688</v>
      </c>
      <c r="C62" s="790" t="s">
        <v>689</v>
      </c>
      <c r="D62" s="797">
        <v>3</v>
      </c>
      <c r="E62" s="792">
        <v>32</v>
      </c>
      <c r="F62" s="792"/>
      <c r="G62" s="783">
        <f t="shared" si="13"/>
        <v>96</v>
      </c>
      <c r="H62" s="783">
        <f t="shared" si="12"/>
        <v>96</v>
      </c>
      <c r="I62" s="1996"/>
      <c r="J62" s="1990">
        <v>0.84699999999999998</v>
      </c>
      <c r="K62" s="1980">
        <f t="shared" si="14"/>
        <v>81.311999999999998</v>
      </c>
      <c r="L62" s="1980"/>
      <c r="M62" s="1983"/>
      <c r="N62" s="1972"/>
      <c r="O62" s="1972"/>
      <c r="P62" s="1972"/>
      <c r="Q62" s="1979"/>
      <c r="R62" s="1979"/>
      <c r="S62" s="1979"/>
      <c r="T62" s="1979"/>
    </row>
    <row r="63" spans="1:20" s="727" customFormat="1" ht="12.75" x14ac:dyDescent="0.2">
      <c r="A63" s="728"/>
      <c r="B63" s="729" t="s">
        <v>690</v>
      </c>
      <c r="C63" s="790" t="s">
        <v>691</v>
      </c>
      <c r="D63" s="797">
        <v>1</v>
      </c>
      <c r="E63" s="792">
        <v>8</v>
      </c>
      <c r="F63" s="792"/>
      <c r="G63" s="783">
        <f t="shared" si="13"/>
        <v>8</v>
      </c>
      <c r="H63" s="783">
        <f t="shared" si="12"/>
        <v>8</v>
      </c>
      <c r="I63" s="1996"/>
      <c r="J63" s="1990">
        <v>0.84699999999999998</v>
      </c>
      <c r="K63" s="1980">
        <f t="shared" si="14"/>
        <v>6.7759999999999998</v>
      </c>
      <c r="L63" s="1980"/>
      <c r="M63" s="1983"/>
      <c r="N63" s="1972"/>
      <c r="O63" s="1972"/>
      <c r="P63" s="1972"/>
      <c r="Q63" s="1979"/>
      <c r="R63" s="1979"/>
      <c r="S63" s="1979"/>
      <c r="T63" s="1979"/>
    </row>
    <row r="64" spans="1:20" s="727" customFormat="1" ht="12.75" x14ac:dyDescent="0.2">
      <c r="A64" s="728"/>
      <c r="B64" s="729" t="s">
        <v>692</v>
      </c>
      <c r="C64" s="790" t="s">
        <v>653</v>
      </c>
      <c r="D64" s="797">
        <v>3</v>
      </c>
      <c r="E64" s="792">
        <v>280</v>
      </c>
      <c r="F64" s="792"/>
      <c r="G64" s="783">
        <f t="shared" si="13"/>
        <v>840</v>
      </c>
      <c r="H64" s="783">
        <f t="shared" si="12"/>
        <v>840</v>
      </c>
      <c r="I64" s="1996"/>
      <c r="J64" s="1990">
        <v>0.84699999999999998</v>
      </c>
      <c r="K64" s="1980">
        <f t="shared" si="14"/>
        <v>711.48</v>
      </c>
      <c r="L64" s="1980"/>
      <c r="M64" s="1983"/>
      <c r="N64" s="1972"/>
      <c r="O64" s="1972"/>
      <c r="P64" s="1972"/>
      <c r="Q64" s="1979"/>
      <c r="R64" s="1979"/>
      <c r="S64" s="1979"/>
      <c r="T64" s="1979"/>
    </row>
    <row r="65" spans="1:20" s="720" customFormat="1" ht="12.75" x14ac:dyDescent="0.2">
      <c r="A65" s="777"/>
      <c r="B65" s="785" t="s">
        <v>1756</v>
      </c>
      <c r="C65" s="798"/>
      <c r="D65" s="799"/>
      <c r="E65" s="800"/>
      <c r="F65" s="801"/>
      <c r="G65" s="800"/>
      <c r="H65" s="800">
        <f>SUM(H66:H70)</f>
        <v>1825</v>
      </c>
      <c r="I65" s="1991"/>
      <c r="J65" s="1997"/>
      <c r="K65" s="1993"/>
      <c r="L65" s="1980">
        <f>SUM(K66:K70)</f>
        <v>1545.7749999999999</v>
      </c>
      <c r="M65" s="1992"/>
      <c r="N65" s="1994"/>
      <c r="O65" s="1994"/>
      <c r="P65" s="1994"/>
      <c r="Q65" s="1995"/>
      <c r="R65" s="1995"/>
      <c r="S65" s="1995"/>
      <c r="T65" s="1995"/>
    </row>
    <row r="66" spans="1:20" s="727" customFormat="1" ht="12.75" x14ac:dyDescent="0.2">
      <c r="A66" s="728"/>
      <c r="B66" s="729" t="s">
        <v>1094</v>
      </c>
      <c r="C66" s="790" t="s">
        <v>653</v>
      </c>
      <c r="D66" s="804">
        <v>5</v>
      </c>
      <c r="E66" s="792">
        <v>70</v>
      </c>
      <c r="F66" s="792"/>
      <c r="G66" s="783">
        <f>D66*E66</f>
        <v>350</v>
      </c>
      <c r="H66" s="783">
        <f>F66+G66</f>
        <v>350</v>
      </c>
      <c r="I66" s="1996"/>
      <c r="J66" s="1990">
        <v>0.84699999999999998</v>
      </c>
      <c r="K66" s="1980">
        <f t="shared" ref="K66:K70" si="15">+H66*J66</f>
        <v>296.45</v>
      </c>
      <c r="L66" s="1980"/>
      <c r="M66" s="1983"/>
      <c r="N66" s="1972"/>
      <c r="O66" s="1972"/>
      <c r="P66" s="1972"/>
      <c r="Q66" s="1979"/>
      <c r="R66" s="1979"/>
      <c r="S66" s="1979"/>
      <c r="T66" s="1979"/>
    </row>
    <row r="67" spans="1:20" s="727" customFormat="1" ht="12.75" x14ac:dyDescent="0.2">
      <c r="A67" s="728"/>
      <c r="B67" s="729" t="s">
        <v>708</v>
      </c>
      <c r="C67" s="790" t="s">
        <v>653</v>
      </c>
      <c r="D67" s="804">
        <v>5</v>
      </c>
      <c r="E67" s="792">
        <v>20</v>
      </c>
      <c r="F67" s="792"/>
      <c r="G67" s="783">
        <f t="shared" ref="G67:G70" si="16">D67*E67</f>
        <v>100</v>
      </c>
      <c r="H67" s="783">
        <f>F67+G67</f>
        <v>100</v>
      </c>
      <c r="I67" s="1996"/>
      <c r="J67" s="1990">
        <v>0.84699999999999998</v>
      </c>
      <c r="K67" s="1980">
        <f t="shared" si="15"/>
        <v>84.7</v>
      </c>
      <c r="L67" s="1980"/>
      <c r="M67" s="1983"/>
      <c r="N67" s="1972"/>
      <c r="O67" s="1972"/>
      <c r="P67" s="1972"/>
      <c r="Q67" s="1979"/>
      <c r="R67" s="1979"/>
      <c r="S67" s="1979"/>
      <c r="T67" s="1979"/>
    </row>
    <row r="68" spans="1:20" s="727" customFormat="1" ht="12.75" x14ac:dyDescent="0.2">
      <c r="A68" s="728"/>
      <c r="B68" s="729" t="s">
        <v>709</v>
      </c>
      <c r="C68" s="790" t="s">
        <v>653</v>
      </c>
      <c r="D68" s="804">
        <v>5</v>
      </c>
      <c r="E68" s="792">
        <v>70</v>
      </c>
      <c r="F68" s="792"/>
      <c r="G68" s="783">
        <f t="shared" si="16"/>
        <v>350</v>
      </c>
      <c r="H68" s="783">
        <f>F68+G68</f>
        <v>350</v>
      </c>
      <c r="I68" s="1996"/>
      <c r="J68" s="1990">
        <v>0.84699999999999998</v>
      </c>
      <c r="K68" s="1980">
        <f t="shared" si="15"/>
        <v>296.45</v>
      </c>
      <c r="L68" s="1980"/>
      <c r="M68" s="1983"/>
      <c r="N68" s="1972"/>
      <c r="O68" s="1972"/>
      <c r="P68" s="1972"/>
      <c r="Q68" s="1979"/>
      <c r="R68" s="1979"/>
      <c r="S68" s="1979"/>
      <c r="T68" s="1979"/>
    </row>
    <row r="69" spans="1:20" s="727" customFormat="1" ht="12.75" x14ac:dyDescent="0.2">
      <c r="A69" s="728"/>
      <c r="B69" s="729" t="s">
        <v>710</v>
      </c>
      <c r="C69" s="790" t="s">
        <v>653</v>
      </c>
      <c r="D69" s="804">
        <v>5</v>
      </c>
      <c r="E69" s="792">
        <v>180</v>
      </c>
      <c r="F69" s="792"/>
      <c r="G69" s="783">
        <f t="shared" si="16"/>
        <v>900</v>
      </c>
      <c r="H69" s="783">
        <f>F69+G69</f>
        <v>900</v>
      </c>
      <c r="I69" s="1996"/>
      <c r="J69" s="1990">
        <v>0.84699999999999998</v>
      </c>
      <c r="K69" s="1980">
        <f t="shared" si="15"/>
        <v>762.3</v>
      </c>
      <c r="L69" s="1980"/>
      <c r="M69" s="1983"/>
      <c r="N69" s="1972"/>
      <c r="O69" s="1972"/>
      <c r="P69" s="1972"/>
      <c r="Q69" s="1998"/>
      <c r="R69" s="1979"/>
      <c r="S69" s="1979"/>
      <c r="T69" s="1979"/>
    </row>
    <row r="70" spans="1:20" s="727" customFormat="1" ht="12.75" x14ac:dyDescent="0.2">
      <c r="A70" s="728"/>
      <c r="B70" s="729" t="s">
        <v>711</v>
      </c>
      <c r="C70" s="790" t="s">
        <v>653</v>
      </c>
      <c r="D70" s="804">
        <v>5</v>
      </c>
      <c r="E70" s="792">
        <v>25</v>
      </c>
      <c r="F70" s="792"/>
      <c r="G70" s="783">
        <f t="shared" si="16"/>
        <v>125</v>
      </c>
      <c r="H70" s="783">
        <f>F70+G70</f>
        <v>125</v>
      </c>
      <c r="I70" s="1996"/>
      <c r="J70" s="1990">
        <v>0.84699999999999998</v>
      </c>
      <c r="K70" s="1980">
        <f t="shared" si="15"/>
        <v>105.875</v>
      </c>
      <c r="L70" s="1980"/>
      <c r="M70" s="1983"/>
      <c r="N70" s="1972"/>
      <c r="O70" s="1972"/>
      <c r="P70" s="1972"/>
      <c r="Q70" s="1998"/>
      <c r="R70" s="1979"/>
      <c r="S70" s="1979"/>
      <c r="T70" s="1979"/>
    </row>
    <row r="71" spans="1:20" s="727" customFormat="1" ht="12.75" x14ac:dyDescent="0.2">
      <c r="A71" s="777"/>
      <c r="B71" s="785" t="s">
        <v>1757</v>
      </c>
      <c r="C71" s="786"/>
      <c r="D71" s="805"/>
      <c r="E71" s="788"/>
      <c r="F71" s="789"/>
      <c r="G71" s="800"/>
      <c r="H71" s="800">
        <f>SUM(H72:H73)</f>
        <v>1575</v>
      </c>
      <c r="I71" s="1996"/>
      <c r="J71" s="1999"/>
      <c r="K71" s="1980"/>
      <c r="L71" s="1980">
        <f>SUM(K72:K73)</f>
        <v>1039.5</v>
      </c>
      <c r="M71" s="1983"/>
      <c r="N71" s="1972"/>
      <c r="O71" s="1972"/>
      <c r="P71" s="1972"/>
      <c r="Q71" s="1998"/>
      <c r="R71" s="1979"/>
      <c r="S71" s="1979"/>
      <c r="T71" s="1979"/>
    </row>
    <row r="72" spans="1:20" s="727" customFormat="1" ht="12.75" x14ac:dyDescent="0.2">
      <c r="A72" s="728"/>
      <c r="B72" s="729" t="s">
        <v>1157</v>
      </c>
      <c r="C72" s="794" t="s">
        <v>712</v>
      </c>
      <c r="D72" s="804">
        <v>25</v>
      </c>
      <c r="E72" s="792">
        <v>15</v>
      </c>
      <c r="F72" s="792"/>
      <c r="G72" s="783">
        <f>D72*E72</f>
        <v>375</v>
      </c>
      <c r="H72" s="783">
        <f>F72+G72</f>
        <v>375</v>
      </c>
      <c r="I72" s="1996"/>
      <c r="J72" s="1999">
        <v>0.66</v>
      </c>
      <c r="K72" s="1980">
        <f>+H72*J72</f>
        <v>247.5</v>
      </c>
      <c r="L72" s="1980"/>
      <c r="M72" s="1983"/>
      <c r="N72" s="1972"/>
      <c r="O72" s="1972"/>
      <c r="P72" s="1972"/>
      <c r="Q72" s="1998"/>
      <c r="R72" s="1979"/>
      <c r="S72" s="1979"/>
      <c r="T72" s="1979"/>
    </row>
    <row r="73" spans="1:20" ht="12.75" x14ac:dyDescent="0.2">
      <c r="B73" s="729" t="s">
        <v>713</v>
      </c>
      <c r="C73" s="794" t="s">
        <v>712</v>
      </c>
      <c r="D73" s="804">
        <v>10</v>
      </c>
      <c r="E73" s="792">
        <v>120</v>
      </c>
      <c r="G73" s="783">
        <f>D73*E73</f>
        <v>1200</v>
      </c>
      <c r="H73" s="783">
        <f>F73+G73</f>
        <v>1200</v>
      </c>
      <c r="I73" s="1968"/>
      <c r="J73" s="1999">
        <v>0.66</v>
      </c>
      <c r="K73" s="1980">
        <f>+H73*J73</f>
        <v>792</v>
      </c>
      <c r="L73" s="2000"/>
      <c r="M73" s="1968"/>
      <c r="N73" s="2001"/>
      <c r="O73" s="2001"/>
      <c r="P73" s="2001"/>
      <c r="Q73" s="2001"/>
      <c r="R73" s="1968"/>
      <c r="S73" s="1968"/>
      <c r="T73" s="1968"/>
    </row>
    <row r="74" spans="1:20" s="727" customFormat="1" ht="17.25" customHeight="1" x14ac:dyDescent="0.2">
      <c r="A74" s="777"/>
      <c r="B74" s="778" t="s">
        <v>1761</v>
      </c>
      <c r="C74" s="779"/>
      <c r="D74" s="780"/>
      <c r="E74" s="781"/>
      <c r="F74" s="781"/>
      <c r="G74" s="793"/>
      <c r="H74" s="793">
        <f>SUM(H75:H76)</f>
        <v>10500</v>
      </c>
      <c r="I74" s="1972"/>
      <c r="J74" s="1972"/>
      <c r="K74" s="1980"/>
      <c r="L74" s="1980">
        <f>SUM(K75:K76)</f>
        <v>9555</v>
      </c>
      <c r="M74" s="1972"/>
      <c r="N74" s="1976"/>
      <c r="O74" s="1976"/>
      <c r="P74" s="1972"/>
      <c r="Q74" s="1998"/>
      <c r="R74" s="1979"/>
      <c r="S74" s="1979"/>
      <c r="T74" s="1979"/>
    </row>
    <row r="75" spans="1:20" s="727" customFormat="1" ht="15" customHeight="1" x14ac:dyDescent="0.2">
      <c r="A75" s="728"/>
      <c r="B75" s="782" t="s">
        <v>652</v>
      </c>
      <c r="C75" s="739" t="s">
        <v>638</v>
      </c>
      <c r="D75" s="731">
        <v>1</v>
      </c>
      <c r="E75" s="732">
        <v>500</v>
      </c>
      <c r="F75" s="734"/>
      <c r="G75" s="783">
        <f>D75*E75</f>
        <v>500</v>
      </c>
      <c r="H75" s="783">
        <f>F75+G75</f>
        <v>500</v>
      </c>
      <c r="I75" s="1972"/>
      <c r="J75" s="1983">
        <v>0.91</v>
      </c>
      <c r="K75" s="1980">
        <f>+H75*J75</f>
        <v>455</v>
      </c>
      <c r="L75" s="1980"/>
      <c r="M75" s="1983"/>
      <c r="N75" s="2002"/>
      <c r="O75" s="1973"/>
      <c r="P75" s="1972"/>
      <c r="Q75" s="1998"/>
      <c r="R75" s="1979"/>
      <c r="S75" s="1979"/>
      <c r="T75" s="1979"/>
    </row>
    <row r="76" spans="1:20" s="727" customFormat="1" ht="15" customHeight="1" x14ac:dyDescent="0.2">
      <c r="A76" s="784"/>
      <c r="B76" s="782" t="s">
        <v>899</v>
      </c>
      <c r="C76" s="739" t="s">
        <v>643</v>
      </c>
      <c r="D76" s="731">
        <v>20</v>
      </c>
      <c r="E76" s="732">
        <v>500</v>
      </c>
      <c r="F76" s="734"/>
      <c r="G76" s="783">
        <f t="shared" ref="G76" si="17">D76*E76</f>
        <v>10000</v>
      </c>
      <c r="H76" s="783">
        <f t="shared" ref="H76" si="18">F76+G76</f>
        <v>10000</v>
      </c>
      <c r="I76" s="1972"/>
      <c r="J76" s="1983">
        <v>0.91</v>
      </c>
      <c r="K76" s="1980">
        <f t="shared" ref="K76" si="19">+H76*J76</f>
        <v>9100</v>
      </c>
      <c r="L76" s="1980"/>
      <c r="M76" s="1983"/>
      <c r="N76" s="2002"/>
      <c r="O76" s="1973"/>
      <c r="P76" s="1972"/>
      <c r="Q76" s="1998"/>
      <c r="R76" s="1979"/>
      <c r="S76" s="1979"/>
      <c r="T76" s="1979"/>
    </row>
    <row r="77" spans="1:20" s="727" customFormat="1" ht="17.25" customHeight="1" x14ac:dyDescent="0.2">
      <c r="A77" s="777"/>
      <c r="B77" s="778" t="s">
        <v>1763</v>
      </c>
      <c r="C77" s="779"/>
      <c r="D77" s="780"/>
      <c r="E77" s="781"/>
      <c r="F77" s="781"/>
      <c r="G77" s="793"/>
      <c r="H77" s="793">
        <f>SUM(H78:H80)</f>
        <v>207794.75</v>
      </c>
      <c r="I77" s="1972"/>
      <c r="J77" s="1972"/>
      <c r="K77" s="1980"/>
      <c r="L77" s="1980">
        <f>SUM(K78:K80)</f>
        <v>189093.2225</v>
      </c>
      <c r="M77" s="1972"/>
      <c r="N77" s="1976"/>
      <c r="O77" s="1976"/>
      <c r="P77" s="1972"/>
      <c r="Q77" s="1998"/>
      <c r="R77" s="1979"/>
      <c r="S77" s="1979"/>
      <c r="T77" s="1979"/>
    </row>
    <row r="78" spans="1:20" s="727" customFormat="1" ht="15" customHeight="1" x14ac:dyDescent="0.2">
      <c r="A78" s="728"/>
      <c r="B78" s="782" t="s">
        <v>1751</v>
      </c>
      <c r="C78" s="739" t="s">
        <v>643</v>
      </c>
      <c r="D78" s="731">
        <v>20</v>
      </c>
      <c r="E78" s="732">
        <v>5554.75</v>
      </c>
      <c r="F78" s="734"/>
      <c r="G78" s="783">
        <f>D78*E78</f>
        <v>111095</v>
      </c>
      <c r="H78" s="783">
        <f>F78+G78</f>
        <v>111095</v>
      </c>
      <c r="I78" s="1972"/>
      <c r="J78" s="1983">
        <v>0.91</v>
      </c>
      <c r="K78" s="1980">
        <f>+H78*J78</f>
        <v>101096.45</v>
      </c>
      <c r="L78" s="1980"/>
      <c r="M78" s="1983"/>
      <c r="N78" s="2002"/>
      <c r="O78" s="1973"/>
      <c r="P78" s="1972"/>
      <c r="Q78" s="1998"/>
      <c r="R78" s="1979"/>
      <c r="S78" s="1979"/>
      <c r="T78" s="1979"/>
    </row>
    <row r="79" spans="1:20" s="727" customFormat="1" ht="15" customHeight="1" x14ac:dyDescent="0.2">
      <c r="A79" s="784"/>
      <c r="B79" s="782" t="s">
        <v>639</v>
      </c>
      <c r="C79" s="739" t="s">
        <v>643</v>
      </c>
      <c r="D79" s="731">
        <v>5</v>
      </c>
      <c r="E79" s="732">
        <v>4236.75</v>
      </c>
      <c r="F79" s="734"/>
      <c r="G79" s="783">
        <f t="shared" ref="G79:G80" si="20">D79*E79</f>
        <v>21183.75</v>
      </c>
      <c r="H79" s="783">
        <f t="shared" ref="H79:H80" si="21">F79+G79</f>
        <v>21183.75</v>
      </c>
      <c r="I79" s="1972"/>
      <c r="J79" s="1983">
        <v>0.91</v>
      </c>
      <c r="K79" s="1980">
        <f t="shared" ref="K79:K80" si="22">+H79*J79</f>
        <v>19277.212500000001</v>
      </c>
      <c r="L79" s="1980"/>
      <c r="M79" s="1983"/>
      <c r="N79" s="2002"/>
      <c r="O79" s="1973"/>
      <c r="P79" s="1972"/>
      <c r="Q79" s="1998"/>
      <c r="R79" s="1979"/>
      <c r="S79" s="1979"/>
      <c r="T79" s="1979"/>
    </row>
    <row r="80" spans="1:20" s="727" customFormat="1" ht="15" customHeight="1" x14ac:dyDescent="0.2">
      <c r="A80" s="728"/>
      <c r="B80" s="782" t="s">
        <v>640</v>
      </c>
      <c r="C80" s="739" t="s">
        <v>643</v>
      </c>
      <c r="D80" s="731">
        <v>20</v>
      </c>
      <c r="E80" s="732">
        <v>3775.8</v>
      </c>
      <c r="F80" s="734"/>
      <c r="G80" s="783">
        <f t="shared" si="20"/>
        <v>75516</v>
      </c>
      <c r="H80" s="783">
        <f t="shared" si="21"/>
        <v>75516</v>
      </c>
      <c r="I80" s="1972"/>
      <c r="J80" s="1983">
        <v>0.91</v>
      </c>
      <c r="K80" s="1980">
        <f t="shared" si="22"/>
        <v>68719.56</v>
      </c>
      <c r="L80" s="1980"/>
      <c r="M80" s="1983"/>
      <c r="N80" s="2002"/>
      <c r="O80" s="1973"/>
      <c r="P80" s="1972"/>
      <c r="Q80" s="1998"/>
      <c r="R80" s="1979"/>
      <c r="S80" s="1979"/>
      <c r="T80" s="1979"/>
    </row>
    <row r="81" spans="1:20" s="727" customFormat="1" ht="17.25" customHeight="1" x14ac:dyDescent="0.2">
      <c r="A81" s="777"/>
      <c r="B81" s="778" t="s">
        <v>1764</v>
      </c>
      <c r="C81" s="779"/>
      <c r="D81" s="780"/>
      <c r="E81" s="781"/>
      <c r="F81" s="781"/>
      <c r="G81" s="793"/>
      <c r="H81" s="793">
        <f>SUM(H82:H84)</f>
        <v>33705.25</v>
      </c>
      <c r="I81" s="1972"/>
      <c r="J81" s="1972"/>
      <c r="K81" s="1980"/>
      <c r="L81" s="1980">
        <f>SUM(K82:K84)</f>
        <v>30671.777499999997</v>
      </c>
      <c r="M81" s="1972"/>
      <c r="N81" s="1976"/>
      <c r="O81" s="1976"/>
      <c r="P81" s="1972"/>
      <c r="Q81" s="1998"/>
      <c r="R81" s="1979"/>
      <c r="S81" s="1979"/>
      <c r="T81" s="1979"/>
    </row>
    <row r="82" spans="1:20" s="727" customFormat="1" ht="15" customHeight="1" x14ac:dyDescent="0.2">
      <c r="A82" s="728"/>
      <c r="B82" s="782" t="s">
        <v>1751</v>
      </c>
      <c r="C82" s="739" t="s">
        <v>643</v>
      </c>
      <c r="D82" s="1405">
        <v>20</v>
      </c>
      <c r="E82" s="1406">
        <v>945.25</v>
      </c>
      <c r="F82" s="734"/>
      <c r="G82" s="783">
        <f>D82*E82</f>
        <v>18905</v>
      </c>
      <c r="H82" s="783">
        <f>F82+G82</f>
        <v>18905</v>
      </c>
      <c r="I82" s="1972"/>
      <c r="J82" s="1983">
        <v>0.91</v>
      </c>
      <c r="K82" s="1980">
        <f>+H82*J82</f>
        <v>17203.55</v>
      </c>
      <c r="L82" s="1980"/>
      <c r="M82" s="1983"/>
      <c r="N82" s="2002"/>
      <c r="O82" s="1973"/>
      <c r="P82" s="1972"/>
      <c r="Q82" s="1998"/>
      <c r="R82" s="1979"/>
      <c r="S82" s="1979"/>
      <c r="T82" s="1979"/>
    </row>
    <row r="83" spans="1:20" s="727" customFormat="1" ht="15" customHeight="1" x14ac:dyDescent="0.2">
      <c r="A83" s="784"/>
      <c r="B83" s="782" t="s">
        <v>639</v>
      </c>
      <c r="C83" s="739" t="s">
        <v>643</v>
      </c>
      <c r="D83" s="1405">
        <v>5</v>
      </c>
      <c r="E83" s="1406">
        <v>663.25</v>
      </c>
      <c r="F83" s="734"/>
      <c r="G83" s="783">
        <f t="shared" ref="G83:G84" si="23">D83*E83</f>
        <v>3316.25</v>
      </c>
      <c r="H83" s="783">
        <f t="shared" ref="H83:H84" si="24">F83+G83</f>
        <v>3316.25</v>
      </c>
      <c r="I83" s="1972"/>
      <c r="J83" s="1983">
        <v>0.91</v>
      </c>
      <c r="K83" s="1980">
        <f t="shared" ref="K83:K84" si="25">+H83*J83</f>
        <v>3017.7874999999999</v>
      </c>
      <c r="L83" s="1980"/>
      <c r="M83" s="1983"/>
      <c r="N83" s="2002"/>
      <c r="O83" s="1973"/>
      <c r="P83" s="1972"/>
      <c r="Q83" s="1998"/>
      <c r="R83" s="1979"/>
      <c r="S83" s="1979"/>
      <c r="T83" s="1979"/>
    </row>
    <row r="84" spans="1:20" s="727" customFormat="1" ht="15" customHeight="1" x14ac:dyDescent="0.2">
      <c r="A84" s="728"/>
      <c r="B84" s="782" t="s">
        <v>640</v>
      </c>
      <c r="C84" s="739" t="s">
        <v>643</v>
      </c>
      <c r="D84" s="1405">
        <v>20</v>
      </c>
      <c r="E84" s="1406">
        <v>574.20000000000005</v>
      </c>
      <c r="F84" s="734"/>
      <c r="G84" s="783">
        <f t="shared" si="23"/>
        <v>11484</v>
      </c>
      <c r="H84" s="783">
        <f t="shared" si="24"/>
        <v>11484</v>
      </c>
      <c r="I84" s="1972"/>
      <c r="J84" s="1983">
        <v>0.91</v>
      </c>
      <c r="K84" s="1980">
        <f t="shared" si="25"/>
        <v>10450.44</v>
      </c>
      <c r="L84" s="1980"/>
      <c r="M84" s="1983"/>
      <c r="N84" s="2002"/>
      <c r="O84" s="1973"/>
      <c r="P84" s="1972"/>
      <c r="Q84" s="1998"/>
      <c r="R84" s="1979"/>
      <c r="S84" s="1979"/>
      <c r="T84" s="1979"/>
    </row>
    <row r="85" spans="1:20" s="727" customFormat="1" ht="15" customHeight="1" x14ac:dyDescent="0.2">
      <c r="A85" s="777"/>
      <c r="B85" s="778" t="s">
        <v>1765</v>
      </c>
      <c r="C85" s="779"/>
      <c r="D85" s="780"/>
      <c r="E85" s="781"/>
      <c r="F85" s="781"/>
      <c r="G85" s="793"/>
      <c r="H85" s="793">
        <f>SUM(H86:H88)</f>
        <v>4500</v>
      </c>
      <c r="I85" s="1972"/>
      <c r="J85" s="1983"/>
      <c r="K85" s="1980"/>
      <c r="L85" s="1980">
        <f>SUM(K86:K88)</f>
        <v>4095</v>
      </c>
      <c r="M85" s="1983"/>
      <c r="N85" s="1972"/>
      <c r="O85" s="1972"/>
      <c r="P85" s="1972"/>
      <c r="Q85" s="1998"/>
      <c r="R85" s="1979"/>
      <c r="S85" s="1979"/>
      <c r="T85" s="1979"/>
    </row>
    <row r="86" spans="1:20" s="727" customFormat="1" ht="15" customHeight="1" x14ac:dyDescent="0.2">
      <c r="A86" s="728"/>
      <c r="B86" s="782" t="s">
        <v>1751</v>
      </c>
      <c r="C86" s="739" t="s">
        <v>643</v>
      </c>
      <c r="D86" s="1405">
        <v>5</v>
      </c>
      <c r="E86" s="1406">
        <v>300</v>
      </c>
      <c r="F86" s="734"/>
      <c r="G86" s="783">
        <f>D86*E86</f>
        <v>1500</v>
      </c>
      <c r="H86" s="783">
        <f>F86+G86</f>
        <v>1500</v>
      </c>
      <c r="I86" s="1972"/>
      <c r="J86" s="1983">
        <v>0.91</v>
      </c>
      <c r="K86" s="1980">
        <f>+H86*J86</f>
        <v>1365</v>
      </c>
      <c r="L86" s="1980"/>
      <c r="M86" s="1983"/>
      <c r="N86" s="1972"/>
      <c r="O86" s="1972"/>
      <c r="P86" s="1972"/>
      <c r="Q86" s="1998"/>
      <c r="R86" s="1979"/>
      <c r="S86" s="1979"/>
      <c r="T86" s="1979"/>
    </row>
    <row r="87" spans="1:20" s="727" customFormat="1" ht="15" customHeight="1" x14ac:dyDescent="0.2">
      <c r="A87" s="784"/>
      <c r="B87" s="782" t="s">
        <v>639</v>
      </c>
      <c r="C87" s="739" t="s">
        <v>643</v>
      </c>
      <c r="D87" s="1405">
        <v>5</v>
      </c>
      <c r="E87" s="1406">
        <v>300</v>
      </c>
      <c r="F87" s="734"/>
      <c r="G87" s="783">
        <f t="shared" ref="G87:G88" si="26">D87*E87</f>
        <v>1500</v>
      </c>
      <c r="H87" s="783">
        <f t="shared" ref="H87:H88" si="27">F87+G87</f>
        <v>1500</v>
      </c>
      <c r="I87" s="1972"/>
      <c r="J87" s="1983">
        <v>0.91</v>
      </c>
      <c r="K87" s="1980">
        <f t="shared" ref="K87:K88" si="28">+H87*J87</f>
        <v>1365</v>
      </c>
      <c r="L87" s="1980"/>
      <c r="M87" s="1983"/>
      <c r="N87" s="1972"/>
      <c r="O87" s="1972"/>
      <c r="P87" s="1972"/>
      <c r="Q87" s="1998"/>
      <c r="R87" s="1979"/>
      <c r="S87" s="1979"/>
      <c r="T87" s="1979"/>
    </row>
    <row r="88" spans="1:20" s="727" customFormat="1" ht="15" customHeight="1" x14ac:dyDescent="0.2">
      <c r="A88" s="728"/>
      <c r="B88" s="782" t="s">
        <v>640</v>
      </c>
      <c r="C88" s="739" t="s">
        <v>643</v>
      </c>
      <c r="D88" s="1405">
        <v>5</v>
      </c>
      <c r="E88" s="1406">
        <v>300</v>
      </c>
      <c r="F88" s="734"/>
      <c r="G88" s="783">
        <f t="shared" si="26"/>
        <v>1500</v>
      </c>
      <c r="H88" s="783">
        <f t="shared" si="27"/>
        <v>1500</v>
      </c>
      <c r="I88" s="1972"/>
      <c r="J88" s="1983">
        <v>0.91</v>
      </c>
      <c r="K88" s="1980">
        <f t="shared" si="28"/>
        <v>1365</v>
      </c>
      <c r="L88" s="1980"/>
      <c r="M88" s="1983"/>
      <c r="N88" s="1972"/>
      <c r="O88" s="1988"/>
      <c r="P88" s="1972"/>
      <c r="Q88" s="1998"/>
      <c r="R88" s="1979"/>
      <c r="S88" s="1979"/>
      <c r="T88" s="1979"/>
    </row>
    <row r="89" spans="1:20" s="727" customFormat="1" ht="12.75" x14ac:dyDescent="0.2">
      <c r="A89" s="777"/>
      <c r="B89" s="778" t="s">
        <v>1766</v>
      </c>
      <c r="C89" s="779"/>
      <c r="D89" s="787"/>
      <c r="E89" s="793"/>
      <c r="F89" s="781"/>
      <c r="G89" s="793"/>
      <c r="H89" s="793">
        <f>SUM(H90:H91)</f>
        <v>2400</v>
      </c>
      <c r="I89" s="1972"/>
      <c r="J89" s="1983"/>
      <c r="K89" s="1980"/>
      <c r="L89" s="1980">
        <f>SUM(K90:K91)</f>
        <v>2032.7999999999997</v>
      </c>
      <c r="M89" s="1983"/>
      <c r="N89" s="1998"/>
      <c r="O89" s="2003"/>
      <c r="P89" s="1972"/>
      <c r="Q89" s="1998"/>
      <c r="R89" s="1979"/>
      <c r="S89" s="1979"/>
      <c r="T89" s="1979"/>
    </row>
    <row r="90" spans="1:20" s="727" customFormat="1" ht="12.75" x14ac:dyDescent="0.2">
      <c r="A90" s="728"/>
      <c r="B90" s="729" t="s">
        <v>654</v>
      </c>
      <c r="C90" s="794" t="s">
        <v>647</v>
      </c>
      <c r="D90" s="795">
        <v>1</v>
      </c>
      <c r="E90" s="792">
        <v>1700</v>
      </c>
      <c r="F90" s="792"/>
      <c r="G90" s="783">
        <f>D90*E90</f>
        <v>1700</v>
      </c>
      <c r="H90" s="783">
        <f>F90+G90</f>
        <v>1700</v>
      </c>
      <c r="I90" s="1972"/>
      <c r="J90" s="1990">
        <v>0.84699999999999998</v>
      </c>
      <c r="K90" s="1980">
        <f>+H90*J90</f>
        <v>1439.8999999999999</v>
      </c>
      <c r="L90" s="1980"/>
      <c r="M90" s="1983"/>
      <c r="N90" s="1998"/>
      <c r="O90" s="1998"/>
      <c r="P90" s="1972"/>
      <c r="Q90" s="1998"/>
      <c r="R90" s="1979"/>
      <c r="S90" s="1979"/>
      <c r="T90" s="1979"/>
    </row>
    <row r="91" spans="1:20" s="727" customFormat="1" ht="12.75" x14ac:dyDescent="0.2">
      <c r="A91" s="728"/>
      <c r="B91" s="729" t="s">
        <v>655</v>
      </c>
      <c r="C91" s="794" t="s">
        <v>647</v>
      </c>
      <c r="D91" s="795">
        <v>1</v>
      </c>
      <c r="E91" s="792">
        <v>700</v>
      </c>
      <c r="F91" s="792"/>
      <c r="G91" s="783">
        <f t="shared" ref="G91" si="29">D91*E91</f>
        <v>700</v>
      </c>
      <c r="H91" s="783">
        <f>F91+G91</f>
        <v>700</v>
      </c>
      <c r="I91" s="1972"/>
      <c r="J91" s="1990">
        <v>0.84699999999999998</v>
      </c>
      <c r="K91" s="1980">
        <f>+H91*J91</f>
        <v>592.9</v>
      </c>
      <c r="L91" s="1980"/>
      <c r="M91" s="1983"/>
      <c r="N91" s="1972"/>
      <c r="O91" s="1988"/>
      <c r="P91" s="1972"/>
      <c r="Q91" s="1998"/>
      <c r="R91" s="1979"/>
      <c r="S91" s="1979"/>
      <c r="T91" s="1979"/>
    </row>
    <row r="92" spans="1:20" s="727" customFormat="1" ht="12.75" x14ac:dyDescent="0.2">
      <c r="A92" s="777"/>
      <c r="B92" s="778" t="s">
        <v>1767</v>
      </c>
      <c r="C92" s="779"/>
      <c r="D92" s="787"/>
      <c r="E92" s="793"/>
      <c r="F92" s="781"/>
      <c r="G92" s="793"/>
      <c r="H92" s="793">
        <f>SUM(H93:H97)</f>
        <v>1966.1000000000058</v>
      </c>
      <c r="I92" s="1972"/>
      <c r="J92" s="1983"/>
      <c r="K92" s="1980"/>
      <c r="L92" s="1980">
        <f>SUM(K93:K96)</f>
        <v>1656.8167000000049</v>
      </c>
      <c r="M92" s="1983"/>
      <c r="N92" s="1998"/>
      <c r="O92" s="2003"/>
      <c r="P92" s="1972"/>
      <c r="Q92" s="1998"/>
      <c r="R92" s="1979"/>
      <c r="S92" s="1979"/>
      <c r="T92" s="1979"/>
    </row>
    <row r="93" spans="1:20" s="727" customFormat="1" ht="12.75" x14ac:dyDescent="0.2">
      <c r="A93" s="728"/>
      <c r="B93" s="729" t="s">
        <v>703</v>
      </c>
      <c r="C93" s="794" t="s">
        <v>638</v>
      </c>
      <c r="D93" s="795">
        <v>1</v>
      </c>
      <c r="E93" s="792">
        <v>1926.1000000000058</v>
      </c>
      <c r="F93" s="792"/>
      <c r="G93" s="783">
        <f>D93*E93</f>
        <v>1926.1000000000058</v>
      </c>
      <c r="H93" s="783">
        <f>F93+G93</f>
        <v>1926.1000000000058</v>
      </c>
      <c r="I93" s="1972"/>
      <c r="J93" s="1990">
        <v>0.84699999999999998</v>
      </c>
      <c r="K93" s="1980">
        <f>+H93*J93</f>
        <v>1631.4067000000048</v>
      </c>
      <c r="L93" s="1980"/>
      <c r="M93" s="1983"/>
      <c r="N93" s="1998"/>
      <c r="O93" s="1998"/>
      <c r="P93" s="1972"/>
      <c r="Q93" s="1998"/>
      <c r="R93" s="1979"/>
      <c r="S93" s="1979"/>
      <c r="T93" s="1979"/>
    </row>
    <row r="94" spans="1:20" s="727" customFormat="1" ht="12.75" x14ac:dyDescent="0.2">
      <c r="A94" s="728"/>
      <c r="B94" s="729" t="s">
        <v>704</v>
      </c>
      <c r="C94" s="794" t="s">
        <v>647</v>
      </c>
      <c r="D94" s="795">
        <v>1</v>
      </c>
      <c r="E94" s="792">
        <v>10</v>
      </c>
      <c r="F94" s="792"/>
      <c r="G94" s="783">
        <f t="shared" ref="G94:G97" si="30">D94*E94</f>
        <v>10</v>
      </c>
      <c r="H94" s="783">
        <f t="shared" ref="H94:H97" si="31">F94+G94</f>
        <v>10</v>
      </c>
      <c r="I94" s="1972"/>
      <c r="J94" s="1990">
        <v>0.84699999999999998</v>
      </c>
      <c r="K94" s="1980">
        <f>+H94*J94</f>
        <v>8.4699999999999989</v>
      </c>
      <c r="L94" s="1980"/>
      <c r="M94" s="1983"/>
      <c r="N94" s="1972"/>
      <c r="O94" s="1988"/>
      <c r="P94" s="1972"/>
      <c r="Q94" s="1998"/>
      <c r="R94" s="1979"/>
      <c r="S94" s="1979"/>
      <c r="T94" s="1979"/>
    </row>
    <row r="95" spans="1:20" s="727" customFormat="1" ht="12.75" x14ac:dyDescent="0.2">
      <c r="A95" s="728"/>
      <c r="B95" s="729" t="s">
        <v>705</v>
      </c>
      <c r="C95" s="794" t="s">
        <v>647</v>
      </c>
      <c r="D95" s="791">
        <v>1</v>
      </c>
      <c r="E95" s="792">
        <v>10</v>
      </c>
      <c r="F95" s="796"/>
      <c r="G95" s="783">
        <f t="shared" si="30"/>
        <v>10</v>
      </c>
      <c r="H95" s="783">
        <f t="shared" si="31"/>
        <v>10</v>
      </c>
      <c r="I95" s="1972"/>
      <c r="J95" s="1990">
        <v>0.84699999999999998</v>
      </c>
      <c r="K95" s="1980">
        <f>+H95*J95</f>
        <v>8.4699999999999989</v>
      </c>
      <c r="L95" s="1980"/>
      <c r="M95" s="1983"/>
      <c r="N95" s="1972"/>
      <c r="O95" s="1988"/>
      <c r="P95" s="1972"/>
      <c r="Q95" s="1998"/>
      <c r="R95" s="1979"/>
      <c r="S95" s="1979"/>
      <c r="T95" s="1979"/>
    </row>
    <row r="96" spans="1:20" s="727" customFormat="1" ht="12.75" x14ac:dyDescent="0.2">
      <c r="A96" s="728"/>
      <c r="B96" s="729" t="s">
        <v>706</v>
      </c>
      <c r="C96" s="794" t="s">
        <v>647</v>
      </c>
      <c r="D96" s="791">
        <v>1</v>
      </c>
      <c r="E96" s="792">
        <v>10</v>
      </c>
      <c r="F96" s="792"/>
      <c r="G96" s="783">
        <f t="shared" si="30"/>
        <v>10</v>
      </c>
      <c r="H96" s="783">
        <f t="shared" si="31"/>
        <v>10</v>
      </c>
      <c r="I96" s="1972"/>
      <c r="J96" s="1990">
        <v>0.84699999999999998</v>
      </c>
      <c r="K96" s="1980">
        <f>+H96*J96</f>
        <v>8.4699999999999989</v>
      </c>
      <c r="L96" s="1980"/>
      <c r="M96" s="1983"/>
      <c r="N96" s="1972"/>
      <c r="O96" s="1988"/>
      <c r="P96" s="1972"/>
      <c r="Q96" s="1998"/>
      <c r="R96" s="1979"/>
      <c r="S96" s="1979"/>
      <c r="T96" s="1979"/>
    </row>
    <row r="97" spans="1:20" s="727" customFormat="1" ht="15" customHeight="1" x14ac:dyDescent="0.2">
      <c r="A97" s="728"/>
      <c r="B97" s="782" t="s">
        <v>707</v>
      </c>
      <c r="C97" s="739" t="s">
        <v>647</v>
      </c>
      <c r="D97" s="1405">
        <v>1</v>
      </c>
      <c r="E97" s="1406">
        <v>10</v>
      </c>
      <c r="F97" s="734"/>
      <c r="G97" s="783">
        <f t="shared" si="30"/>
        <v>10</v>
      </c>
      <c r="H97" s="783">
        <f t="shared" si="31"/>
        <v>10</v>
      </c>
      <c r="I97" s="1972"/>
      <c r="J97" s="1983"/>
      <c r="K97" s="1980"/>
      <c r="L97" s="1980"/>
      <c r="M97" s="1983"/>
      <c r="N97" s="1972"/>
      <c r="O97" s="1972"/>
      <c r="P97" s="1972"/>
      <c r="Q97" s="1998"/>
      <c r="R97" s="1979"/>
      <c r="S97" s="1979"/>
      <c r="T97" s="1979"/>
    </row>
    <row r="98" spans="1:20" s="720" customFormat="1" ht="12.75" x14ac:dyDescent="0.2">
      <c r="A98" s="777"/>
      <c r="B98" s="785" t="s">
        <v>1768</v>
      </c>
      <c r="C98" s="798"/>
      <c r="D98" s="799"/>
      <c r="E98" s="800"/>
      <c r="F98" s="801"/>
      <c r="G98" s="800"/>
      <c r="H98" s="800">
        <f>SUM(H99:H122)</f>
        <v>1068</v>
      </c>
      <c r="I98" s="1991"/>
      <c r="J98" s="1992"/>
      <c r="K98" s="1993"/>
      <c r="L98" s="1980">
        <f>SUM(K99:K122)</f>
        <v>904.59599999999989</v>
      </c>
      <c r="M98" s="1992"/>
      <c r="N98" s="1994"/>
      <c r="O98" s="1994"/>
      <c r="P98" s="1994"/>
      <c r="Q98" s="2004"/>
      <c r="R98" s="1995"/>
      <c r="S98" s="1995"/>
      <c r="T98" s="1995"/>
    </row>
    <row r="99" spans="1:20" s="727" customFormat="1" ht="12.75" x14ac:dyDescent="0.2">
      <c r="A99" s="728"/>
      <c r="B99" s="729" t="s">
        <v>662</v>
      </c>
      <c r="C99" s="790" t="s">
        <v>653</v>
      </c>
      <c r="D99" s="797">
        <v>5</v>
      </c>
      <c r="E99" s="792">
        <v>10</v>
      </c>
      <c r="F99" s="792"/>
      <c r="G99" s="783">
        <f>D99*E99</f>
        <v>50</v>
      </c>
      <c r="H99" s="783">
        <f t="shared" ref="H99:H122" si="32">F99+G99</f>
        <v>50</v>
      </c>
      <c r="I99" s="1996"/>
      <c r="J99" s="1990">
        <v>0.84699999999999998</v>
      </c>
      <c r="K99" s="1980">
        <f>+H99*J99</f>
        <v>42.35</v>
      </c>
      <c r="L99" s="1980"/>
      <c r="M99" s="1983"/>
      <c r="N99" s="1972"/>
      <c r="O99" s="1972"/>
      <c r="P99" s="1972"/>
      <c r="Q99" s="1998"/>
      <c r="R99" s="1979"/>
      <c r="S99" s="1979"/>
      <c r="T99" s="1979"/>
    </row>
    <row r="100" spans="1:20" s="727" customFormat="1" ht="12.75" x14ac:dyDescent="0.2">
      <c r="A100" s="728"/>
      <c r="B100" s="729" t="s">
        <v>663</v>
      </c>
      <c r="C100" s="790" t="s">
        <v>653</v>
      </c>
      <c r="D100" s="797">
        <v>5</v>
      </c>
      <c r="E100" s="792">
        <v>1.5</v>
      </c>
      <c r="F100" s="792"/>
      <c r="G100" s="783">
        <f t="shared" ref="G100:G122" si="33">D100*E100</f>
        <v>7.5</v>
      </c>
      <c r="H100" s="783">
        <f t="shared" si="32"/>
        <v>7.5</v>
      </c>
      <c r="I100" s="1996"/>
      <c r="J100" s="1990">
        <v>0.84699999999999998</v>
      </c>
      <c r="K100" s="1980">
        <f>+H100*J100</f>
        <v>6.3525</v>
      </c>
      <c r="L100" s="1980"/>
      <c r="M100" s="1983"/>
      <c r="N100" s="1972"/>
      <c r="O100" s="1972"/>
      <c r="P100" s="1972"/>
      <c r="Q100" s="1998"/>
      <c r="R100" s="1979"/>
      <c r="S100" s="1979"/>
      <c r="T100" s="1979"/>
    </row>
    <row r="101" spans="1:20" s="727" customFormat="1" ht="12.75" x14ac:dyDescent="0.2">
      <c r="A101" s="728"/>
      <c r="B101" s="729" t="s">
        <v>1144</v>
      </c>
      <c r="C101" s="790" t="s">
        <v>653</v>
      </c>
      <c r="D101" s="797">
        <v>4</v>
      </c>
      <c r="E101" s="792">
        <v>45</v>
      </c>
      <c r="F101" s="792"/>
      <c r="G101" s="783">
        <f t="shared" si="33"/>
        <v>180</v>
      </c>
      <c r="H101" s="783">
        <f t="shared" si="32"/>
        <v>180</v>
      </c>
      <c r="I101" s="1996"/>
      <c r="J101" s="1990">
        <v>0.84699999999999998</v>
      </c>
      <c r="K101" s="1980">
        <f>+H101*J101</f>
        <v>152.46</v>
      </c>
      <c r="L101" s="1980"/>
      <c r="M101" s="1983"/>
      <c r="N101" s="1972"/>
      <c r="O101" s="1972"/>
      <c r="P101" s="1972"/>
      <c r="Q101" s="1998"/>
      <c r="R101" s="1979"/>
      <c r="S101" s="1979"/>
      <c r="T101" s="1979"/>
    </row>
    <row r="102" spans="1:20" s="727" customFormat="1" ht="12.75" x14ac:dyDescent="0.2">
      <c r="A102" s="728"/>
      <c r="B102" s="729" t="s">
        <v>664</v>
      </c>
      <c r="C102" s="790" t="s">
        <v>665</v>
      </c>
      <c r="D102" s="797">
        <v>3</v>
      </c>
      <c r="E102" s="792">
        <v>2.5</v>
      </c>
      <c r="F102" s="792"/>
      <c r="G102" s="783">
        <f t="shared" si="33"/>
        <v>7.5</v>
      </c>
      <c r="H102" s="783">
        <f t="shared" si="32"/>
        <v>7.5</v>
      </c>
      <c r="I102" s="1996"/>
      <c r="J102" s="1990">
        <v>0.84699999999999998</v>
      </c>
      <c r="K102" s="1980">
        <f t="shared" ref="K102:K122" si="34">+H102*J102</f>
        <v>6.3525</v>
      </c>
      <c r="L102" s="1980"/>
      <c r="M102" s="1983"/>
      <c r="N102" s="1972"/>
      <c r="O102" s="1972"/>
      <c r="P102" s="1972"/>
      <c r="Q102" s="1998"/>
      <c r="R102" s="1979"/>
      <c r="S102" s="1979"/>
      <c r="T102" s="1979"/>
    </row>
    <row r="103" spans="1:20" s="727" customFormat="1" ht="12.75" x14ac:dyDescent="0.2">
      <c r="A103" s="728"/>
      <c r="B103" s="729" t="s">
        <v>666</v>
      </c>
      <c r="C103" s="790" t="s">
        <v>667</v>
      </c>
      <c r="D103" s="797">
        <v>3</v>
      </c>
      <c r="E103" s="792">
        <v>1.5</v>
      </c>
      <c r="F103" s="792"/>
      <c r="G103" s="783">
        <f t="shared" si="33"/>
        <v>4.5</v>
      </c>
      <c r="H103" s="783">
        <f t="shared" si="32"/>
        <v>4.5</v>
      </c>
      <c r="I103" s="1996"/>
      <c r="J103" s="1990">
        <v>0.84699999999999998</v>
      </c>
      <c r="K103" s="1980">
        <f t="shared" si="34"/>
        <v>3.8114999999999997</v>
      </c>
      <c r="L103" s="1980"/>
      <c r="M103" s="1983"/>
      <c r="N103" s="1972"/>
      <c r="O103" s="1972"/>
      <c r="P103" s="1972"/>
      <c r="Q103" s="1998"/>
      <c r="R103" s="1979"/>
      <c r="S103" s="1979"/>
      <c r="T103" s="1979"/>
    </row>
    <row r="104" spans="1:20" s="727" customFormat="1" ht="12.75" x14ac:dyDescent="0.2">
      <c r="A104" s="728"/>
      <c r="B104" s="729" t="s">
        <v>668</v>
      </c>
      <c r="C104" s="790" t="s">
        <v>653</v>
      </c>
      <c r="D104" s="797">
        <v>3</v>
      </c>
      <c r="E104" s="792">
        <v>5</v>
      </c>
      <c r="F104" s="792"/>
      <c r="G104" s="783">
        <f t="shared" si="33"/>
        <v>15</v>
      </c>
      <c r="H104" s="783">
        <f t="shared" si="32"/>
        <v>15</v>
      </c>
      <c r="I104" s="1996"/>
      <c r="J104" s="1990">
        <v>0.84699999999999998</v>
      </c>
      <c r="K104" s="1980">
        <f t="shared" si="34"/>
        <v>12.705</v>
      </c>
      <c r="L104" s="1980"/>
      <c r="M104" s="1983"/>
      <c r="N104" s="1972"/>
      <c r="O104" s="1972"/>
      <c r="P104" s="1972"/>
      <c r="Q104" s="1998"/>
      <c r="R104" s="1979"/>
      <c r="S104" s="1979"/>
      <c r="T104" s="1979"/>
    </row>
    <row r="105" spans="1:20" s="727" customFormat="1" ht="12.75" x14ac:dyDescent="0.2">
      <c r="A105" s="728"/>
      <c r="B105" s="729" t="s">
        <v>669</v>
      </c>
      <c r="C105" s="790" t="s">
        <v>653</v>
      </c>
      <c r="D105" s="797">
        <v>3</v>
      </c>
      <c r="E105" s="792">
        <v>20</v>
      </c>
      <c r="F105" s="792"/>
      <c r="G105" s="783">
        <f t="shared" si="33"/>
        <v>60</v>
      </c>
      <c r="H105" s="783">
        <f t="shared" si="32"/>
        <v>60</v>
      </c>
      <c r="I105" s="1996"/>
      <c r="J105" s="1990">
        <v>0.84699999999999998</v>
      </c>
      <c r="K105" s="1980">
        <f t="shared" si="34"/>
        <v>50.82</v>
      </c>
      <c r="L105" s="1980"/>
      <c r="M105" s="1983"/>
      <c r="N105" s="1972"/>
      <c r="O105" s="1972"/>
      <c r="P105" s="1972"/>
      <c r="Q105" s="1998"/>
      <c r="R105" s="1979"/>
      <c r="S105" s="1979"/>
      <c r="T105" s="1979"/>
    </row>
    <row r="106" spans="1:20" s="727" customFormat="1" ht="12.75" x14ac:dyDescent="0.2">
      <c r="A106" s="728"/>
      <c r="B106" s="729" t="s">
        <v>670</v>
      </c>
      <c r="C106" s="790" t="s">
        <v>653</v>
      </c>
      <c r="D106" s="797">
        <v>3</v>
      </c>
      <c r="E106" s="792">
        <v>6.5</v>
      </c>
      <c r="F106" s="792"/>
      <c r="G106" s="783">
        <f t="shared" si="33"/>
        <v>19.5</v>
      </c>
      <c r="H106" s="783">
        <f t="shared" si="32"/>
        <v>19.5</v>
      </c>
      <c r="I106" s="1996"/>
      <c r="J106" s="1990">
        <v>0.84699999999999998</v>
      </c>
      <c r="K106" s="1980">
        <f t="shared" si="34"/>
        <v>16.516500000000001</v>
      </c>
      <c r="L106" s="1980"/>
      <c r="M106" s="1983"/>
      <c r="N106" s="1972"/>
      <c r="O106" s="1972"/>
      <c r="P106" s="1972"/>
      <c r="Q106" s="1998"/>
      <c r="R106" s="1979"/>
      <c r="S106" s="1979"/>
      <c r="T106" s="1979"/>
    </row>
    <row r="107" spans="1:20" s="727" customFormat="1" ht="12.75" x14ac:dyDescent="0.2">
      <c r="A107" s="728"/>
      <c r="B107" s="729" t="s">
        <v>671</v>
      </c>
      <c r="C107" s="790" t="s">
        <v>672</v>
      </c>
      <c r="D107" s="797">
        <v>10</v>
      </c>
      <c r="E107" s="792">
        <v>0.5</v>
      </c>
      <c r="F107" s="792"/>
      <c r="G107" s="783">
        <f t="shared" si="33"/>
        <v>5</v>
      </c>
      <c r="H107" s="783">
        <f t="shared" si="32"/>
        <v>5</v>
      </c>
      <c r="I107" s="1996"/>
      <c r="J107" s="1990">
        <v>0.84699999999999998</v>
      </c>
      <c r="K107" s="1980">
        <f t="shared" si="34"/>
        <v>4.2349999999999994</v>
      </c>
      <c r="L107" s="1980"/>
      <c r="M107" s="1983"/>
      <c r="N107" s="1972"/>
      <c r="O107" s="1972"/>
      <c r="P107" s="1972"/>
      <c r="Q107" s="1998"/>
      <c r="R107" s="1979"/>
      <c r="S107" s="1979"/>
      <c r="T107" s="1979"/>
    </row>
    <row r="108" spans="1:20" s="727" customFormat="1" ht="12.75" x14ac:dyDescent="0.2">
      <c r="A108" s="728"/>
      <c r="B108" s="729" t="s">
        <v>673</v>
      </c>
      <c r="C108" s="790" t="s">
        <v>653</v>
      </c>
      <c r="D108" s="797">
        <v>10</v>
      </c>
      <c r="E108" s="792">
        <v>1.5</v>
      </c>
      <c r="F108" s="792"/>
      <c r="G108" s="783">
        <f t="shared" si="33"/>
        <v>15</v>
      </c>
      <c r="H108" s="783">
        <f t="shared" si="32"/>
        <v>15</v>
      </c>
      <c r="I108" s="1996"/>
      <c r="J108" s="1990">
        <v>0.84699999999999998</v>
      </c>
      <c r="K108" s="1980">
        <f t="shared" si="34"/>
        <v>12.705</v>
      </c>
      <c r="L108" s="1980"/>
      <c r="M108" s="1983"/>
      <c r="N108" s="1972"/>
      <c r="O108" s="1972"/>
      <c r="P108" s="1972"/>
      <c r="Q108" s="1998"/>
      <c r="R108" s="1979"/>
      <c r="S108" s="1979"/>
      <c r="T108" s="1979"/>
    </row>
    <row r="109" spans="1:20" s="727" customFormat="1" ht="12.75" x14ac:dyDescent="0.2">
      <c r="A109" s="728"/>
      <c r="B109" s="729" t="s">
        <v>674</v>
      </c>
      <c r="C109" s="790" t="s">
        <v>675</v>
      </c>
      <c r="D109" s="797">
        <v>3</v>
      </c>
      <c r="E109" s="792">
        <v>18</v>
      </c>
      <c r="F109" s="792"/>
      <c r="G109" s="783">
        <f t="shared" si="33"/>
        <v>54</v>
      </c>
      <c r="H109" s="783">
        <f t="shared" si="32"/>
        <v>54</v>
      </c>
      <c r="I109" s="1996"/>
      <c r="J109" s="1990">
        <v>0.84699999999999998</v>
      </c>
      <c r="K109" s="1980">
        <f t="shared" si="34"/>
        <v>45.738</v>
      </c>
      <c r="L109" s="1980"/>
      <c r="M109" s="1983"/>
      <c r="N109" s="1972"/>
      <c r="O109" s="1972"/>
      <c r="P109" s="1972"/>
      <c r="Q109" s="1998"/>
      <c r="R109" s="1979"/>
      <c r="S109" s="1979"/>
      <c r="T109" s="1979"/>
    </row>
    <row r="110" spans="1:20" s="727" customFormat="1" ht="12.75" x14ac:dyDescent="0.2">
      <c r="A110" s="728"/>
      <c r="B110" s="729" t="s">
        <v>676</v>
      </c>
      <c r="C110" s="790" t="s">
        <v>677</v>
      </c>
      <c r="D110" s="797">
        <v>3</v>
      </c>
      <c r="E110" s="792">
        <v>3</v>
      </c>
      <c r="F110" s="792"/>
      <c r="G110" s="783">
        <f t="shared" si="33"/>
        <v>9</v>
      </c>
      <c r="H110" s="783">
        <f t="shared" si="32"/>
        <v>9</v>
      </c>
      <c r="I110" s="1996"/>
      <c r="J110" s="1990">
        <v>0.84699999999999998</v>
      </c>
      <c r="K110" s="1980">
        <f t="shared" si="34"/>
        <v>7.6229999999999993</v>
      </c>
      <c r="L110" s="1980"/>
      <c r="M110" s="1983"/>
      <c r="N110" s="1972"/>
      <c r="O110" s="1972"/>
      <c r="P110" s="1972"/>
      <c r="Q110" s="1998"/>
      <c r="R110" s="1979"/>
      <c r="S110" s="1979"/>
      <c r="T110" s="1979"/>
    </row>
    <row r="111" spans="1:20" s="727" customFormat="1" ht="12.75" x14ac:dyDescent="0.2">
      <c r="A111" s="728"/>
      <c r="B111" s="729" t="s">
        <v>678</v>
      </c>
      <c r="C111" s="790" t="s">
        <v>653</v>
      </c>
      <c r="D111" s="797">
        <v>3</v>
      </c>
      <c r="E111" s="792">
        <v>5</v>
      </c>
      <c r="F111" s="792"/>
      <c r="G111" s="783">
        <f t="shared" si="33"/>
        <v>15</v>
      </c>
      <c r="H111" s="783">
        <f t="shared" si="32"/>
        <v>15</v>
      </c>
      <c r="I111" s="1996"/>
      <c r="J111" s="1990">
        <v>0.84699999999999998</v>
      </c>
      <c r="K111" s="1980">
        <f t="shared" si="34"/>
        <v>12.705</v>
      </c>
      <c r="L111" s="1980"/>
      <c r="M111" s="1983"/>
      <c r="N111" s="1972"/>
      <c r="O111" s="1972"/>
      <c r="P111" s="1972"/>
      <c r="Q111" s="1998"/>
      <c r="R111" s="1979"/>
      <c r="S111" s="1979"/>
      <c r="T111" s="1979"/>
    </row>
    <row r="112" spans="1:20" s="727" customFormat="1" ht="12.75" x14ac:dyDescent="0.2">
      <c r="A112" s="728"/>
      <c r="B112" s="729" t="s">
        <v>679</v>
      </c>
      <c r="C112" s="790" t="s">
        <v>653</v>
      </c>
      <c r="D112" s="797">
        <v>3</v>
      </c>
      <c r="E112" s="792">
        <v>4</v>
      </c>
      <c r="F112" s="792"/>
      <c r="G112" s="783">
        <f t="shared" si="33"/>
        <v>12</v>
      </c>
      <c r="H112" s="783">
        <f t="shared" si="32"/>
        <v>12</v>
      </c>
      <c r="I112" s="1996"/>
      <c r="J112" s="1990">
        <v>0.84699999999999998</v>
      </c>
      <c r="K112" s="1980">
        <f t="shared" si="34"/>
        <v>10.164</v>
      </c>
      <c r="L112" s="1980"/>
      <c r="M112" s="1983"/>
      <c r="N112" s="1972"/>
      <c r="O112" s="1972"/>
      <c r="P112" s="1972"/>
      <c r="Q112" s="1998"/>
      <c r="R112" s="1979"/>
      <c r="S112" s="1979"/>
      <c r="T112" s="1979"/>
    </row>
    <row r="113" spans="1:20" s="727" customFormat="1" ht="12.75" x14ac:dyDescent="0.2">
      <c r="A113" s="728"/>
      <c r="B113" s="729" t="s">
        <v>680</v>
      </c>
      <c r="C113" s="790" t="s">
        <v>667</v>
      </c>
      <c r="D113" s="797">
        <v>1</v>
      </c>
      <c r="E113" s="792">
        <v>20</v>
      </c>
      <c r="F113" s="792"/>
      <c r="G113" s="783">
        <f t="shared" si="33"/>
        <v>20</v>
      </c>
      <c r="H113" s="783">
        <f t="shared" si="32"/>
        <v>20</v>
      </c>
      <c r="I113" s="1996"/>
      <c r="J113" s="1990">
        <v>0.84699999999999998</v>
      </c>
      <c r="K113" s="1980">
        <f t="shared" si="34"/>
        <v>16.939999999999998</v>
      </c>
      <c r="L113" s="1980"/>
      <c r="M113" s="1983"/>
      <c r="N113" s="1972"/>
      <c r="O113" s="1972"/>
      <c r="P113" s="1972"/>
      <c r="Q113" s="1998"/>
      <c r="R113" s="1979"/>
      <c r="S113" s="1979"/>
      <c r="T113" s="1979"/>
    </row>
    <row r="114" spans="1:20" s="727" customFormat="1" ht="12.75" x14ac:dyDescent="0.2">
      <c r="A114" s="728"/>
      <c r="B114" s="729" t="s">
        <v>681</v>
      </c>
      <c r="C114" s="790" t="s">
        <v>667</v>
      </c>
      <c r="D114" s="797">
        <v>1</v>
      </c>
      <c r="E114" s="792">
        <v>20</v>
      </c>
      <c r="F114" s="792"/>
      <c r="G114" s="783">
        <f t="shared" si="33"/>
        <v>20</v>
      </c>
      <c r="H114" s="783">
        <f t="shared" si="32"/>
        <v>20</v>
      </c>
      <c r="I114" s="1996"/>
      <c r="J114" s="1990">
        <v>0.84699999999999998</v>
      </c>
      <c r="K114" s="1980">
        <f t="shared" si="34"/>
        <v>16.939999999999998</v>
      </c>
      <c r="L114" s="1980"/>
      <c r="M114" s="1983"/>
      <c r="N114" s="1972"/>
      <c r="O114" s="1972"/>
      <c r="P114" s="1972"/>
      <c r="Q114" s="1998"/>
      <c r="R114" s="1979"/>
      <c r="S114" s="1979"/>
      <c r="T114" s="1979"/>
    </row>
    <row r="115" spans="1:20" s="727" customFormat="1" ht="12.75" x14ac:dyDescent="0.2">
      <c r="A115" s="728"/>
      <c r="B115" s="729" t="s">
        <v>682</v>
      </c>
      <c r="C115" s="790" t="s">
        <v>667</v>
      </c>
      <c r="D115" s="797">
        <v>1</v>
      </c>
      <c r="E115" s="792">
        <v>15</v>
      </c>
      <c r="F115" s="792"/>
      <c r="G115" s="783">
        <f t="shared" si="33"/>
        <v>15</v>
      </c>
      <c r="H115" s="783">
        <f t="shared" si="32"/>
        <v>15</v>
      </c>
      <c r="I115" s="1996"/>
      <c r="J115" s="1990">
        <v>0.84699999999999998</v>
      </c>
      <c r="K115" s="1980">
        <f t="shared" si="34"/>
        <v>12.705</v>
      </c>
      <c r="L115" s="1980"/>
      <c r="M115" s="1983"/>
      <c r="N115" s="1972"/>
      <c r="O115" s="1972"/>
      <c r="P115" s="1972"/>
      <c r="Q115" s="1998"/>
      <c r="R115" s="1979"/>
      <c r="S115" s="1979"/>
      <c r="T115" s="1979"/>
    </row>
    <row r="116" spans="1:20" s="727" customFormat="1" ht="12.75" x14ac:dyDescent="0.2">
      <c r="A116" s="728"/>
      <c r="B116" s="729" t="s">
        <v>683</v>
      </c>
      <c r="C116" s="790" t="s">
        <v>653</v>
      </c>
      <c r="D116" s="797">
        <v>1</v>
      </c>
      <c r="E116" s="792">
        <v>30</v>
      </c>
      <c r="F116" s="792"/>
      <c r="G116" s="783">
        <f t="shared" si="33"/>
        <v>30</v>
      </c>
      <c r="H116" s="783">
        <f t="shared" si="32"/>
        <v>30</v>
      </c>
      <c r="I116" s="1996"/>
      <c r="J116" s="1990">
        <v>0.84699999999999998</v>
      </c>
      <c r="K116" s="1980">
        <f t="shared" si="34"/>
        <v>25.41</v>
      </c>
      <c r="L116" s="1980"/>
      <c r="M116" s="1983"/>
      <c r="N116" s="1972"/>
      <c r="O116" s="1972"/>
      <c r="P116" s="1972"/>
      <c r="Q116" s="1998"/>
      <c r="R116" s="1979"/>
      <c r="S116" s="1979"/>
      <c r="T116" s="1979"/>
    </row>
    <row r="117" spans="1:20" s="727" customFormat="1" ht="12.75" x14ac:dyDescent="0.2">
      <c r="A117" s="728"/>
      <c r="B117" s="729" t="s">
        <v>684</v>
      </c>
      <c r="C117" s="790" t="s">
        <v>653</v>
      </c>
      <c r="D117" s="797">
        <v>1</v>
      </c>
      <c r="E117" s="792">
        <v>30</v>
      </c>
      <c r="F117" s="792"/>
      <c r="G117" s="783">
        <f t="shared" si="33"/>
        <v>30</v>
      </c>
      <c r="H117" s="783">
        <f t="shared" si="32"/>
        <v>30</v>
      </c>
      <c r="I117" s="1996"/>
      <c r="J117" s="1990">
        <v>0.84699999999999998</v>
      </c>
      <c r="K117" s="1980">
        <f t="shared" si="34"/>
        <v>25.41</v>
      </c>
      <c r="L117" s="1980"/>
      <c r="M117" s="1983"/>
      <c r="N117" s="1972"/>
      <c r="O117" s="1972"/>
      <c r="P117" s="1972"/>
      <c r="Q117" s="1998"/>
      <c r="R117" s="1979"/>
      <c r="S117" s="1979"/>
      <c r="T117" s="1979"/>
    </row>
    <row r="118" spans="1:20" s="727" customFormat="1" ht="12.75" x14ac:dyDescent="0.2">
      <c r="A118" s="728"/>
      <c r="B118" s="729" t="s">
        <v>685</v>
      </c>
      <c r="C118" s="790" t="s">
        <v>667</v>
      </c>
      <c r="D118" s="797">
        <v>1</v>
      </c>
      <c r="E118" s="792">
        <v>10</v>
      </c>
      <c r="F118" s="792"/>
      <c r="G118" s="783">
        <f t="shared" si="33"/>
        <v>10</v>
      </c>
      <c r="H118" s="783">
        <f t="shared" si="32"/>
        <v>10</v>
      </c>
      <c r="I118" s="1996"/>
      <c r="J118" s="1990">
        <v>0.84699999999999998</v>
      </c>
      <c r="K118" s="1980">
        <f t="shared" si="34"/>
        <v>8.4699999999999989</v>
      </c>
      <c r="L118" s="1980"/>
      <c r="M118" s="1983"/>
      <c r="N118" s="1972"/>
      <c r="O118" s="1972"/>
      <c r="P118" s="1972"/>
      <c r="Q118" s="1998"/>
      <c r="R118" s="1979"/>
      <c r="S118" s="1979"/>
      <c r="T118" s="1979"/>
    </row>
    <row r="119" spans="1:20" s="727" customFormat="1" ht="12.75" x14ac:dyDescent="0.2">
      <c r="A119" s="728"/>
      <c r="B119" s="729" t="s">
        <v>686</v>
      </c>
      <c r="C119" s="790" t="s">
        <v>687</v>
      </c>
      <c r="D119" s="797">
        <v>3</v>
      </c>
      <c r="E119" s="792">
        <v>35</v>
      </c>
      <c r="F119" s="792"/>
      <c r="G119" s="783">
        <f t="shared" si="33"/>
        <v>105</v>
      </c>
      <c r="H119" s="783">
        <f t="shared" si="32"/>
        <v>105</v>
      </c>
      <c r="I119" s="1996"/>
      <c r="J119" s="1990">
        <v>0.84699999999999998</v>
      </c>
      <c r="K119" s="1980">
        <f t="shared" si="34"/>
        <v>88.935000000000002</v>
      </c>
      <c r="L119" s="1980"/>
      <c r="M119" s="1983"/>
      <c r="N119" s="1972"/>
      <c r="O119" s="1972"/>
      <c r="P119" s="1972"/>
      <c r="Q119" s="1998"/>
      <c r="R119" s="1979"/>
      <c r="S119" s="1979"/>
      <c r="T119" s="1979"/>
    </row>
    <row r="120" spans="1:20" s="727" customFormat="1" ht="12.75" x14ac:dyDescent="0.2">
      <c r="A120" s="728"/>
      <c r="B120" s="729" t="s">
        <v>688</v>
      </c>
      <c r="C120" s="790" t="s">
        <v>689</v>
      </c>
      <c r="D120" s="797">
        <v>3</v>
      </c>
      <c r="E120" s="792">
        <v>32</v>
      </c>
      <c r="F120" s="792"/>
      <c r="G120" s="783">
        <f t="shared" si="33"/>
        <v>96</v>
      </c>
      <c r="H120" s="783">
        <f t="shared" si="32"/>
        <v>96</v>
      </c>
      <c r="I120" s="1996"/>
      <c r="J120" s="1990">
        <v>0.84699999999999998</v>
      </c>
      <c r="K120" s="1980">
        <f t="shared" si="34"/>
        <v>81.311999999999998</v>
      </c>
      <c r="L120" s="1980"/>
      <c r="M120" s="1983"/>
      <c r="N120" s="1972"/>
      <c r="O120" s="1972"/>
      <c r="P120" s="1972"/>
      <c r="Q120" s="1998"/>
      <c r="R120" s="1979"/>
      <c r="S120" s="1979"/>
      <c r="T120" s="1979"/>
    </row>
    <row r="121" spans="1:20" s="727" customFormat="1" ht="12.75" x14ac:dyDescent="0.2">
      <c r="A121" s="728"/>
      <c r="B121" s="729" t="s">
        <v>690</v>
      </c>
      <c r="C121" s="790" t="s">
        <v>691</v>
      </c>
      <c r="D121" s="797">
        <v>1</v>
      </c>
      <c r="E121" s="792">
        <v>8</v>
      </c>
      <c r="F121" s="792"/>
      <c r="G121" s="783">
        <f t="shared" si="33"/>
        <v>8</v>
      </c>
      <c r="H121" s="783">
        <f t="shared" si="32"/>
        <v>8</v>
      </c>
      <c r="I121" s="1996"/>
      <c r="J121" s="1990">
        <v>0.84699999999999998</v>
      </c>
      <c r="K121" s="1980">
        <f t="shared" si="34"/>
        <v>6.7759999999999998</v>
      </c>
      <c r="L121" s="1980"/>
      <c r="M121" s="1983"/>
      <c r="N121" s="1972"/>
      <c r="O121" s="1972"/>
      <c r="P121" s="1972"/>
      <c r="Q121" s="1998"/>
      <c r="R121" s="1979"/>
      <c r="S121" s="1979"/>
      <c r="T121" s="1979"/>
    </row>
    <row r="122" spans="1:20" s="727" customFormat="1" ht="12.75" x14ac:dyDescent="0.2">
      <c r="A122" s="728"/>
      <c r="B122" s="729" t="s">
        <v>692</v>
      </c>
      <c r="C122" s="790" t="s">
        <v>653</v>
      </c>
      <c r="D122" s="797">
        <v>1</v>
      </c>
      <c r="E122" s="792">
        <v>280</v>
      </c>
      <c r="F122" s="792"/>
      <c r="G122" s="783">
        <f t="shared" si="33"/>
        <v>280</v>
      </c>
      <c r="H122" s="783">
        <f t="shared" si="32"/>
        <v>280</v>
      </c>
      <c r="I122" s="1996"/>
      <c r="J122" s="1990">
        <v>0.84699999999999998</v>
      </c>
      <c r="K122" s="1980">
        <f t="shared" si="34"/>
        <v>237.16</v>
      </c>
      <c r="L122" s="1980"/>
      <c r="M122" s="1983"/>
      <c r="N122" s="1972"/>
      <c r="O122" s="1972"/>
      <c r="P122" s="1972"/>
      <c r="Q122" s="1998"/>
      <c r="R122" s="1979"/>
      <c r="S122" s="1979"/>
      <c r="T122" s="1979"/>
    </row>
    <row r="123" spans="1:20" s="720" customFormat="1" ht="12.75" x14ac:dyDescent="0.2">
      <c r="A123" s="777"/>
      <c r="B123" s="785" t="s">
        <v>694</v>
      </c>
      <c r="C123" s="798"/>
      <c r="D123" s="799"/>
      <c r="E123" s="800"/>
      <c r="F123" s="801"/>
      <c r="G123" s="800"/>
      <c r="H123" s="800">
        <f>SUM(H124:H131)</f>
        <v>41520</v>
      </c>
      <c r="I123" s="1991"/>
      <c r="J123" s="1997"/>
      <c r="K123" s="1993"/>
      <c r="L123" s="1980">
        <f>SUM(K124:K131)</f>
        <v>37783.199999999997</v>
      </c>
      <c r="M123" s="1992"/>
      <c r="N123" s="1994"/>
      <c r="O123" s="1994"/>
      <c r="P123" s="1994"/>
      <c r="Q123" s="2004"/>
      <c r="R123" s="1995"/>
      <c r="S123" s="1995"/>
      <c r="T123" s="1995"/>
    </row>
    <row r="124" spans="1:20" s="727" customFormat="1" ht="12.75" x14ac:dyDescent="0.2">
      <c r="A124" s="728"/>
      <c r="B124" s="729" t="s">
        <v>1090</v>
      </c>
      <c r="C124" s="790" t="s">
        <v>695</v>
      </c>
      <c r="D124" s="797">
        <v>4</v>
      </c>
      <c r="E124" s="792">
        <v>2000</v>
      </c>
      <c r="F124" s="792"/>
      <c r="G124" s="783">
        <f>D124*E124</f>
        <v>8000</v>
      </c>
      <c r="H124" s="783">
        <f t="shared" ref="H124:H131" si="35">F124+G124</f>
        <v>8000</v>
      </c>
      <c r="I124" s="1996"/>
      <c r="J124" s="1999">
        <v>0.91</v>
      </c>
      <c r="K124" s="1980">
        <f t="shared" ref="K124:K131" si="36">+H124*J124</f>
        <v>7280</v>
      </c>
      <c r="L124" s="1980"/>
      <c r="M124" s="1983"/>
      <c r="N124" s="1972"/>
      <c r="O124" s="1972"/>
      <c r="P124" s="1972"/>
      <c r="Q124" s="1998"/>
      <c r="R124" s="1979"/>
      <c r="S124" s="1979"/>
      <c r="T124" s="1979"/>
    </row>
    <row r="125" spans="1:20" s="727" customFormat="1" ht="12.75" x14ac:dyDescent="0.2">
      <c r="A125" s="728"/>
      <c r="B125" s="729" t="s">
        <v>906</v>
      </c>
      <c r="C125" s="790" t="s">
        <v>696</v>
      </c>
      <c r="D125" s="797">
        <v>4</v>
      </c>
      <c r="E125" s="792">
        <v>600</v>
      </c>
      <c r="F125" s="792"/>
      <c r="G125" s="783">
        <f t="shared" ref="G125:G131" si="37">D125*E125</f>
        <v>2400</v>
      </c>
      <c r="H125" s="783">
        <f t="shared" si="35"/>
        <v>2400</v>
      </c>
      <c r="I125" s="1996"/>
      <c r="J125" s="1999">
        <v>0.91</v>
      </c>
      <c r="K125" s="1980">
        <f t="shared" si="36"/>
        <v>2184</v>
      </c>
      <c r="L125" s="1980"/>
      <c r="M125" s="1983"/>
      <c r="N125" s="1972"/>
      <c r="O125" s="1972"/>
      <c r="P125" s="1972"/>
      <c r="Q125" s="1998"/>
      <c r="R125" s="1979"/>
      <c r="S125" s="1979"/>
      <c r="T125" s="1979"/>
    </row>
    <row r="126" spans="1:20" s="727" customFormat="1" ht="12.75" x14ac:dyDescent="0.2">
      <c r="A126" s="728"/>
      <c r="B126" s="729" t="s">
        <v>907</v>
      </c>
      <c r="C126" s="790" t="s">
        <v>696</v>
      </c>
      <c r="D126" s="797">
        <v>4</v>
      </c>
      <c r="E126" s="792">
        <v>1500</v>
      </c>
      <c r="F126" s="792"/>
      <c r="G126" s="783">
        <f t="shared" si="37"/>
        <v>6000</v>
      </c>
      <c r="H126" s="783">
        <f t="shared" si="35"/>
        <v>6000</v>
      </c>
      <c r="I126" s="1996"/>
      <c r="J126" s="1999">
        <v>0.91</v>
      </c>
      <c r="K126" s="1980">
        <f t="shared" si="36"/>
        <v>5460</v>
      </c>
      <c r="L126" s="1980"/>
      <c r="M126" s="1983"/>
      <c r="N126" s="1972"/>
      <c r="O126" s="1972"/>
      <c r="P126" s="1972"/>
      <c r="Q126" s="1998"/>
      <c r="R126" s="1979"/>
      <c r="S126" s="1979"/>
      <c r="T126" s="1979"/>
    </row>
    <row r="127" spans="1:20" s="727" customFormat="1" ht="12.75" x14ac:dyDescent="0.2">
      <c r="A127" s="728"/>
      <c r="B127" s="729" t="s">
        <v>1091</v>
      </c>
      <c r="C127" s="790" t="s">
        <v>696</v>
      </c>
      <c r="D127" s="797">
        <v>6</v>
      </c>
      <c r="E127" s="792">
        <v>600</v>
      </c>
      <c r="F127" s="792"/>
      <c r="G127" s="783">
        <f t="shared" si="37"/>
        <v>3600</v>
      </c>
      <c r="H127" s="783">
        <f t="shared" si="35"/>
        <v>3600</v>
      </c>
      <c r="I127" s="1996"/>
      <c r="J127" s="1999">
        <v>0.91</v>
      </c>
      <c r="K127" s="1980">
        <f t="shared" si="36"/>
        <v>3276</v>
      </c>
      <c r="L127" s="1980"/>
      <c r="M127" s="1983"/>
      <c r="N127" s="1972"/>
      <c r="O127" s="1972"/>
      <c r="P127" s="1972"/>
      <c r="Q127" s="1998"/>
      <c r="R127" s="1979"/>
      <c r="S127" s="1979"/>
      <c r="T127" s="1979"/>
    </row>
    <row r="128" spans="1:20" s="727" customFormat="1" ht="12.75" x14ac:dyDescent="0.2">
      <c r="A128" s="728"/>
      <c r="B128" s="729" t="s">
        <v>1092</v>
      </c>
      <c r="C128" s="790" t="s">
        <v>696</v>
      </c>
      <c r="D128" s="797">
        <v>6</v>
      </c>
      <c r="E128" s="792">
        <v>340</v>
      </c>
      <c r="F128" s="792"/>
      <c r="G128" s="783">
        <f t="shared" si="37"/>
        <v>2040</v>
      </c>
      <c r="H128" s="783">
        <f t="shared" si="35"/>
        <v>2040</v>
      </c>
      <c r="I128" s="1996"/>
      <c r="J128" s="1999">
        <v>0.91</v>
      </c>
      <c r="K128" s="1980">
        <f t="shared" si="36"/>
        <v>1856.4</v>
      </c>
      <c r="L128" s="1980"/>
      <c r="M128" s="1983"/>
      <c r="N128" s="1972"/>
      <c r="O128" s="1972"/>
      <c r="P128" s="1972"/>
      <c r="Q128" s="1998"/>
      <c r="R128" s="1979"/>
      <c r="S128" s="1979"/>
      <c r="T128" s="1979"/>
    </row>
    <row r="129" spans="1:20" s="727" customFormat="1" ht="12.75" x14ac:dyDescent="0.2">
      <c r="A129" s="728"/>
      <c r="B129" s="729" t="s">
        <v>1093</v>
      </c>
      <c r="C129" s="790" t="s">
        <v>638</v>
      </c>
      <c r="D129" s="797">
        <v>4</v>
      </c>
      <c r="E129" s="792">
        <v>2000</v>
      </c>
      <c r="F129" s="792"/>
      <c r="G129" s="783">
        <f t="shared" si="37"/>
        <v>8000</v>
      </c>
      <c r="H129" s="783">
        <f t="shared" si="35"/>
        <v>8000</v>
      </c>
      <c r="I129" s="1996"/>
      <c r="J129" s="1999">
        <v>0.91</v>
      </c>
      <c r="K129" s="1980">
        <f t="shared" si="36"/>
        <v>7280</v>
      </c>
      <c r="L129" s="1980"/>
      <c r="M129" s="1983"/>
      <c r="N129" s="1972"/>
      <c r="O129" s="1972"/>
      <c r="P129" s="1972"/>
      <c r="Q129" s="1998"/>
      <c r="R129" s="1979"/>
      <c r="S129" s="1979"/>
      <c r="T129" s="1979"/>
    </row>
    <row r="130" spans="1:20" s="727" customFormat="1" ht="12.75" x14ac:dyDescent="0.2">
      <c r="A130" s="728"/>
      <c r="B130" s="729" t="s">
        <v>697</v>
      </c>
      <c r="C130" s="790" t="s">
        <v>638</v>
      </c>
      <c r="D130" s="797">
        <v>1</v>
      </c>
      <c r="E130" s="792">
        <v>8120</v>
      </c>
      <c r="F130" s="792"/>
      <c r="G130" s="783">
        <f t="shared" si="37"/>
        <v>8120</v>
      </c>
      <c r="H130" s="783">
        <f t="shared" si="35"/>
        <v>8120</v>
      </c>
      <c r="I130" s="1996"/>
      <c r="J130" s="1999">
        <v>0.91</v>
      </c>
      <c r="K130" s="1980">
        <f t="shared" si="36"/>
        <v>7389.2</v>
      </c>
      <c r="L130" s="1980"/>
      <c r="M130" s="1983"/>
      <c r="N130" s="1972"/>
      <c r="O130" s="1972"/>
      <c r="P130" s="1972"/>
      <c r="Q130" s="1998"/>
      <c r="R130" s="1979"/>
      <c r="S130" s="1979"/>
      <c r="T130" s="1979"/>
    </row>
    <row r="131" spans="1:20" s="727" customFormat="1" ht="12.75" x14ac:dyDescent="0.2">
      <c r="A131" s="728"/>
      <c r="B131" s="729" t="s">
        <v>698</v>
      </c>
      <c r="C131" s="790" t="s">
        <v>638</v>
      </c>
      <c r="D131" s="797">
        <v>24</v>
      </c>
      <c r="E131" s="792">
        <v>140</v>
      </c>
      <c r="F131" s="792"/>
      <c r="G131" s="783">
        <f t="shared" si="37"/>
        <v>3360</v>
      </c>
      <c r="H131" s="783">
        <f t="shared" si="35"/>
        <v>3360</v>
      </c>
      <c r="I131" s="1996"/>
      <c r="J131" s="1999">
        <v>0.91</v>
      </c>
      <c r="K131" s="1980">
        <f t="shared" si="36"/>
        <v>3057.6</v>
      </c>
      <c r="L131" s="1980"/>
      <c r="M131" s="1983"/>
      <c r="N131" s="1972"/>
      <c r="O131" s="1972"/>
      <c r="P131" s="1972"/>
      <c r="Q131" s="1998"/>
      <c r="R131" s="1979"/>
      <c r="S131" s="1979"/>
      <c r="T131" s="1979"/>
    </row>
    <row r="132" spans="1:20" s="727" customFormat="1" ht="12.75" x14ac:dyDescent="0.2">
      <c r="A132" s="777"/>
      <c r="B132" s="785" t="s">
        <v>699</v>
      </c>
      <c r="C132" s="802"/>
      <c r="D132" s="803"/>
      <c r="E132" s="788"/>
      <c r="F132" s="789"/>
      <c r="G132" s="800"/>
      <c r="H132" s="800">
        <f>SUM(H133:H134)</f>
        <v>120000</v>
      </c>
      <c r="I132" s="1996"/>
      <c r="J132" s="1999"/>
      <c r="K132" s="1980"/>
      <c r="L132" s="1980">
        <f>SUM(K133:K134)</f>
        <v>109200</v>
      </c>
      <c r="M132" s="1983"/>
      <c r="N132" s="1972"/>
      <c r="O132" s="1972"/>
      <c r="P132" s="1972"/>
      <c r="Q132" s="1998"/>
      <c r="R132" s="1979"/>
      <c r="S132" s="1979"/>
      <c r="T132" s="1979"/>
    </row>
    <row r="133" spans="1:20" s="727" customFormat="1" ht="12.75" x14ac:dyDescent="0.2">
      <c r="A133" s="728"/>
      <c r="B133" s="729" t="s">
        <v>700</v>
      </c>
      <c r="C133" s="794" t="s">
        <v>701</v>
      </c>
      <c r="D133" s="804">
        <v>1</v>
      </c>
      <c r="E133" s="792">
        <v>90000</v>
      </c>
      <c r="F133" s="792"/>
      <c r="G133" s="783">
        <f>D133*E133</f>
        <v>90000</v>
      </c>
      <c r="H133" s="783">
        <f t="shared" ref="H133:H134" si="38">F133+G133</f>
        <v>90000</v>
      </c>
      <c r="I133" s="1996"/>
      <c r="J133" s="1999">
        <v>0.91</v>
      </c>
      <c r="K133" s="1980">
        <f>+H133*J133</f>
        <v>81900</v>
      </c>
      <c r="L133" s="1980"/>
      <c r="M133" s="1983"/>
      <c r="N133" s="1972"/>
      <c r="O133" s="1972"/>
      <c r="P133" s="1972"/>
      <c r="Q133" s="1998"/>
      <c r="R133" s="1979"/>
      <c r="S133" s="1979"/>
      <c r="T133" s="1979"/>
    </row>
    <row r="134" spans="1:20" s="727" customFormat="1" ht="12.75" x14ac:dyDescent="0.2">
      <c r="A134" s="728"/>
      <c r="B134" s="729" t="s">
        <v>702</v>
      </c>
      <c r="C134" s="794" t="s">
        <v>701</v>
      </c>
      <c r="D134" s="804">
        <v>1</v>
      </c>
      <c r="E134" s="792">
        <v>30000</v>
      </c>
      <c r="F134" s="792"/>
      <c r="G134" s="783">
        <f>D134*E134</f>
        <v>30000</v>
      </c>
      <c r="H134" s="783">
        <f t="shared" si="38"/>
        <v>30000</v>
      </c>
      <c r="I134" s="1996"/>
      <c r="J134" s="1999">
        <v>0.91</v>
      </c>
      <c r="K134" s="1980">
        <f>+H134*J134</f>
        <v>27300</v>
      </c>
      <c r="L134" s="1980"/>
      <c r="M134" s="1983"/>
      <c r="N134" s="1972"/>
      <c r="O134" s="1972"/>
      <c r="P134" s="1972"/>
      <c r="Q134" s="1998"/>
      <c r="R134" s="1979"/>
      <c r="S134" s="1979"/>
      <c r="T134" s="1979"/>
    </row>
    <row r="135" spans="1:20" s="727" customFormat="1" ht="12.75" x14ac:dyDescent="0.2">
      <c r="A135" s="808" t="s">
        <v>1165</v>
      </c>
      <c r="B135" s="809" t="s">
        <v>1164</v>
      </c>
      <c r="C135" s="810"/>
      <c r="D135" s="811"/>
      <c r="E135" s="812"/>
      <c r="F135" s="812"/>
      <c r="G135" s="813"/>
      <c r="H135" s="814">
        <f>H136</f>
        <v>173043</v>
      </c>
      <c r="I135" s="1996"/>
      <c r="J135" s="1999"/>
      <c r="K135" s="1980"/>
      <c r="L135" s="1980"/>
      <c r="M135" s="1983"/>
      <c r="N135" s="1972"/>
      <c r="O135" s="1972"/>
      <c r="P135" s="1972"/>
      <c r="Q135" s="1998"/>
      <c r="R135" s="1979"/>
      <c r="S135" s="1979"/>
      <c r="T135" s="1979"/>
    </row>
    <row r="136" spans="1:20" s="727" customFormat="1" ht="13.5" thickBot="1" x14ac:dyDescent="0.25">
      <c r="A136" s="760" t="s">
        <v>1166</v>
      </c>
      <c r="B136" s="754" t="s">
        <v>1295</v>
      </c>
      <c r="C136" s="815"/>
      <c r="D136" s="816"/>
      <c r="E136" s="757"/>
      <c r="F136" s="757"/>
      <c r="G136" s="758"/>
      <c r="H136" s="759">
        <f>H137+H139</f>
        <v>173043</v>
      </c>
      <c r="I136" s="1996"/>
      <c r="J136" s="1999"/>
      <c r="K136" s="1980"/>
      <c r="L136" s="1980"/>
      <c r="M136" s="1983"/>
      <c r="N136" s="1972"/>
      <c r="O136" s="1972"/>
      <c r="P136" s="1972"/>
      <c r="Q136" s="1998"/>
      <c r="R136" s="1979"/>
      <c r="S136" s="1979"/>
      <c r="T136" s="1979"/>
    </row>
    <row r="137" spans="1:20" s="727" customFormat="1" ht="39" thickBot="1" x14ac:dyDescent="0.25">
      <c r="A137" s="717" t="s">
        <v>1168</v>
      </c>
      <c r="B137" s="718" t="s">
        <v>1167</v>
      </c>
      <c r="C137" s="722"/>
      <c r="D137" s="723"/>
      <c r="E137" s="724"/>
      <c r="F137" s="724"/>
      <c r="G137" s="725"/>
      <c r="H137" s="726">
        <f>SUM(H138)</f>
        <v>50000</v>
      </c>
      <c r="I137" s="1996"/>
      <c r="J137" s="1999"/>
      <c r="K137" s="1980"/>
      <c r="L137" s="1980">
        <f>SUM(K138)</f>
        <v>42350</v>
      </c>
      <c r="M137" s="1983"/>
      <c r="N137" s="1972"/>
      <c r="O137" s="1972"/>
      <c r="P137" s="1972"/>
      <c r="Q137" s="1998"/>
      <c r="R137" s="1979"/>
      <c r="S137" s="1979"/>
      <c r="T137" s="1979"/>
    </row>
    <row r="138" spans="1:20" s="727" customFormat="1" ht="13.5" thickBot="1" x14ac:dyDescent="0.25">
      <c r="A138" s="728" t="s">
        <v>1199</v>
      </c>
      <c r="B138" s="729" t="s">
        <v>1200</v>
      </c>
      <c r="C138" s="730" t="s">
        <v>1019</v>
      </c>
      <c r="D138" s="731">
        <v>1</v>
      </c>
      <c r="E138" s="732">
        <v>50000</v>
      </c>
      <c r="F138" s="733">
        <f>D138*E138</f>
        <v>50000</v>
      </c>
      <c r="G138" s="734"/>
      <c r="H138" s="732">
        <f>F138+G138</f>
        <v>50000</v>
      </c>
      <c r="I138" s="1996"/>
      <c r="J138" s="1990">
        <v>0.84699999999999998</v>
      </c>
      <c r="K138" s="1980">
        <f t="shared" ref="K138" si="39">+H138*J138</f>
        <v>42350</v>
      </c>
      <c r="L138" s="1980"/>
      <c r="M138" s="1983"/>
      <c r="N138" s="1972"/>
      <c r="O138" s="1972"/>
      <c r="P138" s="1972"/>
      <c r="Q138" s="1998"/>
      <c r="R138" s="1979"/>
      <c r="S138" s="1979"/>
      <c r="T138" s="1979"/>
    </row>
    <row r="139" spans="1:20" s="727" customFormat="1" ht="24.75" customHeight="1" thickBot="1" x14ac:dyDescent="0.25">
      <c r="A139" s="717" t="s">
        <v>1198</v>
      </c>
      <c r="B139" s="718" t="s">
        <v>1170</v>
      </c>
      <c r="C139" s="722"/>
      <c r="D139" s="723"/>
      <c r="E139" s="724"/>
      <c r="F139" s="724"/>
      <c r="G139" s="725"/>
      <c r="H139" s="726">
        <f>SUM(H140:H166)</f>
        <v>123043</v>
      </c>
      <c r="I139" s="1996"/>
      <c r="J139" s="1999"/>
      <c r="K139" s="1980"/>
      <c r="L139" s="1980">
        <f>SUM(K140:K166)</f>
        <v>104217.421</v>
      </c>
      <c r="M139" s="1983"/>
      <c r="N139" s="1972"/>
      <c r="O139" s="1972"/>
      <c r="P139" s="1972"/>
      <c r="Q139" s="1998"/>
      <c r="R139" s="1979"/>
      <c r="S139" s="1979"/>
      <c r="T139" s="1979"/>
    </row>
    <row r="140" spans="1:20" s="736" customFormat="1" ht="24.75" customHeight="1" x14ac:dyDescent="0.2">
      <c r="A140" s="728" t="s">
        <v>1171</v>
      </c>
      <c r="B140" s="735" t="s">
        <v>1024</v>
      </c>
      <c r="C140" s="730" t="s">
        <v>1019</v>
      </c>
      <c r="D140" s="731">
        <v>1</v>
      </c>
      <c r="E140" s="732">
        <v>750</v>
      </c>
      <c r="F140" s="733">
        <f>D140*E140</f>
        <v>750</v>
      </c>
      <c r="G140" s="734"/>
      <c r="H140" s="732">
        <f>F140+G140</f>
        <v>750</v>
      </c>
      <c r="I140" s="1972"/>
      <c r="J140" s="1990">
        <v>0.84699999999999998</v>
      </c>
      <c r="K140" s="1980">
        <f t="shared" ref="K140:K166" si="40">+H140*J140</f>
        <v>635.25</v>
      </c>
      <c r="L140" s="1980"/>
      <c r="M140" s="1972"/>
      <c r="N140" s="1976"/>
      <c r="O140" s="1976"/>
      <c r="P140" s="1972"/>
      <c r="Q140" s="1972"/>
      <c r="R140" s="1996"/>
      <c r="S140" s="1996"/>
      <c r="T140" s="1996"/>
    </row>
    <row r="141" spans="1:20" s="736" customFormat="1" ht="23.25" customHeight="1" x14ac:dyDescent="0.2">
      <c r="A141" s="728" t="s">
        <v>1172</v>
      </c>
      <c r="B141" s="735" t="s">
        <v>1025</v>
      </c>
      <c r="C141" s="730" t="s">
        <v>1019</v>
      </c>
      <c r="D141" s="731">
        <v>1</v>
      </c>
      <c r="E141" s="737">
        <v>2000</v>
      </c>
      <c r="F141" s="733">
        <f t="shared" ref="F141:F166" si="41">D141*E141</f>
        <v>2000</v>
      </c>
      <c r="G141" s="738"/>
      <c r="H141" s="732">
        <f t="shared" ref="H141:H166" si="42">F141+G141</f>
        <v>2000</v>
      </c>
      <c r="I141" s="1972"/>
      <c r="J141" s="1990">
        <v>0.84699999999999998</v>
      </c>
      <c r="K141" s="1980">
        <f t="shared" si="40"/>
        <v>1694</v>
      </c>
      <c r="L141" s="1980"/>
      <c r="M141" s="1972"/>
      <c r="N141" s="1976"/>
      <c r="O141" s="1976"/>
      <c r="P141" s="1972"/>
      <c r="Q141" s="1972"/>
      <c r="R141" s="1996"/>
      <c r="S141" s="1996"/>
      <c r="T141" s="1996"/>
    </row>
    <row r="142" spans="1:20" s="736" customFormat="1" ht="24" customHeight="1" x14ac:dyDescent="0.2">
      <c r="A142" s="728" t="s">
        <v>1173</v>
      </c>
      <c r="B142" s="735" t="s">
        <v>1026</v>
      </c>
      <c r="C142" s="730" t="s">
        <v>1020</v>
      </c>
      <c r="D142" s="731">
        <v>1</v>
      </c>
      <c r="E142" s="737">
        <v>5000</v>
      </c>
      <c r="F142" s="733">
        <f t="shared" si="41"/>
        <v>5000</v>
      </c>
      <c r="G142" s="738"/>
      <c r="H142" s="732">
        <f t="shared" si="42"/>
        <v>5000</v>
      </c>
      <c r="I142" s="1972"/>
      <c r="J142" s="1990">
        <v>0.84699999999999998</v>
      </c>
      <c r="K142" s="1980">
        <f t="shared" si="40"/>
        <v>4235</v>
      </c>
      <c r="L142" s="1980"/>
      <c r="M142" s="1972"/>
      <c r="N142" s="1976"/>
      <c r="O142" s="1976"/>
      <c r="P142" s="1972"/>
      <c r="Q142" s="1972"/>
      <c r="R142" s="1996"/>
      <c r="S142" s="1996"/>
      <c r="T142" s="1996"/>
    </row>
    <row r="143" spans="1:20" s="736" customFormat="1" ht="13.5" customHeight="1" x14ac:dyDescent="0.2">
      <c r="A143" s="728" t="s">
        <v>1174</v>
      </c>
      <c r="B143" s="735" t="s">
        <v>1021</v>
      </c>
      <c r="C143" s="730" t="s">
        <v>1020</v>
      </c>
      <c r="D143" s="731">
        <v>1</v>
      </c>
      <c r="E143" s="737">
        <v>2000</v>
      </c>
      <c r="F143" s="733">
        <f t="shared" si="41"/>
        <v>2000</v>
      </c>
      <c r="G143" s="738"/>
      <c r="H143" s="732">
        <f t="shared" si="42"/>
        <v>2000</v>
      </c>
      <c r="I143" s="1972"/>
      <c r="J143" s="1990">
        <v>0.84699999999999998</v>
      </c>
      <c r="K143" s="1980">
        <f t="shared" si="40"/>
        <v>1694</v>
      </c>
      <c r="L143" s="1980"/>
      <c r="M143" s="1972"/>
      <c r="N143" s="1976"/>
      <c r="O143" s="1976"/>
      <c r="P143" s="1972"/>
      <c r="Q143" s="1972"/>
      <c r="R143" s="1996"/>
      <c r="S143" s="1996"/>
      <c r="T143" s="1996"/>
    </row>
    <row r="144" spans="1:20" s="736" customFormat="1" ht="20.25" customHeight="1" x14ac:dyDescent="0.2">
      <c r="A144" s="728" t="s">
        <v>1175</v>
      </c>
      <c r="B144" s="735" t="s">
        <v>1027</v>
      </c>
      <c r="C144" s="730" t="s">
        <v>1020</v>
      </c>
      <c r="D144" s="731">
        <v>1</v>
      </c>
      <c r="E144" s="737">
        <v>3000</v>
      </c>
      <c r="F144" s="733">
        <f t="shared" si="41"/>
        <v>3000</v>
      </c>
      <c r="G144" s="738"/>
      <c r="H144" s="732">
        <f t="shared" si="42"/>
        <v>3000</v>
      </c>
      <c r="I144" s="1972"/>
      <c r="J144" s="1990">
        <v>0.84699999999999998</v>
      </c>
      <c r="K144" s="1980">
        <f t="shared" si="40"/>
        <v>2541</v>
      </c>
      <c r="L144" s="1980"/>
      <c r="M144" s="1972"/>
      <c r="N144" s="1976"/>
      <c r="O144" s="1976"/>
      <c r="P144" s="1972"/>
      <c r="Q144" s="1972"/>
      <c r="R144" s="1996"/>
      <c r="S144" s="1996"/>
      <c r="T144" s="1996"/>
    </row>
    <row r="145" spans="1:20" s="736" customFormat="1" ht="15" customHeight="1" x14ac:dyDescent="0.2">
      <c r="A145" s="728" t="s">
        <v>1176</v>
      </c>
      <c r="B145" s="735" t="s">
        <v>1028</v>
      </c>
      <c r="C145" s="730" t="s">
        <v>1019</v>
      </c>
      <c r="D145" s="731">
        <v>1</v>
      </c>
      <c r="E145" s="737">
        <v>1000</v>
      </c>
      <c r="F145" s="733">
        <f t="shared" si="41"/>
        <v>1000</v>
      </c>
      <c r="G145" s="738"/>
      <c r="H145" s="732">
        <f t="shared" si="42"/>
        <v>1000</v>
      </c>
      <c r="I145" s="1972"/>
      <c r="J145" s="1990">
        <v>0.84699999999999998</v>
      </c>
      <c r="K145" s="1980">
        <f t="shared" si="40"/>
        <v>847</v>
      </c>
      <c r="L145" s="1980"/>
      <c r="M145" s="1972"/>
      <c r="N145" s="1976"/>
      <c r="O145" s="1976"/>
      <c r="P145" s="1972"/>
      <c r="Q145" s="1972"/>
      <c r="R145" s="1996"/>
      <c r="S145" s="1996"/>
      <c r="T145" s="1996"/>
    </row>
    <row r="146" spans="1:20" s="736" customFormat="1" ht="15" customHeight="1" x14ac:dyDescent="0.2">
      <c r="A146" s="728" t="s">
        <v>1177</v>
      </c>
      <c r="B146" s="735" t="s">
        <v>1029</v>
      </c>
      <c r="C146" s="730" t="s">
        <v>1019</v>
      </c>
      <c r="D146" s="731">
        <v>1</v>
      </c>
      <c r="E146" s="737">
        <v>2000</v>
      </c>
      <c r="F146" s="733">
        <f t="shared" si="41"/>
        <v>2000</v>
      </c>
      <c r="G146" s="738"/>
      <c r="H146" s="732">
        <f t="shared" si="42"/>
        <v>2000</v>
      </c>
      <c r="I146" s="1972"/>
      <c r="J146" s="1990">
        <v>0.84699999999999998</v>
      </c>
      <c r="K146" s="1980">
        <f t="shared" si="40"/>
        <v>1694</v>
      </c>
      <c r="L146" s="1980"/>
      <c r="M146" s="1972"/>
      <c r="N146" s="1976"/>
      <c r="O146" s="1976"/>
      <c r="P146" s="1972"/>
      <c r="Q146" s="1972"/>
      <c r="R146" s="1996"/>
      <c r="S146" s="1996"/>
      <c r="T146" s="1996"/>
    </row>
    <row r="147" spans="1:20" s="736" customFormat="1" ht="15" customHeight="1" x14ac:dyDescent="0.2">
      <c r="A147" s="728" t="s">
        <v>1178</v>
      </c>
      <c r="B147" s="735" t="s">
        <v>1030</v>
      </c>
      <c r="C147" s="730" t="s">
        <v>1019</v>
      </c>
      <c r="D147" s="731">
        <v>1</v>
      </c>
      <c r="E147" s="737">
        <v>5000</v>
      </c>
      <c r="F147" s="733">
        <f t="shared" si="41"/>
        <v>5000</v>
      </c>
      <c r="G147" s="738"/>
      <c r="H147" s="732">
        <f t="shared" si="42"/>
        <v>5000</v>
      </c>
      <c r="I147" s="1972"/>
      <c r="J147" s="1990">
        <v>0.84699999999999998</v>
      </c>
      <c r="K147" s="1980">
        <f t="shared" si="40"/>
        <v>4235</v>
      </c>
      <c r="L147" s="1980"/>
      <c r="M147" s="1972"/>
      <c r="N147" s="1976"/>
      <c r="O147" s="1976"/>
      <c r="P147" s="1972"/>
      <c r="Q147" s="1972"/>
      <c r="R147" s="1996"/>
      <c r="S147" s="1996"/>
      <c r="T147" s="1996"/>
    </row>
    <row r="148" spans="1:20" s="736" customFormat="1" ht="15" customHeight="1" x14ac:dyDescent="0.2">
      <c r="A148" s="728" t="s">
        <v>1179</v>
      </c>
      <c r="B148" s="735" t="s">
        <v>1031</v>
      </c>
      <c r="C148" s="730" t="s">
        <v>1022</v>
      </c>
      <c r="D148" s="731">
        <v>42.2</v>
      </c>
      <c r="E148" s="737">
        <v>10</v>
      </c>
      <c r="F148" s="733">
        <f t="shared" si="41"/>
        <v>422</v>
      </c>
      <c r="G148" s="738"/>
      <c r="H148" s="732">
        <f t="shared" si="42"/>
        <v>422</v>
      </c>
      <c r="I148" s="1972"/>
      <c r="J148" s="1990">
        <v>0.84699999999999998</v>
      </c>
      <c r="K148" s="1980">
        <f t="shared" si="40"/>
        <v>357.43399999999997</v>
      </c>
      <c r="L148" s="1980"/>
      <c r="M148" s="1972"/>
      <c r="N148" s="1976"/>
      <c r="O148" s="1976"/>
      <c r="P148" s="1972"/>
      <c r="Q148" s="1972"/>
      <c r="R148" s="1996"/>
      <c r="S148" s="1996"/>
      <c r="T148" s="1996"/>
    </row>
    <row r="149" spans="1:20" s="736" customFormat="1" ht="15" customHeight="1" x14ac:dyDescent="0.2">
      <c r="A149" s="728" t="s">
        <v>1180</v>
      </c>
      <c r="B149" s="735" t="s">
        <v>1032</v>
      </c>
      <c r="C149" s="730" t="s">
        <v>1022</v>
      </c>
      <c r="D149" s="731">
        <v>42.2</v>
      </c>
      <c r="E149" s="737">
        <v>15</v>
      </c>
      <c r="F149" s="733">
        <f t="shared" si="41"/>
        <v>633</v>
      </c>
      <c r="G149" s="738"/>
      <c r="H149" s="732">
        <f t="shared" si="42"/>
        <v>633</v>
      </c>
      <c r="I149" s="1972"/>
      <c r="J149" s="1990">
        <v>0.84699999999999998</v>
      </c>
      <c r="K149" s="1980">
        <f t="shared" si="40"/>
        <v>536.15099999999995</v>
      </c>
      <c r="L149" s="1980"/>
      <c r="M149" s="1972"/>
      <c r="N149" s="1976"/>
      <c r="O149" s="1976"/>
      <c r="P149" s="1972"/>
      <c r="Q149" s="1972"/>
      <c r="R149" s="1996"/>
      <c r="S149" s="1996"/>
      <c r="T149" s="1996"/>
    </row>
    <row r="150" spans="1:20" s="736" customFormat="1" ht="15" customHeight="1" x14ac:dyDescent="0.2">
      <c r="A150" s="728" t="s">
        <v>1181</v>
      </c>
      <c r="B150" s="735" t="s">
        <v>1033</v>
      </c>
      <c r="C150" s="730" t="s">
        <v>1020</v>
      </c>
      <c r="D150" s="731">
        <v>19.8</v>
      </c>
      <c r="E150" s="737">
        <v>410</v>
      </c>
      <c r="F150" s="733">
        <f t="shared" si="41"/>
        <v>8118</v>
      </c>
      <c r="G150" s="738"/>
      <c r="H150" s="732">
        <f t="shared" si="42"/>
        <v>8118</v>
      </c>
      <c r="I150" s="1972"/>
      <c r="J150" s="1990">
        <v>0.84699999999999998</v>
      </c>
      <c r="K150" s="1980">
        <f t="shared" si="40"/>
        <v>6875.9459999999999</v>
      </c>
      <c r="L150" s="1980"/>
      <c r="M150" s="1972"/>
      <c r="N150" s="1976"/>
      <c r="O150" s="1976"/>
      <c r="P150" s="1972"/>
      <c r="Q150" s="1972"/>
      <c r="R150" s="1996"/>
      <c r="S150" s="1996"/>
      <c r="T150" s="1996"/>
    </row>
    <row r="151" spans="1:20" s="736" customFormat="1" ht="15" customHeight="1" x14ac:dyDescent="0.2">
      <c r="A151" s="728" t="s">
        <v>1182</v>
      </c>
      <c r="B151" s="735" t="s">
        <v>1034</v>
      </c>
      <c r="C151" s="730" t="s">
        <v>1023</v>
      </c>
      <c r="D151" s="731">
        <v>55</v>
      </c>
      <c r="E151" s="737">
        <v>8</v>
      </c>
      <c r="F151" s="733">
        <f t="shared" si="41"/>
        <v>440</v>
      </c>
      <c r="G151" s="738"/>
      <c r="H151" s="732">
        <f t="shared" si="42"/>
        <v>440</v>
      </c>
      <c r="I151" s="1972"/>
      <c r="J151" s="1990">
        <v>0.84699999999999998</v>
      </c>
      <c r="K151" s="1980">
        <f t="shared" si="40"/>
        <v>372.68</v>
      </c>
      <c r="L151" s="1980"/>
      <c r="M151" s="1972"/>
      <c r="N151" s="1976"/>
      <c r="O151" s="1976"/>
      <c r="P151" s="1972"/>
      <c r="Q151" s="1972"/>
      <c r="R151" s="1996"/>
      <c r="S151" s="1996"/>
      <c r="T151" s="1996"/>
    </row>
    <row r="152" spans="1:20" s="736" customFormat="1" ht="15" customHeight="1" x14ac:dyDescent="0.2">
      <c r="A152" s="728" t="s">
        <v>1183</v>
      </c>
      <c r="B152" s="735" t="s">
        <v>1035</v>
      </c>
      <c r="C152" s="730" t="s">
        <v>1019</v>
      </c>
      <c r="D152" s="731">
        <v>3</v>
      </c>
      <c r="E152" s="737">
        <v>2500</v>
      </c>
      <c r="F152" s="733">
        <f t="shared" si="41"/>
        <v>7500</v>
      </c>
      <c r="G152" s="738"/>
      <c r="H152" s="732">
        <f t="shared" si="42"/>
        <v>7500</v>
      </c>
      <c r="I152" s="1972"/>
      <c r="J152" s="1990">
        <v>0.84699999999999998</v>
      </c>
      <c r="K152" s="1980">
        <f t="shared" si="40"/>
        <v>6352.5</v>
      </c>
      <c r="L152" s="1980"/>
      <c r="M152" s="1972"/>
      <c r="N152" s="1976"/>
      <c r="O152" s="1976"/>
      <c r="P152" s="1972"/>
      <c r="Q152" s="1972"/>
      <c r="R152" s="1996"/>
      <c r="S152" s="1996"/>
      <c r="T152" s="1996"/>
    </row>
    <row r="153" spans="1:20" s="736" customFormat="1" ht="15" customHeight="1" x14ac:dyDescent="0.2">
      <c r="A153" s="728" t="s">
        <v>1184</v>
      </c>
      <c r="B153" s="735" t="s">
        <v>1036</v>
      </c>
      <c r="C153" s="730" t="s">
        <v>1019</v>
      </c>
      <c r="D153" s="731">
        <v>17</v>
      </c>
      <c r="E153" s="737">
        <v>300</v>
      </c>
      <c r="F153" s="733">
        <f t="shared" si="41"/>
        <v>5100</v>
      </c>
      <c r="G153" s="738"/>
      <c r="H153" s="732">
        <f t="shared" si="42"/>
        <v>5100</v>
      </c>
      <c r="I153" s="1972"/>
      <c r="J153" s="1990">
        <v>0.84699999999999998</v>
      </c>
      <c r="K153" s="1980">
        <f t="shared" si="40"/>
        <v>4319.7</v>
      </c>
      <c r="L153" s="1980"/>
      <c r="M153" s="1972"/>
      <c r="N153" s="1976"/>
      <c r="O153" s="1976"/>
      <c r="P153" s="1972"/>
      <c r="Q153" s="1972"/>
      <c r="R153" s="1996"/>
      <c r="S153" s="1996"/>
      <c r="T153" s="1996"/>
    </row>
    <row r="154" spans="1:20" s="736" customFormat="1" ht="15" customHeight="1" x14ac:dyDescent="0.2">
      <c r="A154" s="728" t="s">
        <v>1185</v>
      </c>
      <c r="B154" s="735" t="s">
        <v>1037</v>
      </c>
      <c r="C154" s="730" t="s">
        <v>1019</v>
      </c>
      <c r="D154" s="731">
        <v>1</v>
      </c>
      <c r="E154" s="737">
        <v>4500</v>
      </c>
      <c r="F154" s="733">
        <f t="shared" si="41"/>
        <v>4500</v>
      </c>
      <c r="G154" s="738"/>
      <c r="H154" s="732">
        <f t="shared" si="42"/>
        <v>4500</v>
      </c>
      <c r="I154" s="1972"/>
      <c r="J154" s="1990">
        <v>0.84699999999999998</v>
      </c>
      <c r="K154" s="1980">
        <f t="shared" si="40"/>
        <v>3811.5</v>
      </c>
      <c r="L154" s="1980"/>
      <c r="M154" s="1972"/>
      <c r="N154" s="1976"/>
      <c r="O154" s="1976"/>
      <c r="P154" s="1972"/>
      <c r="Q154" s="1972"/>
      <c r="R154" s="1996"/>
      <c r="S154" s="1996"/>
      <c r="T154" s="1996"/>
    </row>
    <row r="155" spans="1:20" s="736" customFormat="1" ht="15" customHeight="1" x14ac:dyDescent="0.2">
      <c r="A155" s="728" t="s">
        <v>1186</v>
      </c>
      <c r="B155" s="735" t="s">
        <v>1038</v>
      </c>
      <c r="C155" s="730" t="s">
        <v>1019</v>
      </c>
      <c r="D155" s="731">
        <v>1</v>
      </c>
      <c r="E155" s="737">
        <v>8000</v>
      </c>
      <c r="F155" s="733">
        <f t="shared" si="41"/>
        <v>8000</v>
      </c>
      <c r="G155" s="738"/>
      <c r="H155" s="732">
        <f t="shared" si="42"/>
        <v>8000</v>
      </c>
      <c r="I155" s="1972"/>
      <c r="J155" s="1990">
        <v>0.84699999999999998</v>
      </c>
      <c r="K155" s="1980">
        <f t="shared" si="40"/>
        <v>6776</v>
      </c>
      <c r="L155" s="1980"/>
      <c r="M155" s="1972"/>
      <c r="N155" s="1976"/>
      <c r="O155" s="1976"/>
      <c r="P155" s="1972"/>
      <c r="Q155" s="1972"/>
      <c r="R155" s="1996"/>
      <c r="S155" s="1996"/>
      <c r="T155" s="1996"/>
    </row>
    <row r="156" spans="1:20" s="736" customFormat="1" ht="15" customHeight="1" x14ac:dyDescent="0.2">
      <c r="A156" s="728" t="s">
        <v>1187</v>
      </c>
      <c r="B156" s="735" t="s">
        <v>1039</v>
      </c>
      <c r="C156" s="730" t="s">
        <v>1019</v>
      </c>
      <c r="D156" s="731">
        <v>1</v>
      </c>
      <c r="E156" s="737">
        <v>5000</v>
      </c>
      <c r="F156" s="733">
        <f t="shared" si="41"/>
        <v>5000</v>
      </c>
      <c r="G156" s="738"/>
      <c r="H156" s="732">
        <f t="shared" si="42"/>
        <v>5000</v>
      </c>
      <c r="I156" s="1972"/>
      <c r="J156" s="1990">
        <v>0.84699999999999998</v>
      </c>
      <c r="K156" s="1980">
        <f t="shared" si="40"/>
        <v>4235</v>
      </c>
      <c r="L156" s="1980"/>
      <c r="M156" s="1972"/>
      <c r="N156" s="1976"/>
      <c r="O156" s="1976"/>
      <c r="P156" s="1972"/>
      <c r="Q156" s="1972"/>
      <c r="R156" s="1996"/>
      <c r="S156" s="1996"/>
      <c r="T156" s="1996"/>
    </row>
    <row r="157" spans="1:20" s="736" customFormat="1" ht="25.5" customHeight="1" x14ac:dyDescent="0.2">
      <c r="A157" s="728" t="s">
        <v>1188</v>
      </c>
      <c r="B157" s="735" t="s">
        <v>1040</v>
      </c>
      <c r="C157" s="730" t="s">
        <v>1022</v>
      </c>
      <c r="D157" s="731">
        <v>41.8</v>
      </c>
      <c r="E157" s="732">
        <v>100</v>
      </c>
      <c r="F157" s="733">
        <f t="shared" si="41"/>
        <v>4180</v>
      </c>
      <c r="G157" s="734"/>
      <c r="H157" s="732">
        <f t="shared" si="42"/>
        <v>4180</v>
      </c>
      <c r="I157" s="1972"/>
      <c r="J157" s="1990">
        <v>0.84699999999999998</v>
      </c>
      <c r="K157" s="1980">
        <f t="shared" si="40"/>
        <v>3540.46</v>
      </c>
      <c r="L157" s="1980"/>
      <c r="M157" s="1972"/>
      <c r="N157" s="1976"/>
      <c r="O157" s="1976"/>
      <c r="P157" s="1972"/>
      <c r="Q157" s="1972"/>
      <c r="R157" s="1996"/>
      <c r="S157" s="1996"/>
      <c r="T157" s="1996"/>
    </row>
    <row r="158" spans="1:20" s="736" customFormat="1" ht="15" customHeight="1" x14ac:dyDescent="0.2">
      <c r="A158" s="728" t="s">
        <v>1189</v>
      </c>
      <c r="B158" s="735" t="s">
        <v>1041</v>
      </c>
      <c r="C158" s="730" t="s">
        <v>1022</v>
      </c>
      <c r="D158" s="731">
        <v>125.4</v>
      </c>
      <c r="E158" s="737">
        <v>150</v>
      </c>
      <c r="F158" s="733">
        <f t="shared" si="41"/>
        <v>18810</v>
      </c>
      <c r="G158" s="738"/>
      <c r="H158" s="732">
        <f t="shared" si="42"/>
        <v>18810</v>
      </c>
      <c r="I158" s="1972"/>
      <c r="J158" s="1990">
        <v>0.84699999999999998</v>
      </c>
      <c r="K158" s="1980">
        <f t="shared" si="40"/>
        <v>15932.07</v>
      </c>
      <c r="L158" s="1980"/>
      <c r="M158" s="1972"/>
      <c r="N158" s="1976"/>
      <c r="O158" s="1976"/>
      <c r="P158" s="1972"/>
      <c r="Q158" s="1972"/>
      <c r="R158" s="1996"/>
      <c r="S158" s="1996"/>
      <c r="T158" s="1996"/>
    </row>
    <row r="159" spans="1:20" s="736" customFormat="1" ht="15" customHeight="1" x14ac:dyDescent="0.2">
      <c r="A159" s="728" t="s">
        <v>1190</v>
      </c>
      <c r="B159" s="735" t="s">
        <v>1042</v>
      </c>
      <c r="C159" s="730" t="s">
        <v>1022</v>
      </c>
      <c r="D159" s="731">
        <v>41.8</v>
      </c>
      <c r="E159" s="737">
        <v>150</v>
      </c>
      <c r="F159" s="733">
        <f t="shared" si="41"/>
        <v>6270</v>
      </c>
      <c r="G159" s="738"/>
      <c r="H159" s="732">
        <f t="shared" si="42"/>
        <v>6270</v>
      </c>
      <c r="I159" s="1972"/>
      <c r="J159" s="1990">
        <v>0.84699999999999998</v>
      </c>
      <c r="K159" s="1980">
        <f t="shared" si="40"/>
        <v>5310.69</v>
      </c>
      <c r="L159" s="1980"/>
      <c r="M159" s="1972"/>
      <c r="N159" s="1976"/>
      <c r="O159" s="1976"/>
      <c r="P159" s="1972"/>
      <c r="Q159" s="1972"/>
      <c r="R159" s="1996"/>
      <c r="S159" s="1996"/>
      <c r="T159" s="1996"/>
    </row>
    <row r="160" spans="1:20" s="736" customFormat="1" ht="15" customHeight="1" x14ac:dyDescent="0.2">
      <c r="A160" s="728" t="s">
        <v>1191</v>
      </c>
      <c r="B160" s="735" t="s">
        <v>1043</v>
      </c>
      <c r="C160" s="730" t="s">
        <v>1019</v>
      </c>
      <c r="D160" s="731">
        <v>1</v>
      </c>
      <c r="E160" s="737">
        <v>900</v>
      </c>
      <c r="F160" s="733">
        <f t="shared" si="41"/>
        <v>900</v>
      </c>
      <c r="G160" s="738"/>
      <c r="H160" s="732">
        <f t="shared" si="42"/>
        <v>900</v>
      </c>
      <c r="I160" s="1972"/>
      <c r="J160" s="1990">
        <v>0.84699999999999998</v>
      </c>
      <c r="K160" s="1980">
        <f t="shared" si="40"/>
        <v>762.3</v>
      </c>
      <c r="L160" s="1980"/>
      <c r="M160" s="1972"/>
      <c r="N160" s="1976"/>
      <c r="O160" s="1976"/>
      <c r="P160" s="1972"/>
      <c r="Q160" s="1972"/>
      <c r="R160" s="1996"/>
      <c r="S160" s="1996"/>
      <c r="T160" s="1996"/>
    </row>
    <row r="161" spans="1:20" s="736" customFormat="1" ht="15" customHeight="1" x14ac:dyDescent="0.2">
      <c r="A161" s="728" t="s">
        <v>1192</v>
      </c>
      <c r="B161" s="735" t="s">
        <v>1044</v>
      </c>
      <c r="C161" s="730" t="s">
        <v>1019</v>
      </c>
      <c r="D161" s="731">
        <v>1</v>
      </c>
      <c r="E161" s="737">
        <v>3000</v>
      </c>
      <c r="F161" s="733">
        <f t="shared" si="41"/>
        <v>3000</v>
      </c>
      <c r="G161" s="738"/>
      <c r="H161" s="732">
        <f t="shared" si="42"/>
        <v>3000</v>
      </c>
      <c r="I161" s="1972"/>
      <c r="J161" s="1990">
        <v>0.84699999999999998</v>
      </c>
      <c r="K161" s="1980">
        <f t="shared" si="40"/>
        <v>2541</v>
      </c>
      <c r="L161" s="1980"/>
      <c r="M161" s="1972"/>
      <c r="N161" s="1976"/>
      <c r="O161" s="1976"/>
      <c r="P161" s="1972"/>
      <c r="Q161" s="1972"/>
      <c r="R161" s="1996"/>
      <c r="S161" s="1996"/>
      <c r="T161" s="1996"/>
    </row>
    <row r="162" spans="1:20" s="736" customFormat="1" ht="15" customHeight="1" x14ac:dyDescent="0.2">
      <c r="A162" s="728" t="s">
        <v>1193</v>
      </c>
      <c r="B162" s="735" t="s">
        <v>1045</v>
      </c>
      <c r="C162" s="730" t="s">
        <v>1022</v>
      </c>
      <c r="D162" s="731">
        <v>114</v>
      </c>
      <c r="E162" s="737">
        <v>10</v>
      </c>
      <c r="F162" s="733">
        <f t="shared" si="41"/>
        <v>1140</v>
      </c>
      <c r="G162" s="738"/>
      <c r="H162" s="732">
        <f t="shared" si="42"/>
        <v>1140</v>
      </c>
      <c r="I162" s="1972"/>
      <c r="J162" s="1990">
        <v>0.84699999999999998</v>
      </c>
      <c r="K162" s="1980">
        <f t="shared" si="40"/>
        <v>965.57999999999993</v>
      </c>
      <c r="L162" s="1980"/>
      <c r="M162" s="1972"/>
      <c r="N162" s="1976"/>
      <c r="O162" s="1976"/>
      <c r="P162" s="1972"/>
      <c r="Q162" s="1972"/>
      <c r="R162" s="1996"/>
      <c r="S162" s="1996"/>
      <c r="T162" s="1996"/>
    </row>
    <row r="163" spans="1:20" s="736" customFormat="1" ht="15" customHeight="1" x14ac:dyDescent="0.2">
      <c r="A163" s="728" t="s">
        <v>1194</v>
      </c>
      <c r="B163" s="735" t="s">
        <v>1169</v>
      </c>
      <c r="C163" s="730" t="s">
        <v>1019</v>
      </c>
      <c r="D163" s="731">
        <v>1</v>
      </c>
      <c r="E163" s="737">
        <v>3500</v>
      </c>
      <c r="F163" s="733">
        <f t="shared" si="41"/>
        <v>3500</v>
      </c>
      <c r="G163" s="738"/>
      <c r="H163" s="732">
        <f t="shared" si="42"/>
        <v>3500</v>
      </c>
      <c r="I163" s="1972"/>
      <c r="J163" s="1990">
        <v>0.84699999999999998</v>
      </c>
      <c r="K163" s="1980">
        <f t="shared" si="40"/>
        <v>2964.5</v>
      </c>
      <c r="L163" s="1980"/>
      <c r="M163" s="1972"/>
      <c r="N163" s="1976"/>
      <c r="O163" s="1976"/>
      <c r="P163" s="1972"/>
      <c r="Q163" s="1972"/>
      <c r="R163" s="1996"/>
      <c r="S163" s="1996"/>
      <c r="T163" s="1996"/>
    </row>
    <row r="164" spans="1:20" s="736" customFormat="1" ht="23.25" customHeight="1" x14ac:dyDescent="0.2">
      <c r="A164" s="728" t="s">
        <v>1195</v>
      </c>
      <c r="B164" s="735" t="s">
        <v>1046</v>
      </c>
      <c r="C164" s="730" t="s">
        <v>1022</v>
      </c>
      <c r="D164" s="731">
        <v>72</v>
      </c>
      <c r="E164" s="737">
        <v>115</v>
      </c>
      <c r="F164" s="733">
        <f t="shared" si="41"/>
        <v>8280</v>
      </c>
      <c r="G164" s="738"/>
      <c r="H164" s="732">
        <f t="shared" si="42"/>
        <v>8280</v>
      </c>
      <c r="I164" s="1972"/>
      <c r="J164" s="1990">
        <v>0.84699999999999998</v>
      </c>
      <c r="K164" s="1980">
        <f t="shared" si="40"/>
        <v>7013.16</v>
      </c>
      <c r="L164" s="1980"/>
      <c r="M164" s="1972"/>
      <c r="N164" s="1976"/>
      <c r="O164" s="1976"/>
      <c r="P164" s="1972"/>
      <c r="Q164" s="1972"/>
      <c r="R164" s="1996"/>
      <c r="S164" s="1996"/>
      <c r="T164" s="1996"/>
    </row>
    <row r="165" spans="1:20" s="736" customFormat="1" ht="23.25" customHeight="1" x14ac:dyDescent="0.2">
      <c r="A165" s="728" t="s">
        <v>1196</v>
      </c>
      <c r="B165" s="735" t="s">
        <v>1047</v>
      </c>
      <c r="C165" s="730" t="s">
        <v>1019</v>
      </c>
      <c r="D165" s="731">
        <v>1</v>
      </c>
      <c r="E165" s="737">
        <v>6500</v>
      </c>
      <c r="F165" s="733">
        <f t="shared" si="41"/>
        <v>6500</v>
      </c>
      <c r="G165" s="738"/>
      <c r="H165" s="732">
        <f t="shared" si="42"/>
        <v>6500</v>
      </c>
      <c r="I165" s="1972"/>
      <c r="J165" s="1990">
        <v>0.84699999999999998</v>
      </c>
      <c r="K165" s="1980">
        <f t="shared" si="40"/>
        <v>5505.5</v>
      </c>
      <c r="L165" s="1980"/>
      <c r="M165" s="1972"/>
      <c r="N165" s="1976"/>
      <c r="O165" s="1976"/>
      <c r="P165" s="1972"/>
      <c r="Q165" s="1972"/>
      <c r="R165" s="1996"/>
      <c r="S165" s="1996"/>
      <c r="T165" s="1996"/>
    </row>
    <row r="166" spans="1:20" s="736" customFormat="1" ht="15" customHeight="1" x14ac:dyDescent="0.2">
      <c r="A166" s="728" t="s">
        <v>1197</v>
      </c>
      <c r="B166" s="735" t="s">
        <v>1048</v>
      </c>
      <c r="C166" s="730" t="s">
        <v>1019</v>
      </c>
      <c r="D166" s="731">
        <v>1</v>
      </c>
      <c r="E166" s="737">
        <v>10000</v>
      </c>
      <c r="F166" s="733">
        <f t="shared" si="41"/>
        <v>10000</v>
      </c>
      <c r="G166" s="738"/>
      <c r="H166" s="732">
        <f t="shared" si="42"/>
        <v>10000</v>
      </c>
      <c r="I166" s="1972"/>
      <c r="J166" s="1990">
        <v>0.84699999999999998</v>
      </c>
      <c r="K166" s="1980">
        <f t="shared" si="40"/>
        <v>8470</v>
      </c>
      <c r="L166" s="1980"/>
      <c r="M166" s="1972"/>
      <c r="N166" s="1976"/>
      <c r="O166" s="1976"/>
      <c r="P166" s="1972"/>
      <c r="Q166" s="1972"/>
      <c r="R166" s="1996"/>
      <c r="S166" s="1996"/>
      <c r="T166" s="1996"/>
    </row>
    <row r="167" spans="1:20" s="745" customFormat="1" ht="15" customHeight="1" x14ac:dyDescent="0.2">
      <c r="A167" s="808" t="s">
        <v>1202</v>
      </c>
      <c r="B167" s="809" t="s">
        <v>1201</v>
      </c>
      <c r="C167" s="817"/>
      <c r="D167" s="818"/>
      <c r="E167" s="814"/>
      <c r="F167" s="819"/>
      <c r="G167" s="820"/>
      <c r="H167" s="821">
        <f>H168+H175+H181+H184</f>
        <v>930737.78</v>
      </c>
      <c r="I167" s="1994"/>
      <c r="J167" s="1994"/>
      <c r="K167" s="1993"/>
      <c r="L167" s="1980"/>
      <c r="M167" s="1994"/>
      <c r="N167" s="1976"/>
      <c r="O167" s="1976"/>
      <c r="P167" s="1994"/>
      <c r="Q167" s="1994"/>
      <c r="R167" s="1991"/>
      <c r="S167" s="1991"/>
      <c r="T167" s="1991"/>
    </row>
    <row r="168" spans="1:20" s="745" customFormat="1" ht="17.25" customHeight="1" x14ac:dyDescent="0.2">
      <c r="A168" s="760" t="s">
        <v>1203</v>
      </c>
      <c r="B168" s="822" t="s">
        <v>1140</v>
      </c>
      <c r="C168" s="823"/>
      <c r="D168" s="824"/>
      <c r="E168" s="825"/>
      <c r="F168" s="825"/>
      <c r="G168" s="826"/>
      <c r="H168" s="826">
        <f>H169+H171+H173</f>
        <v>336726.78</v>
      </c>
      <c r="I168" s="1994"/>
      <c r="J168" s="1994"/>
      <c r="K168" s="1993"/>
      <c r="L168" s="1991"/>
      <c r="M168" s="1994"/>
      <c r="N168" s="1976"/>
      <c r="O168" s="1976"/>
      <c r="P168" s="1994"/>
      <c r="Q168" s="1994"/>
      <c r="R168" s="1991"/>
      <c r="S168" s="1991"/>
      <c r="T168" s="1991"/>
    </row>
    <row r="169" spans="1:20" s="745" customFormat="1" ht="15" customHeight="1" x14ac:dyDescent="0.2">
      <c r="A169" s="827" t="s">
        <v>1204</v>
      </c>
      <c r="B169" s="828" t="s">
        <v>1139</v>
      </c>
      <c r="C169" s="829"/>
      <c r="D169" s="830"/>
      <c r="E169" s="831"/>
      <c r="F169" s="831"/>
      <c r="G169" s="832"/>
      <c r="H169" s="744">
        <f>SUM(H170:H170)</f>
        <v>276726.78000000003</v>
      </c>
      <c r="I169" s="1994"/>
      <c r="J169" s="1994"/>
      <c r="K169" s="1993"/>
      <c r="L169" s="1980">
        <f>SUM(K170)</f>
        <v>234387.58266000001</v>
      </c>
      <c r="M169" s="1994"/>
      <c r="N169" s="1976"/>
      <c r="O169" s="1976"/>
      <c r="P169" s="1994"/>
      <c r="Q169" s="1994"/>
      <c r="R169" s="1991"/>
      <c r="S169" s="1991"/>
      <c r="T169" s="1991"/>
    </row>
    <row r="170" spans="1:20" s="736" customFormat="1" ht="24.75" customHeight="1" x14ac:dyDescent="0.2">
      <c r="A170" s="728" t="s">
        <v>1135</v>
      </c>
      <c r="B170" s="833" t="s">
        <v>1141</v>
      </c>
      <c r="C170" s="834" t="s">
        <v>647</v>
      </c>
      <c r="D170" s="835">
        <v>1</v>
      </c>
      <c r="E170" s="733">
        <v>276726.78000000003</v>
      </c>
      <c r="F170" s="733">
        <f>D170*E170</f>
        <v>276726.78000000003</v>
      </c>
      <c r="G170" s="734"/>
      <c r="H170" s="836">
        <f>SUM(F170:G170)</f>
        <v>276726.78000000003</v>
      </c>
      <c r="I170" s="1972"/>
      <c r="J170" s="1990">
        <v>0.84699999999999998</v>
      </c>
      <c r="K170" s="1980">
        <f>H170*J170:J170</f>
        <v>234387.58266000001</v>
      </c>
      <c r="L170" s="1980"/>
      <c r="M170" s="1972"/>
      <c r="N170" s="1976"/>
      <c r="O170" s="1976"/>
      <c r="P170" s="1972"/>
      <c r="Q170" s="1972"/>
      <c r="R170" s="1996"/>
      <c r="S170" s="1996"/>
      <c r="T170" s="1996"/>
    </row>
    <row r="171" spans="1:20" s="736" customFormat="1" ht="17.25" customHeight="1" x14ac:dyDescent="0.2">
      <c r="A171" s="740" t="s">
        <v>1205</v>
      </c>
      <c r="B171" s="837" t="s">
        <v>1145</v>
      </c>
      <c r="C171" s="741"/>
      <c r="D171" s="742"/>
      <c r="E171" s="743"/>
      <c r="F171" s="743"/>
      <c r="G171" s="744"/>
      <c r="H171" s="744">
        <f>SUM(H172:H172)</f>
        <v>50000</v>
      </c>
      <c r="I171" s="1972"/>
      <c r="J171" s="1990"/>
      <c r="K171" s="1980"/>
      <c r="L171" s="1980">
        <f>SUM(K172)</f>
        <v>42350</v>
      </c>
      <c r="M171" s="1972"/>
      <c r="N171" s="1976"/>
      <c r="O171" s="1976"/>
      <c r="P171" s="1972"/>
      <c r="Q171" s="1972"/>
      <c r="R171" s="1996"/>
      <c r="S171" s="1996"/>
      <c r="T171" s="1996"/>
    </row>
    <row r="172" spans="1:20" s="736" customFormat="1" ht="24" customHeight="1" x14ac:dyDescent="0.2">
      <c r="A172" s="728" t="s">
        <v>1136</v>
      </c>
      <c r="B172" s="833" t="s">
        <v>1476</v>
      </c>
      <c r="C172" s="834" t="s">
        <v>647</v>
      </c>
      <c r="D172" s="835">
        <v>1</v>
      </c>
      <c r="E172" s="733">
        <v>50000</v>
      </c>
      <c r="F172" s="733">
        <f t="shared" ref="F172:F174" si="43">D172*E172</f>
        <v>50000</v>
      </c>
      <c r="G172" s="734"/>
      <c r="H172" s="836">
        <f>SUM(F172:G172)</f>
        <v>50000</v>
      </c>
      <c r="I172" s="1972"/>
      <c r="J172" s="1990">
        <v>0.84699999999999998</v>
      </c>
      <c r="K172" s="1980">
        <f t="shared" ref="K172:K174" si="44">H172*J172:J172</f>
        <v>42350</v>
      </c>
      <c r="L172" s="1980"/>
      <c r="M172" s="1972"/>
      <c r="N172" s="1976"/>
      <c r="O172" s="1976"/>
      <c r="P172" s="1972"/>
      <c r="Q172" s="1972"/>
      <c r="R172" s="1996"/>
      <c r="S172" s="1996"/>
      <c r="T172" s="1996"/>
    </row>
    <row r="173" spans="1:20" s="736" customFormat="1" ht="36.75" customHeight="1" x14ac:dyDescent="0.2">
      <c r="A173" s="740" t="s">
        <v>1206</v>
      </c>
      <c r="B173" s="837" t="s">
        <v>1138</v>
      </c>
      <c r="C173" s="741"/>
      <c r="D173" s="742"/>
      <c r="E173" s="743"/>
      <c r="F173" s="743"/>
      <c r="G173" s="744"/>
      <c r="H173" s="744">
        <f>SUM(H174:H174)</f>
        <v>10000</v>
      </c>
      <c r="I173" s="1972"/>
      <c r="J173" s="1990"/>
      <c r="K173" s="1980"/>
      <c r="L173" s="1980">
        <f>SUM(K174)</f>
        <v>8470</v>
      </c>
      <c r="M173" s="1972"/>
      <c r="N173" s="1976"/>
      <c r="O173" s="1976"/>
      <c r="P173" s="1972"/>
      <c r="Q173" s="1972"/>
      <c r="R173" s="1996"/>
      <c r="S173" s="1996"/>
      <c r="T173" s="1996"/>
    </row>
    <row r="174" spans="1:20" s="736" customFormat="1" ht="41.25" customHeight="1" x14ac:dyDescent="0.2">
      <c r="A174" s="728" t="s">
        <v>1137</v>
      </c>
      <c r="B174" s="833" t="s">
        <v>993</v>
      </c>
      <c r="C174" s="838" t="s">
        <v>647</v>
      </c>
      <c r="D174" s="839">
        <v>1</v>
      </c>
      <c r="E174" s="792">
        <v>10000</v>
      </c>
      <c r="F174" s="792">
        <f t="shared" si="43"/>
        <v>10000</v>
      </c>
      <c r="G174" s="738"/>
      <c r="H174" s="836">
        <f>SUM(F174:G174)</f>
        <v>10000</v>
      </c>
      <c r="I174" s="1972"/>
      <c r="J174" s="1990">
        <v>0.84699999999999998</v>
      </c>
      <c r="K174" s="1980">
        <f t="shared" si="44"/>
        <v>8470</v>
      </c>
      <c r="L174" s="1980"/>
      <c r="M174" s="1972"/>
      <c r="N174" s="1976"/>
      <c r="O174" s="1976"/>
      <c r="P174" s="1972"/>
      <c r="Q174" s="1972"/>
      <c r="R174" s="1996"/>
      <c r="S174" s="1996"/>
      <c r="T174" s="1996"/>
    </row>
    <row r="175" spans="1:20" s="745" customFormat="1" ht="29.25" customHeight="1" thickBot="1" x14ac:dyDescent="0.25">
      <c r="A175" s="840" t="s">
        <v>1207</v>
      </c>
      <c r="B175" s="841" t="s">
        <v>987</v>
      </c>
      <c r="C175" s="842"/>
      <c r="D175" s="843"/>
      <c r="E175" s="844"/>
      <c r="F175" s="845"/>
      <c r="G175" s="846"/>
      <c r="H175" s="846">
        <f>H176+H179</f>
        <v>385000</v>
      </c>
      <c r="I175" s="1994"/>
      <c r="J175" s="1994"/>
      <c r="K175" s="1993"/>
      <c r="L175" s="1991"/>
      <c r="M175" s="1994"/>
      <c r="N175" s="1976"/>
      <c r="O175" s="1976"/>
      <c r="P175" s="1994"/>
      <c r="Q175" s="1994"/>
      <c r="R175" s="1991"/>
      <c r="S175" s="1991"/>
      <c r="T175" s="1991"/>
    </row>
    <row r="176" spans="1:20" s="736" customFormat="1" ht="24.75" customHeight="1" thickBot="1" x14ac:dyDescent="0.25">
      <c r="A176" s="847" t="s">
        <v>1208</v>
      </c>
      <c r="B176" s="848" t="s">
        <v>1479</v>
      </c>
      <c r="C176" s="849"/>
      <c r="D176" s="850"/>
      <c r="E176" s="743"/>
      <c r="F176" s="851"/>
      <c r="G176" s="744"/>
      <c r="H176" s="744">
        <f>SUM(H177:H178)</f>
        <v>260000</v>
      </c>
      <c r="I176" s="1972"/>
      <c r="J176" s="1990"/>
      <c r="K176" s="1980"/>
      <c r="L176" s="1980">
        <f>SUM(K177:K178)</f>
        <v>220220</v>
      </c>
      <c r="M176" s="1972"/>
      <c r="N176" s="1976"/>
      <c r="O176" s="1976"/>
      <c r="P176" s="1972"/>
      <c r="Q176" s="1972"/>
      <c r="R176" s="1996"/>
      <c r="S176" s="1996"/>
      <c r="T176" s="1996"/>
    </row>
    <row r="177" spans="1:25" s="736" customFormat="1" ht="30" customHeight="1" thickBot="1" x14ac:dyDescent="0.25">
      <c r="A177" s="852"/>
      <c r="B177" s="853" t="s">
        <v>994</v>
      </c>
      <c r="C177" s="854" t="s">
        <v>647</v>
      </c>
      <c r="D177" s="739">
        <v>1</v>
      </c>
      <c r="E177" s="733">
        <v>130000</v>
      </c>
      <c r="F177" s="855">
        <f t="shared" ref="F177:F180" si="45">D177*E177</f>
        <v>130000</v>
      </c>
      <c r="G177" s="734"/>
      <c r="H177" s="732">
        <f>SUM(F177:G177)</f>
        <v>130000</v>
      </c>
      <c r="I177" s="1972"/>
      <c r="J177" s="1990">
        <v>0.84699999999999998</v>
      </c>
      <c r="K177" s="1980">
        <f t="shared" ref="K177:K180" si="46">H177*J177:J177</f>
        <v>110110</v>
      </c>
      <c r="L177" s="1980"/>
      <c r="M177" s="1972"/>
      <c r="N177" s="1976"/>
      <c r="O177" s="1976"/>
      <c r="P177" s="1972"/>
      <c r="Q177" s="1972"/>
      <c r="R177" s="1996"/>
      <c r="S177" s="1996"/>
      <c r="T177" s="1996"/>
    </row>
    <row r="178" spans="1:25" s="736" customFormat="1" ht="28.5" customHeight="1" thickBot="1" x14ac:dyDescent="0.25">
      <c r="A178" s="852"/>
      <c r="B178" s="853" t="s">
        <v>995</v>
      </c>
      <c r="C178" s="854" t="s">
        <v>647</v>
      </c>
      <c r="D178" s="739">
        <v>1</v>
      </c>
      <c r="E178" s="733">
        <v>130000</v>
      </c>
      <c r="F178" s="855">
        <f t="shared" si="45"/>
        <v>130000</v>
      </c>
      <c r="G178" s="734"/>
      <c r="H178" s="732">
        <f t="shared" ref="H178" si="47">SUM(F178:G178)</f>
        <v>130000</v>
      </c>
      <c r="I178" s="1972"/>
      <c r="J178" s="1990">
        <v>0.84699999999999998</v>
      </c>
      <c r="K178" s="1980">
        <f t="shared" si="46"/>
        <v>110110</v>
      </c>
      <c r="L178" s="1980"/>
      <c r="M178" s="1972"/>
      <c r="N178" s="1976"/>
      <c r="O178" s="1976"/>
      <c r="P178" s="1972"/>
      <c r="Q178" s="1972"/>
      <c r="R178" s="1996"/>
      <c r="S178" s="1996"/>
      <c r="T178" s="1996"/>
    </row>
    <row r="179" spans="1:25" s="736" customFormat="1" ht="39" customHeight="1" thickBot="1" x14ac:dyDescent="0.25">
      <c r="A179" s="847" t="s">
        <v>1209</v>
      </c>
      <c r="B179" s="848" t="s">
        <v>1143</v>
      </c>
      <c r="C179" s="849"/>
      <c r="D179" s="850"/>
      <c r="E179" s="743"/>
      <c r="F179" s="851"/>
      <c r="G179" s="744"/>
      <c r="H179" s="744">
        <f>SUM(H180)</f>
        <v>125000</v>
      </c>
      <c r="I179" s="1972"/>
      <c r="J179" s="1990"/>
      <c r="K179" s="1980"/>
      <c r="L179" s="1980">
        <f>SUM(K180)</f>
        <v>105875</v>
      </c>
      <c r="M179" s="1972"/>
      <c r="N179" s="1976"/>
      <c r="O179" s="1976"/>
      <c r="P179" s="1972"/>
      <c r="Q179" s="1972"/>
      <c r="R179" s="1996"/>
      <c r="S179" s="1996"/>
      <c r="T179" s="1996"/>
    </row>
    <row r="180" spans="1:25" s="736" customFormat="1" ht="35.25" customHeight="1" thickBot="1" x14ac:dyDescent="0.25">
      <c r="A180" s="856"/>
      <c r="B180" s="857" t="s">
        <v>1143</v>
      </c>
      <c r="C180" s="858" t="s">
        <v>647</v>
      </c>
      <c r="D180" s="807">
        <v>1</v>
      </c>
      <c r="E180" s="859">
        <v>125000</v>
      </c>
      <c r="F180" s="860">
        <f t="shared" si="45"/>
        <v>125000</v>
      </c>
      <c r="G180" s="861"/>
      <c r="H180" s="836">
        <f>SUM(F180:G180)</f>
        <v>125000</v>
      </c>
      <c r="I180" s="1972"/>
      <c r="J180" s="1990">
        <v>0.84699999999999998</v>
      </c>
      <c r="K180" s="1980">
        <f t="shared" si="46"/>
        <v>105875</v>
      </c>
      <c r="L180" s="1980"/>
      <c r="M180" s="1972"/>
      <c r="N180" s="1976"/>
      <c r="O180" s="1976"/>
      <c r="P180" s="1972"/>
      <c r="Q180" s="1972"/>
      <c r="R180" s="1996"/>
      <c r="S180" s="1996"/>
      <c r="T180" s="1996"/>
    </row>
    <row r="181" spans="1:25" s="745" customFormat="1" ht="27" customHeight="1" x14ac:dyDescent="0.2">
      <c r="A181" s="760" t="s">
        <v>1210</v>
      </c>
      <c r="B181" s="864" t="s">
        <v>989</v>
      </c>
      <c r="C181" s="823"/>
      <c r="D181" s="824"/>
      <c r="E181" s="825"/>
      <c r="F181" s="825"/>
      <c r="G181" s="826"/>
      <c r="H181" s="826">
        <f>SUM(H182:H183)</f>
        <v>136000</v>
      </c>
      <c r="I181" s="1994"/>
      <c r="J181" s="1994"/>
      <c r="K181" s="1993"/>
      <c r="L181" s="1980">
        <f>SUM(K182:K183)</f>
        <v>115192</v>
      </c>
      <c r="M181" s="1994"/>
      <c r="N181" s="1976"/>
      <c r="O181" s="1976"/>
      <c r="P181" s="1994"/>
      <c r="Q181" s="1994"/>
      <c r="R181" s="1991"/>
      <c r="S181" s="1991"/>
      <c r="T181" s="1991"/>
    </row>
    <row r="182" spans="1:25" s="736" customFormat="1" ht="55.5" customHeight="1" x14ac:dyDescent="0.2">
      <c r="A182" s="740" t="s">
        <v>1211</v>
      </c>
      <c r="B182" s="865" t="s">
        <v>1477</v>
      </c>
      <c r="C182" s="866" t="s">
        <v>647</v>
      </c>
      <c r="D182" s="867">
        <v>22</v>
      </c>
      <c r="E182" s="868">
        <v>6000</v>
      </c>
      <c r="F182" s="868">
        <f>D182*E182</f>
        <v>132000</v>
      </c>
      <c r="G182" s="744"/>
      <c r="H182" s="869">
        <f>SUM(F182:G182)</f>
        <v>132000</v>
      </c>
      <c r="I182" s="1972"/>
      <c r="J182" s="1990">
        <v>0.84699999999999998</v>
      </c>
      <c r="K182" s="1980">
        <f t="shared" ref="K182:K183" si="48">H182*J182:J182</f>
        <v>111804</v>
      </c>
      <c r="L182" s="1980"/>
      <c r="M182" s="1972"/>
      <c r="N182" s="1976"/>
      <c r="O182" s="1976"/>
      <c r="P182" s="1972"/>
      <c r="Q182" s="1972"/>
      <c r="R182" s="1996"/>
      <c r="S182" s="1996"/>
      <c r="T182" s="1996"/>
    </row>
    <row r="183" spans="1:25" s="736" customFormat="1" ht="48.75" customHeight="1" x14ac:dyDescent="0.2">
      <c r="A183" s="740" t="s">
        <v>1212</v>
      </c>
      <c r="B183" s="865" t="s">
        <v>1478</v>
      </c>
      <c r="C183" s="866" t="s">
        <v>647</v>
      </c>
      <c r="D183" s="867">
        <v>1</v>
      </c>
      <c r="E183" s="868">
        <v>4000</v>
      </c>
      <c r="F183" s="868">
        <f>D183*E183</f>
        <v>4000</v>
      </c>
      <c r="G183" s="744"/>
      <c r="H183" s="869">
        <f>SUM(F183:G183)</f>
        <v>4000</v>
      </c>
      <c r="I183" s="1972"/>
      <c r="J183" s="1990">
        <v>0.84699999999999998</v>
      </c>
      <c r="K183" s="1980">
        <f t="shared" si="48"/>
        <v>3388</v>
      </c>
      <c r="L183" s="1980"/>
      <c r="M183" s="1972"/>
      <c r="N183" s="1976"/>
      <c r="O183" s="1976"/>
      <c r="P183" s="1972"/>
      <c r="Q183" s="1972"/>
      <c r="R183" s="1996"/>
      <c r="S183" s="1996"/>
      <c r="T183" s="1996"/>
    </row>
    <row r="184" spans="1:25" s="736" customFormat="1" ht="26.25" thickBot="1" x14ac:dyDescent="0.25">
      <c r="A184" s="760" t="s">
        <v>1243</v>
      </c>
      <c r="B184" s="958" t="s">
        <v>1007</v>
      </c>
      <c r="C184" s="954"/>
      <c r="D184" s="955"/>
      <c r="E184" s="956"/>
      <c r="F184" s="956"/>
      <c r="G184" s="826"/>
      <c r="H184" s="957">
        <f>H185+H217</f>
        <v>73011</v>
      </c>
      <c r="I184" s="1972"/>
      <c r="J184" s="1990"/>
      <c r="K184" s="1980"/>
      <c r="L184" s="1980"/>
      <c r="M184" s="1972"/>
      <c r="N184" s="1976"/>
      <c r="O184" s="1976"/>
      <c r="P184" s="1972"/>
      <c r="Q184" s="1972"/>
      <c r="R184" s="1996"/>
      <c r="S184" s="1996"/>
      <c r="T184" s="1996"/>
    </row>
    <row r="185" spans="1:25" s="736" customFormat="1" ht="26.25" thickBot="1" x14ac:dyDescent="0.25">
      <c r="A185" s="959" t="s">
        <v>1244</v>
      </c>
      <c r="B185" s="960" t="s">
        <v>1286</v>
      </c>
      <c r="C185" s="849"/>
      <c r="D185" s="850"/>
      <c r="E185" s="743"/>
      <c r="F185" s="851"/>
      <c r="G185" s="744"/>
      <c r="H185" s="744">
        <f>H186+H211</f>
        <v>29263</v>
      </c>
      <c r="I185" s="1972"/>
      <c r="J185" s="1972"/>
      <c r="K185" s="1980"/>
      <c r="L185" s="1980"/>
      <c r="M185" s="1972"/>
      <c r="N185" s="1976"/>
      <c r="O185" s="1976"/>
      <c r="P185" s="1972"/>
      <c r="Q185" s="1972"/>
      <c r="R185" s="1996"/>
      <c r="S185" s="1996"/>
      <c r="T185" s="1996"/>
      <c r="U185" s="961"/>
      <c r="V185" s="961"/>
      <c r="W185" s="961"/>
      <c r="X185" s="961"/>
      <c r="Y185" s="961"/>
    </row>
    <row r="186" spans="1:25" s="736" customFormat="1" ht="12.75" x14ac:dyDescent="0.2">
      <c r="A186" s="873"/>
      <c r="B186" s="874" t="s">
        <v>891</v>
      </c>
      <c r="C186" s="962"/>
      <c r="D186" s="780"/>
      <c r="E186" s="801"/>
      <c r="F186" s="963"/>
      <c r="G186" s="793"/>
      <c r="H186" s="793">
        <f>SUM(H187:H210)</f>
        <v>17743</v>
      </c>
      <c r="I186" s="1972"/>
      <c r="J186" s="1972"/>
      <c r="K186" s="1980"/>
      <c r="L186" s="1980">
        <f>SUM(K187:K210)</f>
        <v>15028.320999999998</v>
      </c>
      <c r="M186" s="1972"/>
      <c r="N186" s="1976"/>
      <c r="O186" s="1976"/>
      <c r="P186" s="1972"/>
      <c r="Q186" s="1972"/>
      <c r="R186" s="1996"/>
      <c r="S186" s="1996"/>
      <c r="T186" s="1996"/>
      <c r="U186" s="961"/>
      <c r="V186" s="961"/>
      <c r="W186" s="961"/>
      <c r="X186" s="961"/>
      <c r="Y186" s="961"/>
    </row>
    <row r="187" spans="1:25" s="736" customFormat="1" ht="12.75" x14ac:dyDescent="0.2">
      <c r="A187" s="879"/>
      <c r="B187" s="964" t="s">
        <v>1246</v>
      </c>
      <c r="C187" s="888" t="s">
        <v>647</v>
      </c>
      <c r="D187" s="839">
        <v>100</v>
      </c>
      <c r="E187" s="783">
        <v>7</v>
      </c>
      <c r="F187" s="792">
        <f>+D187*E187</f>
        <v>700</v>
      </c>
      <c r="G187" s="738"/>
      <c r="H187" s="836">
        <f>SUM(F187:G187)</f>
        <v>700</v>
      </c>
      <c r="I187" s="1972"/>
      <c r="J187" s="1990">
        <v>0.84699999999999998</v>
      </c>
      <c r="K187" s="1980">
        <f>+H187*J187</f>
        <v>592.9</v>
      </c>
      <c r="L187" s="1980"/>
      <c r="M187" s="1972"/>
      <c r="N187" s="1976"/>
      <c r="O187" s="1976"/>
      <c r="P187" s="1972"/>
      <c r="Q187" s="1972"/>
      <c r="R187" s="1996"/>
      <c r="S187" s="1996"/>
      <c r="T187" s="1996"/>
      <c r="U187" s="961"/>
      <c r="V187" s="961"/>
      <c r="W187" s="961"/>
      <c r="X187" s="961"/>
      <c r="Y187" s="961"/>
    </row>
    <row r="188" spans="1:25" s="736" customFormat="1" ht="12.75" x14ac:dyDescent="0.2">
      <c r="A188" s="879"/>
      <c r="B188" s="964" t="s">
        <v>1011</v>
      </c>
      <c r="C188" s="888" t="s">
        <v>1012</v>
      </c>
      <c r="D188" s="839">
        <v>300</v>
      </c>
      <c r="E188" s="783">
        <v>25</v>
      </c>
      <c r="F188" s="792">
        <f t="shared" ref="F188:F210" si="49">+D188*E188</f>
        <v>7500</v>
      </c>
      <c r="G188" s="738"/>
      <c r="H188" s="836">
        <f t="shared" ref="H188:H210" si="50">SUM(F188:G188)</f>
        <v>7500</v>
      </c>
      <c r="I188" s="1972"/>
      <c r="J188" s="1990">
        <v>0.84699999999999998</v>
      </c>
      <c r="K188" s="1980">
        <f t="shared" ref="K188:K210" si="51">+H188*J188</f>
        <v>6352.5</v>
      </c>
      <c r="L188" s="1980"/>
      <c r="M188" s="1972"/>
      <c r="N188" s="1976"/>
      <c r="O188" s="1976"/>
      <c r="P188" s="1972"/>
      <c r="Q188" s="1972"/>
      <c r="R188" s="1996"/>
      <c r="S188" s="1996"/>
      <c r="T188" s="1996"/>
      <c r="U188" s="961"/>
      <c r="V188" s="961"/>
      <c r="W188" s="961"/>
      <c r="X188" s="961"/>
      <c r="Y188" s="961"/>
    </row>
    <row r="189" spans="1:25" s="736" customFormat="1" ht="12.75" x14ac:dyDescent="0.2">
      <c r="A189" s="879"/>
      <c r="B189" s="964" t="s">
        <v>1247</v>
      </c>
      <c r="C189" s="888" t="s">
        <v>647</v>
      </c>
      <c r="D189" s="839">
        <v>12</v>
      </c>
      <c r="E189" s="783">
        <v>20</v>
      </c>
      <c r="F189" s="792">
        <f t="shared" si="49"/>
        <v>240</v>
      </c>
      <c r="G189" s="738"/>
      <c r="H189" s="836">
        <f t="shared" si="50"/>
        <v>240</v>
      </c>
      <c r="I189" s="1972"/>
      <c r="J189" s="1990">
        <v>0.84699999999999998</v>
      </c>
      <c r="K189" s="1980">
        <f t="shared" si="51"/>
        <v>203.28</v>
      </c>
      <c r="L189" s="1980"/>
      <c r="M189" s="1972"/>
      <c r="N189" s="1976"/>
      <c r="O189" s="1976"/>
      <c r="P189" s="1972"/>
      <c r="Q189" s="1972"/>
      <c r="R189" s="1996"/>
      <c r="S189" s="1996"/>
      <c r="T189" s="1996"/>
      <c r="U189" s="961"/>
      <c r="V189" s="961"/>
      <c r="W189" s="961"/>
      <c r="X189" s="961"/>
      <c r="Y189" s="961"/>
    </row>
    <row r="190" spans="1:25" s="736" customFormat="1" ht="12.75" x14ac:dyDescent="0.2">
      <c r="A190" s="879"/>
      <c r="B190" s="964" t="s">
        <v>1248</v>
      </c>
      <c r="C190" s="888" t="s">
        <v>1249</v>
      </c>
      <c r="D190" s="839">
        <v>6</v>
      </c>
      <c r="E190" s="783">
        <v>42</v>
      </c>
      <c r="F190" s="792">
        <f t="shared" si="49"/>
        <v>252</v>
      </c>
      <c r="G190" s="738"/>
      <c r="H190" s="836">
        <f t="shared" si="50"/>
        <v>252</v>
      </c>
      <c r="I190" s="1972"/>
      <c r="J190" s="1990">
        <v>0.84699999999999998</v>
      </c>
      <c r="K190" s="1980">
        <f t="shared" si="51"/>
        <v>213.44399999999999</v>
      </c>
      <c r="L190" s="1980"/>
      <c r="M190" s="1972"/>
      <c r="N190" s="1976"/>
      <c r="O190" s="1976"/>
      <c r="P190" s="1972"/>
      <c r="Q190" s="1972"/>
      <c r="R190" s="1996"/>
      <c r="S190" s="1996"/>
      <c r="T190" s="1996"/>
      <c r="U190" s="961"/>
      <c r="V190" s="961"/>
      <c r="W190" s="961"/>
      <c r="X190" s="961"/>
      <c r="Y190" s="961"/>
    </row>
    <row r="191" spans="1:25" s="736" customFormat="1" ht="12.75" x14ac:dyDescent="0.2">
      <c r="A191" s="879"/>
      <c r="B191" s="964" t="s">
        <v>1250</v>
      </c>
      <c r="C191" s="888" t="s">
        <v>1249</v>
      </c>
      <c r="D191" s="797">
        <v>5</v>
      </c>
      <c r="E191" s="783">
        <v>24</v>
      </c>
      <c r="F191" s="792">
        <f t="shared" si="49"/>
        <v>120</v>
      </c>
      <c r="G191" s="738"/>
      <c r="H191" s="836">
        <f t="shared" si="50"/>
        <v>120</v>
      </c>
      <c r="I191" s="1972"/>
      <c r="J191" s="1990">
        <v>0.84699999999999998</v>
      </c>
      <c r="K191" s="1980">
        <f t="shared" si="51"/>
        <v>101.64</v>
      </c>
      <c r="L191" s="1980"/>
      <c r="M191" s="1972"/>
      <c r="N191" s="1976"/>
      <c r="O191" s="1976"/>
      <c r="P191" s="1972"/>
      <c r="Q191" s="1972"/>
      <c r="R191" s="1996"/>
      <c r="S191" s="1996"/>
      <c r="T191" s="1996"/>
      <c r="U191" s="961"/>
      <c r="V191" s="961"/>
      <c r="W191" s="961"/>
      <c r="X191" s="961"/>
      <c r="Y191" s="961"/>
    </row>
    <row r="192" spans="1:25" s="736" customFormat="1" ht="12.75" x14ac:dyDescent="0.2">
      <c r="A192" s="879"/>
      <c r="B192" s="964" t="s">
        <v>1251</v>
      </c>
      <c r="C192" s="888" t="s">
        <v>647</v>
      </c>
      <c r="D192" s="839">
        <v>2</v>
      </c>
      <c r="E192" s="783">
        <v>80</v>
      </c>
      <c r="F192" s="792">
        <f t="shared" si="49"/>
        <v>160</v>
      </c>
      <c r="G192" s="738"/>
      <c r="H192" s="836">
        <f t="shared" si="50"/>
        <v>160</v>
      </c>
      <c r="I192" s="1972"/>
      <c r="J192" s="1990">
        <v>0.84699999999999998</v>
      </c>
      <c r="K192" s="1980">
        <f t="shared" si="51"/>
        <v>135.51999999999998</v>
      </c>
      <c r="L192" s="1980"/>
      <c r="M192" s="1972"/>
      <c r="N192" s="1976"/>
      <c r="O192" s="1976"/>
      <c r="P192" s="1972"/>
      <c r="Q192" s="1972"/>
      <c r="R192" s="1996"/>
      <c r="S192" s="1996"/>
      <c r="T192" s="1996"/>
      <c r="U192" s="961"/>
      <c r="V192" s="961"/>
      <c r="W192" s="961"/>
      <c r="X192" s="961"/>
      <c r="Y192" s="961"/>
    </row>
    <row r="193" spans="1:25" s="736" customFormat="1" ht="12.75" x14ac:dyDescent="0.2">
      <c r="A193" s="879"/>
      <c r="B193" s="964" t="s">
        <v>1252</v>
      </c>
      <c r="C193" s="888" t="s">
        <v>647</v>
      </c>
      <c r="D193" s="839">
        <v>5</v>
      </c>
      <c r="E193" s="783">
        <v>19</v>
      </c>
      <c r="F193" s="792">
        <f t="shared" si="49"/>
        <v>95</v>
      </c>
      <c r="G193" s="738"/>
      <c r="H193" s="836">
        <f t="shared" si="50"/>
        <v>95</v>
      </c>
      <c r="I193" s="1972"/>
      <c r="J193" s="1990">
        <v>0.84699999999999998</v>
      </c>
      <c r="K193" s="1980">
        <f t="shared" si="51"/>
        <v>80.465000000000003</v>
      </c>
      <c r="L193" s="1980"/>
      <c r="M193" s="1972"/>
      <c r="N193" s="1976"/>
      <c r="O193" s="1976"/>
      <c r="P193" s="1972"/>
      <c r="Q193" s="1972"/>
      <c r="R193" s="1996"/>
      <c r="S193" s="1996"/>
      <c r="T193" s="1996"/>
      <c r="U193" s="961"/>
      <c r="V193" s="961"/>
      <c r="W193" s="961"/>
      <c r="X193" s="961"/>
      <c r="Y193" s="961"/>
    </row>
    <row r="194" spans="1:25" s="736" customFormat="1" ht="12.75" x14ac:dyDescent="0.2">
      <c r="A194" s="879"/>
      <c r="B194" s="964" t="s">
        <v>1253</v>
      </c>
      <c r="C194" s="888" t="s">
        <v>647</v>
      </c>
      <c r="D194" s="839">
        <v>50</v>
      </c>
      <c r="E194" s="783">
        <v>9</v>
      </c>
      <c r="F194" s="792">
        <f t="shared" si="49"/>
        <v>450</v>
      </c>
      <c r="G194" s="738"/>
      <c r="H194" s="836">
        <f t="shared" si="50"/>
        <v>450</v>
      </c>
      <c r="I194" s="1972"/>
      <c r="J194" s="1990">
        <v>0.84699999999999998</v>
      </c>
      <c r="K194" s="1980">
        <f t="shared" si="51"/>
        <v>381.15</v>
      </c>
      <c r="L194" s="1980"/>
      <c r="M194" s="1972"/>
      <c r="N194" s="1976"/>
      <c r="O194" s="1976"/>
      <c r="P194" s="1972"/>
      <c r="Q194" s="1972"/>
      <c r="R194" s="1996"/>
      <c r="S194" s="1996"/>
      <c r="T194" s="1996"/>
      <c r="U194" s="961"/>
      <c r="V194" s="961"/>
      <c r="W194" s="961"/>
      <c r="X194" s="961"/>
      <c r="Y194" s="961"/>
    </row>
    <row r="195" spans="1:25" s="736" customFormat="1" ht="12.75" x14ac:dyDescent="0.2">
      <c r="A195" s="879"/>
      <c r="B195" s="964" t="s">
        <v>1254</v>
      </c>
      <c r="C195" s="888" t="s">
        <v>647</v>
      </c>
      <c r="D195" s="839">
        <v>5</v>
      </c>
      <c r="E195" s="783">
        <v>8</v>
      </c>
      <c r="F195" s="792">
        <f t="shared" si="49"/>
        <v>40</v>
      </c>
      <c r="G195" s="738"/>
      <c r="H195" s="836">
        <f t="shared" si="50"/>
        <v>40</v>
      </c>
      <c r="I195" s="1972"/>
      <c r="J195" s="1990">
        <v>0.84699999999999998</v>
      </c>
      <c r="K195" s="1980">
        <f t="shared" si="51"/>
        <v>33.879999999999995</v>
      </c>
      <c r="L195" s="1980"/>
      <c r="M195" s="1972"/>
      <c r="N195" s="1976"/>
      <c r="O195" s="1976"/>
      <c r="P195" s="1972"/>
      <c r="Q195" s="1972"/>
      <c r="R195" s="1996"/>
      <c r="S195" s="1996"/>
      <c r="T195" s="1996"/>
      <c r="U195" s="961"/>
      <c r="V195" s="961"/>
      <c r="W195" s="961"/>
      <c r="X195" s="961"/>
      <c r="Y195" s="961"/>
    </row>
    <row r="196" spans="1:25" s="736" customFormat="1" ht="12.75" x14ac:dyDescent="0.2">
      <c r="A196" s="879"/>
      <c r="B196" s="964" t="s">
        <v>1255</v>
      </c>
      <c r="C196" s="888" t="s">
        <v>647</v>
      </c>
      <c r="D196" s="839">
        <v>25</v>
      </c>
      <c r="E196" s="783">
        <v>7</v>
      </c>
      <c r="F196" s="792">
        <f t="shared" si="49"/>
        <v>175</v>
      </c>
      <c r="G196" s="738"/>
      <c r="H196" s="836">
        <f t="shared" si="50"/>
        <v>175</v>
      </c>
      <c r="I196" s="1972"/>
      <c r="J196" s="1990">
        <v>0.84699999999999998</v>
      </c>
      <c r="K196" s="1980">
        <f t="shared" si="51"/>
        <v>148.22499999999999</v>
      </c>
      <c r="L196" s="1980"/>
      <c r="M196" s="1972"/>
      <c r="N196" s="1976"/>
      <c r="O196" s="1976"/>
      <c r="P196" s="1972"/>
      <c r="Q196" s="1972"/>
      <c r="R196" s="1996"/>
      <c r="S196" s="1996"/>
      <c r="T196" s="1996"/>
      <c r="U196" s="961"/>
      <c r="V196" s="961"/>
      <c r="W196" s="961"/>
      <c r="X196" s="961"/>
      <c r="Y196" s="961"/>
    </row>
    <row r="197" spans="1:25" s="736" customFormat="1" ht="12.75" x14ac:dyDescent="0.2">
      <c r="A197" s="879"/>
      <c r="B197" s="964" t="s">
        <v>1256</v>
      </c>
      <c r="C197" s="888" t="s">
        <v>647</v>
      </c>
      <c r="D197" s="839">
        <v>10</v>
      </c>
      <c r="E197" s="783">
        <v>10</v>
      </c>
      <c r="F197" s="792">
        <f t="shared" si="49"/>
        <v>100</v>
      </c>
      <c r="G197" s="738"/>
      <c r="H197" s="836">
        <f t="shared" si="50"/>
        <v>100</v>
      </c>
      <c r="I197" s="1972"/>
      <c r="J197" s="1990">
        <v>0.84699999999999998</v>
      </c>
      <c r="K197" s="1980">
        <f t="shared" si="51"/>
        <v>84.7</v>
      </c>
      <c r="L197" s="1980"/>
      <c r="M197" s="1972"/>
      <c r="N197" s="1976"/>
      <c r="O197" s="1976"/>
      <c r="P197" s="1972"/>
      <c r="Q197" s="1972"/>
      <c r="R197" s="1996"/>
      <c r="S197" s="1996"/>
      <c r="T197" s="1996"/>
      <c r="U197" s="961"/>
      <c r="V197" s="961"/>
      <c r="W197" s="961"/>
      <c r="X197" s="961"/>
      <c r="Y197" s="961"/>
    </row>
    <row r="198" spans="1:25" s="736" customFormat="1" ht="12.75" x14ac:dyDescent="0.2">
      <c r="A198" s="879"/>
      <c r="B198" s="964" t="s">
        <v>1257</v>
      </c>
      <c r="C198" s="888" t="s">
        <v>647</v>
      </c>
      <c r="D198" s="839">
        <v>12</v>
      </c>
      <c r="E198" s="783">
        <v>150</v>
      </c>
      <c r="F198" s="792">
        <f t="shared" si="49"/>
        <v>1800</v>
      </c>
      <c r="G198" s="738"/>
      <c r="H198" s="836">
        <f t="shared" si="50"/>
        <v>1800</v>
      </c>
      <c r="I198" s="1972"/>
      <c r="J198" s="1990">
        <v>0.84699999999999998</v>
      </c>
      <c r="K198" s="1980">
        <f t="shared" si="51"/>
        <v>1524.6</v>
      </c>
      <c r="L198" s="1980"/>
      <c r="M198" s="1972"/>
      <c r="N198" s="1976"/>
      <c r="O198" s="1976"/>
      <c r="P198" s="1972"/>
      <c r="Q198" s="1972"/>
      <c r="R198" s="1996"/>
      <c r="S198" s="1996"/>
      <c r="T198" s="1996"/>
      <c r="U198" s="961"/>
      <c r="V198" s="961"/>
      <c r="W198" s="961"/>
      <c r="X198" s="961"/>
      <c r="Y198" s="961"/>
    </row>
    <row r="199" spans="1:25" s="736" customFormat="1" ht="12.75" x14ac:dyDescent="0.2">
      <c r="A199" s="879"/>
      <c r="B199" s="964" t="s">
        <v>1258</v>
      </c>
      <c r="C199" s="888" t="s">
        <v>647</v>
      </c>
      <c r="D199" s="839">
        <v>12</v>
      </c>
      <c r="E199" s="783">
        <v>280</v>
      </c>
      <c r="F199" s="792">
        <f t="shared" si="49"/>
        <v>3360</v>
      </c>
      <c r="G199" s="738"/>
      <c r="H199" s="836">
        <f t="shared" si="50"/>
        <v>3360</v>
      </c>
      <c r="I199" s="1972"/>
      <c r="J199" s="1990">
        <v>0.84699999999999998</v>
      </c>
      <c r="K199" s="1980">
        <f t="shared" si="51"/>
        <v>2845.92</v>
      </c>
      <c r="L199" s="1980"/>
      <c r="M199" s="1972"/>
      <c r="N199" s="1976"/>
      <c r="O199" s="1976"/>
      <c r="P199" s="1972"/>
      <c r="Q199" s="1972"/>
      <c r="R199" s="1996"/>
      <c r="S199" s="1996"/>
      <c r="T199" s="1996"/>
      <c r="U199" s="961"/>
      <c r="V199" s="961"/>
      <c r="W199" s="961"/>
      <c r="X199" s="961"/>
      <c r="Y199" s="961"/>
    </row>
    <row r="200" spans="1:25" s="736" customFormat="1" ht="12.75" x14ac:dyDescent="0.2">
      <c r="A200" s="879"/>
      <c r="B200" s="964" t="s">
        <v>1259</v>
      </c>
      <c r="C200" s="888" t="s">
        <v>647</v>
      </c>
      <c r="D200" s="839">
        <v>2</v>
      </c>
      <c r="E200" s="783">
        <v>12</v>
      </c>
      <c r="F200" s="792">
        <f t="shared" si="49"/>
        <v>24</v>
      </c>
      <c r="G200" s="738"/>
      <c r="H200" s="836">
        <f t="shared" si="50"/>
        <v>24</v>
      </c>
      <c r="I200" s="1972"/>
      <c r="J200" s="1990">
        <v>0.84699999999999998</v>
      </c>
      <c r="K200" s="1980">
        <f t="shared" si="51"/>
        <v>20.327999999999999</v>
      </c>
      <c r="L200" s="1980"/>
      <c r="M200" s="1972"/>
      <c r="N200" s="1976"/>
      <c r="O200" s="1976"/>
      <c r="P200" s="1972"/>
      <c r="Q200" s="1972"/>
      <c r="R200" s="1996"/>
      <c r="S200" s="1996"/>
      <c r="T200" s="1996"/>
      <c r="U200" s="961"/>
      <c r="V200" s="961"/>
      <c r="W200" s="961"/>
      <c r="X200" s="961"/>
      <c r="Y200" s="961"/>
    </row>
    <row r="201" spans="1:25" s="736" customFormat="1" ht="12.75" x14ac:dyDescent="0.2">
      <c r="A201" s="879"/>
      <c r="B201" s="964" t="s">
        <v>1260</v>
      </c>
      <c r="C201" s="888" t="s">
        <v>1261</v>
      </c>
      <c r="D201" s="839">
        <v>40</v>
      </c>
      <c r="E201" s="783">
        <v>4</v>
      </c>
      <c r="F201" s="792">
        <f t="shared" si="49"/>
        <v>160</v>
      </c>
      <c r="G201" s="738"/>
      <c r="H201" s="836">
        <f t="shared" si="50"/>
        <v>160</v>
      </c>
      <c r="I201" s="1972"/>
      <c r="J201" s="1990">
        <v>0.84699999999999998</v>
      </c>
      <c r="K201" s="1980">
        <f t="shared" si="51"/>
        <v>135.51999999999998</v>
      </c>
      <c r="L201" s="1980"/>
      <c r="M201" s="1972"/>
      <c r="N201" s="1976"/>
      <c r="O201" s="1976"/>
      <c r="P201" s="1972"/>
      <c r="Q201" s="1972"/>
      <c r="R201" s="1996"/>
      <c r="S201" s="1996"/>
      <c r="T201" s="1996"/>
      <c r="U201" s="961"/>
      <c r="V201" s="961"/>
      <c r="W201" s="961"/>
      <c r="X201" s="961"/>
      <c r="Y201" s="961"/>
    </row>
    <row r="202" spans="1:25" s="736" customFormat="1" ht="12.75" x14ac:dyDescent="0.2">
      <c r="A202" s="879"/>
      <c r="B202" s="965" t="s">
        <v>1262</v>
      </c>
      <c r="C202" s="854" t="s">
        <v>647</v>
      </c>
      <c r="D202" s="731">
        <v>100</v>
      </c>
      <c r="E202" s="792">
        <v>2</v>
      </c>
      <c r="F202" s="792">
        <f t="shared" si="49"/>
        <v>200</v>
      </c>
      <c r="G202" s="738"/>
      <c r="H202" s="836">
        <f t="shared" si="50"/>
        <v>200</v>
      </c>
      <c r="I202" s="1972"/>
      <c r="J202" s="1990">
        <v>0.84699999999999998</v>
      </c>
      <c r="K202" s="1980">
        <f t="shared" si="51"/>
        <v>169.4</v>
      </c>
      <c r="L202" s="1980"/>
      <c r="M202" s="1972"/>
      <c r="N202" s="1976"/>
      <c r="O202" s="1976"/>
      <c r="P202" s="1972"/>
      <c r="Q202" s="1972"/>
      <c r="R202" s="1996"/>
      <c r="S202" s="1996"/>
      <c r="T202" s="1996"/>
      <c r="U202" s="961"/>
      <c r="V202" s="961"/>
      <c r="W202" s="961"/>
      <c r="X202" s="961"/>
      <c r="Y202" s="961"/>
    </row>
    <row r="203" spans="1:25" s="736" customFormat="1" ht="12.75" x14ac:dyDescent="0.2">
      <c r="A203" s="879"/>
      <c r="B203" s="965" t="s">
        <v>1263</v>
      </c>
      <c r="C203" s="854" t="s">
        <v>647</v>
      </c>
      <c r="D203" s="731">
        <v>12</v>
      </c>
      <c r="E203" s="792">
        <v>3</v>
      </c>
      <c r="F203" s="792">
        <f t="shared" si="49"/>
        <v>36</v>
      </c>
      <c r="G203" s="738"/>
      <c r="H203" s="836">
        <f t="shared" si="50"/>
        <v>36</v>
      </c>
      <c r="I203" s="1972"/>
      <c r="J203" s="1990">
        <v>0.84699999999999998</v>
      </c>
      <c r="K203" s="1980">
        <f t="shared" si="51"/>
        <v>30.491999999999997</v>
      </c>
      <c r="L203" s="1980"/>
      <c r="M203" s="1972"/>
      <c r="N203" s="1976"/>
      <c r="O203" s="1976"/>
      <c r="P203" s="1972"/>
      <c r="Q203" s="1972"/>
      <c r="R203" s="1996"/>
      <c r="S203" s="1996"/>
      <c r="T203" s="1996"/>
      <c r="U203" s="961"/>
      <c r="V203" s="961"/>
      <c r="W203" s="961"/>
      <c r="X203" s="961"/>
      <c r="Y203" s="961"/>
    </row>
    <row r="204" spans="1:25" s="736" customFormat="1" ht="12.75" x14ac:dyDescent="0.2">
      <c r="A204" s="879"/>
      <c r="B204" s="965" t="s">
        <v>1010</v>
      </c>
      <c r="C204" s="854" t="s">
        <v>647</v>
      </c>
      <c r="D204" s="966">
        <v>150</v>
      </c>
      <c r="E204" s="967">
        <v>0.5</v>
      </c>
      <c r="F204" s="792">
        <f t="shared" si="49"/>
        <v>75</v>
      </c>
      <c r="G204" s="738"/>
      <c r="H204" s="836">
        <f t="shared" si="50"/>
        <v>75</v>
      </c>
      <c r="I204" s="1972"/>
      <c r="J204" s="1990">
        <v>0.84699999999999998</v>
      </c>
      <c r="K204" s="1980">
        <f t="shared" si="51"/>
        <v>63.524999999999999</v>
      </c>
      <c r="L204" s="1980"/>
      <c r="M204" s="1972"/>
      <c r="N204" s="1976"/>
      <c r="O204" s="1976"/>
      <c r="P204" s="1972"/>
      <c r="Q204" s="1972"/>
      <c r="R204" s="1996"/>
      <c r="S204" s="1996"/>
      <c r="T204" s="1996"/>
      <c r="U204" s="961"/>
      <c r="V204" s="961"/>
      <c r="W204" s="961"/>
      <c r="X204" s="961"/>
      <c r="Y204" s="961"/>
    </row>
    <row r="205" spans="1:25" s="736" customFormat="1" ht="12.75" x14ac:dyDescent="0.2">
      <c r="A205" s="879"/>
      <c r="B205" s="965" t="s">
        <v>724</v>
      </c>
      <c r="C205" s="854" t="s">
        <v>647</v>
      </c>
      <c r="D205" s="966">
        <v>50</v>
      </c>
      <c r="E205" s="967">
        <v>0.5</v>
      </c>
      <c r="F205" s="792">
        <f t="shared" si="49"/>
        <v>25</v>
      </c>
      <c r="G205" s="738"/>
      <c r="H205" s="836">
        <f t="shared" si="50"/>
        <v>25</v>
      </c>
      <c r="I205" s="1972"/>
      <c r="J205" s="1990">
        <v>0.84699999999999998</v>
      </c>
      <c r="K205" s="1980">
        <f t="shared" si="51"/>
        <v>21.175000000000001</v>
      </c>
      <c r="L205" s="1980"/>
      <c r="M205" s="1972"/>
      <c r="N205" s="1976"/>
      <c r="O205" s="1976"/>
      <c r="P205" s="1972"/>
      <c r="Q205" s="1972"/>
      <c r="R205" s="1996"/>
      <c r="S205" s="1996"/>
      <c r="T205" s="1996"/>
      <c r="U205" s="961"/>
      <c r="V205" s="961"/>
      <c r="W205" s="961"/>
      <c r="X205" s="961"/>
      <c r="Y205" s="961"/>
    </row>
    <row r="206" spans="1:25" s="736" customFormat="1" ht="12.75" x14ac:dyDescent="0.2">
      <c r="A206" s="879"/>
      <c r="B206" s="965" t="s">
        <v>1264</v>
      </c>
      <c r="C206" s="854" t="s">
        <v>647</v>
      </c>
      <c r="D206" s="966">
        <v>30</v>
      </c>
      <c r="E206" s="967">
        <v>12.5</v>
      </c>
      <c r="F206" s="792">
        <f t="shared" si="49"/>
        <v>375</v>
      </c>
      <c r="G206" s="738"/>
      <c r="H206" s="836">
        <f t="shared" si="50"/>
        <v>375</v>
      </c>
      <c r="I206" s="1972"/>
      <c r="J206" s="1990">
        <v>0.84699999999999998</v>
      </c>
      <c r="K206" s="1980">
        <f t="shared" si="51"/>
        <v>317.625</v>
      </c>
      <c r="L206" s="1980"/>
      <c r="M206" s="1972"/>
      <c r="N206" s="1976"/>
      <c r="O206" s="1976"/>
      <c r="P206" s="1972"/>
      <c r="Q206" s="1972"/>
      <c r="R206" s="1996"/>
      <c r="S206" s="1996"/>
      <c r="T206" s="1996"/>
      <c r="U206" s="961"/>
      <c r="V206" s="961"/>
      <c r="W206" s="961"/>
      <c r="X206" s="961"/>
      <c r="Y206" s="961"/>
    </row>
    <row r="207" spans="1:25" s="736" customFormat="1" ht="12.75" x14ac:dyDescent="0.2">
      <c r="A207" s="879"/>
      <c r="B207" s="965" t="s">
        <v>729</v>
      </c>
      <c r="C207" s="968" t="s">
        <v>1265</v>
      </c>
      <c r="D207" s="966">
        <v>10</v>
      </c>
      <c r="E207" s="967">
        <v>4</v>
      </c>
      <c r="F207" s="792">
        <f t="shared" si="49"/>
        <v>40</v>
      </c>
      <c r="G207" s="738"/>
      <c r="H207" s="836">
        <f t="shared" si="50"/>
        <v>40</v>
      </c>
      <c r="I207" s="1972"/>
      <c r="J207" s="1990">
        <v>0.84699999999999998</v>
      </c>
      <c r="K207" s="1980">
        <f t="shared" si="51"/>
        <v>33.879999999999995</v>
      </c>
      <c r="L207" s="1980"/>
      <c r="M207" s="1972"/>
      <c r="N207" s="1976"/>
      <c r="O207" s="1976"/>
      <c r="P207" s="1972"/>
      <c r="Q207" s="1972"/>
      <c r="R207" s="1996"/>
      <c r="S207" s="1996"/>
      <c r="T207" s="1996"/>
      <c r="U207" s="961"/>
      <c r="V207" s="961"/>
      <c r="W207" s="961"/>
      <c r="X207" s="961"/>
      <c r="Y207" s="961"/>
    </row>
    <row r="208" spans="1:25" s="736" customFormat="1" ht="12.75" x14ac:dyDescent="0.2">
      <c r="A208" s="879"/>
      <c r="B208" s="965" t="s">
        <v>1266</v>
      </c>
      <c r="C208" s="968" t="s">
        <v>1267</v>
      </c>
      <c r="D208" s="966">
        <v>12</v>
      </c>
      <c r="E208" s="967">
        <v>13</v>
      </c>
      <c r="F208" s="792">
        <f t="shared" si="49"/>
        <v>156</v>
      </c>
      <c r="G208" s="738"/>
      <c r="H208" s="836">
        <f t="shared" si="50"/>
        <v>156</v>
      </c>
      <c r="I208" s="1972"/>
      <c r="J208" s="1990">
        <v>0.84699999999999998</v>
      </c>
      <c r="K208" s="1980">
        <f t="shared" si="51"/>
        <v>132.13200000000001</v>
      </c>
      <c r="L208" s="1980"/>
      <c r="M208" s="1972"/>
      <c r="N208" s="1976"/>
      <c r="O208" s="1976"/>
      <c r="P208" s="1972"/>
      <c r="Q208" s="1972"/>
      <c r="R208" s="1996"/>
      <c r="S208" s="1996"/>
      <c r="T208" s="1996"/>
      <c r="U208" s="961"/>
      <c r="V208" s="961"/>
      <c r="W208" s="961"/>
      <c r="X208" s="961"/>
      <c r="Y208" s="961"/>
    </row>
    <row r="209" spans="1:25" s="736" customFormat="1" ht="12.75" x14ac:dyDescent="0.2">
      <c r="A209" s="879"/>
      <c r="B209" s="965" t="s">
        <v>1268</v>
      </c>
      <c r="C209" s="968" t="s">
        <v>647</v>
      </c>
      <c r="D209" s="966">
        <v>30</v>
      </c>
      <c r="E209" s="967">
        <v>12</v>
      </c>
      <c r="F209" s="792">
        <f t="shared" si="49"/>
        <v>360</v>
      </c>
      <c r="G209" s="738"/>
      <c r="H209" s="836">
        <f t="shared" si="50"/>
        <v>360</v>
      </c>
      <c r="I209" s="1972"/>
      <c r="J209" s="1990">
        <v>0.84699999999999998</v>
      </c>
      <c r="K209" s="1980">
        <f t="shared" si="51"/>
        <v>304.92</v>
      </c>
      <c r="L209" s="1980"/>
      <c r="M209" s="1972"/>
      <c r="N209" s="1976"/>
      <c r="O209" s="1976"/>
      <c r="P209" s="1972"/>
      <c r="Q209" s="1972"/>
      <c r="R209" s="1996"/>
      <c r="S209" s="1996"/>
      <c r="T209" s="1996"/>
      <c r="U209" s="961"/>
      <c r="V209" s="961"/>
      <c r="W209" s="961"/>
      <c r="X209" s="961"/>
      <c r="Y209" s="961"/>
    </row>
    <row r="210" spans="1:25" s="736" customFormat="1" ht="12.75" x14ac:dyDescent="0.2">
      <c r="A210" s="879"/>
      <c r="B210" s="965" t="s">
        <v>1269</v>
      </c>
      <c r="C210" s="888" t="s">
        <v>1012</v>
      </c>
      <c r="D210" s="966">
        <v>100</v>
      </c>
      <c r="E210" s="967">
        <v>13</v>
      </c>
      <c r="F210" s="792">
        <f t="shared" si="49"/>
        <v>1300</v>
      </c>
      <c r="G210" s="738"/>
      <c r="H210" s="836">
        <f t="shared" si="50"/>
        <v>1300</v>
      </c>
      <c r="I210" s="1972"/>
      <c r="J210" s="1990">
        <v>0.84699999999999998</v>
      </c>
      <c r="K210" s="1980">
        <f t="shared" si="51"/>
        <v>1101.0999999999999</v>
      </c>
      <c r="L210" s="1980"/>
      <c r="M210" s="1972"/>
      <c r="N210" s="1976"/>
      <c r="O210" s="1976"/>
      <c r="P210" s="1972"/>
      <c r="Q210" s="1972"/>
      <c r="R210" s="1996"/>
      <c r="S210" s="1996"/>
      <c r="T210" s="1996"/>
      <c r="U210" s="961"/>
      <c r="V210" s="961"/>
      <c r="W210" s="961"/>
      <c r="X210" s="961"/>
      <c r="Y210" s="961"/>
    </row>
    <row r="211" spans="1:25" s="736" customFormat="1" ht="25.5" x14ac:dyDescent="0.2">
      <c r="A211" s="873"/>
      <c r="B211" s="874" t="s">
        <v>1270</v>
      </c>
      <c r="C211" s="969"/>
      <c r="D211" s="970"/>
      <c r="E211" s="971"/>
      <c r="F211" s="963"/>
      <c r="G211" s="793"/>
      <c r="H211" s="793">
        <f>SUM(H212:H216)</f>
        <v>11520</v>
      </c>
      <c r="I211" s="1972"/>
      <c r="J211" s="1972"/>
      <c r="K211" s="1980"/>
      <c r="L211" s="1980">
        <f>SUM(K212:K216)</f>
        <v>9757.44</v>
      </c>
      <c r="M211" s="1972"/>
      <c r="N211" s="1976"/>
      <c r="O211" s="1976"/>
      <c r="P211" s="1972"/>
      <c r="Q211" s="1972"/>
      <c r="R211" s="1996"/>
      <c r="S211" s="1996"/>
      <c r="T211" s="1996"/>
      <c r="U211" s="961"/>
      <c r="V211" s="961"/>
      <c r="W211" s="961"/>
      <c r="X211" s="961"/>
      <c r="Y211" s="961"/>
    </row>
    <row r="212" spans="1:25" s="736" customFormat="1" ht="12.75" x14ac:dyDescent="0.2">
      <c r="A212" s="879"/>
      <c r="B212" s="964" t="s">
        <v>1271</v>
      </c>
      <c r="C212" s="888" t="s">
        <v>647</v>
      </c>
      <c r="D212" s="839">
        <v>6</v>
      </c>
      <c r="E212" s="972">
        <v>550</v>
      </c>
      <c r="F212" s="973">
        <f>+D212*E212</f>
        <v>3300</v>
      </c>
      <c r="G212" s="738"/>
      <c r="H212" s="836">
        <f>SUM(F212:G212)</f>
        <v>3300</v>
      </c>
      <c r="I212" s="1972"/>
      <c r="J212" s="1990">
        <v>0.84699999999999998</v>
      </c>
      <c r="K212" s="1980">
        <f t="shared" ref="K212:K223" si="52">+H212*J212</f>
        <v>2795.1</v>
      </c>
      <c r="L212" s="1980"/>
      <c r="M212" s="1972"/>
      <c r="N212" s="1976"/>
      <c r="O212" s="1976"/>
      <c r="P212" s="1972"/>
      <c r="Q212" s="1972"/>
      <c r="R212" s="1996"/>
      <c r="S212" s="1996"/>
      <c r="T212" s="1996"/>
      <c r="U212" s="961"/>
      <c r="V212" s="961"/>
      <c r="W212" s="961"/>
      <c r="X212" s="961"/>
      <c r="Y212" s="961"/>
    </row>
    <row r="213" spans="1:25" s="736" customFormat="1" ht="12.75" x14ac:dyDescent="0.2">
      <c r="A213" s="879"/>
      <c r="B213" s="964" t="s">
        <v>1272</v>
      </c>
      <c r="C213" s="888" t="s">
        <v>647</v>
      </c>
      <c r="D213" s="839">
        <v>6</v>
      </c>
      <c r="E213" s="972">
        <v>600</v>
      </c>
      <c r="F213" s="973">
        <f t="shared" ref="F213:F216" si="53">+D213*E213</f>
        <v>3600</v>
      </c>
      <c r="G213" s="738"/>
      <c r="H213" s="836">
        <f t="shared" ref="H213:H216" si="54">SUM(F213:G213)</f>
        <v>3600</v>
      </c>
      <c r="I213" s="1972"/>
      <c r="J213" s="1990">
        <v>0.84699999999999998</v>
      </c>
      <c r="K213" s="1980">
        <f t="shared" si="52"/>
        <v>3049.2</v>
      </c>
      <c r="L213" s="1980"/>
      <c r="M213" s="1972"/>
      <c r="N213" s="1976"/>
      <c r="O213" s="1976"/>
      <c r="P213" s="1972"/>
      <c r="Q213" s="1972"/>
      <c r="R213" s="1996"/>
      <c r="S213" s="1996"/>
      <c r="T213" s="1996"/>
      <c r="U213" s="961"/>
      <c r="V213" s="961"/>
      <c r="W213" s="961"/>
      <c r="X213" s="961"/>
      <c r="Y213" s="961"/>
    </row>
    <row r="214" spans="1:25" s="736" customFormat="1" ht="12.75" x14ac:dyDescent="0.2">
      <c r="A214" s="879"/>
      <c r="B214" s="964" t="s">
        <v>1273</v>
      </c>
      <c r="C214" s="888" t="s">
        <v>647</v>
      </c>
      <c r="D214" s="839">
        <v>6</v>
      </c>
      <c r="E214" s="972">
        <v>550</v>
      </c>
      <c r="F214" s="973">
        <f t="shared" si="53"/>
        <v>3300</v>
      </c>
      <c r="G214" s="738"/>
      <c r="H214" s="836">
        <f t="shared" si="54"/>
        <v>3300</v>
      </c>
      <c r="I214" s="1972"/>
      <c r="J214" s="1990">
        <v>0.84699999999999998</v>
      </c>
      <c r="K214" s="1980">
        <f t="shared" si="52"/>
        <v>2795.1</v>
      </c>
      <c r="L214" s="1980"/>
      <c r="M214" s="1972"/>
      <c r="N214" s="1976"/>
      <c r="O214" s="1976"/>
      <c r="P214" s="1972"/>
      <c r="Q214" s="1972"/>
      <c r="R214" s="1996"/>
      <c r="S214" s="1996"/>
      <c r="T214" s="1996"/>
      <c r="U214" s="961"/>
      <c r="V214" s="961"/>
      <c r="W214" s="961"/>
      <c r="X214" s="961"/>
      <c r="Y214" s="961"/>
    </row>
    <row r="215" spans="1:25" s="736" customFormat="1" ht="12.75" x14ac:dyDescent="0.2">
      <c r="A215" s="879"/>
      <c r="B215" s="964" t="s">
        <v>1274</v>
      </c>
      <c r="C215" s="888" t="s">
        <v>647</v>
      </c>
      <c r="D215" s="839">
        <v>3</v>
      </c>
      <c r="E215" s="974">
        <v>350</v>
      </c>
      <c r="F215" s="973">
        <f t="shared" si="53"/>
        <v>1050</v>
      </c>
      <c r="G215" s="738"/>
      <c r="H215" s="836">
        <f t="shared" si="54"/>
        <v>1050</v>
      </c>
      <c r="I215" s="1972"/>
      <c r="J215" s="1990">
        <v>0.84699999999999998</v>
      </c>
      <c r="K215" s="1980">
        <f t="shared" si="52"/>
        <v>889.35</v>
      </c>
      <c r="L215" s="1980"/>
      <c r="M215" s="1972"/>
      <c r="N215" s="1976"/>
      <c r="O215" s="1976"/>
      <c r="P215" s="1972"/>
      <c r="Q215" s="1972"/>
      <c r="R215" s="1996"/>
      <c r="S215" s="1996"/>
      <c r="T215" s="1996"/>
      <c r="U215" s="961"/>
      <c r="V215" s="961"/>
      <c r="W215" s="961"/>
      <c r="X215" s="961"/>
      <c r="Y215" s="961"/>
    </row>
    <row r="216" spans="1:25" s="736" customFormat="1" ht="13.5" thickBot="1" x14ac:dyDescent="0.25">
      <c r="A216" s="879"/>
      <c r="B216" s="964" t="s">
        <v>1275</v>
      </c>
      <c r="C216" s="888" t="s">
        <v>647</v>
      </c>
      <c r="D216" s="839">
        <v>6</v>
      </c>
      <c r="E216" s="975">
        <v>45</v>
      </c>
      <c r="F216" s="973">
        <f t="shared" si="53"/>
        <v>270</v>
      </c>
      <c r="G216" s="738"/>
      <c r="H216" s="836">
        <f t="shared" si="54"/>
        <v>270</v>
      </c>
      <c r="I216" s="1972"/>
      <c r="J216" s="1990">
        <v>0.84699999999999998</v>
      </c>
      <c r="K216" s="1980">
        <f t="shared" si="52"/>
        <v>228.69</v>
      </c>
      <c r="L216" s="1980"/>
      <c r="M216" s="1972"/>
      <c r="N216" s="1976"/>
      <c r="O216" s="1976"/>
      <c r="P216" s="1972"/>
      <c r="Q216" s="1972"/>
      <c r="R216" s="1996"/>
      <c r="S216" s="1996"/>
      <c r="T216" s="1996"/>
      <c r="U216" s="961"/>
      <c r="V216" s="961"/>
      <c r="W216" s="961"/>
      <c r="X216" s="961"/>
      <c r="Y216" s="961"/>
    </row>
    <row r="217" spans="1:25" s="736" customFormat="1" ht="26.25" thickBot="1" x14ac:dyDescent="0.25">
      <c r="A217" s="959" t="s">
        <v>1245</v>
      </c>
      <c r="B217" s="960" t="s">
        <v>1285</v>
      </c>
      <c r="C217" s="849"/>
      <c r="D217" s="850"/>
      <c r="E217" s="743"/>
      <c r="F217" s="851"/>
      <c r="G217" s="744"/>
      <c r="H217" s="744">
        <f>H218+H224</f>
        <v>43748</v>
      </c>
      <c r="I217" s="1972"/>
      <c r="J217" s="1972"/>
      <c r="K217" s="1980"/>
      <c r="L217" s="1980"/>
      <c r="M217" s="1972"/>
      <c r="N217" s="1976"/>
      <c r="O217" s="1976"/>
      <c r="P217" s="1972"/>
      <c r="Q217" s="1972"/>
      <c r="R217" s="1996"/>
      <c r="S217" s="1996"/>
      <c r="T217" s="1996"/>
      <c r="U217" s="961"/>
      <c r="V217" s="961"/>
      <c r="W217" s="961"/>
      <c r="X217" s="961"/>
      <c r="Y217" s="961"/>
    </row>
    <row r="218" spans="1:25" s="736" customFormat="1" ht="25.5" x14ac:dyDescent="0.2">
      <c r="A218" s="873"/>
      <c r="B218" s="874" t="s">
        <v>1276</v>
      </c>
      <c r="C218" s="962"/>
      <c r="D218" s="780"/>
      <c r="E218" s="976"/>
      <c r="F218" s="977"/>
      <c r="G218" s="793"/>
      <c r="H218" s="793">
        <f>SUM(H219:H223)</f>
        <v>39380</v>
      </c>
      <c r="I218" s="1972"/>
      <c r="J218" s="1972"/>
      <c r="K218" s="1980"/>
      <c r="L218" s="1980">
        <f>SUM(K219:K223)</f>
        <v>33354.86</v>
      </c>
      <c r="M218" s="1972"/>
      <c r="N218" s="1976"/>
      <c r="O218" s="1976"/>
      <c r="P218" s="1972"/>
      <c r="Q218" s="1972"/>
      <c r="R218" s="1996"/>
      <c r="S218" s="1996"/>
      <c r="T218" s="1996"/>
      <c r="U218" s="961"/>
      <c r="V218" s="961"/>
      <c r="W218" s="961"/>
      <c r="X218" s="961"/>
      <c r="Y218" s="961"/>
    </row>
    <row r="219" spans="1:25" s="736" customFormat="1" ht="12.75" x14ac:dyDescent="0.2">
      <c r="A219" s="879"/>
      <c r="B219" s="964" t="s">
        <v>1277</v>
      </c>
      <c r="C219" s="888" t="s">
        <v>647</v>
      </c>
      <c r="D219" s="978">
        <v>2</v>
      </c>
      <c r="E219" s="972">
        <v>2000</v>
      </c>
      <c r="F219" s="973">
        <f>+D219*E219</f>
        <v>4000</v>
      </c>
      <c r="G219" s="738"/>
      <c r="H219" s="836">
        <f>SUM(F219:G219)</f>
        <v>4000</v>
      </c>
      <c r="I219" s="1972"/>
      <c r="J219" s="1990">
        <v>0.84699999999999998</v>
      </c>
      <c r="K219" s="1980">
        <f t="shared" si="52"/>
        <v>3388</v>
      </c>
      <c r="L219" s="1980"/>
      <c r="M219" s="1972"/>
      <c r="N219" s="1976"/>
      <c r="O219" s="1976"/>
      <c r="P219" s="1972"/>
      <c r="Q219" s="1972"/>
      <c r="R219" s="1996"/>
      <c r="S219" s="1996"/>
      <c r="T219" s="1996"/>
      <c r="U219" s="961"/>
      <c r="V219" s="961"/>
      <c r="W219" s="961"/>
      <c r="X219" s="961"/>
      <c r="Y219" s="961"/>
    </row>
    <row r="220" spans="1:25" s="736" customFormat="1" ht="12.75" x14ac:dyDescent="0.2">
      <c r="A220" s="879"/>
      <c r="B220" s="964" t="s">
        <v>1278</v>
      </c>
      <c r="C220" s="888" t="s">
        <v>647</v>
      </c>
      <c r="D220" s="978">
        <v>6</v>
      </c>
      <c r="E220" s="972">
        <v>4000</v>
      </c>
      <c r="F220" s="973">
        <f t="shared" ref="F220:F223" si="55">+D220*E220</f>
        <v>24000</v>
      </c>
      <c r="G220" s="738"/>
      <c r="H220" s="836">
        <f t="shared" ref="H220:H223" si="56">SUM(F220:G220)</f>
        <v>24000</v>
      </c>
      <c r="I220" s="1972"/>
      <c r="J220" s="1990">
        <v>0.84699999999999998</v>
      </c>
      <c r="K220" s="1980">
        <f t="shared" si="52"/>
        <v>20328</v>
      </c>
      <c r="L220" s="1980"/>
      <c r="M220" s="1972"/>
      <c r="N220" s="1976"/>
      <c r="O220" s="1976"/>
      <c r="P220" s="1972"/>
      <c r="Q220" s="1972"/>
      <c r="R220" s="1996"/>
      <c r="S220" s="1996"/>
      <c r="T220" s="1996"/>
      <c r="U220" s="961"/>
      <c r="V220" s="961"/>
      <c r="W220" s="961"/>
      <c r="X220" s="961"/>
      <c r="Y220" s="961"/>
    </row>
    <row r="221" spans="1:25" s="736" customFormat="1" ht="12.75" x14ac:dyDescent="0.2">
      <c r="A221" s="879"/>
      <c r="B221" s="964" t="s">
        <v>1296</v>
      </c>
      <c r="C221" s="888" t="s">
        <v>647</v>
      </c>
      <c r="D221" s="978">
        <v>6</v>
      </c>
      <c r="E221" s="972">
        <v>1000</v>
      </c>
      <c r="F221" s="973">
        <f t="shared" si="55"/>
        <v>6000</v>
      </c>
      <c r="G221" s="738"/>
      <c r="H221" s="836">
        <f t="shared" si="56"/>
        <v>6000</v>
      </c>
      <c r="I221" s="1972"/>
      <c r="J221" s="1990">
        <v>0.84699999999999998</v>
      </c>
      <c r="K221" s="1980">
        <f t="shared" si="52"/>
        <v>5082</v>
      </c>
      <c r="L221" s="1980"/>
      <c r="M221" s="1972"/>
      <c r="N221" s="1976"/>
      <c r="O221" s="1976"/>
      <c r="P221" s="1972"/>
      <c r="Q221" s="1972"/>
      <c r="R221" s="1996"/>
      <c r="S221" s="1996"/>
      <c r="T221" s="1996"/>
      <c r="U221" s="961"/>
      <c r="V221" s="961"/>
      <c r="W221" s="961"/>
      <c r="X221" s="961"/>
      <c r="Y221" s="961"/>
    </row>
    <row r="222" spans="1:25" s="736" customFormat="1" ht="12.75" x14ac:dyDescent="0.2">
      <c r="A222" s="879"/>
      <c r="B222" s="964" t="s">
        <v>1279</v>
      </c>
      <c r="C222" s="888" t="s">
        <v>647</v>
      </c>
      <c r="D222" s="978">
        <v>2</v>
      </c>
      <c r="E222" s="972">
        <v>190</v>
      </c>
      <c r="F222" s="973">
        <f t="shared" si="55"/>
        <v>380</v>
      </c>
      <c r="G222" s="738"/>
      <c r="H222" s="836">
        <f t="shared" si="56"/>
        <v>380</v>
      </c>
      <c r="I222" s="1972"/>
      <c r="J222" s="1990">
        <v>0.84699999999999998</v>
      </c>
      <c r="K222" s="1980">
        <f t="shared" si="52"/>
        <v>321.86</v>
      </c>
      <c r="L222" s="1980"/>
      <c r="M222" s="1972"/>
      <c r="N222" s="1976"/>
      <c r="O222" s="1976"/>
      <c r="P222" s="1972"/>
      <c r="Q222" s="1972"/>
      <c r="R222" s="1996"/>
      <c r="S222" s="1996"/>
      <c r="T222" s="1996"/>
      <c r="U222" s="961"/>
      <c r="V222" s="961"/>
      <c r="W222" s="961"/>
      <c r="X222" s="961"/>
      <c r="Y222" s="961"/>
    </row>
    <row r="223" spans="1:25" s="736" customFormat="1" ht="12.75" x14ac:dyDescent="0.2">
      <c r="A223" s="879"/>
      <c r="B223" s="964" t="s">
        <v>1280</v>
      </c>
      <c r="C223" s="888" t="s">
        <v>647</v>
      </c>
      <c r="D223" s="978">
        <v>2</v>
      </c>
      <c r="E223" s="972">
        <v>2500</v>
      </c>
      <c r="F223" s="973">
        <f t="shared" si="55"/>
        <v>5000</v>
      </c>
      <c r="G223" s="738"/>
      <c r="H223" s="836">
        <f t="shared" si="56"/>
        <v>5000</v>
      </c>
      <c r="I223" s="1972"/>
      <c r="J223" s="1990">
        <v>0.84699999999999998</v>
      </c>
      <c r="K223" s="1980">
        <f t="shared" si="52"/>
        <v>4235</v>
      </c>
      <c r="L223" s="1980"/>
      <c r="M223" s="1972"/>
      <c r="N223" s="1976"/>
      <c r="O223" s="1976"/>
      <c r="P223" s="1972"/>
      <c r="Q223" s="1972"/>
      <c r="R223" s="1996"/>
      <c r="S223" s="1996"/>
      <c r="T223" s="1996"/>
      <c r="U223" s="961"/>
      <c r="V223" s="961"/>
      <c r="W223" s="961"/>
      <c r="X223" s="961"/>
      <c r="Y223" s="961"/>
    </row>
    <row r="224" spans="1:25" s="736" customFormat="1" ht="12.75" x14ac:dyDescent="0.2">
      <c r="A224" s="873"/>
      <c r="B224" s="874" t="s">
        <v>1281</v>
      </c>
      <c r="C224" s="962"/>
      <c r="D224" s="780"/>
      <c r="E224" s="976"/>
      <c r="F224" s="977"/>
      <c r="G224" s="793"/>
      <c r="H224" s="793">
        <f>SUM(H225:H227)</f>
        <v>4368</v>
      </c>
      <c r="I224" s="1972"/>
      <c r="J224" s="1972"/>
      <c r="K224" s="1980"/>
      <c r="L224" s="1980">
        <f>SUM(K225:K227)</f>
        <v>3699.6959999999999</v>
      </c>
      <c r="M224" s="1972"/>
      <c r="N224" s="1976"/>
      <c r="O224" s="1976"/>
      <c r="P224" s="1972"/>
      <c r="Q224" s="1972"/>
      <c r="R224" s="1996"/>
      <c r="S224" s="1996"/>
      <c r="T224" s="1996"/>
      <c r="U224" s="961"/>
      <c r="V224" s="961"/>
      <c r="W224" s="961"/>
      <c r="X224" s="961"/>
      <c r="Y224" s="961"/>
    </row>
    <row r="225" spans="1:25" s="736" customFormat="1" ht="12.75" x14ac:dyDescent="0.2">
      <c r="A225" s="879"/>
      <c r="B225" s="964" t="s">
        <v>1282</v>
      </c>
      <c r="C225" s="888" t="s">
        <v>647</v>
      </c>
      <c r="D225" s="978">
        <v>5</v>
      </c>
      <c r="E225" s="972">
        <v>264</v>
      </c>
      <c r="F225" s="973">
        <f t="shared" ref="F225:F227" si="57">+D225*E225</f>
        <v>1320</v>
      </c>
      <c r="G225" s="738"/>
      <c r="H225" s="836">
        <f>SUM(F225:G225)</f>
        <v>1320</v>
      </c>
      <c r="I225" s="1972"/>
      <c r="J225" s="1990">
        <v>0.84699999999999998</v>
      </c>
      <c r="K225" s="1980">
        <f t="shared" ref="K225:K227" si="58">+H225*J225</f>
        <v>1118.04</v>
      </c>
      <c r="L225" s="1980"/>
      <c r="M225" s="1972"/>
      <c r="N225" s="1976"/>
      <c r="O225" s="1976"/>
      <c r="P225" s="1972"/>
      <c r="Q225" s="1972"/>
      <c r="R225" s="1996"/>
      <c r="S225" s="1996"/>
      <c r="T225" s="1996"/>
      <c r="U225" s="961"/>
      <c r="V225" s="961"/>
      <c r="W225" s="961"/>
      <c r="X225" s="961"/>
      <c r="Y225" s="961"/>
    </row>
    <row r="226" spans="1:25" s="736" customFormat="1" ht="12.75" x14ac:dyDescent="0.2">
      <c r="A226" s="879"/>
      <c r="B226" s="964" t="s">
        <v>1283</v>
      </c>
      <c r="C226" s="888" t="s">
        <v>647</v>
      </c>
      <c r="D226" s="978">
        <v>5</v>
      </c>
      <c r="E226" s="972">
        <v>429</v>
      </c>
      <c r="F226" s="973">
        <f t="shared" si="57"/>
        <v>2145</v>
      </c>
      <c r="G226" s="738"/>
      <c r="H226" s="836">
        <f t="shared" ref="H226:H227" si="59">SUM(F226:G226)</f>
        <v>2145</v>
      </c>
      <c r="I226" s="1972"/>
      <c r="J226" s="1990">
        <v>0.84699999999999998</v>
      </c>
      <c r="K226" s="1980">
        <f t="shared" si="58"/>
        <v>1816.8150000000001</v>
      </c>
      <c r="L226" s="1980"/>
      <c r="M226" s="1972"/>
      <c r="N226" s="1976"/>
      <c r="O226" s="1976"/>
      <c r="P226" s="1972"/>
      <c r="Q226" s="1972"/>
      <c r="R226" s="1996"/>
      <c r="S226" s="1996"/>
      <c r="T226" s="1996"/>
      <c r="U226" s="961"/>
      <c r="V226" s="961"/>
      <c r="W226" s="961"/>
      <c r="X226" s="961"/>
      <c r="Y226" s="961"/>
    </row>
    <row r="227" spans="1:25" s="736" customFormat="1" ht="12.75" x14ac:dyDescent="0.2">
      <c r="A227" s="879"/>
      <c r="B227" s="964" t="s">
        <v>1284</v>
      </c>
      <c r="C227" s="888" t="s">
        <v>647</v>
      </c>
      <c r="D227" s="978">
        <v>1</v>
      </c>
      <c r="E227" s="972">
        <v>903</v>
      </c>
      <c r="F227" s="973">
        <f t="shared" si="57"/>
        <v>903</v>
      </c>
      <c r="G227" s="738"/>
      <c r="H227" s="836">
        <f t="shared" si="59"/>
        <v>903</v>
      </c>
      <c r="I227" s="1972"/>
      <c r="J227" s="1990">
        <v>0.84699999999999998</v>
      </c>
      <c r="K227" s="1980">
        <f t="shared" si="58"/>
        <v>764.84100000000001</v>
      </c>
      <c r="L227" s="1980"/>
      <c r="M227" s="1972"/>
      <c r="N227" s="1976"/>
      <c r="O227" s="1976"/>
      <c r="P227" s="1972"/>
      <c r="Q227" s="1972"/>
      <c r="R227" s="1996"/>
      <c r="S227" s="1996"/>
      <c r="T227" s="1996"/>
      <c r="U227" s="961"/>
      <c r="V227" s="961"/>
      <c r="W227" s="961"/>
      <c r="X227" s="961"/>
      <c r="Y227" s="961"/>
    </row>
    <row r="228" spans="1:25" s="745" customFormat="1" ht="14.25" customHeight="1" x14ac:dyDescent="0.2">
      <c r="A228" s="808" t="s">
        <v>1213</v>
      </c>
      <c r="B228" s="809" t="s">
        <v>1217</v>
      </c>
      <c r="C228" s="817"/>
      <c r="D228" s="818"/>
      <c r="E228" s="814"/>
      <c r="F228" s="819"/>
      <c r="G228" s="820"/>
      <c r="H228" s="820">
        <f>H229+H284</f>
        <v>91968</v>
      </c>
      <c r="I228" s="1994"/>
      <c r="J228" s="1994"/>
      <c r="K228" s="1993"/>
      <c r="L228" s="1993"/>
      <c r="M228" s="1994"/>
      <c r="N228" s="1976"/>
      <c r="O228" s="1976"/>
      <c r="P228" s="1994"/>
      <c r="Q228" s="1994"/>
      <c r="R228" s="1991"/>
      <c r="S228" s="1991"/>
      <c r="T228" s="1991"/>
    </row>
    <row r="229" spans="1:25" s="745" customFormat="1" ht="14.25" customHeight="1" x14ac:dyDescent="0.2">
      <c r="A229" s="760" t="s">
        <v>1214</v>
      </c>
      <c r="B229" s="822" t="s">
        <v>1216</v>
      </c>
      <c r="C229" s="870"/>
      <c r="D229" s="871"/>
      <c r="E229" s="759"/>
      <c r="F229" s="825"/>
      <c r="G229" s="826"/>
      <c r="H229" s="826">
        <f>H230+H239+H248+H257+H266+H275</f>
        <v>27108</v>
      </c>
      <c r="I229" s="1994"/>
      <c r="J229" s="1994"/>
      <c r="K229" s="1993"/>
      <c r="L229" s="1993"/>
      <c r="M229" s="1994"/>
      <c r="N229" s="1976"/>
      <c r="O229" s="1976"/>
      <c r="P229" s="1994"/>
      <c r="Q229" s="1994"/>
      <c r="R229" s="1991"/>
      <c r="S229" s="1991"/>
      <c r="T229" s="1991"/>
    </row>
    <row r="230" spans="1:25" s="745" customFormat="1" ht="14.25" customHeight="1" x14ac:dyDescent="0.2">
      <c r="A230" s="740" t="s">
        <v>1215</v>
      </c>
      <c r="B230" s="872" t="s">
        <v>1218</v>
      </c>
      <c r="C230" s="741"/>
      <c r="D230" s="742"/>
      <c r="E230" s="726"/>
      <c r="F230" s="743"/>
      <c r="G230" s="744"/>
      <c r="H230" s="744">
        <f>H231+H235</f>
        <v>4518</v>
      </c>
      <c r="I230" s="1994"/>
      <c r="J230" s="1994"/>
      <c r="K230" s="1993"/>
      <c r="L230" s="1993"/>
      <c r="M230" s="1994"/>
      <c r="N230" s="1976"/>
      <c r="O230" s="1976"/>
      <c r="P230" s="1994"/>
      <c r="Q230" s="1994"/>
      <c r="R230" s="1991"/>
      <c r="S230" s="1991"/>
      <c r="T230" s="1991"/>
    </row>
    <row r="231" spans="1:25" s="736" customFormat="1" ht="17.25" customHeight="1" x14ac:dyDescent="0.2">
      <c r="A231" s="873"/>
      <c r="B231" s="874" t="s">
        <v>1014</v>
      </c>
      <c r="C231" s="875"/>
      <c r="D231" s="876"/>
      <c r="E231" s="877"/>
      <c r="F231" s="878"/>
      <c r="G231" s="793"/>
      <c r="H231" s="793">
        <f>SUM(H232:H234)</f>
        <v>4050</v>
      </c>
      <c r="I231" s="1972"/>
      <c r="J231" s="1972"/>
      <c r="K231" s="1980"/>
      <c r="L231" s="1980">
        <f>SUM(K232:K234)</f>
        <v>3524.85</v>
      </c>
      <c r="M231" s="1972"/>
      <c r="N231" s="1976"/>
      <c r="O231" s="1976"/>
      <c r="P231" s="1972"/>
      <c r="Q231" s="1972"/>
      <c r="R231" s="1996"/>
      <c r="S231" s="1996"/>
      <c r="T231" s="1996"/>
    </row>
    <row r="232" spans="1:25" s="736" customFormat="1" ht="17.25" customHeight="1" x14ac:dyDescent="0.2">
      <c r="A232" s="879"/>
      <c r="B232" s="880" t="s">
        <v>800</v>
      </c>
      <c r="C232" s="881" t="s">
        <v>1013</v>
      </c>
      <c r="D232" s="797">
        <v>1</v>
      </c>
      <c r="E232" s="796">
        <v>1500</v>
      </c>
      <c r="F232" s="855">
        <f>+D232*E232</f>
        <v>1500</v>
      </c>
      <c r="G232" s="734"/>
      <c r="H232" s="732">
        <f>SUM(F232:G232)</f>
        <v>1500</v>
      </c>
      <c r="I232" s="1972"/>
      <c r="J232" s="1999">
        <v>0.91</v>
      </c>
      <c r="K232" s="1980">
        <f>H232*J232</f>
        <v>1365</v>
      </c>
      <c r="L232" s="1980"/>
      <c r="M232" s="1972"/>
      <c r="N232" s="1976"/>
      <c r="O232" s="1976"/>
      <c r="P232" s="1972"/>
      <c r="Q232" s="1972"/>
      <c r="R232" s="1996"/>
      <c r="S232" s="1996"/>
      <c r="T232" s="1996"/>
    </row>
    <row r="233" spans="1:25" s="736" customFormat="1" ht="17.25" customHeight="1" x14ac:dyDescent="0.2">
      <c r="A233" s="879"/>
      <c r="B233" s="880" t="s">
        <v>764</v>
      </c>
      <c r="C233" s="858" t="s">
        <v>770</v>
      </c>
      <c r="D233" s="807">
        <v>150</v>
      </c>
      <c r="E233" s="882">
        <v>10</v>
      </c>
      <c r="F233" s="855">
        <f t="shared" ref="F233:F234" si="60">+D233*E233</f>
        <v>1500</v>
      </c>
      <c r="G233" s="734"/>
      <c r="H233" s="732">
        <f t="shared" ref="H233:H234" si="61">SUM(F233:G233)</f>
        <v>1500</v>
      </c>
      <c r="I233" s="1972"/>
      <c r="J233" s="1990">
        <v>0.84699999999999998</v>
      </c>
      <c r="K233" s="1980">
        <f t="shared" ref="K233:K234" si="62">H233*J233</f>
        <v>1270.5</v>
      </c>
      <c r="L233" s="1980"/>
      <c r="M233" s="1972"/>
      <c r="N233" s="1976"/>
      <c r="O233" s="1976"/>
      <c r="P233" s="1972"/>
      <c r="Q233" s="1972"/>
      <c r="R233" s="1996"/>
      <c r="S233" s="1996"/>
      <c r="T233" s="1996"/>
    </row>
    <row r="234" spans="1:25" s="736" customFormat="1" ht="17.25" customHeight="1" x14ac:dyDescent="0.2">
      <c r="A234" s="879"/>
      <c r="B234" s="880" t="s">
        <v>798</v>
      </c>
      <c r="C234" s="858" t="s">
        <v>770</v>
      </c>
      <c r="D234" s="807">
        <v>150</v>
      </c>
      <c r="E234" s="882">
        <v>7</v>
      </c>
      <c r="F234" s="855">
        <f t="shared" si="60"/>
        <v>1050</v>
      </c>
      <c r="G234" s="734"/>
      <c r="H234" s="732">
        <f t="shared" si="61"/>
        <v>1050</v>
      </c>
      <c r="I234" s="1972"/>
      <c r="J234" s="1990">
        <v>0.84699999999999998</v>
      </c>
      <c r="K234" s="1980">
        <f t="shared" si="62"/>
        <v>889.35</v>
      </c>
      <c r="L234" s="1980"/>
      <c r="M234" s="1972"/>
      <c r="N234" s="1976"/>
      <c r="O234" s="1976"/>
      <c r="P234" s="1972"/>
      <c r="Q234" s="1972"/>
      <c r="R234" s="1996"/>
      <c r="S234" s="1996"/>
      <c r="T234" s="1996"/>
    </row>
    <row r="235" spans="1:25" s="736" customFormat="1" ht="15" customHeight="1" x14ac:dyDescent="0.2">
      <c r="A235" s="873"/>
      <c r="B235" s="874" t="s">
        <v>891</v>
      </c>
      <c r="C235" s="883"/>
      <c r="D235" s="884"/>
      <c r="E235" s="885"/>
      <c r="F235" s="886"/>
      <c r="G235" s="793"/>
      <c r="H235" s="793">
        <f>SUM(H236:H238)</f>
        <v>468</v>
      </c>
      <c r="I235" s="1972"/>
      <c r="J235" s="1972"/>
      <c r="K235" s="1980"/>
      <c r="L235" s="1980">
        <f>SUM(K236:K238)</f>
        <v>396.39599999999996</v>
      </c>
      <c r="M235" s="1972"/>
      <c r="N235" s="1976"/>
      <c r="O235" s="1976"/>
      <c r="P235" s="1972"/>
      <c r="Q235" s="1972"/>
      <c r="R235" s="1996"/>
      <c r="S235" s="1996"/>
      <c r="T235" s="1996"/>
    </row>
    <row r="236" spans="1:25" s="736" customFormat="1" ht="17.25" customHeight="1" x14ac:dyDescent="0.2">
      <c r="A236" s="879"/>
      <c r="B236" s="887" t="s">
        <v>1009</v>
      </c>
      <c r="C236" s="854" t="s">
        <v>647</v>
      </c>
      <c r="D236" s="731">
        <v>150</v>
      </c>
      <c r="E236" s="792">
        <v>1.5</v>
      </c>
      <c r="F236" s="855">
        <f>+D236*E236</f>
        <v>225</v>
      </c>
      <c r="G236" s="734"/>
      <c r="H236" s="732">
        <f>SUM(F236:G236)</f>
        <v>225</v>
      </c>
      <c r="I236" s="1972"/>
      <c r="J236" s="1990">
        <v>0.84699999999999998</v>
      </c>
      <c r="K236" s="1980">
        <f t="shared" ref="K236:K238" si="63">H236*J236</f>
        <v>190.57499999999999</v>
      </c>
      <c r="L236" s="1980"/>
      <c r="M236" s="1972"/>
      <c r="N236" s="1976"/>
      <c r="O236" s="1976"/>
      <c r="P236" s="1972"/>
      <c r="Q236" s="1972"/>
      <c r="R236" s="1996"/>
      <c r="S236" s="1996"/>
      <c r="T236" s="1996"/>
    </row>
    <row r="237" spans="1:25" s="736" customFormat="1" ht="17.25" customHeight="1" x14ac:dyDescent="0.2">
      <c r="A237" s="879"/>
      <c r="B237" s="887" t="s">
        <v>1011</v>
      </c>
      <c r="C237" s="888" t="s">
        <v>1012</v>
      </c>
      <c r="D237" s="731">
        <v>12</v>
      </c>
      <c r="E237" s="792">
        <v>14</v>
      </c>
      <c r="F237" s="855">
        <f t="shared" ref="F237:F238" si="64">+D237*E237</f>
        <v>168</v>
      </c>
      <c r="G237" s="734"/>
      <c r="H237" s="732">
        <f t="shared" ref="H237:H238" si="65">SUM(F237:G237)</f>
        <v>168</v>
      </c>
      <c r="I237" s="1972"/>
      <c r="J237" s="1990">
        <v>0.84699999999999998</v>
      </c>
      <c r="K237" s="1980">
        <f t="shared" si="63"/>
        <v>142.29599999999999</v>
      </c>
      <c r="L237" s="1980"/>
      <c r="M237" s="1972"/>
      <c r="N237" s="1976"/>
      <c r="O237" s="1976"/>
      <c r="P237" s="1972"/>
      <c r="Q237" s="1972"/>
      <c r="R237" s="1996"/>
      <c r="S237" s="1996"/>
      <c r="T237" s="1996"/>
    </row>
    <row r="238" spans="1:25" s="736" customFormat="1" ht="17.25" customHeight="1" x14ac:dyDescent="0.2">
      <c r="A238" s="879"/>
      <c r="B238" s="880" t="s">
        <v>1010</v>
      </c>
      <c r="C238" s="854" t="s">
        <v>647</v>
      </c>
      <c r="D238" s="731">
        <v>150</v>
      </c>
      <c r="E238" s="792">
        <v>0.5</v>
      </c>
      <c r="F238" s="855">
        <f t="shared" si="64"/>
        <v>75</v>
      </c>
      <c r="G238" s="734"/>
      <c r="H238" s="732">
        <f t="shared" si="65"/>
        <v>75</v>
      </c>
      <c r="I238" s="1972"/>
      <c r="J238" s="1990">
        <v>0.84699999999999998</v>
      </c>
      <c r="K238" s="1980">
        <f t="shared" si="63"/>
        <v>63.524999999999999</v>
      </c>
      <c r="L238" s="1980"/>
      <c r="M238" s="1972"/>
      <c r="N238" s="1976"/>
      <c r="O238" s="1976"/>
      <c r="P238" s="1972"/>
      <c r="Q238" s="1972"/>
      <c r="R238" s="1996"/>
      <c r="S238" s="1996"/>
      <c r="T238" s="1996"/>
    </row>
    <row r="239" spans="1:25" s="736" customFormat="1" ht="29.25" customHeight="1" x14ac:dyDescent="0.2">
      <c r="A239" s="746" t="s">
        <v>1287</v>
      </c>
      <c r="B239" s="889" t="s">
        <v>1017</v>
      </c>
      <c r="C239" s="890"/>
      <c r="D239" s="867"/>
      <c r="E239" s="891"/>
      <c r="F239" s="892"/>
      <c r="G239" s="744"/>
      <c r="H239" s="744">
        <f>H240+H244</f>
        <v>4518</v>
      </c>
      <c r="I239" s="1972"/>
      <c r="J239" s="1972"/>
      <c r="K239" s="1980"/>
      <c r="L239" s="1980"/>
      <c r="M239" s="1972"/>
      <c r="N239" s="1976"/>
      <c r="O239" s="1976"/>
      <c r="P239" s="1972"/>
      <c r="Q239" s="1972"/>
      <c r="R239" s="1996"/>
      <c r="S239" s="1996"/>
      <c r="T239" s="1996"/>
    </row>
    <row r="240" spans="1:25" s="736" customFormat="1" ht="18.75" customHeight="1" x14ac:dyDescent="0.2">
      <c r="A240" s="873"/>
      <c r="B240" s="874" t="s">
        <v>1014</v>
      </c>
      <c r="C240" s="875"/>
      <c r="D240" s="876"/>
      <c r="E240" s="877"/>
      <c r="F240" s="878"/>
      <c r="G240" s="793"/>
      <c r="H240" s="793">
        <f>SUM(H241:H243)</f>
        <v>4050</v>
      </c>
      <c r="I240" s="1972"/>
      <c r="J240" s="1972"/>
      <c r="K240" s="1980"/>
      <c r="L240" s="1980">
        <f>SUM(K241:K243)</f>
        <v>3524.85</v>
      </c>
      <c r="M240" s="1972"/>
      <c r="N240" s="1976"/>
      <c r="O240" s="1976"/>
      <c r="P240" s="1972"/>
      <c r="Q240" s="1972"/>
      <c r="R240" s="1996"/>
      <c r="S240" s="1996"/>
      <c r="T240" s="1996"/>
    </row>
    <row r="241" spans="1:20" s="736" customFormat="1" ht="17.25" customHeight="1" x14ac:dyDescent="0.2">
      <c r="A241" s="879"/>
      <c r="B241" s="880" t="s">
        <v>800</v>
      </c>
      <c r="C241" s="881" t="s">
        <v>1013</v>
      </c>
      <c r="D241" s="797">
        <v>1</v>
      </c>
      <c r="E241" s="796">
        <v>1500</v>
      </c>
      <c r="F241" s="893">
        <f>+D241*E241</f>
        <v>1500</v>
      </c>
      <c r="G241" s="738"/>
      <c r="H241" s="836">
        <f>SUM(F241:G241)</f>
        <v>1500</v>
      </c>
      <c r="I241" s="1972"/>
      <c r="J241" s="1999">
        <v>0.91</v>
      </c>
      <c r="K241" s="1980">
        <f>H241*J241</f>
        <v>1365</v>
      </c>
      <c r="L241" s="1980"/>
      <c r="M241" s="1972"/>
      <c r="N241" s="1976"/>
      <c r="O241" s="1976"/>
      <c r="P241" s="1972"/>
      <c r="Q241" s="1972"/>
      <c r="R241" s="1996"/>
      <c r="S241" s="1996"/>
      <c r="T241" s="1996"/>
    </row>
    <row r="242" spans="1:20" s="736" customFormat="1" ht="17.25" customHeight="1" x14ac:dyDescent="0.2">
      <c r="A242" s="879"/>
      <c r="B242" s="880" t="s">
        <v>764</v>
      </c>
      <c r="C242" s="858" t="s">
        <v>770</v>
      </c>
      <c r="D242" s="807">
        <v>150</v>
      </c>
      <c r="E242" s="882">
        <v>10</v>
      </c>
      <c r="F242" s="893">
        <f t="shared" ref="F242:F243" si="66">+D242*E242</f>
        <v>1500</v>
      </c>
      <c r="G242" s="738"/>
      <c r="H242" s="836">
        <f t="shared" ref="H242:H243" si="67">SUM(F242:G242)</f>
        <v>1500</v>
      </c>
      <c r="I242" s="1972"/>
      <c r="J242" s="1990">
        <v>0.84699999999999998</v>
      </c>
      <c r="K242" s="1980">
        <f t="shared" ref="K242:K243" si="68">H242*J242</f>
        <v>1270.5</v>
      </c>
      <c r="L242" s="1980"/>
      <c r="M242" s="1972"/>
      <c r="N242" s="1976"/>
      <c r="O242" s="1976"/>
      <c r="P242" s="1972"/>
      <c r="Q242" s="1972"/>
      <c r="R242" s="1996"/>
      <c r="S242" s="1996"/>
      <c r="T242" s="1996"/>
    </row>
    <row r="243" spans="1:20" s="736" customFormat="1" ht="17.25" customHeight="1" x14ac:dyDescent="0.2">
      <c r="A243" s="879"/>
      <c r="B243" s="880" t="s">
        <v>798</v>
      </c>
      <c r="C243" s="858" t="s">
        <v>770</v>
      </c>
      <c r="D243" s="807">
        <v>150</v>
      </c>
      <c r="E243" s="882">
        <v>7</v>
      </c>
      <c r="F243" s="893">
        <f t="shared" si="66"/>
        <v>1050</v>
      </c>
      <c r="G243" s="738"/>
      <c r="H243" s="836">
        <f t="shared" si="67"/>
        <v>1050</v>
      </c>
      <c r="I243" s="1972"/>
      <c r="J243" s="1990">
        <v>0.84699999999999998</v>
      </c>
      <c r="K243" s="1980">
        <f t="shared" si="68"/>
        <v>889.35</v>
      </c>
      <c r="L243" s="1980"/>
      <c r="M243" s="1972"/>
      <c r="N243" s="1976"/>
      <c r="O243" s="1976"/>
      <c r="P243" s="1972"/>
      <c r="Q243" s="1972"/>
      <c r="R243" s="1996"/>
      <c r="S243" s="1996"/>
      <c r="T243" s="1996"/>
    </row>
    <row r="244" spans="1:20" s="736" customFormat="1" ht="13.5" customHeight="1" x14ac:dyDescent="0.2">
      <c r="A244" s="873"/>
      <c r="B244" s="874" t="s">
        <v>891</v>
      </c>
      <c r="C244" s="883"/>
      <c r="D244" s="884"/>
      <c r="E244" s="885"/>
      <c r="F244" s="886"/>
      <c r="G244" s="793"/>
      <c r="H244" s="793">
        <f>SUM(H245:H247)</f>
        <v>468</v>
      </c>
      <c r="I244" s="1972"/>
      <c r="J244" s="1972"/>
      <c r="K244" s="1980"/>
      <c r="L244" s="1980">
        <f>SUM(K245:K247)</f>
        <v>396.39599999999996</v>
      </c>
      <c r="M244" s="1972"/>
      <c r="N244" s="1976"/>
      <c r="O244" s="1976"/>
      <c r="P244" s="1972"/>
      <c r="Q244" s="1972"/>
      <c r="R244" s="1996"/>
      <c r="S244" s="1996"/>
      <c r="T244" s="1996"/>
    </row>
    <row r="245" spans="1:20" s="736" customFormat="1" ht="17.25" customHeight="1" x14ac:dyDescent="0.2">
      <c r="A245" s="879"/>
      <c r="B245" s="887" t="s">
        <v>1009</v>
      </c>
      <c r="C245" s="854" t="s">
        <v>647</v>
      </c>
      <c r="D245" s="731">
        <v>150</v>
      </c>
      <c r="E245" s="792">
        <v>1.5</v>
      </c>
      <c r="F245" s="893">
        <f>+D245*E245</f>
        <v>225</v>
      </c>
      <c r="G245" s="738"/>
      <c r="H245" s="836">
        <f>SUM(F245:G245)</f>
        <v>225</v>
      </c>
      <c r="I245" s="1972"/>
      <c r="J245" s="1990">
        <v>0.84699999999999998</v>
      </c>
      <c r="K245" s="1980">
        <f t="shared" ref="K245:K247" si="69">H245*J245</f>
        <v>190.57499999999999</v>
      </c>
      <c r="L245" s="1980"/>
      <c r="M245" s="1972"/>
      <c r="N245" s="1976"/>
      <c r="O245" s="1976"/>
      <c r="P245" s="1972"/>
      <c r="Q245" s="1972"/>
      <c r="R245" s="1996"/>
      <c r="S245" s="1996"/>
      <c r="T245" s="1996"/>
    </row>
    <row r="246" spans="1:20" s="736" customFormat="1" ht="17.25" customHeight="1" x14ac:dyDescent="0.2">
      <c r="A246" s="879"/>
      <c r="B246" s="887" t="s">
        <v>1011</v>
      </c>
      <c r="C246" s="888" t="s">
        <v>1012</v>
      </c>
      <c r="D246" s="731">
        <v>12</v>
      </c>
      <c r="E246" s="792">
        <v>14</v>
      </c>
      <c r="F246" s="893">
        <f t="shared" ref="F246:F247" si="70">+D246*E246</f>
        <v>168</v>
      </c>
      <c r="G246" s="738"/>
      <c r="H246" s="836">
        <f t="shared" ref="H246:H247" si="71">SUM(F246:G246)</f>
        <v>168</v>
      </c>
      <c r="I246" s="1972"/>
      <c r="J246" s="1990">
        <v>0.84699999999999998</v>
      </c>
      <c r="K246" s="1980">
        <f t="shared" si="69"/>
        <v>142.29599999999999</v>
      </c>
      <c r="L246" s="1980"/>
      <c r="M246" s="1972"/>
      <c r="N246" s="1976"/>
      <c r="O246" s="1976"/>
      <c r="P246" s="1972"/>
      <c r="Q246" s="1972"/>
      <c r="R246" s="1996"/>
      <c r="S246" s="1996"/>
      <c r="T246" s="1996"/>
    </row>
    <row r="247" spans="1:20" s="736" customFormat="1" ht="17.25" customHeight="1" x14ac:dyDescent="0.2">
      <c r="A247" s="879"/>
      <c r="B247" s="880" t="s">
        <v>1010</v>
      </c>
      <c r="C247" s="854" t="s">
        <v>647</v>
      </c>
      <c r="D247" s="731">
        <v>150</v>
      </c>
      <c r="E247" s="792">
        <v>0.5</v>
      </c>
      <c r="F247" s="893">
        <f t="shared" si="70"/>
        <v>75</v>
      </c>
      <c r="G247" s="738"/>
      <c r="H247" s="836">
        <f t="shared" si="71"/>
        <v>75</v>
      </c>
      <c r="I247" s="1972"/>
      <c r="J247" s="1990">
        <v>0.84699999999999998</v>
      </c>
      <c r="K247" s="1980">
        <f t="shared" si="69"/>
        <v>63.524999999999999</v>
      </c>
      <c r="L247" s="1980"/>
      <c r="M247" s="1972"/>
      <c r="N247" s="1976"/>
      <c r="O247" s="1976"/>
      <c r="P247" s="1972"/>
      <c r="Q247" s="1972"/>
      <c r="R247" s="1996"/>
      <c r="S247" s="1996"/>
      <c r="T247" s="1996"/>
    </row>
    <row r="248" spans="1:20" s="736" customFormat="1" ht="25.5" customHeight="1" x14ac:dyDescent="0.2">
      <c r="A248" s="746" t="s">
        <v>1288</v>
      </c>
      <c r="B248" s="889" t="s">
        <v>1016</v>
      </c>
      <c r="C248" s="890"/>
      <c r="D248" s="867"/>
      <c r="E248" s="891"/>
      <c r="F248" s="892"/>
      <c r="G248" s="744"/>
      <c r="H248" s="744">
        <f>H249+H253</f>
        <v>4518</v>
      </c>
      <c r="I248" s="1972"/>
      <c r="J248" s="1972"/>
      <c r="K248" s="1980"/>
      <c r="L248" s="1980"/>
      <c r="M248" s="1972"/>
      <c r="N248" s="1976"/>
      <c r="O248" s="1976"/>
      <c r="P248" s="1972"/>
      <c r="Q248" s="1972"/>
      <c r="R248" s="1996"/>
      <c r="S248" s="1996"/>
      <c r="T248" s="1996"/>
    </row>
    <row r="249" spans="1:20" s="736" customFormat="1" ht="12.75" customHeight="1" x14ac:dyDescent="0.2">
      <c r="A249" s="873"/>
      <c r="B249" s="874" t="s">
        <v>1014</v>
      </c>
      <c r="C249" s="875"/>
      <c r="D249" s="876"/>
      <c r="E249" s="877"/>
      <c r="F249" s="878"/>
      <c r="G249" s="793"/>
      <c r="H249" s="793">
        <f>SUM(H250:H252)</f>
        <v>4050</v>
      </c>
      <c r="I249" s="1972"/>
      <c r="J249" s="1972"/>
      <c r="K249" s="1980"/>
      <c r="L249" s="1980">
        <f>SUM(K250:K252)</f>
        <v>3524.85</v>
      </c>
      <c r="M249" s="1972"/>
      <c r="N249" s="1976"/>
      <c r="O249" s="1976"/>
      <c r="P249" s="1972"/>
      <c r="Q249" s="1972"/>
      <c r="R249" s="1996"/>
      <c r="S249" s="1996"/>
      <c r="T249" s="1996"/>
    </row>
    <row r="250" spans="1:20" s="736" customFormat="1" ht="17.25" customHeight="1" x14ac:dyDescent="0.2">
      <c r="A250" s="879"/>
      <c r="B250" s="880" t="s">
        <v>800</v>
      </c>
      <c r="C250" s="881" t="s">
        <v>1013</v>
      </c>
      <c r="D250" s="797">
        <v>1</v>
      </c>
      <c r="E250" s="796">
        <v>1500</v>
      </c>
      <c r="F250" s="855">
        <f>+D250*E250</f>
        <v>1500</v>
      </c>
      <c r="G250" s="734"/>
      <c r="H250" s="732">
        <f>SUM(F250:G250)</f>
        <v>1500</v>
      </c>
      <c r="I250" s="1972"/>
      <c r="J250" s="1999">
        <v>0.91</v>
      </c>
      <c r="K250" s="1980">
        <f>H250*J250</f>
        <v>1365</v>
      </c>
      <c r="L250" s="1980"/>
      <c r="M250" s="1972"/>
      <c r="N250" s="1976"/>
      <c r="O250" s="1976"/>
      <c r="P250" s="1972"/>
      <c r="Q250" s="1972"/>
      <c r="R250" s="1996"/>
      <c r="S250" s="1996"/>
      <c r="T250" s="1996"/>
    </row>
    <row r="251" spans="1:20" s="736" customFormat="1" ht="17.25" customHeight="1" x14ac:dyDescent="0.2">
      <c r="A251" s="879"/>
      <c r="B251" s="880" t="s">
        <v>764</v>
      </c>
      <c r="C251" s="858" t="s">
        <v>770</v>
      </c>
      <c r="D251" s="807">
        <v>150</v>
      </c>
      <c r="E251" s="882">
        <v>10</v>
      </c>
      <c r="F251" s="855">
        <f t="shared" ref="F251:F252" si="72">+D251*E251</f>
        <v>1500</v>
      </c>
      <c r="G251" s="734"/>
      <c r="H251" s="732">
        <f t="shared" ref="H251:H252" si="73">SUM(F251:G251)</f>
        <v>1500</v>
      </c>
      <c r="I251" s="1972"/>
      <c r="J251" s="1990">
        <v>0.84699999999999998</v>
      </c>
      <c r="K251" s="1980">
        <f t="shared" ref="K251:K252" si="74">H251*J251</f>
        <v>1270.5</v>
      </c>
      <c r="L251" s="1980"/>
      <c r="M251" s="1972"/>
      <c r="N251" s="1976"/>
      <c r="O251" s="1976"/>
      <c r="P251" s="1972"/>
      <c r="Q251" s="1972"/>
      <c r="R251" s="1996"/>
      <c r="S251" s="1996"/>
      <c r="T251" s="1996"/>
    </row>
    <row r="252" spans="1:20" s="736" customFormat="1" ht="17.25" customHeight="1" x14ac:dyDescent="0.2">
      <c r="A252" s="879"/>
      <c r="B252" s="880" t="s">
        <v>798</v>
      </c>
      <c r="C252" s="858" t="s">
        <v>770</v>
      </c>
      <c r="D252" s="807">
        <v>150</v>
      </c>
      <c r="E252" s="882">
        <v>7</v>
      </c>
      <c r="F252" s="855">
        <f t="shared" si="72"/>
        <v>1050</v>
      </c>
      <c r="G252" s="734"/>
      <c r="H252" s="732">
        <f t="shared" si="73"/>
        <v>1050</v>
      </c>
      <c r="I252" s="1972"/>
      <c r="J252" s="1990">
        <v>0.84699999999999998</v>
      </c>
      <c r="K252" s="1980">
        <f t="shared" si="74"/>
        <v>889.35</v>
      </c>
      <c r="L252" s="1980"/>
      <c r="M252" s="1972"/>
      <c r="N252" s="1976"/>
      <c r="O252" s="1976"/>
      <c r="P252" s="1972"/>
      <c r="Q252" s="1972"/>
      <c r="R252" s="1996"/>
      <c r="S252" s="1996"/>
      <c r="T252" s="1996"/>
    </row>
    <row r="253" spans="1:20" s="736" customFormat="1" ht="12.75" customHeight="1" x14ac:dyDescent="0.2">
      <c r="A253" s="873"/>
      <c r="B253" s="874" t="s">
        <v>891</v>
      </c>
      <c r="C253" s="883"/>
      <c r="D253" s="884"/>
      <c r="E253" s="885"/>
      <c r="F253" s="886"/>
      <c r="G253" s="793"/>
      <c r="H253" s="793">
        <f>SUM(H254:H256)</f>
        <v>468</v>
      </c>
      <c r="I253" s="1972"/>
      <c r="J253" s="1972"/>
      <c r="K253" s="1980"/>
      <c r="L253" s="1980">
        <f>SUM(K254:K256)</f>
        <v>396.39599999999996</v>
      </c>
      <c r="M253" s="1972"/>
      <c r="N253" s="1976"/>
      <c r="O253" s="1976"/>
      <c r="P253" s="1972"/>
      <c r="Q253" s="1972"/>
      <c r="R253" s="1996"/>
      <c r="S253" s="1996"/>
      <c r="T253" s="1996"/>
    </row>
    <row r="254" spans="1:20" s="736" customFormat="1" ht="17.25" customHeight="1" x14ac:dyDescent="0.2">
      <c r="A254" s="879"/>
      <c r="B254" s="887" t="s">
        <v>1009</v>
      </c>
      <c r="C254" s="854" t="s">
        <v>647</v>
      </c>
      <c r="D254" s="731">
        <v>150</v>
      </c>
      <c r="E254" s="792">
        <v>1.5</v>
      </c>
      <c r="F254" s="863">
        <f>+D254*E254</f>
        <v>225</v>
      </c>
      <c r="G254" s="738"/>
      <c r="H254" s="836">
        <f>SUM(F254:G254)</f>
        <v>225</v>
      </c>
      <c r="I254" s="1972"/>
      <c r="J254" s="1990">
        <v>0.84699999999999998</v>
      </c>
      <c r="K254" s="1980">
        <f t="shared" ref="K254:K256" si="75">H254*J254</f>
        <v>190.57499999999999</v>
      </c>
      <c r="L254" s="1980"/>
      <c r="M254" s="1972"/>
      <c r="N254" s="1976"/>
      <c r="O254" s="1976"/>
      <c r="P254" s="1972"/>
      <c r="Q254" s="1972"/>
      <c r="R254" s="1996"/>
      <c r="S254" s="1996"/>
      <c r="T254" s="1996"/>
    </row>
    <row r="255" spans="1:20" s="736" customFormat="1" ht="17.25" customHeight="1" x14ac:dyDescent="0.2">
      <c r="A255" s="879"/>
      <c r="B255" s="887" t="s">
        <v>1011</v>
      </c>
      <c r="C255" s="888" t="s">
        <v>1012</v>
      </c>
      <c r="D255" s="731">
        <v>12</v>
      </c>
      <c r="E255" s="792">
        <v>14</v>
      </c>
      <c r="F255" s="863">
        <f t="shared" ref="F255:F256" si="76">+D255*E255</f>
        <v>168</v>
      </c>
      <c r="G255" s="738"/>
      <c r="H255" s="836">
        <f t="shared" ref="H255:H256" si="77">SUM(F255:G255)</f>
        <v>168</v>
      </c>
      <c r="I255" s="1972"/>
      <c r="J255" s="1990">
        <v>0.84699999999999998</v>
      </c>
      <c r="K255" s="1980">
        <f t="shared" si="75"/>
        <v>142.29599999999999</v>
      </c>
      <c r="L255" s="1980"/>
      <c r="M255" s="1972"/>
      <c r="N255" s="1976"/>
      <c r="O255" s="1976"/>
      <c r="P255" s="1972"/>
      <c r="Q255" s="1972"/>
      <c r="R255" s="1996"/>
      <c r="S255" s="1996"/>
      <c r="T255" s="1996"/>
    </row>
    <row r="256" spans="1:20" s="736" customFormat="1" ht="17.25" customHeight="1" x14ac:dyDescent="0.2">
      <c r="A256" s="879"/>
      <c r="B256" s="880" t="s">
        <v>1010</v>
      </c>
      <c r="C256" s="854" t="s">
        <v>647</v>
      </c>
      <c r="D256" s="731">
        <v>150</v>
      </c>
      <c r="E256" s="792">
        <v>0.5</v>
      </c>
      <c r="F256" s="863">
        <f t="shared" si="76"/>
        <v>75</v>
      </c>
      <c r="G256" s="738"/>
      <c r="H256" s="836">
        <f t="shared" si="77"/>
        <v>75</v>
      </c>
      <c r="I256" s="1972"/>
      <c r="J256" s="1990">
        <v>0.84699999999999998</v>
      </c>
      <c r="K256" s="1980">
        <f t="shared" si="75"/>
        <v>63.524999999999999</v>
      </c>
      <c r="L256" s="1980"/>
      <c r="M256" s="1972"/>
      <c r="N256" s="1976"/>
      <c r="O256" s="1976"/>
      <c r="P256" s="1972"/>
      <c r="Q256" s="1972"/>
      <c r="R256" s="1996"/>
      <c r="S256" s="1996"/>
      <c r="T256" s="1996"/>
    </row>
    <row r="257" spans="1:20" s="736" customFormat="1" ht="25.5" customHeight="1" x14ac:dyDescent="0.2">
      <c r="A257" s="746" t="s">
        <v>1289</v>
      </c>
      <c r="B257" s="889" t="s">
        <v>1163</v>
      </c>
      <c r="C257" s="890"/>
      <c r="D257" s="867"/>
      <c r="E257" s="891"/>
      <c r="F257" s="892"/>
      <c r="G257" s="744"/>
      <c r="H257" s="744">
        <f>H258+H262</f>
        <v>4518</v>
      </c>
      <c r="I257" s="1972"/>
      <c r="J257" s="1972"/>
      <c r="K257" s="1980"/>
      <c r="L257" s="1980"/>
      <c r="M257" s="1972"/>
      <c r="N257" s="1976"/>
      <c r="O257" s="1976"/>
      <c r="P257" s="1972"/>
      <c r="Q257" s="1972"/>
      <c r="R257" s="1996"/>
      <c r="S257" s="1996"/>
      <c r="T257" s="1996"/>
    </row>
    <row r="258" spans="1:20" s="736" customFormat="1" ht="13.5" customHeight="1" x14ac:dyDescent="0.2">
      <c r="A258" s="873"/>
      <c r="B258" s="874" t="s">
        <v>1014</v>
      </c>
      <c r="C258" s="875"/>
      <c r="D258" s="876"/>
      <c r="E258" s="877"/>
      <c r="F258" s="878"/>
      <c r="G258" s="793"/>
      <c r="H258" s="793">
        <f>SUM(H259:H261)</f>
        <v>4050</v>
      </c>
      <c r="I258" s="1972"/>
      <c r="J258" s="1972"/>
      <c r="K258" s="1980"/>
      <c r="L258" s="1980">
        <f>SUM(K259:K261)</f>
        <v>3524.85</v>
      </c>
      <c r="M258" s="1972"/>
      <c r="N258" s="1976"/>
      <c r="O258" s="1976"/>
      <c r="P258" s="1972"/>
      <c r="Q258" s="1972"/>
      <c r="R258" s="1996"/>
      <c r="S258" s="1996"/>
      <c r="T258" s="1996"/>
    </row>
    <row r="259" spans="1:20" s="736" customFormat="1" ht="17.25" customHeight="1" x14ac:dyDescent="0.2">
      <c r="A259" s="879"/>
      <c r="B259" s="880" t="s">
        <v>800</v>
      </c>
      <c r="C259" s="881" t="s">
        <v>1013</v>
      </c>
      <c r="D259" s="797">
        <v>1</v>
      </c>
      <c r="E259" s="796">
        <v>1500</v>
      </c>
      <c r="F259" s="894">
        <f>+D259*E259</f>
        <v>1500</v>
      </c>
      <c r="G259" s="738"/>
      <c r="H259" s="836">
        <f>SUM(F259:G259)</f>
        <v>1500</v>
      </c>
      <c r="I259" s="1972"/>
      <c r="J259" s="1999">
        <v>0.91</v>
      </c>
      <c r="K259" s="1980">
        <f>H259*J259</f>
        <v>1365</v>
      </c>
      <c r="L259" s="1980"/>
      <c r="M259" s="1972"/>
      <c r="N259" s="1976"/>
      <c r="O259" s="1976"/>
      <c r="P259" s="1972"/>
      <c r="Q259" s="1972"/>
      <c r="R259" s="1996"/>
      <c r="S259" s="1996"/>
      <c r="T259" s="1996"/>
    </row>
    <row r="260" spans="1:20" s="736" customFormat="1" ht="17.25" customHeight="1" x14ac:dyDescent="0.2">
      <c r="A260" s="879"/>
      <c r="B260" s="880" t="s">
        <v>764</v>
      </c>
      <c r="C260" s="858" t="s">
        <v>770</v>
      </c>
      <c r="D260" s="807">
        <v>150</v>
      </c>
      <c r="E260" s="882">
        <v>10</v>
      </c>
      <c r="F260" s="894">
        <f t="shared" ref="F260:F261" si="78">+D260*E260</f>
        <v>1500</v>
      </c>
      <c r="G260" s="738"/>
      <c r="H260" s="836">
        <f t="shared" ref="H260:H261" si="79">SUM(F260:G260)</f>
        <v>1500</v>
      </c>
      <c r="I260" s="1972"/>
      <c r="J260" s="1990">
        <v>0.84699999999999998</v>
      </c>
      <c r="K260" s="1980">
        <f t="shared" ref="K260:K261" si="80">H260*J260</f>
        <v>1270.5</v>
      </c>
      <c r="L260" s="1980"/>
      <c r="M260" s="1972"/>
      <c r="N260" s="1976"/>
      <c r="O260" s="1976"/>
      <c r="P260" s="1972"/>
      <c r="Q260" s="1972"/>
      <c r="R260" s="1996"/>
      <c r="S260" s="1996"/>
      <c r="T260" s="1996"/>
    </row>
    <row r="261" spans="1:20" s="736" customFormat="1" ht="17.25" customHeight="1" x14ac:dyDescent="0.2">
      <c r="A261" s="879"/>
      <c r="B261" s="880" t="s">
        <v>798</v>
      </c>
      <c r="C261" s="858" t="s">
        <v>770</v>
      </c>
      <c r="D261" s="807">
        <v>150</v>
      </c>
      <c r="E261" s="882">
        <v>7</v>
      </c>
      <c r="F261" s="894">
        <f t="shared" si="78"/>
        <v>1050</v>
      </c>
      <c r="G261" s="738"/>
      <c r="H261" s="836">
        <f t="shared" si="79"/>
        <v>1050</v>
      </c>
      <c r="I261" s="1972"/>
      <c r="J261" s="1990">
        <v>0.84699999999999998</v>
      </c>
      <c r="K261" s="1980">
        <f t="shared" si="80"/>
        <v>889.35</v>
      </c>
      <c r="L261" s="1980"/>
      <c r="M261" s="1972"/>
      <c r="N261" s="1976"/>
      <c r="O261" s="1976"/>
      <c r="P261" s="1972"/>
      <c r="Q261" s="1972"/>
      <c r="R261" s="1996"/>
      <c r="S261" s="1996"/>
      <c r="T261" s="1996"/>
    </row>
    <row r="262" spans="1:20" s="736" customFormat="1" ht="17.25" customHeight="1" x14ac:dyDescent="0.2">
      <c r="A262" s="873"/>
      <c r="B262" s="874" t="s">
        <v>891</v>
      </c>
      <c r="C262" s="883"/>
      <c r="D262" s="884"/>
      <c r="E262" s="885"/>
      <c r="F262" s="886"/>
      <c r="G262" s="793"/>
      <c r="H262" s="793">
        <f>SUM(H263:H265)</f>
        <v>468</v>
      </c>
      <c r="I262" s="1972"/>
      <c r="J262" s="1972"/>
      <c r="K262" s="1980"/>
      <c r="L262" s="1980">
        <f>SUM(K263:K265)</f>
        <v>396.39599999999996</v>
      </c>
      <c r="M262" s="1972"/>
      <c r="N262" s="1976"/>
      <c r="O262" s="1976"/>
      <c r="P262" s="1972"/>
      <c r="Q262" s="1972"/>
      <c r="R262" s="1996"/>
      <c r="S262" s="1996"/>
      <c r="T262" s="1996"/>
    </row>
    <row r="263" spans="1:20" s="736" customFormat="1" ht="17.25" customHeight="1" x14ac:dyDescent="0.2">
      <c r="A263" s="879"/>
      <c r="B263" s="887" t="s">
        <v>1009</v>
      </c>
      <c r="C263" s="854" t="s">
        <v>647</v>
      </c>
      <c r="D263" s="731">
        <v>150</v>
      </c>
      <c r="E263" s="792">
        <v>1.5</v>
      </c>
      <c r="F263" s="863">
        <f>+D263*E263</f>
        <v>225</v>
      </c>
      <c r="G263" s="738"/>
      <c r="H263" s="836">
        <f>SUM(F263:G263)</f>
        <v>225</v>
      </c>
      <c r="I263" s="1972"/>
      <c r="J263" s="1990">
        <v>0.84699999999999998</v>
      </c>
      <c r="K263" s="1980">
        <f t="shared" ref="K263:K265" si="81">H263*J263</f>
        <v>190.57499999999999</v>
      </c>
      <c r="L263" s="1980"/>
      <c r="M263" s="1972"/>
      <c r="N263" s="1976"/>
      <c r="O263" s="1976"/>
      <c r="P263" s="1972"/>
      <c r="Q263" s="1972"/>
      <c r="R263" s="1996"/>
      <c r="S263" s="1996"/>
      <c r="T263" s="1996"/>
    </row>
    <row r="264" spans="1:20" s="736" customFormat="1" ht="17.25" customHeight="1" x14ac:dyDescent="0.2">
      <c r="A264" s="879"/>
      <c r="B264" s="887" t="s">
        <v>1011</v>
      </c>
      <c r="C264" s="888" t="s">
        <v>1012</v>
      </c>
      <c r="D264" s="731">
        <v>12</v>
      </c>
      <c r="E264" s="792">
        <v>14</v>
      </c>
      <c r="F264" s="863">
        <f t="shared" ref="F264:F265" si="82">+D264*E264</f>
        <v>168</v>
      </c>
      <c r="G264" s="738"/>
      <c r="H264" s="836">
        <f t="shared" ref="H264:H265" si="83">SUM(F264:G264)</f>
        <v>168</v>
      </c>
      <c r="I264" s="1972"/>
      <c r="J264" s="1990">
        <v>0.84699999999999998</v>
      </c>
      <c r="K264" s="1980">
        <f t="shared" si="81"/>
        <v>142.29599999999999</v>
      </c>
      <c r="L264" s="1980"/>
      <c r="M264" s="1972"/>
      <c r="N264" s="1976"/>
      <c r="O264" s="1976"/>
      <c r="P264" s="1972"/>
      <c r="Q264" s="1972"/>
      <c r="R264" s="1996"/>
      <c r="S264" s="1996"/>
      <c r="T264" s="1996"/>
    </row>
    <row r="265" spans="1:20" s="736" customFormat="1" ht="17.25" customHeight="1" x14ac:dyDescent="0.2">
      <c r="A265" s="879"/>
      <c r="B265" s="880" t="s">
        <v>1010</v>
      </c>
      <c r="C265" s="854" t="s">
        <v>647</v>
      </c>
      <c r="D265" s="731">
        <v>150</v>
      </c>
      <c r="E265" s="792">
        <v>0.5</v>
      </c>
      <c r="F265" s="863">
        <f t="shared" si="82"/>
        <v>75</v>
      </c>
      <c r="G265" s="738"/>
      <c r="H265" s="836">
        <f t="shared" si="83"/>
        <v>75</v>
      </c>
      <c r="I265" s="1972"/>
      <c r="J265" s="1990">
        <v>0.84699999999999998</v>
      </c>
      <c r="K265" s="1980">
        <f t="shared" si="81"/>
        <v>63.524999999999999</v>
      </c>
      <c r="L265" s="1980"/>
      <c r="M265" s="1972"/>
      <c r="N265" s="1976"/>
      <c r="O265" s="1976"/>
      <c r="P265" s="1972"/>
      <c r="Q265" s="1972"/>
      <c r="R265" s="1996"/>
      <c r="S265" s="1996"/>
      <c r="T265" s="1996"/>
    </row>
    <row r="266" spans="1:20" s="736" customFormat="1" ht="25.5" customHeight="1" x14ac:dyDescent="0.2">
      <c r="A266" s="746" t="s">
        <v>1290</v>
      </c>
      <c r="B266" s="889" t="s">
        <v>1015</v>
      </c>
      <c r="C266" s="890"/>
      <c r="D266" s="867"/>
      <c r="E266" s="891"/>
      <c r="F266" s="892"/>
      <c r="G266" s="744"/>
      <c r="H266" s="744">
        <f>H267+H271</f>
        <v>4518</v>
      </c>
      <c r="I266" s="1972"/>
      <c r="J266" s="1972"/>
      <c r="K266" s="1980"/>
      <c r="L266" s="1980"/>
      <c r="M266" s="1972"/>
      <c r="N266" s="1976"/>
      <c r="O266" s="1976"/>
      <c r="P266" s="1972"/>
      <c r="Q266" s="1972"/>
      <c r="R266" s="1996"/>
      <c r="S266" s="1996"/>
      <c r="T266" s="1996"/>
    </row>
    <row r="267" spans="1:20" s="736" customFormat="1" ht="13.5" customHeight="1" x14ac:dyDescent="0.2">
      <c r="A267" s="873"/>
      <c r="B267" s="874" t="s">
        <v>1014</v>
      </c>
      <c r="C267" s="875"/>
      <c r="D267" s="876"/>
      <c r="E267" s="877"/>
      <c r="F267" s="878"/>
      <c r="G267" s="793"/>
      <c r="H267" s="793">
        <f>SUM(H268:H270)</f>
        <v>4050</v>
      </c>
      <c r="I267" s="1972"/>
      <c r="J267" s="1972"/>
      <c r="K267" s="1980"/>
      <c r="L267" s="1980">
        <f>SUM(K268:K270)</f>
        <v>3524.85</v>
      </c>
      <c r="M267" s="1972"/>
      <c r="N267" s="1976"/>
      <c r="O267" s="1976"/>
      <c r="P267" s="1972"/>
      <c r="Q267" s="1972"/>
      <c r="R267" s="1996"/>
      <c r="S267" s="1996"/>
      <c r="T267" s="1996"/>
    </row>
    <row r="268" spans="1:20" s="736" customFormat="1" ht="17.25" customHeight="1" x14ac:dyDescent="0.2">
      <c r="A268" s="879"/>
      <c r="B268" s="880" t="s">
        <v>800</v>
      </c>
      <c r="C268" s="881" t="s">
        <v>1013</v>
      </c>
      <c r="D268" s="797">
        <v>1</v>
      </c>
      <c r="E268" s="796">
        <v>1500</v>
      </c>
      <c r="F268" s="894">
        <f>+D268*E268</f>
        <v>1500</v>
      </c>
      <c r="G268" s="738"/>
      <c r="H268" s="836">
        <f>SUM(F268:G268)</f>
        <v>1500</v>
      </c>
      <c r="I268" s="1972"/>
      <c r="J268" s="1999">
        <v>0.91</v>
      </c>
      <c r="K268" s="1980">
        <f>H268*J268</f>
        <v>1365</v>
      </c>
      <c r="L268" s="1980"/>
      <c r="M268" s="1972"/>
      <c r="N268" s="1976"/>
      <c r="O268" s="1976"/>
      <c r="P268" s="1972"/>
      <c r="Q268" s="1972"/>
      <c r="R268" s="1996"/>
      <c r="S268" s="1996"/>
      <c r="T268" s="1996"/>
    </row>
    <row r="269" spans="1:20" s="736" customFormat="1" ht="17.25" customHeight="1" x14ac:dyDescent="0.2">
      <c r="A269" s="879"/>
      <c r="B269" s="880" t="s">
        <v>764</v>
      </c>
      <c r="C269" s="858" t="s">
        <v>770</v>
      </c>
      <c r="D269" s="807">
        <v>150</v>
      </c>
      <c r="E269" s="882">
        <v>10</v>
      </c>
      <c r="F269" s="894">
        <f t="shared" ref="F269:F270" si="84">+D269*E269</f>
        <v>1500</v>
      </c>
      <c r="G269" s="738"/>
      <c r="H269" s="836">
        <f t="shared" ref="H269:H270" si="85">SUM(F269:G269)</f>
        <v>1500</v>
      </c>
      <c r="I269" s="1972"/>
      <c r="J269" s="1990">
        <v>0.84699999999999998</v>
      </c>
      <c r="K269" s="1980">
        <f t="shared" ref="K269:K270" si="86">H269*J269</f>
        <v>1270.5</v>
      </c>
      <c r="L269" s="1980"/>
      <c r="M269" s="1972"/>
      <c r="N269" s="1976"/>
      <c r="O269" s="1976"/>
      <c r="P269" s="1972"/>
      <c r="Q269" s="1972"/>
      <c r="R269" s="1996"/>
      <c r="S269" s="1996"/>
      <c r="T269" s="1996"/>
    </row>
    <row r="270" spans="1:20" s="736" customFormat="1" ht="17.25" customHeight="1" x14ac:dyDescent="0.2">
      <c r="A270" s="879"/>
      <c r="B270" s="880" t="s">
        <v>798</v>
      </c>
      <c r="C270" s="858" t="s">
        <v>770</v>
      </c>
      <c r="D270" s="807">
        <v>150</v>
      </c>
      <c r="E270" s="882">
        <v>7</v>
      </c>
      <c r="F270" s="894">
        <f t="shared" si="84"/>
        <v>1050</v>
      </c>
      <c r="G270" s="738"/>
      <c r="H270" s="836">
        <f t="shared" si="85"/>
        <v>1050</v>
      </c>
      <c r="I270" s="1972"/>
      <c r="J270" s="1990">
        <v>0.84699999999999998</v>
      </c>
      <c r="K270" s="1980">
        <f t="shared" si="86"/>
        <v>889.35</v>
      </c>
      <c r="L270" s="1980"/>
      <c r="M270" s="1972"/>
      <c r="N270" s="1976"/>
      <c r="O270" s="1976"/>
      <c r="P270" s="1972"/>
      <c r="Q270" s="1972"/>
      <c r="R270" s="1996"/>
      <c r="S270" s="1996"/>
      <c r="T270" s="1996"/>
    </row>
    <row r="271" spans="1:20" s="736" customFormat="1" ht="17.25" customHeight="1" x14ac:dyDescent="0.2">
      <c r="A271" s="873"/>
      <c r="B271" s="874" t="s">
        <v>891</v>
      </c>
      <c r="C271" s="883"/>
      <c r="D271" s="884"/>
      <c r="E271" s="885"/>
      <c r="F271" s="886"/>
      <c r="G271" s="793"/>
      <c r="H271" s="793">
        <f>SUM(H272:H274)</f>
        <v>468</v>
      </c>
      <c r="I271" s="1972"/>
      <c r="J271" s="1972"/>
      <c r="K271" s="1980"/>
      <c r="L271" s="1980">
        <f>SUM(K272:K274)</f>
        <v>396.39599999999996</v>
      </c>
      <c r="M271" s="1972"/>
      <c r="N271" s="1976"/>
      <c r="O271" s="1976"/>
      <c r="P271" s="1972"/>
      <c r="Q271" s="1972"/>
      <c r="R271" s="1996"/>
      <c r="S271" s="1996"/>
      <c r="T271" s="1996"/>
    </row>
    <row r="272" spans="1:20" s="736" customFormat="1" ht="17.25" customHeight="1" x14ac:dyDescent="0.2">
      <c r="A272" s="879"/>
      <c r="B272" s="887" t="s">
        <v>1009</v>
      </c>
      <c r="C272" s="854" t="s">
        <v>647</v>
      </c>
      <c r="D272" s="731">
        <v>150</v>
      </c>
      <c r="E272" s="792">
        <v>1.5</v>
      </c>
      <c r="F272" s="863">
        <f>+D272*E272</f>
        <v>225</v>
      </c>
      <c r="G272" s="738"/>
      <c r="H272" s="836">
        <f>SUM(F272:G272)</f>
        <v>225</v>
      </c>
      <c r="I272" s="1972"/>
      <c r="J272" s="1990">
        <v>0.84699999999999998</v>
      </c>
      <c r="K272" s="1980">
        <f t="shared" ref="K272:K274" si="87">H272*J272</f>
        <v>190.57499999999999</v>
      </c>
      <c r="L272" s="1980"/>
      <c r="M272" s="1972"/>
      <c r="N272" s="1976"/>
      <c r="O272" s="1976"/>
      <c r="P272" s="1972"/>
      <c r="Q272" s="1972"/>
      <c r="R272" s="1996"/>
      <c r="S272" s="1996"/>
      <c r="T272" s="1996"/>
    </row>
    <row r="273" spans="1:20" s="736" customFormat="1" ht="17.25" customHeight="1" x14ac:dyDescent="0.2">
      <c r="A273" s="879"/>
      <c r="B273" s="887" t="s">
        <v>1011</v>
      </c>
      <c r="C273" s="888" t="s">
        <v>1012</v>
      </c>
      <c r="D273" s="731">
        <v>12</v>
      </c>
      <c r="E273" s="792">
        <v>14</v>
      </c>
      <c r="F273" s="863">
        <f t="shared" ref="F273:F274" si="88">+D273*E273</f>
        <v>168</v>
      </c>
      <c r="G273" s="738"/>
      <c r="H273" s="836">
        <f t="shared" ref="H273:H274" si="89">SUM(F273:G273)</f>
        <v>168</v>
      </c>
      <c r="I273" s="1972"/>
      <c r="J273" s="1990">
        <v>0.84699999999999998</v>
      </c>
      <c r="K273" s="1980">
        <f t="shared" si="87"/>
        <v>142.29599999999999</v>
      </c>
      <c r="L273" s="1980"/>
      <c r="M273" s="1972"/>
      <c r="N273" s="1976"/>
      <c r="O273" s="1976"/>
      <c r="P273" s="1972"/>
      <c r="Q273" s="1972"/>
      <c r="R273" s="1996"/>
      <c r="S273" s="1996"/>
      <c r="T273" s="1996"/>
    </row>
    <row r="274" spans="1:20" s="736" customFormat="1" ht="17.25" customHeight="1" x14ac:dyDescent="0.2">
      <c r="A274" s="879"/>
      <c r="B274" s="880" t="s">
        <v>1010</v>
      </c>
      <c r="C274" s="854" t="s">
        <v>647</v>
      </c>
      <c r="D274" s="731">
        <v>150</v>
      </c>
      <c r="E274" s="792">
        <v>0.5</v>
      </c>
      <c r="F274" s="863">
        <f t="shared" si="88"/>
        <v>75</v>
      </c>
      <c r="G274" s="738"/>
      <c r="H274" s="836">
        <f t="shared" si="89"/>
        <v>75</v>
      </c>
      <c r="I274" s="1972"/>
      <c r="J274" s="1990">
        <v>0.84699999999999998</v>
      </c>
      <c r="K274" s="1980">
        <f t="shared" si="87"/>
        <v>63.524999999999999</v>
      </c>
      <c r="L274" s="1980"/>
      <c r="M274" s="1972"/>
      <c r="N274" s="1976"/>
      <c r="O274" s="1976"/>
      <c r="P274" s="1972"/>
      <c r="Q274" s="1972"/>
      <c r="R274" s="1996"/>
      <c r="S274" s="1996"/>
      <c r="T274" s="1996"/>
    </row>
    <row r="275" spans="1:20" s="736" customFormat="1" ht="24.75" customHeight="1" x14ac:dyDescent="0.2">
      <c r="A275" s="746" t="s">
        <v>1291</v>
      </c>
      <c r="B275" s="889" t="s">
        <v>1018</v>
      </c>
      <c r="C275" s="890"/>
      <c r="D275" s="867"/>
      <c r="E275" s="891"/>
      <c r="F275" s="892"/>
      <c r="G275" s="744"/>
      <c r="H275" s="744">
        <f>H276+H280</f>
        <v>4518</v>
      </c>
      <c r="I275" s="1972"/>
      <c r="J275" s="1972"/>
      <c r="K275" s="1980"/>
      <c r="L275" s="1980"/>
      <c r="M275" s="1972"/>
      <c r="N275" s="1976"/>
      <c r="O275" s="1976"/>
      <c r="P275" s="1972"/>
      <c r="Q275" s="1972"/>
      <c r="R275" s="1996"/>
      <c r="S275" s="1996"/>
      <c r="T275" s="1996"/>
    </row>
    <row r="276" spans="1:20" s="736" customFormat="1" ht="23.25" customHeight="1" x14ac:dyDescent="0.2">
      <c r="A276" s="873"/>
      <c r="B276" s="874" t="s">
        <v>1014</v>
      </c>
      <c r="C276" s="875"/>
      <c r="D276" s="876"/>
      <c r="E276" s="877"/>
      <c r="F276" s="878"/>
      <c r="G276" s="793"/>
      <c r="H276" s="793">
        <f>SUM(H277:H279)</f>
        <v>4050</v>
      </c>
      <c r="I276" s="1972"/>
      <c r="J276" s="1972"/>
      <c r="K276" s="1980"/>
      <c r="L276" s="1980">
        <f>SUM(K277:K279)</f>
        <v>3524.85</v>
      </c>
      <c r="M276" s="1972"/>
      <c r="N276" s="1976"/>
      <c r="O276" s="1976"/>
      <c r="P276" s="1972"/>
      <c r="Q276" s="1972"/>
      <c r="R276" s="1996"/>
      <c r="S276" s="1996"/>
      <c r="T276" s="1996"/>
    </row>
    <row r="277" spans="1:20" s="736" customFormat="1" ht="17.25" customHeight="1" x14ac:dyDescent="0.2">
      <c r="A277" s="879"/>
      <c r="B277" s="880" t="s">
        <v>800</v>
      </c>
      <c r="C277" s="881" t="s">
        <v>1013</v>
      </c>
      <c r="D277" s="797">
        <v>1</v>
      </c>
      <c r="E277" s="796">
        <v>1500</v>
      </c>
      <c r="F277" s="894">
        <f>+D277*E277</f>
        <v>1500</v>
      </c>
      <c r="G277" s="738"/>
      <c r="H277" s="836">
        <f>SUM(F277:G277)</f>
        <v>1500</v>
      </c>
      <c r="I277" s="1972"/>
      <c r="J277" s="1999">
        <v>0.91</v>
      </c>
      <c r="K277" s="1980">
        <f>H277*J277</f>
        <v>1365</v>
      </c>
      <c r="L277" s="1980"/>
      <c r="M277" s="1972"/>
      <c r="N277" s="1976"/>
      <c r="O277" s="1976"/>
      <c r="P277" s="1972"/>
      <c r="Q277" s="1972"/>
      <c r="R277" s="1996"/>
      <c r="S277" s="1996"/>
      <c r="T277" s="1996"/>
    </row>
    <row r="278" spans="1:20" s="736" customFormat="1" ht="17.25" customHeight="1" x14ac:dyDescent="0.2">
      <c r="A278" s="879"/>
      <c r="B278" s="880" t="s">
        <v>764</v>
      </c>
      <c r="C278" s="858" t="s">
        <v>770</v>
      </c>
      <c r="D278" s="807">
        <v>150</v>
      </c>
      <c r="E278" s="882">
        <v>10</v>
      </c>
      <c r="F278" s="894">
        <f t="shared" ref="F278:F279" si="90">+D278*E278</f>
        <v>1500</v>
      </c>
      <c r="G278" s="738"/>
      <c r="H278" s="836">
        <f t="shared" ref="H278:H279" si="91">SUM(F278:G278)</f>
        <v>1500</v>
      </c>
      <c r="I278" s="1972"/>
      <c r="J278" s="1990">
        <v>0.84699999999999998</v>
      </c>
      <c r="K278" s="1980">
        <f t="shared" ref="K278:K279" si="92">H278*J278</f>
        <v>1270.5</v>
      </c>
      <c r="L278" s="1980"/>
      <c r="M278" s="1972"/>
      <c r="N278" s="1976"/>
      <c r="O278" s="1976"/>
      <c r="P278" s="1972"/>
      <c r="Q278" s="1972"/>
      <c r="R278" s="1996"/>
      <c r="S278" s="1996"/>
      <c r="T278" s="1996"/>
    </row>
    <row r="279" spans="1:20" s="736" customFormat="1" ht="17.25" customHeight="1" x14ac:dyDescent="0.2">
      <c r="A279" s="879"/>
      <c r="B279" s="880" t="s">
        <v>798</v>
      </c>
      <c r="C279" s="858" t="s">
        <v>770</v>
      </c>
      <c r="D279" s="807">
        <v>150</v>
      </c>
      <c r="E279" s="882">
        <v>7</v>
      </c>
      <c r="F279" s="894">
        <f t="shared" si="90"/>
        <v>1050</v>
      </c>
      <c r="G279" s="738"/>
      <c r="H279" s="836">
        <f t="shared" si="91"/>
        <v>1050</v>
      </c>
      <c r="I279" s="1972"/>
      <c r="J279" s="1990">
        <v>0.84699999999999998</v>
      </c>
      <c r="K279" s="1980">
        <f t="shared" si="92"/>
        <v>889.35</v>
      </c>
      <c r="L279" s="1980"/>
      <c r="M279" s="1972"/>
      <c r="N279" s="1976"/>
      <c r="O279" s="1976"/>
      <c r="P279" s="1972"/>
      <c r="Q279" s="1972"/>
      <c r="R279" s="1996"/>
      <c r="S279" s="1996"/>
      <c r="T279" s="1996"/>
    </row>
    <row r="280" spans="1:20" s="736" customFormat="1" ht="12.75" customHeight="1" x14ac:dyDescent="0.2">
      <c r="A280" s="873"/>
      <c r="B280" s="874" t="s">
        <v>891</v>
      </c>
      <c r="C280" s="883"/>
      <c r="D280" s="884"/>
      <c r="E280" s="885"/>
      <c r="F280" s="886"/>
      <c r="G280" s="793"/>
      <c r="H280" s="793">
        <f>SUM(H281:H283)</f>
        <v>468</v>
      </c>
      <c r="I280" s="1972"/>
      <c r="J280" s="1972"/>
      <c r="K280" s="1980"/>
      <c r="L280" s="1980">
        <f>SUM(K281:K283)</f>
        <v>396.39599999999996</v>
      </c>
      <c r="M280" s="1972"/>
      <c r="N280" s="1976"/>
      <c r="O280" s="1976"/>
      <c r="P280" s="1972"/>
      <c r="Q280" s="1972"/>
      <c r="R280" s="1996"/>
      <c r="S280" s="1996"/>
      <c r="T280" s="1996"/>
    </row>
    <row r="281" spans="1:20" s="736" customFormat="1" ht="17.25" customHeight="1" x14ac:dyDescent="0.2">
      <c r="A281" s="879"/>
      <c r="B281" s="887" t="s">
        <v>1009</v>
      </c>
      <c r="C281" s="854" t="s">
        <v>647</v>
      </c>
      <c r="D281" s="731">
        <v>150</v>
      </c>
      <c r="E281" s="792">
        <v>1.5</v>
      </c>
      <c r="F281" s="863">
        <f>+D281*E281</f>
        <v>225</v>
      </c>
      <c r="G281" s="738"/>
      <c r="H281" s="836">
        <f>SUM(F281:G281)</f>
        <v>225</v>
      </c>
      <c r="I281" s="1972"/>
      <c r="J281" s="1990">
        <v>0.84699999999999998</v>
      </c>
      <c r="K281" s="1980">
        <f t="shared" ref="K281:K283" si="93">H281*J281</f>
        <v>190.57499999999999</v>
      </c>
      <c r="L281" s="1980"/>
      <c r="M281" s="1972"/>
      <c r="N281" s="1976"/>
      <c r="O281" s="1976"/>
      <c r="P281" s="1972"/>
      <c r="Q281" s="1972"/>
      <c r="R281" s="1996"/>
      <c r="S281" s="1996"/>
      <c r="T281" s="1996"/>
    </row>
    <row r="282" spans="1:20" s="736" customFormat="1" ht="17.25" customHeight="1" x14ac:dyDescent="0.2">
      <c r="A282" s="879"/>
      <c r="B282" s="887" t="s">
        <v>1011</v>
      </c>
      <c r="C282" s="888" t="s">
        <v>1012</v>
      </c>
      <c r="D282" s="731">
        <v>12</v>
      </c>
      <c r="E282" s="792">
        <v>14</v>
      </c>
      <c r="F282" s="863">
        <f t="shared" ref="F282:F283" si="94">+D282*E282</f>
        <v>168</v>
      </c>
      <c r="G282" s="738"/>
      <c r="H282" s="836">
        <f t="shared" ref="H282:H283" si="95">SUM(F282:G282)</f>
        <v>168</v>
      </c>
      <c r="I282" s="1972"/>
      <c r="J282" s="1990">
        <v>0.84699999999999998</v>
      </c>
      <c r="K282" s="1980">
        <f t="shared" si="93"/>
        <v>142.29599999999999</v>
      </c>
      <c r="L282" s="1980"/>
      <c r="M282" s="1972"/>
      <c r="N282" s="1976"/>
      <c r="O282" s="1976"/>
      <c r="P282" s="1972"/>
      <c r="Q282" s="1972"/>
      <c r="R282" s="1996"/>
      <c r="S282" s="1996"/>
      <c r="T282" s="1996"/>
    </row>
    <row r="283" spans="1:20" s="736" customFormat="1" ht="17.25" customHeight="1" x14ac:dyDescent="0.2">
      <c r="A283" s="879"/>
      <c r="B283" s="880" t="s">
        <v>1010</v>
      </c>
      <c r="C283" s="854" t="s">
        <v>647</v>
      </c>
      <c r="D283" s="731">
        <v>150</v>
      </c>
      <c r="E283" s="792">
        <v>0.5</v>
      </c>
      <c r="F283" s="863">
        <f t="shared" si="94"/>
        <v>75</v>
      </c>
      <c r="G283" s="738"/>
      <c r="H283" s="836">
        <f t="shared" si="95"/>
        <v>75</v>
      </c>
      <c r="I283" s="1972"/>
      <c r="J283" s="1990">
        <v>0.84699999999999998</v>
      </c>
      <c r="K283" s="1980">
        <f t="shared" si="93"/>
        <v>63.524999999999999</v>
      </c>
      <c r="L283" s="1980"/>
      <c r="M283" s="1972"/>
      <c r="N283" s="1976"/>
      <c r="O283" s="1976"/>
      <c r="P283" s="1972"/>
      <c r="Q283" s="1972"/>
      <c r="R283" s="1996"/>
      <c r="S283" s="1996"/>
      <c r="T283" s="1996"/>
    </row>
    <row r="284" spans="1:20" s="745" customFormat="1" ht="14.25" customHeight="1" thickBot="1" x14ac:dyDescent="0.25">
      <c r="A284" s="760" t="s">
        <v>1220</v>
      </c>
      <c r="B284" s="822" t="s">
        <v>1219</v>
      </c>
      <c r="C284" s="870"/>
      <c r="D284" s="871"/>
      <c r="E284" s="759"/>
      <c r="F284" s="825"/>
      <c r="G284" s="826"/>
      <c r="H284" s="826">
        <f>H285+H324</f>
        <v>64860</v>
      </c>
      <c r="I284" s="1994"/>
      <c r="J284" s="1994"/>
      <c r="K284" s="1993"/>
      <c r="L284" s="1993"/>
      <c r="M284" s="1994"/>
      <c r="N284" s="1976"/>
      <c r="O284" s="1976"/>
      <c r="P284" s="1994"/>
      <c r="Q284" s="1994"/>
      <c r="R284" s="1991"/>
      <c r="S284" s="1991"/>
      <c r="T284" s="1991"/>
    </row>
    <row r="285" spans="1:20" s="745" customFormat="1" ht="25.5" customHeight="1" thickBot="1" x14ac:dyDescent="0.25">
      <c r="A285" s="895" t="s">
        <v>1221</v>
      </c>
      <c r="B285" s="718" t="s">
        <v>1222</v>
      </c>
      <c r="C285" s="741"/>
      <c r="D285" s="742"/>
      <c r="E285" s="726"/>
      <c r="F285" s="743"/>
      <c r="G285" s="744"/>
      <c r="H285" s="744">
        <f>H286+H290+H305+H309</f>
        <v>18380</v>
      </c>
      <c r="I285" s="1994"/>
      <c r="J285" s="1994"/>
      <c r="K285" s="1993"/>
      <c r="L285" s="1993"/>
      <c r="M285" s="1994"/>
      <c r="N285" s="1976"/>
      <c r="O285" s="1976"/>
      <c r="P285" s="1994"/>
      <c r="Q285" s="1994"/>
      <c r="R285" s="1991"/>
      <c r="S285" s="1991"/>
      <c r="T285" s="1991"/>
    </row>
    <row r="286" spans="1:20" s="736" customFormat="1" ht="26.25" customHeight="1" x14ac:dyDescent="0.2">
      <c r="A286" s="777"/>
      <c r="B286" s="874" t="s">
        <v>1095</v>
      </c>
      <c r="C286" s="896"/>
      <c r="D286" s="803"/>
      <c r="E286" s="897"/>
      <c r="F286" s="898"/>
      <c r="G286" s="793"/>
      <c r="H286" s="793">
        <f>SUM(H287:H289)</f>
        <v>4900</v>
      </c>
      <c r="I286" s="1972"/>
      <c r="J286" s="1972"/>
      <c r="K286" s="1980"/>
      <c r="L286" s="1980">
        <f>SUM(K287:K289)</f>
        <v>4244.8</v>
      </c>
      <c r="M286" s="1972"/>
      <c r="N286" s="1976"/>
      <c r="O286" s="1976"/>
      <c r="P286" s="1972"/>
      <c r="Q286" s="1972"/>
      <c r="R286" s="1996"/>
      <c r="S286" s="1996"/>
      <c r="T286" s="1996"/>
    </row>
    <row r="287" spans="1:20" s="736" customFormat="1" ht="15" customHeight="1" x14ac:dyDescent="0.2">
      <c r="A287" s="879"/>
      <c r="B287" s="880" t="s">
        <v>800</v>
      </c>
      <c r="C287" s="881" t="s">
        <v>1013</v>
      </c>
      <c r="D287" s="899">
        <v>1</v>
      </c>
      <c r="E287" s="900">
        <v>1500</v>
      </c>
      <c r="F287" s="894">
        <f>+D287*E287</f>
        <v>1500</v>
      </c>
      <c r="G287" s="738"/>
      <c r="H287" s="836">
        <f>SUM(F287:G287)</f>
        <v>1500</v>
      </c>
      <c r="I287" s="1972"/>
      <c r="J287" s="1999">
        <v>0.91</v>
      </c>
      <c r="K287" s="1980">
        <f>H287*J287</f>
        <v>1365</v>
      </c>
      <c r="L287" s="1980"/>
      <c r="M287" s="1972"/>
      <c r="N287" s="1976"/>
      <c r="O287" s="1976"/>
      <c r="P287" s="1972"/>
      <c r="Q287" s="1972"/>
      <c r="R287" s="1996"/>
      <c r="S287" s="1996"/>
      <c r="T287" s="1996"/>
    </row>
    <row r="288" spans="1:20" s="736" customFormat="1" ht="15" customHeight="1" x14ac:dyDescent="0.2">
      <c r="A288" s="879"/>
      <c r="B288" s="880" t="s">
        <v>764</v>
      </c>
      <c r="C288" s="858" t="s">
        <v>770</v>
      </c>
      <c r="D288" s="807">
        <v>200</v>
      </c>
      <c r="E288" s="901">
        <v>10</v>
      </c>
      <c r="F288" s="894">
        <f t="shared" ref="F288:F289" si="96">+D288*E288</f>
        <v>2000</v>
      </c>
      <c r="G288" s="738"/>
      <c r="H288" s="836">
        <f t="shared" ref="H288:H289" si="97">SUM(F288:G288)</f>
        <v>2000</v>
      </c>
      <c r="I288" s="1972"/>
      <c r="J288" s="1990">
        <v>0.84699999999999998</v>
      </c>
      <c r="K288" s="1980">
        <f t="shared" ref="K288:K289" si="98">H288*J288</f>
        <v>1694</v>
      </c>
      <c r="L288" s="1980"/>
      <c r="M288" s="1972"/>
      <c r="N288" s="1976"/>
      <c r="O288" s="1976"/>
      <c r="P288" s="1972"/>
      <c r="Q288" s="1972"/>
      <c r="R288" s="1996"/>
      <c r="S288" s="1996"/>
      <c r="T288" s="1996"/>
    </row>
    <row r="289" spans="1:20" s="736" customFormat="1" ht="15" customHeight="1" x14ac:dyDescent="0.2">
      <c r="A289" s="879"/>
      <c r="B289" s="880" t="s">
        <v>798</v>
      </c>
      <c r="C289" s="858" t="s">
        <v>770</v>
      </c>
      <c r="D289" s="807">
        <v>200</v>
      </c>
      <c r="E289" s="901">
        <v>7</v>
      </c>
      <c r="F289" s="894">
        <f t="shared" si="96"/>
        <v>1400</v>
      </c>
      <c r="G289" s="738"/>
      <c r="H289" s="836">
        <f t="shared" si="97"/>
        <v>1400</v>
      </c>
      <c r="I289" s="1972"/>
      <c r="J289" s="1990">
        <v>0.84699999999999998</v>
      </c>
      <c r="K289" s="1980">
        <f t="shared" si="98"/>
        <v>1185.8</v>
      </c>
      <c r="L289" s="1980"/>
      <c r="M289" s="1972"/>
      <c r="N289" s="1976"/>
      <c r="O289" s="1976"/>
      <c r="P289" s="1972"/>
      <c r="Q289" s="1972"/>
      <c r="R289" s="1996"/>
      <c r="S289" s="1996"/>
      <c r="T289" s="1996"/>
    </row>
    <row r="290" spans="1:20" s="720" customFormat="1" ht="12.75" x14ac:dyDescent="0.2">
      <c r="A290" s="777"/>
      <c r="B290" s="902" t="s">
        <v>1049</v>
      </c>
      <c r="C290" s="798"/>
      <c r="D290" s="799"/>
      <c r="E290" s="800"/>
      <c r="F290" s="801"/>
      <c r="G290" s="800"/>
      <c r="H290" s="800">
        <f>SUM(H291:H304)</f>
        <v>4290</v>
      </c>
      <c r="I290" s="1991"/>
      <c r="J290" s="1997"/>
      <c r="K290" s="1993"/>
      <c r="L290" s="1980">
        <f>SUM(K291:K304)</f>
        <v>3633.6300000000006</v>
      </c>
      <c r="M290" s="1992"/>
      <c r="N290" s="1994"/>
      <c r="O290" s="1994"/>
      <c r="P290" s="1994"/>
      <c r="Q290" s="2004"/>
      <c r="R290" s="1995"/>
      <c r="S290" s="1995"/>
      <c r="T290" s="1995"/>
    </row>
    <row r="291" spans="1:20" s="727" customFormat="1" ht="12.75" x14ac:dyDescent="0.2">
      <c r="A291" s="728"/>
      <c r="B291" s="806" t="str">
        <f>+'[3]FF-16'!B20</f>
        <v xml:space="preserve">Papel bond A4 80 gr. </v>
      </c>
      <c r="C291" s="903" t="str">
        <f>+'[3]FF-16'!C20</f>
        <v>Millar</v>
      </c>
      <c r="D291" s="797">
        <v>10</v>
      </c>
      <c r="E291" s="792">
        <v>26</v>
      </c>
      <c r="F291" s="792">
        <f t="shared" ref="F291:F338" si="99">D291*E291</f>
        <v>260</v>
      </c>
      <c r="G291" s="783"/>
      <c r="H291" s="783">
        <f>SUM(F291:G291)</f>
        <v>260</v>
      </c>
      <c r="I291" s="1996"/>
      <c r="J291" s="1990">
        <v>0.84699999999999998</v>
      </c>
      <c r="K291" s="1980">
        <f t="shared" ref="K291:K292" si="100">+H291*J291</f>
        <v>220.22</v>
      </c>
      <c r="L291" s="1980"/>
      <c r="M291" s="1983"/>
      <c r="N291" s="2005"/>
      <c r="O291" s="1972"/>
      <c r="P291" s="1972"/>
      <c r="Q291" s="1998"/>
      <c r="R291" s="1979"/>
      <c r="S291" s="1979"/>
      <c r="T291" s="1979"/>
    </row>
    <row r="292" spans="1:20" s="727" customFormat="1" ht="12.75" x14ac:dyDescent="0.2">
      <c r="A292" s="728"/>
      <c r="B292" s="806" t="str">
        <f>+'[3]FF-16'!B21</f>
        <v>Papel bond A1</v>
      </c>
      <c r="C292" s="903" t="str">
        <f>+'[3]FF-16'!C21</f>
        <v>Unidad</v>
      </c>
      <c r="D292" s="797">
        <v>50</v>
      </c>
      <c r="E292" s="792">
        <v>0.8</v>
      </c>
      <c r="F292" s="792">
        <f t="shared" si="99"/>
        <v>40</v>
      </c>
      <c r="G292" s="783"/>
      <c r="H292" s="783">
        <f t="shared" ref="H292:H304" si="101">SUM(F292:G292)</f>
        <v>40</v>
      </c>
      <c r="I292" s="1996"/>
      <c r="J292" s="1990">
        <v>0.84699999999999998</v>
      </c>
      <c r="K292" s="1980">
        <f t="shared" si="100"/>
        <v>33.879999999999995</v>
      </c>
      <c r="L292" s="1980"/>
      <c r="M292" s="1983"/>
      <c r="N292" s="2005"/>
      <c r="O292" s="1972"/>
      <c r="P292" s="1972"/>
      <c r="Q292" s="1998"/>
      <c r="R292" s="1979"/>
      <c r="S292" s="1979"/>
      <c r="T292" s="1979"/>
    </row>
    <row r="293" spans="1:20" s="727" customFormat="1" ht="12.75" x14ac:dyDescent="0.2">
      <c r="A293" s="728"/>
      <c r="B293" s="806" t="str">
        <f>+'[3]FF-16'!B22</f>
        <v>Papel Kraft</v>
      </c>
      <c r="C293" s="903" t="str">
        <f>+'[3]FF-16'!C22</f>
        <v>Unidad</v>
      </c>
      <c r="D293" s="797">
        <v>30</v>
      </c>
      <c r="E293" s="792">
        <v>0.3</v>
      </c>
      <c r="F293" s="792">
        <f t="shared" si="99"/>
        <v>9</v>
      </c>
      <c r="G293" s="783"/>
      <c r="H293" s="783">
        <f t="shared" si="101"/>
        <v>9</v>
      </c>
      <c r="I293" s="1996"/>
      <c r="J293" s="1990">
        <v>0.84699999999999998</v>
      </c>
      <c r="K293" s="1980">
        <f t="shared" ref="K293:K338" si="102">+H293*J293</f>
        <v>7.6229999999999993</v>
      </c>
      <c r="L293" s="1980"/>
      <c r="M293" s="1983"/>
      <c r="N293" s="2005"/>
      <c r="O293" s="1972"/>
      <c r="P293" s="1972"/>
      <c r="Q293" s="1998"/>
      <c r="R293" s="1979"/>
      <c r="S293" s="1979"/>
      <c r="T293" s="1979"/>
    </row>
    <row r="294" spans="1:20" s="727" customFormat="1" ht="12.75" x14ac:dyDescent="0.2">
      <c r="A294" s="728"/>
      <c r="B294" s="806" t="str">
        <f>+'[3]FF-16'!B23</f>
        <v>Plumones de papelografo punta gruesa</v>
      </c>
      <c r="C294" s="903" t="str">
        <f>+'[3]FF-16'!C23</f>
        <v>Unidad</v>
      </c>
      <c r="D294" s="797">
        <v>30</v>
      </c>
      <c r="E294" s="792">
        <v>2.2999999999999998</v>
      </c>
      <c r="F294" s="792">
        <f t="shared" si="99"/>
        <v>69</v>
      </c>
      <c r="G294" s="783"/>
      <c r="H294" s="783">
        <f t="shared" si="101"/>
        <v>69</v>
      </c>
      <c r="I294" s="1996"/>
      <c r="J294" s="1990">
        <v>0.84699999999999998</v>
      </c>
      <c r="K294" s="1980">
        <f t="shared" si="102"/>
        <v>58.442999999999998</v>
      </c>
      <c r="L294" s="1980"/>
      <c r="M294" s="1983"/>
      <c r="N294" s="2005"/>
      <c r="O294" s="1972"/>
      <c r="P294" s="1972"/>
      <c r="Q294" s="1998"/>
      <c r="R294" s="1979"/>
      <c r="S294" s="1979"/>
      <c r="T294" s="1979"/>
    </row>
    <row r="295" spans="1:20" s="727" customFormat="1" ht="12.75" x14ac:dyDescent="0.2">
      <c r="A295" s="728"/>
      <c r="B295" s="806" t="str">
        <f>+'[3]FF-16'!B24</f>
        <v>Plumones para pizarra acrilica</v>
      </c>
      <c r="C295" s="903" t="str">
        <f>+'[3]FF-16'!C24</f>
        <v>Unidad</v>
      </c>
      <c r="D295" s="797">
        <v>30</v>
      </c>
      <c r="E295" s="792">
        <v>3</v>
      </c>
      <c r="F295" s="792">
        <f t="shared" si="99"/>
        <v>90</v>
      </c>
      <c r="G295" s="783"/>
      <c r="H295" s="783">
        <f t="shared" si="101"/>
        <v>90</v>
      </c>
      <c r="I295" s="1996"/>
      <c r="J295" s="1990">
        <v>0.84699999999999998</v>
      </c>
      <c r="K295" s="1980">
        <f t="shared" si="102"/>
        <v>76.23</v>
      </c>
      <c r="L295" s="1980"/>
      <c r="M295" s="1983"/>
      <c r="N295" s="2005"/>
      <c r="O295" s="1972"/>
      <c r="P295" s="1972"/>
      <c r="Q295" s="1998"/>
      <c r="R295" s="1979"/>
      <c r="S295" s="1979"/>
      <c r="T295" s="1979"/>
    </row>
    <row r="296" spans="1:20" s="727" customFormat="1" ht="12.75" x14ac:dyDescent="0.2">
      <c r="A296" s="728"/>
      <c r="B296" s="806" t="str">
        <f>+'[3]FF-16'!B25</f>
        <v>Tablero acrilico</v>
      </c>
      <c r="C296" s="903" t="str">
        <f>+'[3]FF-16'!C25</f>
        <v>Unidad</v>
      </c>
      <c r="D296" s="797">
        <v>3</v>
      </c>
      <c r="E296" s="792">
        <v>10</v>
      </c>
      <c r="F296" s="792">
        <f t="shared" si="99"/>
        <v>30</v>
      </c>
      <c r="G296" s="783"/>
      <c r="H296" s="783">
        <f t="shared" si="101"/>
        <v>30</v>
      </c>
      <c r="I296" s="1996"/>
      <c r="J296" s="1990">
        <v>0.84699999999999998</v>
      </c>
      <c r="K296" s="1980">
        <f t="shared" si="102"/>
        <v>25.41</v>
      </c>
      <c r="L296" s="1980"/>
      <c r="M296" s="1983"/>
      <c r="N296" s="2005"/>
      <c r="O296" s="1972"/>
      <c r="P296" s="1972"/>
      <c r="Q296" s="1998"/>
      <c r="R296" s="1979"/>
      <c r="S296" s="1979"/>
      <c r="T296" s="1979"/>
    </row>
    <row r="297" spans="1:20" s="727" customFormat="1" ht="12.75" x14ac:dyDescent="0.2">
      <c r="A297" s="728"/>
      <c r="B297" s="806" t="str">
        <f>+'[3]FF-16'!B26</f>
        <v>Lapicero</v>
      </c>
      <c r="C297" s="903" t="str">
        <f>+'[3]FF-16'!C26</f>
        <v>Unidad</v>
      </c>
      <c r="D297" s="797">
        <v>200</v>
      </c>
      <c r="E297" s="792">
        <v>0.5</v>
      </c>
      <c r="F297" s="792">
        <f t="shared" si="99"/>
        <v>100</v>
      </c>
      <c r="G297" s="783"/>
      <c r="H297" s="783">
        <f t="shared" si="101"/>
        <v>100</v>
      </c>
      <c r="I297" s="1996"/>
      <c r="J297" s="1990">
        <v>0.84699999999999998</v>
      </c>
      <c r="K297" s="1980">
        <f t="shared" si="102"/>
        <v>84.7</v>
      </c>
      <c r="L297" s="1980"/>
      <c r="M297" s="1983"/>
      <c r="N297" s="2005"/>
      <c r="O297" s="1972"/>
      <c r="P297" s="1972"/>
      <c r="Q297" s="1998"/>
      <c r="R297" s="1979"/>
      <c r="S297" s="1979"/>
      <c r="T297" s="1979"/>
    </row>
    <row r="298" spans="1:20" s="727" customFormat="1" ht="12.75" x14ac:dyDescent="0.2">
      <c r="A298" s="728"/>
      <c r="B298" s="806" t="str">
        <f>+'[3]FF-16'!B27</f>
        <v>Cuaderno de trabajo de campo</v>
      </c>
      <c r="C298" s="903" t="str">
        <f>+'[3]FF-16'!C27</f>
        <v>Unidad</v>
      </c>
      <c r="D298" s="797">
        <v>200</v>
      </c>
      <c r="E298" s="792">
        <v>2</v>
      </c>
      <c r="F298" s="792">
        <f t="shared" si="99"/>
        <v>400</v>
      </c>
      <c r="G298" s="783"/>
      <c r="H298" s="783">
        <f t="shared" si="101"/>
        <v>400</v>
      </c>
      <c r="I298" s="1996"/>
      <c r="J298" s="1990">
        <v>0.84699999999999998</v>
      </c>
      <c r="K298" s="1980">
        <f t="shared" si="102"/>
        <v>338.8</v>
      </c>
      <c r="L298" s="1980"/>
      <c r="M298" s="1983"/>
      <c r="N298" s="2005"/>
      <c r="O298" s="1972"/>
      <c r="P298" s="1972"/>
      <c r="Q298" s="1998"/>
      <c r="R298" s="1979"/>
      <c r="S298" s="1979"/>
      <c r="T298" s="1979"/>
    </row>
    <row r="299" spans="1:20" s="727" customFormat="1" ht="12.75" x14ac:dyDescent="0.2">
      <c r="A299" s="728"/>
      <c r="B299" s="806" t="str">
        <f>+'[3]FF-16'!B28</f>
        <v>Cds</v>
      </c>
      <c r="C299" s="903" t="str">
        <f>+'[3]FF-16'!C28</f>
        <v>Unidad</v>
      </c>
      <c r="D299" s="797">
        <v>200</v>
      </c>
      <c r="E299" s="792">
        <v>1</v>
      </c>
      <c r="F299" s="792">
        <f t="shared" si="99"/>
        <v>200</v>
      </c>
      <c r="G299" s="783"/>
      <c r="H299" s="783">
        <f t="shared" si="101"/>
        <v>200</v>
      </c>
      <c r="I299" s="1996"/>
      <c r="J299" s="1990">
        <v>0.84699999999999998</v>
      </c>
      <c r="K299" s="1980">
        <f t="shared" si="102"/>
        <v>169.4</v>
      </c>
      <c r="L299" s="1980"/>
      <c r="M299" s="1983"/>
      <c r="N299" s="2005"/>
      <c r="O299" s="1972"/>
      <c r="P299" s="1972"/>
      <c r="Q299" s="1998"/>
      <c r="R299" s="1979"/>
      <c r="S299" s="1979"/>
      <c r="T299" s="1979"/>
    </row>
    <row r="300" spans="1:20" s="727" customFormat="1" ht="12.75" x14ac:dyDescent="0.2">
      <c r="A300" s="728"/>
      <c r="B300" s="806" t="str">
        <f>+'[3]FF-16'!B29</f>
        <v>Toner para impresora</v>
      </c>
      <c r="C300" s="903" t="str">
        <f>+'[3]FF-16'!C29</f>
        <v>Unidad</v>
      </c>
      <c r="D300" s="797">
        <v>10</v>
      </c>
      <c r="E300" s="792">
        <v>280</v>
      </c>
      <c r="F300" s="792">
        <f t="shared" si="99"/>
        <v>2800</v>
      </c>
      <c r="G300" s="783"/>
      <c r="H300" s="783">
        <f t="shared" si="101"/>
        <v>2800</v>
      </c>
      <c r="I300" s="1996"/>
      <c r="J300" s="1990">
        <v>0.84699999999999998</v>
      </c>
      <c r="K300" s="1980">
        <f t="shared" si="102"/>
        <v>2371.6</v>
      </c>
      <c r="L300" s="1980"/>
      <c r="M300" s="1983"/>
      <c r="N300" s="2005"/>
      <c r="O300" s="1972"/>
      <c r="P300" s="1972"/>
      <c r="Q300" s="1998"/>
      <c r="R300" s="1979"/>
      <c r="S300" s="1979"/>
      <c r="T300" s="1979"/>
    </row>
    <row r="301" spans="1:20" s="727" customFormat="1" ht="12.75" x14ac:dyDescent="0.2">
      <c r="A301" s="728"/>
      <c r="B301" s="806" t="str">
        <f>+'[3]FF-16'!B30</f>
        <v>Cinta masking de 3/4 x 40  Yrd.</v>
      </c>
      <c r="C301" s="903" t="str">
        <f>+'[3]FF-16'!C30</f>
        <v>Unidad</v>
      </c>
      <c r="D301" s="797">
        <v>10</v>
      </c>
      <c r="E301" s="792">
        <v>5.5</v>
      </c>
      <c r="F301" s="792">
        <f t="shared" si="99"/>
        <v>55</v>
      </c>
      <c r="G301" s="783"/>
      <c r="H301" s="783">
        <f t="shared" si="101"/>
        <v>55</v>
      </c>
      <c r="I301" s="1996"/>
      <c r="J301" s="1990">
        <v>0.84699999999999998</v>
      </c>
      <c r="K301" s="1980">
        <f t="shared" si="102"/>
        <v>46.585000000000001</v>
      </c>
      <c r="L301" s="1980"/>
      <c r="M301" s="1983"/>
      <c r="N301" s="2005"/>
      <c r="O301" s="1972"/>
      <c r="P301" s="1972"/>
      <c r="Q301" s="1998"/>
      <c r="R301" s="1979"/>
      <c r="S301" s="1979"/>
      <c r="T301" s="1979"/>
    </row>
    <row r="302" spans="1:20" s="727" customFormat="1" ht="12.75" x14ac:dyDescent="0.2">
      <c r="A302" s="728"/>
      <c r="B302" s="806" t="str">
        <f>+'[3]FF-16'!B31</f>
        <v>Cartulina</v>
      </c>
      <c r="C302" s="903" t="str">
        <f>+'[3]FF-16'!C31</f>
        <v>Unidad</v>
      </c>
      <c r="D302" s="797">
        <v>30</v>
      </c>
      <c r="E302" s="792">
        <v>0.4</v>
      </c>
      <c r="F302" s="792">
        <f t="shared" si="99"/>
        <v>12</v>
      </c>
      <c r="G302" s="783"/>
      <c r="H302" s="783">
        <f t="shared" si="101"/>
        <v>12</v>
      </c>
      <c r="I302" s="1996"/>
      <c r="J302" s="1990">
        <v>0.84699999999999998</v>
      </c>
      <c r="K302" s="1980">
        <f t="shared" si="102"/>
        <v>10.164</v>
      </c>
      <c r="L302" s="1980"/>
      <c r="M302" s="1983"/>
      <c r="N302" s="2005"/>
      <c r="O302" s="1972"/>
      <c r="P302" s="1972"/>
      <c r="Q302" s="1998"/>
      <c r="R302" s="1979"/>
      <c r="S302" s="1979"/>
      <c r="T302" s="1979"/>
    </row>
    <row r="303" spans="1:20" s="727" customFormat="1" ht="12.75" x14ac:dyDescent="0.2">
      <c r="A303" s="728"/>
      <c r="B303" s="806" t="str">
        <f>+'[3]FF-16'!B32</f>
        <v>Pizarra acrilica</v>
      </c>
      <c r="C303" s="903" t="str">
        <f>+'[3]FF-16'!C32</f>
        <v>Unidad</v>
      </c>
      <c r="D303" s="797">
        <v>3</v>
      </c>
      <c r="E303" s="792">
        <v>55</v>
      </c>
      <c r="F303" s="792">
        <f t="shared" si="99"/>
        <v>165</v>
      </c>
      <c r="G303" s="783"/>
      <c r="H303" s="783">
        <f t="shared" si="101"/>
        <v>165</v>
      </c>
      <c r="I303" s="1996"/>
      <c r="J303" s="1990">
        <v>0.84699999999999998</v>
      </c>
      <c r="K303" s="1980">
        <f t="shared" si="102"/>
        <v>139.755</v>
      </c>
      <c r="L303" s="1980"/>
      <c r="M303" s="1983"/>
      <c r="N303" s="2005"/>
      <c r="O303" s="1972"/>
      <c r="P303" s="1972"/>
      <c r="Q303" s="1998"/>
      <c r="R303" s="1979"/>
      <c r="S303" s="1979"/>
      <c r="T303" s="1979"/>
    </row>
    <row r="304" spans="1:20" s="727" customFormat="1" ht="12.75" x14ac:dyDescent="0.2">
      <c r="A304" s="728"/>
      <c r="B304" s="806" t="str">
        <f>+'[3]FF-16'!B33</f>
        <v>Folder manila A4</v>
      </c>
      <c r="C304" s="903" t="str">
        <f>+'[3]FF-16'!C33</f>
        <v>Unidad</v>
      </c>
      <c r="D304" s="797">
        <v>200</v>
      </c>
      <c r="E304" s="792">
        <v>0.3</v>
      </c>
      <c r="F304" s="792">
        <f t="shared" si="99"/>
        <v>60</v>
      </c>
      <c r="G304" s="783"/>
      <c r="H304" s="783">
        <f t="shared" si="101"/>
        <v>60</v>
      </c>
      <c r="I304" s="1996"/>
      <c r="J304" s="1990">
        <v>0.84699999999999998</v>
      </c>
      <c r="K304" s="1980">
        <f t="shared" si="102"/>
        <v>50.82</v>
      </c>
      <c r="L304" s="1980"/>
      <c r="M304" s="1983"/>
      <c r="N304" s="2005"/>
      <c r="O304" s="1972"/>
      <c r="P304" s="1972"/>
      <c r="Q304" s="1998"/>
      <c r="R304" s="1979"/>
      <c r="S304" s="1979"/>
      <c r="T304" s="1979"/>
    </row>
    <row r="305" spans="1:20" s="736" customFormat="1" ht="35.25" customHeight="1" x14ac:dyDescent="0.2">
      <c r="A305" s="873"/>
      <c r="B305" s="874" t="s">
        <v>1096</v>
      </c>
      <c r="C305" s="875"/>
      <c r="D305" s="876"/>
      <c r="E305" s="877"/>
      <c r="F305" s="878"/>
      <c r="G305" s="793"/>
      <c r="H305" s="793">
        <f>SUM(H306:H308)</f>
        <v>4900</v>
      </c>
      <c r="I305" s="1972"/>
      <c r="J305" s="1972"/>
      <c r="K305" s="1980"/>
      <c r="L305" s="1980">
        <f>SUM(K306:K308)</f>
        <v>4244.8</v>
      </c>
      <c r="M305" s="1972"/>
      <c r="N305" s="1976"/>
      <c r="O305" s="1976"/>
      <c r="P305" s="1972"/>
      <c r="Q305" s="1972"/>
      <c r="R305" s="1996"/>
      <c r="S305" s="1996"/>
      <c r="T305" s="1996"/>
    </row>
    <row r="306" spans="1:20" s="736" customFormat="1" ht="15" customHeight="1" x14ac:dyDescent="0.2">
      <c r="A306" s="879"/>
      <c r="B306" s="880" t="s">
        <v>800</v>
      </c>
      <c r="C306" s="881" t="s">
        <v>1013</v>
      </c>
      <c r="D306" s="899">
        <v>1</v>
      </c>
      <c r="E306" s="900">
        <v>1500</v>
      </c>
      <c r="F306" s="894">
        <f>+D306*E306</f>
        <v>1500</v>
      </c>
      <c r="G306" s="738"/>
      <c r="H306" s="836">
        <f>SUM(F306:G306)</f>
        <v>1500</v>
      </c>
      <c r="I306" s="1972"/>
      <c r="J306" s="1999">
        <v>0.91</v>
      </c>
      <c r="K306" s="1980">
        <f>H306*J306</f>
        <v>1365</v>
      </c>
      <c r="L306" s="1980"/>
      <c r="M306" s="1972"/>
      <c r="N306" s="1976"/>
      <c r="O306" s="1976"/>
      <c r="P306" s="1972"/>
      <c r="Q306" s="1972"/>
      <c r="R306" s="1996"/>
      <c r="S306" s="1996"/>
      <c r="T306" s="1996"/>
    </row>
    <row r="307" spans="1:20" s="736" customFormat="1" ht="15" customHeight="1" x14ac:dyDescent="0.2">
      <c r="A307" s="879"/>
      <c r="B307" s="880" t="s">
        <v>764</v>
      </c>
      <c r="C307" s="858" t="s">
        <v>770</v>
      </c>
      <c r="D307" s="807">
        <v>200</v>
      </c>
      <c r="E307" s="901">
        <v>10</v>
      </c>
      <c r="F307" s="894">
        <f t="shared" ref="F307:F308" si="103">+D307*E307</f>
        <v>2000</v>
      </c>
      <c r="G307" s="738"/>
      <c r="H307" s="836">
        <f t="shared" ref="H307:H308" si="104">SUM(F307:G307)</f>
        <v>2000</v>
      </c>
      <c r="I307" s="1972"/>
      <c r="J307" s="1990">
        <v>0.84699999999999998</v>
      </c>
      <c r="K307" s="1980">
        <f t="shared" ref="K307:K308" si="105">H307*J307</f>
        <v>1694</v>
      </c>
      <c r="L307" s="1980"/>
      <c r="M307" s="1972"/>
      <c r="N307" s="1976"/>
      <c r="O307" s="1976"/>
      <c r="P307" s="1972"/>
      <c r="Q307" s="1972"/>
      <c r="R307" s="1996"/>
      <c r="S307" s="1996"/>
      <c r="T307" s="1996"/>
    </row>
    <row r="308" spans="1:20" s="736" customFormat="1" ht="15" customHeight="1" x14ac:dyDescent="0.2">
      <c r="A308" s="879"/>
      <c r="B308" s="880" t="s">
        <v>798</v>
      </c>
      <c r="C308" s="858" t="s">
        <v>770</v>
      </c>
      <c r="D308" s="807">
        <v>200</v>
      </c>
      <c r="E308" s="901">
        <v>7</v>
      </c>
      <c r="F308" s="894">
        <f t="shared" si="103"/>
        <v>1400</v>
      </c>
      <c r="G308" s="738"/>
      <c r="H308" s="836">
        <f t="shared" si="104"/>
        <v>1400</v>
      </c>
      <c r="I308" s="1972"/>
      <c r="J308" s="1990">
        <v>0.84699999999999998</v>
      </c>
      <c r="K308" s="1980">
        <f t="shared" si="105"/>
        <v>1185.8</v>
      </c>
      <c r="L308" s="1980"/>
      <c r="M308" s="1972"/>
      <c r="N308" s="1976"/>
      <c r="O308" s="1976"/>
      <c r="P308" s="1972"/>
      <c r="Q308" s="1972"/>
      <c r="R308" s="1996"/>
      <c r="S308" s="1996"/>
      <c r="T308" s="1996"/>
    </row>
    <row r="309" spans="1:20" s="720" customFormat="1" ht="12.75" x14ac:dyDescent="0.2">
      <c r="A309" s="777"/>
      <c r="B309" s="902" t="s">
        <v>1097</v>
      </c>
      <c r="C309" s="798"/>
      <c r="D309" s="799"/>
      <c r="E309" s="800"/>
      <c r="F309" s="801"/>
      <c r="G309" s="800"/>
      <c r="H309" s="800">
        <f>SUM(H310:H323)</f>
        <v>4290</v>
      </c>
      <c r="I309" s="1991"/>
      <c r="J309" s="2006"/>
      <c r="K309" s="1993"/>
      <c r="L309" s="1980">
        <f>SUM(K310:K323)</f>
        <v>3633.6300000000006</v>
      </c>
      <c r="M309" s="1992"/>
      <c r="N309" s="2007"/>
      <c r="O309" s="1994"/>
      <c r="P309" s="1994"/>
      <c r="Q309" s="2004"/>
      <c r="R309" s="1995"/>
      <c r="S309" s="1995"/>
      <c r="T309" s="1995"/>
    </row>
    <row r="310" spans="1:20" s="727" customFormat="1" ht="12.75" x14ac:dyDescent="0.2">
      <c r="A310" s="728"/>
      <c r="B310" s="806" t="s">
        <v>714</v>
      </c>
      <c r="C310" s="903" t="s">
        <v>689</v>
      </c>
      <c r="D310" s="797">
        <v>10</v>
      </c>
      <c r="E310" s="792">
        <v>26</v>
      </c>
      <c r="F310" s="792">
        <f t="shared" ref="F310:F323" si="106">D310*E310</f>
        <v>260</v>
      </c>
      <c r="G310" s="783"/>
      <c r="H310" s="783">
        <f>SUM(F310:G310)</f>
        <v>260</v>
      </c>
      <c r="I310" s="1996"/>
      <c r="J310" s="1990">
        <v>0.84699999999999998</v>
      </c>
      <c r="K310" s="1980">
        <f t="shared" ref="K310:K323" si="107">+H310*J310</f>
        <v>220.22</v>
      </c>
      <c r="L310" s="1980"/>
      <c r="M310" s="1983"/>
      <c r="N310" s="2005"/>
      <c r="O310" s="1972"/>
      <c r="P310" s="1972"/>
      <c r="Q310" s="1998"/>
      <c r="R310" s="1979"/>
      <c r="S310" s="1979"/>
      <c r="T310" s="1979"/>
    </row>
    <row r="311" spans="1:20" s="727" customFormat="1" ht="12.75" x14ac:dyDescent="0.2">
      <c r="A311" s="728"/>
      <c r="B311" s="806" t="s">
        <v>715</v>
      </c>
      <c r="C311" s="903" t="s">
        <v>647</v>
      </c>
      <c r="D311" s="797">
        <v>50</v>
      </c>
      <c r="E311" s="792">
        <v>0.8</v>
      </c>
      <c r="F311" s="792">
        <f t="shared" si="106"/>
        <v>40</v>
      </c>
      <c r="G311" s="783"/>
      <c r="H311" s="783">
        <f t="shared" ref="H311:H323" si="108">SUM(F311:G311)</f>
        <v>40</v>
      </c>
      <c r="I311" s="1996"/>
      <c r="J311" s="1990">
        <v>0.84699999999999998</v>
      </c>
      <c r="K311" s="1980">
        <f t="shared" si="107"/>
        <v>33.879999999999995</v>
      </c>
      <c r="L311" s="1980"/>
      <c r="M311" s="1983"/>
      <c r="N311" s="2005"/>
      <c r="O311" s="1972"/>
      <c r="P311" s="1972"/>
      <c r="Q311" s="1998"/>
      <c r="R311" s="1979"/>
      <c r="S311" s="1979"/>
      <c r="T311" s="1979"/>
    </row>
    <row r="312" spans="1:20" s="727" customFormat="1" ht="12.75" x14ac:dyDescent="0.2">
      <c r="A312" s="728"/>
      <c r="B312" s="806" t="s">
        <v>716</v>
      </c>
      <c r="C312" s="903" t="s">
        <v>647</v>
      </c>
      <c r="D312" s="797">
        <v>30</v>
      </c>
      <c r="E312" s="792">
        <v>0.3</v>
      </c>
      <c r="F312" s="792">
        <f t="shared" si="106"/>
        <v>9</v>
      </c>
      <c r="G312" s="783"/>
      <c r="H312" s="783">
        <f t="shared" si="108"/>
        <v>9</v>
      </c>
      <c r="I312" s="1996"/>
      <c r="J312" s="1990">
        <v>0.84699999999999998</v>
      </c>
      <c r="K312" s="1980">
        <f t="shared" si="107"/>
        <v>7.6229999999999993</v>
      </c>
      <c r="L312" s="1980"/>
      <c r="M312" s="1983"/>
      <c r="N312" s="2005"/>
      <c r="O312" s="1972"/>
      <c r="P312" s="1972"/>
      <c r="Q312" s="1998"/>
      <c r="R312" s="1979"/>
      <c r="S312" s="1979"/>
      <c r="T312" s="1979"/>
    </row>
    <row r="313" spans="1:20" s="727" customFormat="1" ht="12.75" x14ac:dyDescent="0.2">
      <c r="A313" s="728"/>
      <c r="B313" s="806" t="s">
        <v>717</v>
      </c>
      <c r="C313" s="903" t="s">
        <v>647</v>
      </c>
      <c r="D313" s="797">
        <v>30</v>
      </c>
      <c r="E313" s="792">
        <v>2.2999999999999998</v>
      </c>
      <c r="F313" s="792">
        <f t="shared" si="106"/>
        <v>69</v>
      </c>
      <c r="G313" s="783"/>
      <c r="H313" s="783">
        <f t="shared" si="108"/>
        <v>69</v>
      </c>
      <c r="I313" s="1996"/>
      <c r="J313" s="1990">
        <v>0.84699999999999998</v>
      </c>
      <c r="K313" s="1980">
        <f t="shared" si="107"/>
        <v>58.442999999999998</v>
      </c>
      <c r="L313" s="1980"/>
      <c r="M313" s="1983"/>
      <c r="N313" s="2005"/>
      <c r="O313" s="1972"/>
      <c r="P313" s="1972"/>
      <c r="Q313" s="1998"/>
      <c r="R313" s="1979"/>
      <c r="S313" s="1979"/>
      <c r="T313" s="1979"/>
    </row>
    <row r="314" spans="1:20" s="727" customFormat="1" ht="12.75" x14ac:dyDescent="0.2">
      <c r="A314" s="728"/>
      <c r="B314" s="806" t="s">
        <v>718</v>
      </c>
      <c r="C314" s="903" t="s">
        <v>647</v>
      </c>
      <c r="D314" s="797">
        <v>30</v>
      </c>
      <c r="E314" s="792">
        <v>3</v>
      </c>
      <c r="F314" s="792">
        <f t="shared" si="106"/>
        <v>90</v>
      </c>
      <c r="G314" s="783"/>
      <c r="H314" s="783">
        <f t="shared" si="108"/>
        <v>90</v>
      </c>
      <c r="I314" s="1996"/>
      <c r="J314" s="1990">
        <v>0.84699999999999998</v>
      </c>
      <c r="K314" s="1980">
        <f t="shared" si="107"/>
        <v>76.23</v>
      </c>
      <c r="L314" s="1980"/>
      <c r="M314" s="1983"/>
      <c r="N314" s="2005"/>
      <c r="O314" s="1972"/>
      <c r="P314" s="1972"/>
      <c r="Q314" s="1998"/>
      <c r="R314" s="1979"/>
      <c r="S314" s="1979"/>
      <c r="T314" s="1979"/>
    </row>
    <row r="315" spans="1:20" s="727" customFormat="1" ht="12.75" x14ac:dyDescent="0.2">
      <c r="A315" s="728"/>
      <c r="B315" s="806" t="s">
        <v>719</v>
      </c>
      <c r="C315" s="903" t="s">
        <v>647</v>
      </c>
      <c r="D315" s="797">
        <v>3</v>
      </c>
      <c r="E315" s="792">
        <v>10</v>
      </c>
      <c r="F315" s="792">
        <f t="shared" si="106"/>
        <v>30</v>
      </c>
      <c r="G315" s="783"/>
      <c r="H315" s="783">
        <f t="shared" si="108"/>
        <v>30</v>
      </c>
      <c r="I315" s="1996"/>
      <c r="J315" s="1990">
        <v>0.84699999999999998</v>
      </c>
      <c r="K315" s="1980">
        <f t="shared" si="107"/>
        <v>25.41</v>
      </c>
      <c r="L315" s="1980"/>
      <c r="M315" s="1983"/>
      <c r="N315" s="2005"/>
      <c r="O315" s="1972"/>
      <c r="P315" s="1972"/>
      <c r="Q315" s="1998"/>
      <c r="R315" s="1979"/>
      <c r="S315" s="1979"/>
      <c r="T315" s="1979"/>
    </row>
    <row r="316" spans="1:20" s="727" customFormat="1" ht="12.75" x14ac:dyDescent="0.2">
      <c r="A316" s="728"/>
      <c r="B316" s="806" t="s">
        <v>720</v>
      </c>
      <c r="C316" s="903" t="s">
        <v>647</v>
      </c>
      <c r="D316" s="797">
        <v>200</v>
      </c>
      <c r="E316" s="792">
        <v>0.5</v>
      </c>
      <c r="F316" s="792">
        <f t="shared" si="106"/>
        <v>100</v>
      </c>
      <c r="G316" s="783"/>
      <c r="H316" s="783">
        <f t="shared" si="108"/>
        <v>100</v>
      </c>
      <c r="I316" s="1996"/>
      <c r="J316" s="1990">
        <v>0.84699999999999998</v>
      </c>
      <c r="K316" s="1980">
        <f t="shared" si="107"/>
        <v>84.7</v>
      </c>
      <c r="L316" s="1980"/>
      <c r="M316" s="1983"/>
      <c r="N316" s="2005"/>
      <c r="O316" s="1972"/>
      <c r="P316" s="1972"/>
      <c r="Q316" s="1998"/>
      <c r="R316" s="1979"/>
      <c r="S316" s="1979"/>
      <c r="T316" s="1979"/>
    </row>
    <row r="317" spans="1:20" s="727" customFormat="1" ht="12.75" x14ac:dyDescent="0.2">
      <c r="A317" s="728"/>
      <c r="B317" s="806" t="s">
        <v>721</v>
      </c>
      <c r="C317" s="903" t="s">
        <v>647</v>
      </c>
      <c r="D317" s="797">
        <v>200</v>
      </c>
      <c r="E317" s="792">
        <v>2</v>
      </c>
      <c r="F317" s="792">
        <f t="shared" si="106"/>
        <v>400</v>
      </c>
      <c r="G317" s="783"/>
      <c r="H317" s="783">
        <f t="shared" si="108"/>
        <v>400</v>
      </c>
      <c r="I317" s="1996"/>
      <c r="J317" s="1990">
        <v>0.84699999999999998</v>
      </c>
      <c r="K317" s="1980">
        <f t="shared" si="107"/>
        <v>338.8</v>
      </c>
      <c r="L317" s="1980"/>
      <c r="M317" s="1983"/>
      <c r="N317" s="2005"/>
      <c r="O317" s="1972"/>
      <c r="P317" s="1972"/>
      <c r="Q317" s="1998"/>
      <c r="R317" s="1979"/>
      <c r="S317" s="1979"/>
      <c r="T317" s="1979"/>
    </row>
    <row r="318" spans="1:20" s="727" customFormat="1" ht="12.75" x14ac:dyDescent="0.2">
      <c r="A318" s="728"/>
      <c r="B318" s="806" t="s">
        <v>722</v>
      </c>
      <c r="C318" s="903" t="s">
        <v>647</v>
      </c>
      <c r="D318" s="797">
        <v>200</v>
      </c>
      <c r="E318" s="792">
        <v>1</v>
      </c>
      <c r="F318" s="792">
        <f t="shared" si="106"/>
        <v>200</v>
      </c>
      <c r="G318" s="783"/>
      <c r="H318" s="783">
        <f t="shared" si="108"/>
        <v>200</v>
      </c>
      <c r="I318" s="1996"/>
      <c r="J318" s="1990">
        <v>0.84699999999999998</v>
      </c>
      <c r="K318" s="1980">
        <f t="shared" si="107"/>
        <v>169.4</v>
      </c>
      <c r="L318" s="1980"/>
      <c r="M318" s="1983"/>
      <c r="N318" s="2005"/>
      <c r="O318" s="1972"/>
      <c r="P318" s="1972"/>
      <c r="Q318" s="1998"/>
      <c r="R318" s="1979"/>
      <c r="S318" s="1979"/>
      <c r="T318" s="1979"/>
    </row>
    <row r="319" spans="1:20" s="727" customFormat="1" ht="12.75" x14ac:dyDescent="0.2">
      <c r="A319" s="728"/>
      <c r="B319" s="806" t="s">
        <v>692</v>
      </c>
      <c r="C319" s="903" t="s">
        <v>647</v>
      </c>
      <c r="D319" s="797">
        <v>10</v>
      </c>
      <c r="E319" s="792">
        <v>280</v>
      </c>
      <c r="F319" s="792">
        <f t="shared" si="106"/>
        <v>2800</v>
      </c>
      <c r="G319" s="783"/>
      <c r="H319" s="783">
        <f t="shared" si="108"/>
        <v>2800</v>
      </c>
      <c r="I319" s="1996"/>
      <c r="J319" s="1990">
        <v>0.84699999999999998</v>
      </c>
      <c r="K319" s="1980">
        <f t="shared" si="107"/>
        <v>2371.6</v>
      </c>
      <c r="L319" s="1980"/>
      <c r="M319" s="1983"/>
      <c r="N319" s="2005"/>
      <c r="O319" s="1972"/>
      <c r="P319" s="1972"/>
      <c r="Q319" s="1998"/>
      <c r="R319" s="1979"/>
      <c r="S319" s="1979"/>
      <c r="T319" s="1979"/>
    </row>
    <row r="320" spans="1:20" s="727" customFormat="1" ht="12.75" x14ac:dyDescent="0.2">
      <c r="A320" s="728"/>
      <c r="B320" s="806" t="s">
        <v>723</v>
      </c>
      <c r="C320" s="903" t="s">
        <v>647</v>
      </c>
      <c r="D320" s="797">
        <v>10</v>
      </c>
      <c r="E320" s="792">
        <v>5.5</v>
      </c>
      <c r="F320" s="792">
        <f t="shared" si="106"/>
        <v>55</v>
      </c>
      <c r="G320" s="783"/>
      <c r="H320" s="783">
        <f t="shared" si="108"/>
        <v>55</v>
      </c>
      <c r="I320" s="1996"/>
      <c r="J320" s="1990">
        <v>0.84699999999999998</v>
      </c>
      <c r="K320" s="1980">
        <f t="shared" si="107"/>
        <v>46.585000000000001</v>
      </c>
      <c r="L320" s="1980"/>
      <c r="M320" s="1983"/>
      <c r="N320" s="2005"/>
      <c r="O320" s="1972"/>
      <c r="P320" s="1972"/>
      <c r="Q320" s="1998"/>
      <c r="R320" s="1979"/>
      <c r="S320" s="1979"/>
      <c r="T320" s="1979"/>
    </row>
    <row r="321" spans="1:20" s="727" customFormat="1" ht="12.75" x14ac:dyDescent="0.2">
      <c r="A321" s="728"/>
      <c r="B321" s="806" t="s">
        <v>724</v>
      </c>
      <c r="C321" s="903" t="s">
        <v>647</v>
      </c>
      <c r="D321" s="797">
        <v>30</v>
      </c>
      <c r="E321" s="792">
        <v>0.4</v>
      </c>
      <c r="F321" s="792">
        <f t="shared" si="106"/>
        <v>12</v>
      </c>
      <c r="G321" s="783"/>
      <c r="H321" s="783">
        <f t="shared" si="108"/>
        <v>12</v>
      </c>
      <c r="I321" s="1996"/>
      <c r="J321" s="1990">
        <v>0.84699999999999998</v>
      </c>
      <c r="K321" s="1980">
        <f t="shared" si="107"/>
        <v>10.164</v>
      </c>
      <c r="L321" s="1980"/>
      <c r="M321" s="1983"/>
      <c r="N321" s="2005"/>
      <c r="O321" s="1972"/>
      <c r="P321" s="1972"/>
      <c r="Q321" s="1998"/>
      <c r="R321" s="1979"/>
      <c r="S321" s="1979"/>
      <c r="T321" s="1979"/>
    </row>
    <row r="322" spans="1:20" s="727" customFormat="1" ht="12.75" x14ac:dyDescent="0.2">
      <c r="A322" s="728"/>
      <c r="B322" s="806" t="s">
        <v>725</v>
      </c>
      <c r="C322" s="903" t="s">
        <v>647</v>
      </c>
      <c r="D322" s="797">
        <v>3</v>
      </c>
      <c r="E322" s="792">
        <v>55</v>
      </c>
      <c r="F322" s="792">
        <f t="shared" si="106"/>
        <v>165</v>
      </c>
      <c r="G322" s="783"/>
      <c r="H322" s="783">
        <f t="shared" si="108"/>
        <v>165</v>
      </c>
      <c r="I322" s="1996"/>
      <c r="J322" s="1990">
        <v>0.84699999999999998</v>
      </c>
      <c r="K322" s="1980">
        <f t="shared" si="107"/>
        <v>139.755</v>
      </c>
      <c r="L322" s="1980"/>
      <c r="M322" s="1983"/>
      <c r="N322" s="2005"/>
      <c r="O322" s="1972"/>
      <c r="P322" s="1972"/>
      <c r="Q322" s="1998"/>
      <c r="R322" s="1979"/>
      <c r="S322" s="1979"/>
      <c r="T322" s="1979"/>
    </row>
    <row r="323" spans="1:20" s="727" customFormat="1" ht="13.5" thickBot="1" x14ac:dyDescent="0.25">
      <c r="A323" s="728"/>
      <c r="B323" s="806" t="s">
        <v>726</v>
      </c>
      <c r="C323" s="903" t="s">
        <v>647</v>
      </c>
      <c r="D323" s="797">
        <v>200</v>
      </c>
      <c r="E323" s="792">
        <v>0.3</v>
      </c>
      <c r="F323" s="792">
        <f t="shared" si="106"/>
        <v>60</v>
      </c>
      <c r="G323" s="783"/>
      <c r="H323" s="783">
        <f t="shared" si="108"/>
        <v>60</v>
      </c>
      <c r="I323" s="1996"/>
      <c r="J323" s="1990">
        <v>0.84699999999999998</v>
      </c>
      <c r="K323" s="1980">
        <f t="shared" si="107"/>
        <v>50.82</v>
      </c>
      <c r="L323" s="1980"/>
      <c r="M323" s="1983"/>
      <c r="N323" s="2005"/>
      <c r="O323" s="1972"/>
      <c r="P323" s="1972"/>
      <c r="Q323" s="1998"/>
      <c r="R323" s="1979"/>
      <c r="S323" s="1979"/>
      <c r="T323" s="1979"/>
    </row>
    <row r="324" spans="1:20" s="727" customFormat="1" ht="13.5" thickBot="1" x14ac:dyDescent="0.25">
      <c r="A324" s="895" t="s">
        <v>1292</v>
      </c>
      <c r="B324" s="747" t="s">
        <v>1223</v>
      </c>
      <c r="C324" s="748"/>
      <c r="D324" s="749"/>
      <c r="E324" s="750"/>
      <c r="F324" s="751"/>
      <c r="G324" s="725"/>
      <c r="H324" s="726">
        <f>H325+H329+H339+H343+H353+H357+H367+H371+H381+H385+H395+H399+H409+H413</f>
        <v>46480</v>
      </c>
      <c r="I324" s="1996"/>
      <c r="J324" s="1990"/>
      <c r="K324" s="1980"/>
      <c r="L324" s="1980"/>
      <c r="M324" s="1983"/>
      <c r="N324" s="2005"/>
      <c r="O324" s="1972"/>
      <c r="P324" s="1972"/>
      <c r="Q324" s="1998"/>
      <c r="R324" s="1979"/>
      <c r="S324" s="1979"/>
      <c r="T324" s="1979"/>
    </row>
    <row r="325" spans="1:20" s="727" customFormat="1" ht="23.25" customHeight="1" x14ac:dyDescent="0.2">
      <c r="A325" s="873"/>
      <c r="B325" s="874" t="s">
        <v>1098</v>
      </c>
      <c r="C325" s="875"/>
      <c r="D325" s="876"/>
      <c r="E325" s="877"/>
      <c r="F325" s="878"/>
      <c r="G325" s="793"/>
      <c r="H325" s="793">
        <f>SUM(H326:H328)</f>
        <v>4900</v>
      </c>
      <c r="I325" s="1996"/>
      <c r="J325" s="1990"/>
      <c r="K325" s="1980"/>
      <c r="L325" s="1980">
        <f>SUM(K326:K328)</f>
        <v>4244.8</v>
      </c>
      <c r="M325" s="1983"/>
      <c r="N325" s="2005"/>
      <c r="O325" s="1972"/>
      <c r="P325" s="1972"/>
      <c r="Q325" s="1998"/>
      <c r="R325" s="1979"/>
      <c r="S325" s="1979"/>
      <c r="T325" s="1979"/>
    </row>
    <row r="326" spans="1:20" s="727" customFormat="1" ht="12.75" x14ac:dyDescent="0.2">
      <c r="A326" s="879"/>
      <c r="B326" s="880" t="s">
        <v>800</v>
      </c>
      <c r="C326" s="881" t="s">
        <v>1013</v>
      </c>
      <c r="D326" s="899">
        <v>1</v>
      </c>
      <c r="E326" s="900">
        <v>1500</v>
      </c>
      <c r="F326" s="894">
        <f>+D326*E326</f>
        <v>1500</v>
      </c>
      <c r="G326" s="738"/>
      <c r="H326" s="836">
        <f>SUM(F326:G326)</f>
        <v>1500</v>
      </c>
      <c r="I326" s="1996"/>
      <c r="J326" s="1999">
        <v>0.91</v>
      </c>
      <c r="K326" s="1980">
        <f>H326*J326</f>
        <v>1365</v>
      </c>
      <c r="L326" s="1980"/>
      <c r="M326" s="1983"/>
      <c r="N326" s="2005"/>
      <c r="O326" s="1972"/>
      <c r="P326" s="1972"/>
      <c r="Q326" s="1998"/>
      <c r="R326" s="1979"/>
      <c r="S326" s="1979"/>
      <c r="T326" s="1979"/>
    </row>
    <row r="327" spans="1:20" s="727" customFormat="1" ht="12.75" x14ac:dyDescent="0.2">
      <c r="A327" s="879"/>
      <c r="B327" s="880" t="s">
        <v>764</v>
      </c>
      <c r="C327" s="858" t="s">
        <v>770</v>
      </c>
      <c r="D327" s="807">
        <v>200</v>
      </c>
      <c r="E327" s="901">
        <v>10</v>
      </c>
      <c r="F327" s="894">
        <f t="shared" ref="F327:F328" si="109">+D327*E327</f>
        <v>2000</v>
      </c>
      <c r="G327" s="738"/>
      <c r="H327" s="836">
        <f t="shared" ref="H327:H328" si="110">SUM(F327:G327)</f>
        <v>2000</v>
      </c>
      <c r="I327" s="1996"/>
      <c r="J327" s="1990">
        <v>0.84699999999999998</v>
      </c>
      <c r="K327" s="1980">
        <f t="shared" ref="K327:K328" si="111">H327*J327</f>
        <v>1694</v>
      </c>
      <c r="L327" s="1980"/>
      <c r="M327" s="1983"/>
      <c r="N327" s="2005"/>
      <c r="O327" s="1972"/>
      <c r="P327" s="1972"/>
      <c r="Q327" s="1998"/>
      <c r="R327" s="1979"/>
      <c r="S327" s="1979"/>
      <c r="T327" s="1979"/>
    </row>
    <row r="328" spans="1:20" s="727" customFormat="1" ht="12.75" x14ac:dyDescent="0.2">
      <c r="A328" s="879"/>
      <c r="B328" s="880" t="s">
        <v>798</v>
      </c>
      <c r="C328" s="858" t="s">
        <v>770</v>
      </c>
      <c r="D328" s="807">
        <v>200</v>
      </c>
      <c r="E328" s="901">
        <v>7</v>
      </c>
      <c r="F328" s="894">
        <f t="shared" si="109"/>
        <v>1400</v>
      </c>
      <c r="G328" s="738"/>
      <c r="H328" s="836">
        <f t="shared" si="110"/>
        <v>1400</v>
      </c>
      <c r="I328" s="1996"/>
      <c r="J328" s="1990">
        <v>0.84699999999999998</v>
      </c>
      <c r="K328" s="1980">
        <f t="shared" si="111"/>
        <v>1185.8</v>
      </c>
      <c r="L328" s="1980"/>
      <c r="M328" s="1983"/>
      <c r="N328" s="2005"/>
      <c r="O328" s="1972"/>
      <c r="P328" s="1972"/>
      <c r="Q328" s="1998"/>
      <c r="R328" s="1979"/>
      <c r="S328" s="1979"/>
      <c r="T328" s="1979"/>
    </row>
    <row r="329" spans="1:20" s="720" customFormat="1" ht="12.75" x14ac:dyDescent="0.2">
      <c r="A329" s="777"/>
      <c r="B329" s="902" t="s">
        <v>1050</v>
      </c>
      <c r="C329" s="798"/>
      <c r="D329" s="799"/>
      <c r="E329" s="800"/>
      <c r="F329" s="801"/>
      <c r="G329" s="800"/>
      <c r="H329" s="800">
        <f>SUM(H330:H338)</f>
        <v>1740</v>
      </c>
      <c r="I329" s="2008"/>
      <c r="J329" s="1997"/>
      <c r="K329" s="1993"/>
      <c r="L329" s="1980">
        <f>SUM(K330:K338)</f>
        <v>1473.7799999999997</v>
      </c>
      <c r="M329" s="1992"/>
      <c r="N329" s="2007"/>
      <c r="O329" s="1994"/>
      <c r="P329" s="1994"/>
      <c r="Q329" s="2004"/>
      <c r="R329" s="1995"/>
      <c r="S329" s="1995"/>
      <c r="T329" s="1995"/>
    </row>
    <row r="330" spans="1:20" s="727" customFormat="1" ht="12.75" x14ac:dyDescent="0.2">
      <c r="A330" s="728"/>
      <c r="B330" s="806" t="s">
        <v>727</v>
      </c>
      <c r="C330" s="903" t="s">
        <v>689</v>
      </c>
      <c r="D330" s="797">
        <v>20</v>
      </c>
      <c r="E330" s="792">
        <v>26</v>
      </c>
      <c r="F330" s="792">
        <f t="shared" si="99"/>
        <v>520</v>
      </c>
      <c r="G330" s="783"/>
      <c r="H330" s="783">
        <f>SUM(F330:G330)</f>
        <v>520</v>
      </c>
      <c r="I330" s="1996"/>
      <c r="J330" s="1990">
        <v>0.84699999999999998</v>
      </c>
      <c r="K330" s="1980">
        <f t="shared" si="102"/>
        <v>440.44</v>
      </c>
      <c r="L330" s="1980"/>
      <c r="M330" s="1983"/>
      <c r="N330" s="2005"/>
      <c r="O330" s="1972"/>
      <c r="P330" s="1972"/>
      <c r="Q330" s="1998"/>
      <c r="R330" s="1979"/>
      <c r="S330" s="1979"/>
      <c r="T330" s="1979"/>
    </row>
    <row r="331" spans="1:20" s="727" customFormat="1" ht="12.75" x14ac:dyDescent="0.2">
      <c r="A331" s="728"/>
      <c r="B331" s="806" t="s">
        <v>716</v>
      </c>
      <c r="C331" s="903" t="s">
        <v>647</v>
      </c>
      <c r="D331" s="797">
        <v>70</v>
      </c>
      <c r="E331" s="792">
        <v>0.3</v>
      </c>
      <c r="F331" s="792">
        <f t="shared" si="99"/>
        <v>21</v>
      </c>
      <c r="G331" s="783"/>
      <c r="H331" s="783">
        <f t="shared" ref="H331:H338" si="112">SUM(F331:G331)</f>
        <v>21</v>
      </c>
      <c r="I331" s="1996"/>
      <c r="J331" s="1990">
        <v>0.84699999999999998</v>
      </c>
      <c r="K331" s="1980">
        <f t="shared" si="102"/>
        <v>17.786999999999999</v>
      </c>
      <c r="L331" s="1980"/>
      <c r="M331" s="1983"/>
      <c r="N331" s="2005"/>
      <c r="O331" s="1972"/>
      <c r="P331" s="1972"/>
      <c r="Q331" s="1998"/>
      <c r="R331" s="1979"/>
      <c r="S331" s="1979"/>
      <c r="T331" s="1979"/>
    </row>
    <row r="332" spans="1:20" s="727" customFormat="1" ht="12.75" x14ac:dyDescent="0.2">
      <c r="A332" s="728"/>
      <c r="B332" s="806" t="s">
        <v>717</v>
      </c>
      <c r="C332" s="903" t="s">
        <v>647</v>
      </c>
      <c r="D332" s="797">
        <v>30</v>
      </c>
      <c r="E332" s="792">
        <v>2.2999999999999998</v>
      </c>
      <c r="F332" s="792">
        <f t="shared" si="99"/>
        <v>69</v>
      </c>
      <c r="G332" s="783"/>
      <c r="H332" s="783">
        <f t="shared" si="112"/>
        <v>69</v>
      </c>
      <c r="I332" s="1996"/>
      <c r="J332" s="1990">
        <v>0.84699999999999998</v>
      </c>
      <c r="K332" s="1980">
        <f t="shared" si="102"/>
        <v>58.442999999999998</v>
      </c>
      <c r="L332" s="1980"/>
      <c r="M332" s="1983"/>
      <c r="N332" s="2005"/>
      <c r="O332" s="1972"/>
      <c r="P332" s="1972"/>
      <c r="Q332" s="1998"/>
      <c r="R332" s="1979"/>
      <c r="S332" s="1979"/>
      <c r="T332" s="1979"/>
    </row>
    <row r="333" spans="1:20" s="727" customFormat="1" ht="12.75" x14ac:dyDescent="0.2">
      <c r="A333" s="728"/>
      <c r="B333" s="806" t="s">
        <v>718</v>
      </c>
      <c r="C333" s="903" t="s">
        <v>647</v>
      </c>
      <c r="D333" s="797">
        <v>30</v>
      </c>
      <c r="E333" s="792">
        <v>3</v>
      </c>
      <c r="F333" s="792">
        <f t="shared" si="99"/>
        <v>90</v>
      </c>
      <c r="G333" s="783"/>
      <c r="H333" s="783">
        <f t="shared" si="112"/>
        <v>90</v>
      </c>
      <c r="I333" s="1996"/>
      <c r="J333" s="1990">
        <v>0.84699999999999998</v>
      </c>
      <c r="K333" s="1980">
        <f t="shared" si="102"/>
        <v>76.23</v>
      </c>
      <c r="L333" s="1980"/>
      <c r="M333" s="1983"/>
      <c r="N333" s="2005"/>
      <c r="O333" s="1972"/>
      <c r="P333" s="1972"/>
      <c r="Q333" s="1998"/>
      <c r="R333" s="1979"/>
      <c r="S333" s="1979"/>
      <c r="T333" s="1979"/>
    </row>
    <row r="334" spans="1:20" s="727" customFormat="1" ht="12.75" x14ac:dyDescent="0.2">
      <c r="A334" s="728"/>
      <c r="B334" s="806" t="s">
        <v>723</v>
      </c>
      <c r="C334" s="903" t="s">
        <v>647</v>
      </c>
      <c r="D334" s="797">
        <v>20</v>
      </c>
      <c r="E334" s="792">
        <v>5.5</v>
      </c>
      <c r="F334" s="792">
        <f t="shared" si="99"/>
        <v>110</v>
      </c>
      <c r="G334" s="783"/>
      <c r="H334" s="783">
        <f t="shared" si="112"/>
        <v>110</v>
      </c>
      <c r="I334" s="1996"/>
      <c r="J334" s="1990">
        <v>0.84699999999999998</v>
      </c>
      <c r="K334" s="1980">
        <f t="shared" si="102"/>
        <v>93.17</v>
      </c>
      <c r="L334" s="1980"/>
      <c r="M334" s="1983"/>
      <c r="N334" s="2005"/>
      <c r="O334" s="1972"/>
      <c r="P334" s="1972"/>
      <c r="Q334" s="1998"/>
      <c r="R334" s="1979"/>
      <c r="S334" s="1979"/>
      <c r="T334" s="1979"/>
    </row>
    <row r="335" spans="1:20" s="727" customFormat="1" ht="12.75" x14ac:dyDescent="0.2">
      <c r="A335" s="728"/>
      <c r="B335" s="806" t="s">
        <v>693</v>
      </c>
      <c r="C335" s="903" t="s">
        <v>647</v>
      </c>
      <c r="D335" s="797">
        <v>3</v>
      </c>
      <c r="E335" s="792">
        <v>10</v>
      </c>
      <c r="F335" s="792">
        <f t="shared" si="99"/>
        <v>30</v>
      </c>
      <c r="G335" s="783"/>
      <c r="H335" s="783">
        <f t="shared" si="112"/>
        <v>30</v>
      </c>
      <c r="I335" s="1996"/>
      <c r="J335" s="1990">
        <v>0.84699999999999998</v>
      </c>
      <c r="K335" s="1980">
        <f t="shared" si="102"/>
        <v>25.41</v>
      </c>
      <c r="L335" s="1980"/>
      <c r="M335" s="1983"/>
      <c r="N335" s="2005"/>
      <c r="O335" s="1972"/>
      <c r="P335" s="1972"/>
      <c r="Q335" s="1998"/>
      <c r="R335" s="1979"/>
      <c r="S335" s="1979"/>
      <c r="T335" s="1979"/>
    </row>
    <row r="336" spans="1:20" s="727" customFormat="1" ht="12.75" x14ac:dyDescent="0.2">
      <c r="A336" s="728"/>
      <c r="B336" s="806" t="s">
        <v>728</v>
      </c>
      <c r="C336" s="903" t="s">
        <v>647</v>
      </c>
      <c r="D336" s="797">
        <v>30</v>
      </c>
      <c r="E336" s="792">
        <v>15</v>
      </c>
      <c r="F336" s="792">
        <f t="shared" si="99"/>
        <v>450</v>
      </c>
      <c r="G336" s="783"/>
      <c r="H336" s="783">
        <f t="shared" si="112"/>
        <v>450</v>
      </c>
      <c r="I336" s="1996"/>
      <c r="J336" s="1990">
        <v>0.84699999999999998</v>
      </c>
      <c r="K336" s="1980">
        <f t="shared" si="102"/>
        <v>381.15</v>
      </c>
      <c r="L336" s="1980"/>
      <c r="M336" s="1983"/>
      <c r="N336" s="2005"/>
      <c r="O336" s="1972"/>
      <c r="P336" s="1972"/>
      <c r="Q336" s="1998"/>
      <c r="R336" s="1979"/>
      <c r="S336" s="1979"/>
      <c r="T336" s="1979"/>
    </row>
    <row r="337" spans="1:20" s="727" customFormat="1" ht="12.75" x14ac:dyDescent="0.2">
      <c r="A337" s="728"/>
      <c r="B337" s="806" t="s">
        <v>729</v>
      </c>
      <c r="C337" s="903" t="s">
        <v>730</v>
      </c>
      <c r="D337" s="797">
        <v>30</v>
      </c>
      <c r="E337" s="792">
        <v>5</v>
      </c>
      <c r="F337" s="792">
        <f t="shared" si="99"/>
        <v>150</v>
      </c>
      <c r="G337" s="783"/>
      <c r="H337" s="783">
        <f t="shared" si="112"/>
        <v>150</v>
      </c>
      <c r="I337" s="1996"/>
      <c r="J337" s="1990">
        <v>0.84699999999999998</v>
      </c>
      <c r="K337" s="1980">
        <f t="shared" si="102"/>
        <v>127.05</v>
      </c>
      <c r="L337" s="1980"/>
      <c r="M337" s="1983"/>
      <c r="N337" s="2005"/>
      <c r="O337" s="1972"/>
      <c r="P337" s="1972"/>
      <c r="Q337" s="1998"/>
      <c r="R337" s="1979"/>
      <c r="S337" s="1979"/>
      <c r="T337" s="1979"/>
    </row>
    <row r="338" spans="1:20" s="727" customFormat="1" ht="12.75" x14ac:dyDescent="0.2">
      <c r="A338" s="728"/>
      <c r="B338" s="806" t="s">
        <v>684</v>
      </c>
      <c r="C338" s="903" t="s">
        <v>647</v>
      </c>
      <c r="D338" s="797">
        <v>30</v>
      </c>
      <c r="E338" s="792">
        <v>10</v>
      </c>
      <c r="F338" s="792">
        <f t="shared" si="99"/>
        <v>300</v>
      </c>
      <c r="G338" s="783"/>
      <c r="H338" s="783">
        <f t="shared" si="112"/>
        <v>300</v>
      </c>
      <c r="I338" s="1996"/>
      <c r="J338" s="1990">
        <v>0.84699999999999998</v>
      </c>
      <c r="K338" s="1980">
        <f t="shared" si="102"/>
        <v>254.1</v>
      </c>
      <c r="L338" s="1980"/>
      <c r="M338" s="1983"/>
      <c r="N338" s="2005"/>
      <c r="O338" s="1972"/>
      <c r="P338" s="1972"/>
      <c r="Q338" s="1998"/>
      <c r="R338" s="1979"/>
      <c r="S338" s="1979"/>
      <c r="T338" s="1979"/>
    </row>
    <row r="339" spans="1:20" s="736" customFormat="1" ht="23.25" customHeight="1" x14ac:dyDescent="0.2">
      <c r="A339" s="873"/>
      <c r="B339" s="874" t="s">
        <v>1099</v>
      </c>
      <c r="C339" s="875"/>
      <c r="D339" s="876"/>
      <c r="E339" s="877"/>
      <c r="F339" s="878"/>
      <c r="G339" s="793"/>
      <c r="H339" s="793">
        <f>SUM(H340:H342)</f>
        <v>4900</v>
      </c>
      <c r="I339" s="1972"/>
      <c r="J339" s="1972"/>
      <c r="K339" s="1980"/>
      <c r="L339" s="1980">
        <f>SUM(K340:K342)</f>
        <v>4244.8</v>
      </c>
      <c r="M339" s="1972"/>
      <c r="N339" s="1976"/>
      <c r="O339" s="1976"/>
      <c r="P339" s="1972"/>
      <c r="Q339" s="1972"/>
      <c r="R339" s="1996"/>
      <c r="S339" s="1996"/>
      <c r="T339" s="1996"/>
    </row>
    <row r="340" spans="1:20" s="736" customFormat="1" ht="15" customHeight="1" x14ac:dyDescent="0.2">
      <c r="A340" s="879"/>
      <c r="B340" s="880" t="s">
        <v>800</v>
      </c>
      <c r="C340" s="881" t="s">
        <v>1013</v>
      </c>
      <c r="D340" s="797">
        <v>1</v>
      </c>
      <c r="E340" s="796">
        <v>1500</v>
      </c>
      <c r="F340" s="894">
        <f>+D340*E340</f>
        <v>1500</v>
      </c>
      <c r="G340" s="738"/>
      <c r="H340" s="836">
        <f>SUM(F340:G340)</f>
        <v>1500</v>
      </c>
      <c r="I340" s="1972"/>
      <c r="J340" s="1999">
        <v>0.91</v>
      </c>
      <c r="K340" s="1980">
        <f>H340*J340</f>
        <v>1365</v>
      </c>
      <c r="L340" s="1980"/>
      <c r="M340" s="1972"/>
      <c r="N340" s="1976"/>
      <c r="O340" s="1976"/>
      <c r="P340" s="1972"/>
      <c r="Q340" s="1972"/>
      <c r="R340" s="1996"/>
      <c r="S340" s="1996"/>
      <c r="T340" s="1996"/>
    </row>
    <row r="341" spans="1:20" s="736" customFormat="1" ht="15" customHeight="1" x14ac:dyDescent="0.2">
      <c r="A341" s="879"/>
      <c r="B341" s="880" t="s">
        <v>764</v>
      </c>
      <c r="C341" s="858" t="s">
        <v>770</v>
      </c>
      <c r="D341" s="807">
        <v>200</v>
      </c>
      <c r="E341" s="882">
        <v>10</v>
      </c>
      <c r="F341" s="894">
        <f t="shared" ref="F341:F342" si="113">+D341*E341</f>
        <v>2000</v>
      </c>
      <c r="G341" s="738"/>
      <c r="H341" s="836">
        <f t="shared" ref="H341:H342" si="114">SUM(F341:G341)</f>
        <v>2000</v>
      </c>
      <c r="I341" s="1972"/>
      <c r="J341" s="1990">
        <v>0.84699999999999998</v>
      </c>
      <c r="K341" s="1980">
        <f t="shared" ref="K341:K342" si="115">H341*J341</f>
        <v>1694</v>
      </c>
      <c r="L341" s="1980"/>
      <c r="M341" s="1972"/>
      <c r="N341" s="1976"/>
      <c r="O341" s="1976"/>
      <c r="P341" s="1972"/>
      <c r="Q341" s="1972"/>
      <c r="R341" s="1996"/>
      <c r="S341" s="1996"/>
      <c r="T341" s="1996"/>
    </row>
    <row r="342" spans="1:20" s="736" customFormat="1" ht="15" customHeight="1" x14ac:dyDescent="0.2">
      <c r="A342" s="879"/>
      <c r="B342" s="880" t="s">
        <v>798</v>
      </c>
      <c r="C342" s="858" t="s">
        <v>770</v>
      </c>
      <c r="D342" s="807">
        <v>200</v>
      </c>
      <c r="E342" s="882">
        <v>7</v>
      </c>
      <c r="F342" s="894">
        <f t="shared" si="113"/>
        <v>1400</v>
      </c>
      <c r="G342" s="738"/>
      <c r="H342" s="836">
        <f t="shared" si="114"/>
        <v>1400</v>
      </c>
      <c r="I342" s="1972"/>
      <c r="J342" s="1990">
        <v>0.84699999999999998</v>
      </c>
      <c r="K342" s="1980">
        <f t="shared" si="115"/>
        <v>1185.8</v>
      </c>
      <c r="L342" s="1980"/>
      <c r="M342" s="1972"/>
      <c r="N342" s="1976"/>
      <c r="O342" s="1976"/>
      <c r="P342" s="1972"/>
      <c r="Q342" s="1972"/>
      <c r="R342" s="1996"/>
      <c r="S342" s="1996"/>
      <c r="T342" s="1996"/>
    </row>
    <row r="343" spans="1:20" s="720" customFormat="1" ht="12.75" x14ac:dyDescent="0.2">
      <c r="A343" s="777"/>
      <c r="B343" s="902" t="s">
        <v>1051</v>
      </c>
      <c r="C343" s="798"/>
      <c r="D343" s="799"/>
      <c r="E343" s="800"/>
      <c r="F343" s="801"/>
      <c r="G343" s="800"/>
      <c r="H343" s="800">
        <f>SUM(H344:H352)</f>
        <v>1740</v>
      </c>
      <c r="I343" s="2008"/>
      <c r="J343" s="1997"/>
      <c r="K343" s="1993"/>
      <c r="L343" s="1980">
        <f>SUM(K344:K352)</f>
        <v>1473.7799999999997</v>
      </c>
      <c r="M343" s="1992"/>
      <c r="N343" s="2007"/>
      <c r="O343" s="1994"/>
      <c r="P343" s="1994"/>
      <c r="Q343" s="2004"/>
      <c r="R343" s="1995"/>
      <c r="S343" s="1995"/>
      <c r="T343" s="1995"/>
    </row>
    <row r="344" spans="1:20" s="727" customFormat="1" ht="12.75" x14ac:dyDescent="0.2">
      <c r="A344" s="728"/>
      <c r="B344" s="806" t="s">
        <v>727</v>
      </c>
      <c r="C344" s="903" t="s">
        <v>689</v>
      </c>
      <c r="D344" s="797">
        <v>20</v>
      </c>
      <c r="E344" s="792">
        <v>26</v>
      </c>
      <c r="F344" s="792">
        <f t="shared" ref="F344:F352" si="116">D344*E344</f>
        <v>520</v>
      </c>
      <c r="G344" s="783"/>
      <c r="H344" s="783">
        <f>SUM(F344:G344)</f>
        <v>520</v>
      </c>
      <c r="I344" s="1996"/>
      <c r="J344" s="1990">
        <v>0.84699999999999998</v>
      </c>
      <c r="K344" s="1980">
        <f t="shared" ref="K344:K352" si="117">+H344*J344</f>
        <v>440.44</v>
      </c>
      <c r="L344" s="1980"/>
      <c r="M344" s="1983"/>
      <c r="N344" s="2005"/>
      <c r="O344" s="1972"/>
      <c r="P344" s="1972"/>
      <c r="Q344" s="1998"/>
      <c r="R344" s="1979"/>
      <c r="S344" s="1979"/>
      <c r="T344" s="1979"/>
    </row>
    <row r="345" spans="1:20" s="727" customFormat="1" ht="12.75" x14ac:dyDescent="0.2">
      <c r="A345" s="728"/>
      <c r="B345" s="806" t="s">
        <v>716</v>
      </c>
      <c r="C345" s="903" t="s">
        <v>647</v>
      </c>
      <c r="D345" s="797">
        <v>70</v>
      </c>
      <c r="E345" s="792">
        <v>0.3</v>
      </c>
      <c r="F345" s="792">
        <f t="shared" si="116"/>
        <v>21</v>
      </c>
      <c r="G345" s="783"/>
      <c r="H345" s="783">
        <f t="shared" ref="H345:H352" si="118">SUM(F345:G345)</f>
        <v>21</v>
      </c>
      <c r="I345" s="1996"/>
      <c r="J345" s="1990">
        <v>0.84699999999999998</v>
      </c>
      <c r="K345" s="1980">
        <f t="shared" si="117"/>
        <v>17.786999999999999</v>
      </c>
      <c r="L345" s="1980"/>
      <c r="M345" s="1983"/>
      <c r="N345" s="2005"/>
      <c r="O345" s="1972"/>
      <c r="P345" s="1972"/>
      <c r="Q345" s="1998"/>
      <c r="R345" s="1979"/>
      <c r="S345" s="1979"/>
      <c r="T345" s="1979"/>
    </row>
    <row r="346" spans="1:20" s="727" customFormat="1" ht="12.75" x14ac:dyDescent="0.2">
      <c r="A346" s="728"/>
      <c r="B346" s="806" t="s">
        <v>717</v>
      </c>
      <c r="C346" s="903" t="s">
        <v>647</v>
      </c>
      <c r="D346" s="797">
        <v>30</v>
      </c>
      <c r="E346" s="792">
        <v>2.2999999999999998</v>
      </c>
      <c r="F346" s="792">
        <f t="shared" si="116"/>
        <v>69</v>
      </c>
      <c r="G346" s="783"/>
      <c r="H346" s="783">
        <f t="shared" si="118"/>
        <v>69</v>
      </c>
      <c r="I346" s="1996"/>
      <c r="J346" s="1990">
        <v>0.84699999999999998</v>
      </c>
      <c r="K346" s="1980">
        <f t="shared" si="117"/>
        <v>58.442999999999998</v>
      </c>
      <c r="L346" s="1980"/>
      <c r="M346" s="1983"/>
      <c r="N346" s="2005"/>
      <c r="O346" s="1972"/>
      <c r="P346" s="1972"/>
      <c r="Q346" s="1998"/>
      <c r="R346" s="1979"/>
      <c r="S346" s="1979"/>
      <c r="T346" s="1979"/>
    </row>
    <row r="347" spans="1:20" s="727" customFormat="1" ht="12.75" x14ac:dyDescent="0.2">
      <c r="A347" s="728"/>
      <c r="B347" s="806" t="s">
        <v>718</v>
      </c>
      <c r="C347" s="903" t="s">
        <v>647</v>
      </c>
      <c r="D347" s="797">
        <v>30</v>
      </c>
      <c r="E347" s="792">
        <v>3</v>
      </c>
      <c r="F347" s="792">
        <f t="shared" si="116"/>
        <v>90</v>
      </c>
      <c r="G347" s="783"/>
      <c r="H347" s="783">
        <f t="shared" si="118"/>
        <v>90</v>
      </c>
      <c r="I347" s="1996"/>
      <c r="J347" s="1990">
        <v>0.84699999999999998</v>
      </c>
      <c r="K347" s="1980">
        <f t="shared" si="117"/>
        <v>76.23</v>
      </c>
      <c r="L347" s="1980"/>
      <c r="M347" s="1983"/>
      <c r="N347" s="2005"/>
      <c r="O347" s="1972"/>
      <c r="P347" s="1972"/>
      <c r="Q347" s="1998"/>
      <c r="R347" s="1979"/>
      <c r="S347" s="1979"/>
      <c r="T347" s="1979"/>
    </row>
    <row r="348" spans="1:20" s="727" customFormat="1" ht="12.75" x14ac:dyDescent="0.2">
      <c r="A348" s="728"/>
      <c r="B348" s="806" t="s">
        <v>723</v>
      </c>
      <c r="C348" s="903" t="s">
        <v>647</v>
      </c>
      <c r="D348" s="797">
        <v>20</v>
      </c>
      <c r="E348" s="792">
        <v>5.5</v>
      </c>
      <c r="F348" s="792">
        <f t="shared" si="116"/>
        <v>110</v>
      </c>
      <c r="G348" s="783"/>
      <c r="H348" s="783">
        <f t="shared" si="118"/>
        <v>110</v>
      </c>
      <c r="I348" s="1996"/>
      <c r="J348" s="1990">
        <v>0.84699999999999998</v>
      </c>
      <c r="K348" s="1980">
        <f t="shared" si="117"/>
        <v>93.17</v>
      </c>
      <c r="L348" s="1980"/>
      <c r="M348" s="1983"/>
      <c r="N348" s="2005"/>
      <c r="O348" s="1972"/>
      <c r="P348" s="1972"/>
      <c r="Q348" s="1998"/>
      <c r="R348" s="1979"/>
      <c r="S348" s="1979"/>
      <c r="T348" s="1979"/>
    </row>
    <row r="349" spans="1:20" s="727" customFormat="1" ht="12.75" x14ac:dyDescent="0.2">
      <c r="A349" s="728"/>
      <c r="B349" s="806" t="s">
        <v>693</v>
      </c>
      <c r="C349" s="903" t="s">
        <v>647</v>
      </c>
      <c r="D349" s="797">
        <v>3</v>
      </c>
      <c r="E349" s="792">
        <v>10</v>
      </c>
      <c r="F349" s="792">
        <f t="shared" si="116"/>
        <v>30</v>
      </c>
      <c r="G349" s="783"/>
      <c r="H349" s="783">
        <f t="shared" si="118"/>
        <v>30</v>
      </c>
      <c r="I349" s="1996"/>
      <c r="J349" s="1990">
        <v>0.84699999999999998</v>
      </c>
      <c r="K349" s="1980">
        <f t="shared" si="117"/>
        <v>25.41</v>
      </c>
      <c r="L349" s="1980"/>
      <c r="M349" s="1983"/>
      <c r="N349" s="2005"/>
      <c r="O349" s="1972"/>
      <c r="P349" s="1972"/>
      <c r="Q349" s="1998"/>
      <c r="R349" s="1979"/>
      <c r="S349" s="1979"/>
      <c r="T349" s="1979"/>
    </row>
    <row r="350" spans="1:20" s="727" customFormat="1" ht="12.75" x14ac:dyDescent="0.2">
      <c r="A350" s="728"/>
      <c r="B350" s="806" t="s">
        <v>728</v>
      </c>
      <c r="C350" s="903" t="s">
        <v>647</v>
      </c>
      <c r="D350" s="797">
        <v>30</v>
      </c>
      <c r="E350" s="792">
        <v>15</v>
      </c>
      <c r="F350" s="792">
        <f t="shared" si="116"/>
        <v>450</v>
      </c>
      <c r="G350" s="783"/>
      <c r="H350" s="783">
        <f t="shared" si="118"/>
        <v>450</v>
      </c>
      <c r="I350" s="1996"/>
      <c r="J350" s="1990">
        <v>0.84699999999999998</v>
      </c>
      <c r="K350" s="1980">
        <f t="shared" si="117"/>
        <v>381.15</v>
      </c>
      <c r="L350" s="1980"/>
      <c r="M350" s="1983"/>
      <c r="N350" s="2005"/>
      <c r="O350" s="1972"/>
      <c r="P350" s="1972"/>
      <c r="Q350" s="1998"/>
      <c r="R350" s="1979"/>
      <c r="S350" s="1979"/>
      <c r="T350" s="1979"/>
    </row>
    <row r="351" spans="1:20" s="727" customFormat="1" ht="12.75" x14ac:dyDescent="0.2">
      <c r="A351" s="728"/>
      <c r="B351" s="806" t="s">
        <v>729</v>
      </c>
      <c r="C351" s="903" t="s">
        <v>730</v>
      </c>
      <c r="D351" s="797">
        <v>30</v>
      </c>
      <c r="E351" s="792">
        <v>5</v>
      </c>
      <c r="F351" s="792">
        <f t="shared" si="116"/>
        <v>150</v>
      </c>
      <c r="G351" s="783"/>
      <c r="H351" s="783">
        <f t="shared" si="118"/>
        <v>150</v>
      </c>
      <c r="I351" s="1996"/>
      <c r="J351" s="1990">
        <v>0.84699999999999998</v>
      </c>
      <c r="K351" s="1980">
        <f t="shared" si="117"/>
        <v>127.05</v>
      </c>
      <c r="L351" s="1980"/>
      <c r="M351" s="1983"/>
      <c r="N351" s="2005"/>
      <c r="O351" s="1972"/>
      <c r="P351" s="1972"/>
      <c r="Q351" s="1998"/>
      <c r="R351" s="1979"/>
      <c r="S351" s="1979"/>
      <c r="T351" s="1979"/>
    </row>
    <row r="352" spans="1:20" s="727" customFormat="1" ht="12.75" x14ac:dyDescent="0.2">
      <c r="A352" s="728"/>
      <c r="B352" s="806" t="s">
        <v>684</v>
      </c>
      <c r="C352" s="903" t="s">
        <v>647</v>
      </c>
      <c r="D352" s="797">
        <v>30</v>
      </c>
      <c r="E352" s="792">
        <v>10</v>
      </c>
      <c r="F352" s="792">
        <f t="shared" si="116"/>
        <v>300</v>
      </c>
      <c r="G352" s="783"/>
      <c r="H352" s="783">
        <f t="shared" si="118"/>
        <v>300</v>
      </c>
      <c r="I352" s="1996"/>
      <c r="J352" s="1990">
        <v>0.84699999999999998</v>
      </c>
      <c r="K352" s="1980">
        <f t="shared" si="117"/>
        <v>254.1</v>
      </c>
      <c r="L352" s="1980"/>
      <c r="M352" s="1983"/>
      <c r="N352" s="2005"/>
      <c r="O352" s="1972"/>
      <c r="P352" s="1972"/>
      <c r="Q352" s="1998"/>
      <c r="R352" s="1979"/>
      <c r="S352" s="1979"/>
      <c r="T352" s="1979"/>
    </row>
    <row r="353" spans="1:20" s="736" customFormat="1" ht="24.75" customHeight="1" x14ac:dyDescent="0.2">
      <c r="A353" s="873"/>
      <c r="B353" s="874" t="s">
        <v>1100</v>
      </c>
      <c r="C353" s="875"/>
      <c r="D353" s="876"/>
      <c r="E353" s="877"/>
      <c r="F353" s="878"/>
      <c r="G353" s="793"/>
      <c r="H353" s="793">
        <f>SUM(H354:H356)</f>
        <v>4900</v>
      </c>
      <c r="I353" s="1972"/>
      <c r="J353" s="1972"/>
      <c r="K353" s="1980"/>
      <c r="L353" s="1980">
        <f>SUM(K354:K356)</f>
        <v>4244.8</v>
      </c>
      <c r="M353" s="1972"/>
      <c r="N353" s="1976"/>
      <c r="O353" s="1976"/>
      <c r="P353" s="1972"/>
      <c r="Q353" s="1972"/>
      <c r="R353" s="1996"/>
      <c r="S353" s="1996"/>
      <c r="T353" s="1996"/>
    </row>
    <row r="354" spans="1:20" s="736" customFormat="1" ht="17.25" customHeight="1" x14ac:dyDescent="0.2">
      <c r="A354" s="879"/>
      <c r="B354" s="880" t="s">
        <v>800</v>
      </c>
      <c r="C354" s="881" t="s">
        <v>1013</v>
      </c>
      <c r="D354" s="797">
        <v>1</v>
      </c>
      <c r="E354" s="796">
        <v>1500</v>
      </c>
      <c r="F354" s="894">
        <f>+D354*E354</f>
        <v>1500</v>
      </c>
      <c r="G354" s="738"/>
      <c r="H354" s="836">
        <f>SUM(F354:G354)</f>
        <v>1500</v>
      </c>
      <c r="I354" s="1972"/>
      <c r="J354" s="1999">
        <v>0.91</v>
      </c>
      <c r="K354" s="1980">
        <f>H354*J354</f>
        <v>1365</v>
      </c>
      <c r="L354" s="1980"/>
      <c r="M354" s="1972"/>
      <c r="N354" s="1976"/>
      <c r="O354" s="1976"/>
      <c r="P354" s="1972"/>
      <c r="Q354" s="1972"/>
      <c r="R354" s="1996"/>
      <c r="S354" s="1996"/>
      <c r="T354" s="1996"/>
    </row>
    <row r="355" spans="1:20" s="736" customFormat="1" ht="17.25" customHeight="1" x14ac:dyDescent="0.2">
      <c r="A355" s="879"/>
      <c r="B355" s="880" t="s">
        <v>764</v>
      </c>
      <c r="C355" s="858" t="s">
        <v>770</v>
      </c>
      <c r="D355" s="807">
        <v>200</v>
      </c>
      <c r="E355" s="882">
        <v>10</v>
      </c>
      <c r="F355" s="894">
        <f t="shared" ref="F355:F356" si="119">+D355*E355</f>
        <v>2000</v>
      </c>
      <c r="G355" s="738"/>
      <c r="H355" s="836">
        <f t="shared" ref="H355:H356" si="120">SUM(F355:G355)</f>
        <v>2000</v>
      </c>
      <c r="I355" s="1972"/>
      <c r="J355" s="1990">
        <v>0.84699999999999998</v>
      </c>
      <c r="K355" s="1980">
        <f t="shared" ref="K355:K356" si="121">H355*J355</f>
        <v>1694</v>
      </c>
      <c r="L355" s="1980"/>
      <c r="M355" s="1972"/>
      <c r="N355" s="1976"/>
      <c r="O355" s="1976"/>
      <c r="P355" s="1972"/>
      <c r="Q355" s="1972"/>
      <c r="R355" s="1996"/>
      <c r="S355" s="1996"/>
      <c r="T355" s="1996"/>
    </row>
    <row r="356" spans="1:20" s="736" customFormat="1" ht="17.25" customHeight="1" x14ac:dyDescent="0.2">
      <c r="A356" s="879"/>
      <c r="B356" s="880" t="s">
        <v>798</v>
      </c>
      <c r="C356" s="858" t="s">
        <v>770</v>
      </c>
      <c r="D356" s="807">
        <v>200</v>
      </c>
      <c r="E356" s="882">
        <v>7</v>
      </c>
      <c r="F356" s="894">
        <f t="shared" si="119"/>
        <v>1400</v>
      </c>
      <c r="G356" s="738"/>
      <c r="H356" s="836">
        <f t="shared" si="120"/>
        <v>1400</v>
      </c>
      <c r="I356" s="1972"/>
      <c r="J356" s="1990">
        <v>0.84699999999999998</v>
      </c>
      <c r="K356" s="1980">
        <f t="shared" si="121"/>
        <v>1185.8</v>
      </c>
      <c r="L356" s="1980"/>
      <c r="M356" s="1972"/>
      <c r="N356" s="1976"/>
      <c r="O356" s="1976"/>
      <c r="P356" s="1972"/>
      <c r="Q356" s="1972"/>
      <c r="R356" s="1996"/>
      <c r="S356" s="1996"/>
      <c r="T356" s="1996"/>
    </row>
    <row r="357" spans="1:20" s="720" customFormat="1" ht="12.75" x14ac:dyDescent="0.2">
      <c r="A357" s="777"/>
      <c r="B357" s="902" t="s">
        <v>1052</v>
      </c>
      <c r="C357" s="798"/>
      <c r="D357" s="799"/>
      <c r="E357" s="800"/>
      <c r="F357" s="801"/>
      <c r="G357" s="800"/>
      <c r="H357" s="800">
        <f>SUM(H358:H366)</f>
        <v>1740</v>
      </c>
      <c r="I357" s="1991"/>
      <c r="J357" s="2006"/>
      <c r="K357" s="1993"/>
      <c r="L357" s="1980">
        <f>SUM(K358:K366)</f>
        <v>1473.7799999999997</v>
      </c>
      <c r="M357" s="1992"/>
      <c r="N357" s="2007"/>
      <c r="O357" s="1994"/>
      <c r="P357" s="1994"/>
      <c r="Q357" s="2004"/>
      <c r="R357" s="1995"/>
      <c r="S357" s="1995"/>
      <c r="T357" s="1995"/>
    </row>
    <row r="358" spans="1:20" s="727" customFormat="1" ht="12.75" x14ac:dyDescent="0.2">
      <c r="A358" s="728"/>
      <c r="B358" s="806" t="s">
        <v>727</v>
      </c>
      <c r="C358" s="903" t="s">
        <v>689</v>
      </c>
      <c r="D358" s="797">
        <v>20</v>
      </c>
      <c r="E358" s="792">
        <v>26</v>
      </c>
      <c r="F358" s="792">
        <f t="shared" ref="F358:F366" si="122">D358*E358</f>
        <v>520</v>
      </c>
      <c r="G358" s="783"/>
      <c r="H358" s="783">
        <f>SUM(F358:G358)</f>
        <v>520</v>
      </c>
      <c r="I358" s="1996"/>
      <c r="J358" s="1990">
        <v>0.84699999999999998</v>
      </c>
      <c r="K358" s="1980">
        <f t="shared" ref="K358:K366" si="123">+H358*J358</f>
        <v>440.44</v>
      </c>
      <c r="L358" s="1980"/>
      <c r="M358" s="1983"/>
      <c r="N358" s="2005"/>
      <c r="O358" s="1972"/>
      <c r="P358" s="1972"/>
      <c r="Q358" s="1998"/>
      <c r="R358" s="1979"/>
      <c r="S358" s="1979"/>
      <c r="T358" s="1979"/>
    </row>
    <row r="359" spans="1:20" s="727" customFormat="1" ht="12.75" x14ac:dyDescent="0.2">
      <c r="A359" s="728"/>
      <c r="B359" s="806" t="s">
        <v>716</v>
      </c>
      <c r="C359" s="903" t="s">
        <v>647</v>
      </c>
      <c r="D359" s="797">
        <v>70</v>
      </c>
      <c r="E359" s="792">
        <v>0.3</v>
      </c>
      <c r="F359" s="792">
        <f t="shared" si="122"/>
        <v>21</v>
      </c>
      <c r="G359" s="783"/>
      <c r="H359" s="783">
        <f t="shared" ref="H359:H366" si="124">SUM(F359:G359)</f>
        <v>21</v>
      </c>
      <c r="I359" s="1996"/>
      <c r="J359" s="1990">
        <v>0.84699999999999998</v>
      </c>
      <c r="K359" s="1980">
        <f t="shared" si="123"/>
        <v>17.786999999999999</v>
      </c>
      <c r="L359" s="1980"/>
      <c r="M359" s="1983"/>
      <c r="N359" s="2005"/>
      <c r="O359" s="1972"/>
      <c r="P359" s="1972"/>
      <c r="Q359" s="1998"/>
      <c r="R359" s="1979"/>
      <c r="S359" s="1979"/>
      <c r="T359" s="1979"/>
    </row>
    <row r="360" spans="1:20" s="727" customFormat="1" ht="12.75" x14ac:dyDescent="0.2">
      <c r="A360" s="728"/>
      <c r="B360" s="806" t="s">
        <v>717</v>
      </c>
      <c r="C360" s="903" t="s">
        <v>647</v>
      </c>
      <c r="D360" s="797">
        <v>30</v>
      </c>
      <c r="E360" s="792">
        <v>2.2999999999999998</v>
      </c>
      <c r="F360" s="792">
        <f t="shared" si="122"/>
        <v>69</v>
      </c>
      <c r="G360" s="783"/>
      <c r="H360" s="783">
        <f t="shared" si="124"/>
        <v>69</v>
      </c>
      <c r="I360" s="1996"/>
      <c r="J360" s="1990">
        <v>0.84699999999999998</v>
      </c>
      <c r="K360" s="1980">
        <f t="shared" si="123"/>
        <v>58.442999999999998</v>
      </c>
      <c r="L360" s="1980"/>
      <c r="M360" s="1983"/>
      <c r="N360" s="2005"/>
      <c r="O360" s="1972"/>
      <c r="P360" s="1972"/>
      <c r="Q360" s="1998"/>
      <c r="R360" s="1979"/>
      <c r="S360" s="1979"/>
      <c r="T360" s="1979"/>
    </row>
    <row r="361" spans="1:20" s="727" customFormat="1" ht="12.75" x14ac:dyDescent="0.2">
      <c r="A361" s="728"/>
      <c r="B361" s="806" t="s">
        <v>718</v>
      </c>
      <c r="C361" s="903" t="s">
        <v>647</v>
      </c>
      <c r="D361" s="797">
        <v>30</v>
      </c>
      <c r="E361" s="792">
        <v>3</v>
      </c>
      <c r="F361" s="792">
        <f t="shared" si="122"/>
        <v>90</v>
      </c>
      <c r="G361" s="783"/>
      <c r="H361" s="783">
        <f t="shared" si="124"/>
        <v>90</v>
      </c>
      <c r="I361" s="1996"/>
      <c r="J361" s="1990">
        <v>0.84699999999999998</v>
      </c>
      <c r="K361" s="1980">
        <f t="shared" si="123"/>
        <v>76.23</v>
      </c>
      <c r="L361" s="1980"/>
      <c r="M361" s="1983"/>
      <c r="N361" s="2005"/>
      <c r="O361" s="1972"/>
      <c r="P361" s="1972"/>
      <c r="Q361" s="1998"/>
      <c r="R361" s="1979"/>
      <c r="S361" s="1979"/>
      <c r="T361" s="1979"/>
    </row>
    <row r="362" spans="1:20" s="727" customFormat="1" ht="12.75" x14ac:dyDescent="0.2">
      <c r="A362" s="728"/>
      <c r="B362" s="806" t="s">
        <v>723</v>
      </c>
      <c r="C362" s="903" t="s">
        <v>647</v>
      </c>
      <c r="D362" s="797">
        <v>20</v>
      </c>
      <c r="E362" s="792">
        <v>5.5</v>
      </c>
      <c r="F362" s="792">
        <f t="shared" si="122"/>
        <v>110</v>
      </c>
      <c r="G362" s="783"/>
      <c r="H362" s="783">
        <f t="shared" si="124"/>
        <v>110</v>
      </c>
      <c r="I362" s="1996"/>
      <c r="J362" s="1990">
        <v>0.84699999999999998</v>
      </c>
      <c r="K362" s="1980">
        <f t="shared" si="123"/>
        <v>93.17</v>
      </c>
      <c r="L362" s="1980"/>
      <c r="M362" s="1983"/>
      <c r="N362" s="2005"/>
      <c r="O362" s="1972"/>
      <c r="P362" s="1972"/>
      <c r="Q362" s="1998"/>
      <c r="R362" s="1979"/>
      <c r="S362" s="1979"/>
      <c r="T362" s="1979"/>
    </row>
    <row r="363" spans="1:20" s="727" customFormat="1" ht="12.75" x14ac:dyDescent="0.2">
      <c r="A363" s="728"/>
      <c r="B363" s="806" t="s">
        <v>693</v>
      </c>
      <c r="C363" s="903" t="s">
        <v>647</v>
      </c>
      <c r="D363" s="797">
        <v>3</v>
      </c>
      <c r="E363" s="792">
        <v>10</v>
      </c>
      <c r="F363" s="792">
        <f t="shared" si="122"/>
        <v>30</v>
      </c>
      <c r="G363" s="783"/>
      <c r="H363" s="783">
        <f t="shared" si="124"/>
        <v>30</v>
      </c>
      <c r="I363" s="1996"/>
      <c r="J363" s="1990">
        <v>0.84699999999999998</v>
      </c>
      <c r="K363" s="1980">
        <f t="shared" si="123"/>
        <v>25.41</v>
      </c>
      <c r="L363" s="1980"/>
      <c r="M363" s="1983"/>
      <c r="N363" s="2005"/>
      <c r="O363" s="1972"/>
      <c r="P363" s="1972"/>
      <c r="Q363" s="1998"/>
      <c r="R363" s="1979"/>
      <c r="S363" s="1979"/>
      <c r="T363" s="1979"/>
    </row>
    <row r="364" spans="1:20" s="727" customFormat="1" ht="12.75" x14ac:dyDescent="0.2">
      <c r="A364" s="728"/>
      <c r="B364" s="806" t="s">
        <v>728</v>
      </c>
      <c r="C364" s="903" t="s">
        <v>647</v>
      </c>
      <c r="D364" s="797">
        <v>30</v>
      </c>
      <c r="E364" s="792">
        <v>15</v>
      </c>
      <c r="F364" s="792">
        <f t="shared" si="122"/>
        <v>450</v>
      </c>
      <c r="G364" s="783"/>
      <c r="H364" s="783">
        <f t="shared" si="124"/>
        <v>450</v>
      </c>
      <c r="I364" s="1996"/>
      <c r="J364" s="1990">
        <v>0.84699999999999998</v>
      </c>
      <c r="K364" s="1980">
        <f t="shared" si="123"/>
        <v>381.15</v>
      </c>
      <c r="L364" s="1980"/>
      <c r="M364" s="1983"/>
      <c r="N364" s="2005"/>
      <c r="O364" s="1972"/>
      <c r="P364" s="1972"/>
      <c r="Q364" s="1998"/>
      <c r="R364" s="1979"/>
      <c r="S364" s="1979"/>
      <c r="T364" s="1979"/>
    </row>
    <row r="365" spans="1:20" s="727" customFormat="1" ht="12.75" x14ac:dyDescent="0.2">
      <c r="A365" s="728"/>
      <c r="B365" s="806" t="s">
        <v>729</v>
      </c>
      <c r="C365" s="903" t="s">
        <v>730</v>
      </c>
      <c r="D365" s="797">
        <v>30</v>
      </c>
      <c r="E365" s="792">
        <v>5</v>
      </c>
      <c r="F365" s="792">
        <f t="shared" si="122"/>
        <v>150</v>
      </c>
      <c r="G365" s="783"/>
      <c r="H365" s="783">
        <f t="shared" si="124"/>
        <v>150</v>
      </c>
      <c r="I365" s="1996"/>
      <c r="J365" s="1990">
        <v>0.84699999999999998</v>
      </c>
      <c r="K365" s="1980">
        <f t="shared" si="123"/>
        <v>127.05</v>
      </c>
      <c r="L365" s="1980"/>
      <c r="M365" s="1983"/>
      <c r="N365" s="2005"/>
      <c r="O365" s="1972"/>
      <c r="P365" s="1972"/>
      <c r="Q365" s="1998"/>
      <c r="R365" s="1979"/>
      <c r="S365" s="1979"/>
      <c r="T365" s="1979"/>
    </row>
    <row r="366" spans="1:20" s="727" customFormat="1" ht="12.75" x14ac:dyDescent="0.2">
      <c r="A366" s="728"/>
      <c r="B366" s="806" t="s">
        <v>684</v>
      </c>
      <c r="C366" s="903" t="s">
        <v>647</v>
      </c>
      <c r="D366" s="797">
        <v>30</v>
      </c>
      <c r="E366" s="792">
        <v>10</v>
      </c>
      <c r="F366" s="792">
        <f t="shared" si="122"/>
        <v>300</v>
      </c>
      <c r="G366" s="783"/>
      <c r="H366" s="783">
        <f t="shared" si="124"/>
        <v>300</v>
      </c>
      <c r="I366" s="1996"/>
      <c r="J366" s="1990">
        <v>0.84699999999999998</v>
      </c>
      <c r="K366" s="1980">
        <f t="shared" si="123"/>
        <v>254.1</v>
      </c>
      <c r="L366" s="1980"/>
      <c r="M366" s="1983"/>
      <c r="N366" s="2005"/>
      <c r="O366" s="1972"/>
      <c r="P366" s="1972"/>
      <c r="Q366" s="1998"/>
      <c r="R366" s="1979"/>
      <c r="S366" s="1979"/>
      <c r="T366" s="1979"/>
    </row>
    <row r="367" spans="1:20" s="736" customFormat="1" ht="22.5" customHeight="1" x14ac:dyDescent="0.2">
      <c r="A367" s="873"/>
      <c r="B367" s="874" t="s">
        <v>1101</v>
      </c>
      <c r="C367" s="875"/>
      <c r="D367" s="876"/>
      <c r="E367" s="877"/>
      <c r="F367" s="878"/>
      <c r="G367" s="793"/>
      <c r="H367" s="793">
        <f>SUM(H368:H370)</f>
        <v>4900</v>
      </c>
      <c r="I367" s="1972"/>
      <c r="J367" s="1972"/>
      <c r="K367" s="1980"/>
      <c r="L367" s="1980">
        <f>SUM(K368:K370)</f>
        <v>4244.8</v>
      </c>
      <c r="M367" s="1972"/>
      <c r="N367" s="1976"/>
      <c r="O367" s="1976"/>
      <c r="P367" s="1972"/>
      <c r="Q367" s="1972"/>
      <c r="R367" s="1996"/>
      <c r="S367" s="1996"/>
      <c r="T367" s="1996"/>
    </row>
    <row r="368" spans="1:20" s="736" customFormat="1" ht="17.25" customHeight="1" x14ac:dyDescent="0.2">
      <c r="A368" s="879"/>
      <c r="B368" s="880" t="s">
        <v>800</v>
      </c>
      <c r="C368" s="881" t="s">
        <v>1013</v>
      </c>
      <c r="D368" s="797">
        <v>1</v>
      </c>
      <c r="E368" s="796">
        <v>1500</v>
      </c>
      <c r="F368" s="894">
        <f>+D368*E368</f>
        <v>1500</v>
      </c>
      <c r="G368" s="738"/>
      <c r="H368" s="836">
        <f>SUM(F368:G368)</f>
        <v>1500</v>
      </c>
      <c r="I368" s="1972"/>
      <c r="J368" s="1999">
        <v>0.91</v>
      </c>
      <c r="K368" s="1980">
        <f>H368*J368</f>
        <v>1365</v>
      </c>
      <c r="L368" s="1980"/>
      <c r="M368" s="1972"/>
      <c r="N368" s="1976"/>
      <c r="O368" s="1976"/>
      <c r="P368" s="1972"/>
      <c r="Q368" s="1972"/>
      <c r="R368" s="1996"/>
      <c r="S368" s="1996"/>
      <c r="T368" s="1996"/>
    </row>
    <row r="369" spans="1:20" s="736" customFormat="1" ht="17.25" customHeight="1" x14ac:dyDescent="0.2">
      <c r="A369" s="879"/>
      <c r="B369" s="880" t="s">
        <v>764</v>
      </c>
      <c r="C369" s="858" t="s">
        <v>770</v>
      </c>
      <c r="D369" s="807">
        <v>200</v>
      </c>
      <c r="E369" s="882">
        <v>10</v>
      </c>
      <c r="F369" s="894">
        <f t="shared" ref="F369:F370" si="125">+D369*E369</f>
        <v>2000</v>
      </c>
      <c r="G369" s="738"/>
      <c r="H369" s="836">
        <f t="shared" ref="H369:H370" si="126">SUM(F369:G369)</f>
        <v>2000</v>
      </c>
      <c r="I369" s="1972"/>
      <c r="J369" s="1990">
        <v>0.84699999999999998</v>
      </c>
      <c r="K369" s="1980">
        <f t="shared" ref="K369:K370" si="127">H369*J369</f>
        <v>1694</v>
      </c>
      <c r="L369" s="1980"/>
      <c r="M369" s="1972"/>
      <c r="N369" s="1976"/>
      <c r="O369" s="1976"/>
      <c r="P369" s="1972"/>
      <c r="Q369" s="1972"/>
      <c r="R369" s="1996"/>
      <c r="S369" s="1996"/>
      <c r="T369" s="1996"/>
    </row>
    <row r="370" spans="1:20" s="736" customFormat="1" ht="17.25" customHeight="1" x14ac:dyDescent="0.2">
      <c r="A370" s="879"/>
      <c r="B370" s="880" t="s">
        <v>798</v>
      </c>
      <c r="C370" s="858" t="s">
        <v>770</v>
      </c>
      <c r="D370" s="807">
        <v>200</v>
      </c>
      <c r="E370" s="882">
        <v>7</v>
      </c>
      <c r="F370" s="894">
        <f t="shared" si="125"/>
        <v>1400</v>
      </c>
      <c r="G370" s="738"/>
      <c r="H370" s="836">
        <f t="shared" si="126"/>
        <v>1400</v>
      </c>
      <c r="I370" s="1972"/>
      <c r="J370" s="1990">
        <v>0.84699999999999998</v>
      </c>
      <c r="K370" s="1980">
        <f t="shared" si="127"/>
        <v>1185.8</v>
      </c>
      <c r="L370" s="1980"/>
      <c r="M370" s="1972"/>
      <c r="N370" s="1976"/>
      <c r="O370" s="1976"/>
      <c r="P370" s="1972"/>
      <c r="Q370" s="1972"/>
      <c r="R370" s="1996"/>
      <c r="S370" s="1996"/>
      <c r="T370" s="1996"/>
    </row>
    <row r="371" spans="1:20" s="720" customFormat="1" ht="12.75" x14ac:dyDescent="0.2">
      <c r="A371" s="777"/>
      <c r="B371" s="902" t="s">
        <v>1053</v>
      </c>
      <c r="C371" s="798"/>
      <c r="D371" s="799"/>
      <c r="E371" s="800"/>
      <c r="F371" s="801"/>
      <c r="G371" s="800"/>
      <c r="H371" s="800">
        <f>SUM(H372:H380)</f>
        <v>1740</v>
      </c>
      <c r="I371" s="1991"/>
      <c r="J371" s="2006"/>
      <c r="K371" s="1993"/>
      <c r="L371" s="1980">
        <f>SUM(K372:K380)</f>
        <v>1473.7799999999997</v>
      </c>
      <c r="M371" s="1992"/>
      <c r="N371" s="2007"/>
      <c r="O371" s="1994"/>
      <c r="P371" s="1994"/>
      <c r="Q371" s="2004"/>
      <c r="R371" s="1995"/>
      <c r="S371" s="1995"/>
      <c r="T371" s="1995"/>
    </row>
    <row r="372" spans="1:20" s="727" customFormat="1" ht="12.75" x14ac:dyDescent="0.2">
      <c r="A372" s="728"/>
      <c r="B372" s="806" t="s">
        <v>727</v>
      </c>
      <c r="C372" s="903" t="s">
        <v>689</v>
      </c>
      <c r="D372" s="797">
        <v>20</v>
      </c>
      <c r="E372" s="792">
        <v>26</v>
      </c>
      <c r="F372" s="792">
        <f t="shared" ref="F372:F380" si="128">D372*E372</f>
        <v>520</v>
      </c>
      <c r="G372" s="783"/>
      <c r="H372" s="783">
        <f>SUM(F372:G372)</f>
        <v>520</v>
      </c>
      <c r="I372" s="1996"/>
      <c r="J372" s="1990">
        <v>0.84699999999999998</v>
      </c>
      <c r="K372" s="1980">
        <f t="shared" ref="K372:K380" si="129">+H372*J372</f>
        <v>440.44</v>
      </c>
      <c r="L372" s="1980"/>
      <c r="M372" s="1983"/>
      <c r="N372" s="2005"/>
      <c r="O372" s="1972"/>
      <c r="P372" s="1972"/>
      <c r="Q372" s="1998"/>
      <c r="R372" s="1979"/>
      <c r="S372" s="1979"/>
      <c r="T372" s="1979"/>
    </row>
    <row r="373" spans="1:20" s="727" customFormat="1" ht="12.75" x14ac:dyDescent="0.2">
      <c r="A373" s="728"/>
      <c r="B373" s="806" t="s">
        <v>716</v>
      </c>
      <c r="C373" s="903" t="s">
        <v>647</v>
      </c>
      <c r="D373" s="797">
        <v>70</v>
      </c>
      <c r="E373" s="792">
        <v>0.3</v>
      </c>
      <c r="F373" s="792">
        <f t="shared" si="128"/>
        <v>21</v>
      </c>
      <c r="G373" s="783"/>
      <c r="H373" s="783">
        <f t="shared" ref="H373:H380" si="130">SUM(F373:G373)</f>
        <v>21</v>
      </c>
      <c r="I373" s="1996"/>
      <c r="J373" s="1990">
        <v>0.84699999999999998</v>
      </c>
      <c r="K373" s="1980">
        <f t="shared" si="129"/>
        <v>17.786999999999999</v>
      </c>
      <c r="L373" s="1980"/>
      <c r="M373" s="1983"/>
      <c r="N373" s="2005"/>
      <c r="O373" s="1972"/>
      <c r="P373" s="1972"/>
      <c r="Q373" s="1998"/>
      <c r="R373" s="1979"/>
      <c r="S373" s="1979"/>
      <c r="T373" s="1979"/>
    </row>
    <row r="374" spans="1:20" s="727" customFormat="1" ht="12.75" x14ac:dyDescent="0.2">
      <c r="A374" s="728"/>
      <c r="B374" s="806" t="s">
        <v>717</v>
      </c>
      <c r="C374" s="903" t="s">
        <v>647</v>
      </c>
      <c r="D374" s="797">
        <v>30</v>
      </c>
      <c r="E374" s="792">
        <v>2.2999999999999998</v>
      </c>
      <c r="F374" s="792">
        <f t="shared" si="128"/>
        <v>69</v>
      </c>
      <c r="G374" s="783"/>
      <c r="H374" s="783">
        <f t="shared" si="130"/>
        <v>69</v>
      </c>
      <c r="I374" s="1996"/>
      <c r="J374" s="1990">
        <v>0.84699999999999998</v>
      </c>
      <c r="K374" s="1980">
        <f t="shared" si="129"/>
        <v>58.442999999999998</v>
      </c>
      <c r="L374" s="1980"/>
      <c r="M374" s="1983"/>
      <c r="N374" s="2005"/>
      <c r="O374" s="1972"/>
      <c r="P374" s="1972"/>
      <c r="Q374" s="1998"/>
      <c r="R374" s="1979"/>
      <c r="S374" s="1979"/>
      <c r="T374" s="1979"/>
    </row>
    <row r="375" spans="1:20" s="727" customFormat="1" ht="12.75" x14ac:dyDescent="0.2">
      <c r="A375" s="728"/>
      <c r="B375" s="806" t="s">
        <v>718</v>
      </c>
      <c r="C375" s="903" t="s">
        <v>647</v>
      </c>
      <c r="D375" s="797">
        <v>30</v>
      </c>
      <c r="E375" s="792">
        <v>3</v>
      </c>
      <c r="F375" s="792">
        <f t="shared" si="128"/>
        <v>90</v>
      </c>
      <c r="G375" s="783"/>
      <c r="H375" s="783">
        <f t="shared" si="130"/>
        <v>90</v>
      </c>
      <c r="I375" s="1996"/>
      <c r="J375" s="1990">
        <v>0.84699999999999998</v>
      </c>
      <c r="K375" s="1980">
        <f t="shared" si="129"/>
        <v>76.23</v>
      </c>
      <c r="L375" s="1980"/>
      <c r="M375" s="1983"/>
      <c r="N375" s="2005"/>
      <c r="O375" s="1972"/>
      <c r="P375" s="1972"/>
      <c r="Q375" s="1998"/>
      <c r="R375" s="1979"/>
      <c r="S375" s="1979"/>
      <c r="T375" s="1979"/>
    </row>
    <row r="376" spans="1:20" s="727" customFormat="1" ht="12.75" x14ac:dyDescent="0.2">
      <c r="A376" s="728"/>
      <c r="B376" s="806" t="s">
        <v>723</v>
      </c>
      <c r="C376" s="903" t="s">
        <v>647</v>
      </c>
      <c r="D376" s="797">
        <v>20</v>
      </c>
      <c r="E376" s="792">
        <v>5.5</v>
      </c>
      <c r="F376" s="792">
        <f t="shared" si="128"/>
        <v>110</v>
      </c>
      <c r="G376" s="783"/>
      <c r="H376" s="783">
        <f t="shared" si="130"/>
        <v>110</v>
      </c>
      <c r="I376" s="1996"/>
      <c r="J376" s="1990">
        <v>0.84699999999999998</v>
      </c>
      <c r="K376" s="1980">
        <f t="shared" si="129"/>
        <v>93.17</v>
      </c>
      <c r="L376" s="1980"/>
      <c r="M376" s="1983"/>
      <c r="N376" s="2005"/>
      <c r="O376" s="1972"/>
      <c r="P376" s="1972"/>
      <c r="Q376" s="1998"/>
      <c r="R376" s="1979"/>
      <c r="S376" s="1979"/>
      <c r="T376" s="1979"/>
    </row>
    <row r="377" spans="1:20" s="727" customFormat="1" ht="12.75" x14ac:dyDescent="0.2">
      <c r="A377" s="728"/>
      <c r="B377" s="806" t="s">
        <v>693</v>
      </c>
      <c r="C377" s="903" t="s">
        <v>647</v>
      </c>
      <c r="D377" s="797">
        <v>3</v>
      </c>
      <c r="E377" s="792">
        <v>10</v>
      </c>
      <c r="F377" s="792">
        <f t="shared" si="128"/>
        <v>30</v>
      </c>
      <c r="G377" s="783"/>
      <c r="H377" s="783">
        <f t="shared" si="130"/>
        <v>30</v>
      </c>
      <c r="I377" s="1996"/>
      <c r="J377" s="1990">
        <v>0.84699999999999998</v>
      </c>
      <c r="K377" s="1980">
        <f t="shared" si="129"/>
        <v>25.41</v>
      </c>
      <c r="L377" s="1980"/>
      <c r="M377" s="1983"/>
      <c r="N377" s="2005"/>
      <c r="O377" s="1972"/>
      <c r="P377" s="1972"/>
      <c r="Q377" s="1998"/>
      <c r="R377" s="1979"/>
      <c r="S377" s="1979"/>
      <c r="T377" s="1979"/>
    </row>
    <row r="378" spans="1:20" s="727" customFormat="1" ht="12.75" x14ac:dyDescent="0.2">
      <c r="A378" s="728"/>
      <c r="B378" s="806" t="s">
        <v>728</v>
      </c>
      <c r="C378" s="903" t="s">
        <v>647</v>
      </c>
      <c r="D378" s="797">
        <v>30</v>
      </c>
      <c r="E378" s="792">
        <v>15</v>
      </c>
      <c r="F378" s="792">
        <f t="shared" si="128"/>
        <v>450</v>
      </c>
      <c r="G378" s="783"/>
      <c r="H378" s="783">
        <f t="shared" si="130"/>
        <v>450</v>
      </c>
      <c r="I378" s="1996"/>
      <c r="J378" s="1990">
        <v>0.84699999999999998</v>
      </c>
      <c r="K378" s="1980">
        <f t="shared" si="129"/>
        <v>381.15</v>
      </c>
      <c r="L378" s="1980"/>
      <c r="M378" s="1983"/>
      <c r="N378" s="2005"/>
      <c r="O378" s="1972"/>
      <c r="P378" s="1972"/>
      <c r="Q378" s="1998"/>
      <c r="R378" s="1979"/>
      <c r="S378" s="1979"/>
      <c r="T378" s="1979"/>
    </row>
    <row r="379" spans="1:20" s="727" customFormat="1" ht="12.75" x14ac:dyDescent="0.2">
      <c r="A379" s="728"/>
      <c r="B379" s="806" t="s">
        <v>729</v>
      </c>
      <c r="C379" s="903" t="s">
        <v>730</v>
      </c>
      <c r="D379" s="797">
        <v>30</v>
      </c>
      <c r="E379" s="792">
        <v>5</v>
      </c>
      <c r="F379" s="792">
        <f t="shared" si="128"/>
        <v>150</v>
      </c>
      <c r="G379" s="783"/>
      <c r="H379" s="783">
        <f t="shared" si="130"/>
        <v>150</v>
      </c>
      <c r="I379" s="1996"/>
      <c r="J379" s="1990">
        <v>0.84699999999999998</v>
      </c>
      <c r="K379" s="1980">
        <f t="shared" si="129"/>
        <v>127.05</v>
      </c>
      <c r="L379" s="1980"/>
      <c r="M379" s="1983"/>
      <c r="N379" s="2005"/>
      <c r="O379" s="1972"/>
      <c r="P379" s="1972"/>
      <c r="Q379" s="1998"/>
      <c r="R379" s="1979"/>
      <c r="S379" s="1979"/>
      <c r="T379" s="1979"/>
    </row>
    <row r="380" spans="1:20" s="727" customFormat="1" ht="12.75" x14ac:dyDescent="0.2">
      <c r="A380" s="728"/>
      <c r="B380" s="806" t="s">
        <v>684</v>
      </c>
      <c r="C380" s="903" t="s">
        <v>647</v>
      </c>
      <c r="D380" s="797">
        <v>30</v>
      </c>
      <c r="E380" s="792">
        <v>10</v>
      </c>
      <c r="F380" s="792">
        <f t="shared" si="128"/>
        <v>300</v>
      </c>
      <c r="G380" s="783"/>
      <c r="H380" s="783">
        <f t="shared" si="130"/>
        <v>300</v>
      </c>
      <c r="I380" s="1996"/>
      <c r="J380" s="1990">
        <v>0.84699999999999998</v>
      </c>
      <c r="K380" s="1980">
        <f t="shared" si="129"/>
        <v>254.1</v>
      </c>
      <c r="L380" s="1980"/>
      <c r="M380" s="1983"/>
      <c r="N380" s="2005"/>
      <c r="O380" s="1972"/>
      <c r="P380" s="1972"/>
      <c r="Q380" s="1998"/>
      <c r="R380" s="1979"/>
      <c r="S380" s="1979"/>
      <c r="T380" s="1979"/>
    </row>
    <row r="381" spans="1:20" s="736" customFormat="1" ht="23.25" customHeight="1" x14ac:dyDescent="0.2">
      <c r="A381" s="873"/>
      <c r="B381" s="874" t="s">
        <v>1102</v>
      </c>
      <c r="C381" s="875"/>
      <c r="D381" s="876"/>
      <c r="E381" s="877"/>
      <c r="F381" s="878"/>
      <c r="G381" s="793"/>
      <c r="H381" s="793">
        <f>SUM(H382:H384)</f>
        <v>4900</v>
      </c>
      <c r="I381" s="1972"/>
      <c r="J381" s="1972"/>
      <c r="K381" s="1980"/>
      <c r="L381" s="1980">
        <f>SUM(K382:K384)</f>
        <v>4244.8</v>
      </c>
      <c r="M381" s="1972"/>
      <c r="N381" s="1976"/>
      <c r="O381" s="1976"/>
      <c r="P381" s="1972"/>
      <c r="Q381" s="1972"/>
      <c r="R381" s="1996"/>
      <c r="S381" s="1996"/>
      <c r="T381" s="1996"/>
    </row>
    <row r="382" spans="1:20" s="736" customFormat="1" ht="17.25" customHeight="1" x14ac:dyDescent="0.2">
      <c r="A382" s="879"/>
      <c r="B382" s="880" t="s">
        <v>800</v>
      </c>
      <c r="C382" s="881" t="s">
        <v>1013</v>
      </c>
      <c r="D382" s="797">
        <v>1</v>
      </c>
      <c r="E382" s="796">
        <v>1500</v>
      </c>
      <c r="F382" s="894">
        <f>+D382*E382</f>
        <v>1500</v>
      </c>
      <c r="G382" s="738"/>
      <c r="H382" s="836">
        <f>SUM(F382:G382)</f>
        <v>1500</v>
      </c>
      <c r="I382" s="1972"/>
      <c r="J382" s="1999">
        <v>0.91</v>
      </c>
      <c r="K382" s="1980">
        <f>H382*J382</f>
        <v>1365</v>
      </c>
      <c r="L382" s="1980"/>
      <c r="M382" s="1972"/>
      <c r="N382" s="1976"/>
      <c r="O382" s="1976"/>
      <c r="P382" s="1972"/>
      <c r="Q382" s="1972"/>
      <c r="R382" s="1996"/>
      <c r="S382" s="1996"/>
      <c r="T382" s="1996"/>
    </row>
    <row r="383" spans="1:20" s="736" customFormat="1" ht="17.25" customHeight="1" x14ac:dyDescent="0.2">
      <c r="A383" s="879"/>
      <c r="B383" s="880" t="s">
        <v>764</v>
      </c>
      <c r="C383" s="858" t="s">
        <v>770</v>
      </c>
      <c r="D383" s="807">
        <v>200</v>
      </c>
      <c r="E383" s="882">
        <v>10</v>
      </c>
      <c r="F383" s="894">
        <f t="shared" ref="F383:F384" si="131">+D383*E383</f>
        <v>2000</v>
      </c>
      <c r="G383" s="738"/>
      <c r="H383" s="836">
        <f t="shared" ref="H383:H384" si="132">SUM(F383:G383)</f>
        <v>2000</v>
      </c>
      <c r="I383" s="1972"/>
      <c r="J383" s="1990">
        <v>0.84699999999999998</v>
      </c>
      <c r="K383" s="1980">
        <f t="shared" ref="K383:K384" si="133">H383*J383</f>
        <v>1694</v>
      </c>
      <c r="L383" s="1980"/>
      <c r="M383" s="1972"/>
      <c r="N383" s="1976"/>
      <c r="O383" s="1976"/>
      <c r="P383" s="1972"/>
      <c r="Q383" s="1972"/>
      <c r="R383" s="1996"/>
      <c r="S383" s="1996"/>
      <c r="T383" s="1996"/>
    </row>
    <row r="384" spans="1:20" s="736" customFormat="1" ht="17.25" customHeight="1" x14ac:dyDescent="0.2">
      <c r="A384" s="879"/>
      <c r="B384" s="880" t="s">
        <v>798</v>
      </c>
      <c r="C384" s="858" t="s">
        <v>770</v>
      </c>
      <c r="D384" s="807">
        <v>200</v>
      </c>
      <c r="E384" s="882">
        <v>7</v>
      </c>
      <c r="F384" s="894">
        <f t="shared" si="131"/>
        <v>1400</v>
      </c>
      <c r="G384" s="738"/>
      <c r="H384" s="836">
        <f t="shared" si="132"/>
        <v>1400</v>
      </c>
      <c r="I384" s="1972"/>
      <c r="J384" s="1990">
        <v>0.84699999999999998</v>
      </c>
      <c r="K384" s="1980">
        <f t="shared" si="133"/>
        <v>1185.8</v>
      </c>
      <c r="L384" s="1980"/>
      <c r="M384" s="1972"/>
      <c r="N384" s="1976"/>
      <c r="O384" s="1976"/>
      <c r="P384" s="1972"/>
      <c r="Q384" s="1972"/>
      <c r="R384" s="1996"/>
      <c r="S384" s="1996"/>
      <c r="T384" s="1996"/>
    </row>
    <row r="385" spans="1:20" s="720" customFormat="1" ht="12.75" x14ac:dyDescent="0.2">
      <c r="A385" s="777"/>
      <c r="B385" s="902" t="s">
        <v>1054</v>
      </c>
      <c r="C385" s="798"/>
      <c r="D385" s="799"/>
      <c r="E385" s="800"/>
      <c r="F385" s="801"/>
      <c r="G385" s="800"/>
      <c r="H385" s="800">
        <f>SUM(H386:H394)</f>
        <v>1740</v>
      </c>
      <c r="I385" s="1991"/>
      <c r="J385" s="2006"/>
      <c r="K385" s="1993"/>
      <c r="L385" s="1980">
        <f>SUM(K386:K394)</f>
        <v>1473.7799999999997</v>
      </c>
      <c r="M385" s="1992"/>
      <c r="N385" s="2007"/>
      <c r="O385" s="1994"/>
      <c r="P385" s="1994"/>
      <c r="Q385" s="2004"/>
      <c r="R385" s="1995"/>
      <c r="S385" s="1995"/>
      <c r="T385" s="1995"/>
    </row>
    <row r="386" spans="1:20" s="727" customFormat="1" ht="12.75" x14ac:dyDescent="0.2">
      <c r="A386" s="728"/>
      <c r="B386" s="806" t="s">
        <v>727</v>
      </c>
      <c r="C386" s="903" t="s">
        <v>689</v>
      </c>
      <c r="D386" s="797">
        <v>20</v>
      </c>
      <c r="E386" s="792">
        <v>26</v>
      </c>
      <c r="F386" s="792">
        <f t="shared" ref="F386:F394" si="134">D386*E386</f>
        <v>520</v>
      </c>
      <c r="G386" s="783"/>
      <c r="H386" s="783">
        <f>SUM(F386:G386)</f>
        <v>520</v>
      </c>
      <c r="I386" s="1996"/>
      <c r="J386" s="1990">
        <v>0.84699999999999998</v>
      </c>
      <c r="K386" s="1980">
        <f t="shared" ref="K386:K394" si="135">+H386*J386</f>
        <v>440.44</v>
      </c>
      <c r="L386" s="1980"/>
      <c r="M386" s="1983"/>
      <c r="N386" s="2005"/>
      <c r="O386" s="1972"/>
      <c r="P386" s="1972"/>
      <c r="Q386" s="1998"/>
      <c r="R386" s="1979"/>
      <c r="S386" s="1979"/>
      <c r="T386" s="1979"/>
    </row>
    <row r="387" spans="1:20" s="727" customFormat="1" ht="12.75" x14ac:dyDescent="0.2">
      <c r="A387" s="728"/>
      <c r="B387" s="806" t="s">
        <v>716</v>
      </c>
      <c r="C387" s="903" t="s">
        <v>647</v>
      </c>
      <c r="D387" s="797">
        <v>70</v>
      </c>
      <c r="E387" s="792">
        <v>0.3</v>
      </c>
      <c r="F387" s="792">
        <f t="shared" si="134"/>
        <v>21</v>
      </c>
      <c r="G387" s="783"/>
      <c r="H387" s="783">
        <f t="shared" ref="H387:H394" si="136">SUM(F387:G387)</f>
        <v>21</v>
      </c>
      <c r="I387" s="1996"/>
      <c r="J387" s="1990">
        <v>0.84699999999999998</v>
      </c>
      <c r="K387" s="1980">
        <f t="shared" si="135"/>
        <v>17.786999999999999</v>
      </c>
      <c r="L387" s="1980"/>
      <c r="M387" s="1983"/>
      <c r="N387" s="2005"/>
      <c r="O387" s="1972"/>
      <c r="P387" s="1972"/>
      <c r="Q387" s="1998"/>
      <c r="R387" s="1979"/>
      <c r="S387" s="1979"/>
      <c r="T387" s="1979"/>
    </row>
    <row r="388" spans="1:20" s="727" customFormat="1" ht="12.75" x14ac:dyDescent="0.2">
      <c r="A388" s="728"/>
      <c r="B388" s="806" t="s">
        <v>717</v>
      </c>
      <c r="C388" s="903" t="s">
        <v>647</v>
      </c>
      <c r="D388" s="797">
        <v>30</v>
      </c>
      <c r="E388" s="792">
        <v>2.2999999999999998</v>
      </c>
      <c r="F388" s="792">
        <f t="shared" si="134"/>
        <v>69</v>
      </c>
      <c r="G388" s="783"/>
      <c r="H388" s="783">
        <f t="shared" si="136"/>
        <v>69</v>
      </c>
      <c r="I388" s="1996"/>
      <c r="J388" s="1990">
        <v>0.84699999999999998</v>
      </c>
      <c r="K388" s="1980">
        <f t="shared" si="135"/>
        <v>58.442999999999998</v>
      </c>
      <c r="L388" s="1980"/>
      <c r="M388" s="1983"/>
      <c r="N388" s="2005"/>
      <c r="O388" s="1972"/>
      <c r="P388" s="1972"/>
      <c r="Q388" s="1998"/>
      <c r="R388" s="1979"/>
      <c r="S388" s="1979"/>
      <c r="T388" s="1979"/>
    </row>
    <row r="389" spans="1:20" s="727" customFormat="1" ht="12.75" x14ac:dyDescent="0.2">
      <c r="A389" s="728"/>
      <c r="B389" s="806" t="s">
        <v>718</v>
      </c>
      <c r="C389" s="903" t="s">
        <v>647</v>
      </c>
      <c r="D389" s="797">
        <v>30</v>
      </c>
      <c r="E389" s="792">
        <v>3</v>
      </c>
      <c r="F389" s="792">
        <f t="shared" si="134"/>
        <v>90</v>
      </c>
      <c r="G389" s="783"/>
      <c r="H389" s="783">
        <f t="shared" si="136"/>
        <v>90</v>
      </c>
      <c r="I389" s="1996"/>
      <c r="J389" s="1990">
        <v>0.84699999999999998</v>
      </c>
      <c r="K389" s="1980">
        <f t="shared" si="135"/>
        <v>76.23</v>
      </c>
      <c r="L389" s="1980"/>
      <c r="M389" s="1983"/>
      <c r="N389" s="2005"/>
      <c r="O389" s="1972"/>
      <c r="P389" s="1972"/>
      <c r="Q389" s="1998"/>
      <c r="R389" s="1979"/>
      <c r="S389" s="1979"/>
      <c r="T389" s="1979"/>
    </row>
    <row r="390" spans="1:20" s="727" customFormat="1" ht="12.75" x14ac:dyDescent="0.2">
      <c r="A390" s="728"/>
      <c r="B390" s="806" t="s">
        <v>723</v>
      </c>
      <c r="C390" s="903" t="s">
        <v>647</v>
      </c>
      <c r="D390" s="797">
        <v>20</v>
      </c>
      <c r="E390" s="792">
        <v>5.5</v>
      </c>
      <c r="F390" s="792">
        <f t="shared" si="134"/>
        <v>110</v>
      </c>
      <c r="G390" s="783"/>
      <c r="H390" s="783">
        <f t="shared" si="136"/>
        <v>110</v>
      </c>
      <c r="I390" s="1996"/>
      <c r="J390" s="1990">
        <v>0.84699999999999998</v>
      </c>
      <c r="K390" s="1980">
        <f t="shared" si="135"/>
        <v>93.17</v>
      </c>
      <c r="L390" s="1980"/>
      <c r="M390" s="1983"/>
      <c r="N390" s="2005"/>
      <c r="O390" s="1972"/>
      <c r="P390" s="1972"/>
      <c r="Q390" s="1998"/>
      <c r="R390" s="1979"/>
      <c r="S390" s="1979"/>
      <c r="T390" s="1979"/>
    </row>
    <row r="391" spans="1:20" s="727" customFormat="1" ht="12.75" x14ac:dyDescent="0.2">
      <c r="A391" s="728"/>
      <c r="B391" s="806" t="s">
        <v>693</v>
      </c>
      <c r="C391" s="903" t="s">
        <v>647</v>
      </c>
      <c r="D391" s="797">
        <v>3</v>
      </c>
      <c r="E391" s="792">
        <v>10</v>
      </c>
      <c r="F391" s="792">
        <f t="shared" si="134"/>
        <v>30</v>
      </c>
      <c r="G391" s="783"/>
      <c r="H391" s="783">
        <f t="shared" si="136"/>
        <v>30</v>
      </c>
      <c r="I391" s="1996"/>
      <c r="J391" s="1990">
        <v>0.84699999999999998</v>
      </c>
      <c r="K391" s="1980">
        <f t="shared" si="135"/>
        <v>25.41</v>
      </c>
      <c r="L391" s="1980"/>
      <c r="M391" s="1983"/>
      <c r="N391" s="2005"/>
      <c r="O391" s="1972"/>
      <c r="P391" s="1972"/>
      <c r="Q391" s="1998"/>
      <c r="R391" s="1979"/>
      <c r="S391" s="1979"/>
      <c r="T391" s="1979"/>
    </row>
    <row r="392" spans="1:20" s="727" customFormat="1" ht="12.75" x14ac:dyDescent="0.2">
      <c r="A392" s="728"/>
      <c r="B392" s="806" t="s">
        <v>728</v>
      </c>
      <c r="C392" s="903" t="s">
        <v>647</v>
      </c>
      <c r="D392" s="797">
        <v>30</v>
      </c>
      <c r="E392" s="792">
        <v>15</v>
      </c>
      <c r="F392" s="792">
        <f t="shared" si="134"/>
        <v>450</v>
      </c>
      <c r="G392" s="783"/>
      <c r="H392" s="783">
        <f t="shared" si="136"/>
        <v>450</v>
      </c>
      <c r="I392" s="1996"/>
      <c r="J392" s="1990">
        <v>0.84699999999999998</v>
      </c>
      <c r="K392" s="1980">
        <f t="shared" si="135"/>
        <v>381.15</v>
      </c>
      <c r="L392" s="1980"/>
      <c r="M392" s="1983"/>
      <c r="N392" s="2005"/>
      <c r="O392" s="1972"/>
      <c r="P392" s="1972"/>
      <c r="Q392" s="1998"/>
      <c r="R392" s="1979"/>
      <c r="S392" s="1979"/>
      <c r="T392" s="1979"/>
    </row>
    <row r="393" spans="1:20" s="727" customFormat="1" ht="12.75" x14ac:dyDescent="0.2">
      <c r="A393" s="728"/>
      <c r="B393" s="806" t="s">
        <v>729</v>
      </c>
      <c r="C393" s="903" t="s">
        <v>730</v>
      </c>
      <c r="D393" s="797">
        <v>30</v>
      </c>
      <c r="E393" s="792">
        <v>5</v>
      </c>
      <c r="F393" s="792">
        <f t="shared" si="134"/>
        <v>150</v>
      </c>
      <c r="G393" s="783"/>
      <c r="H393" s="783">
        <f t="shared" si="136"/>
        <v>150</v>
      </c>
      <c r="I393" s="1996"/>
      <c r="J393" s="1990">
        <v>0.84699999999999998</v>
      </c>
      <c r="K393" s="1980">
        <f t="shared" si="135"/>
        <v>127.05</v>
      </c>
      <c r="L393" s="1980"/>
      <c r="M393" s="1983"/>
      <c r="N393" s="2005"/>
      <c r="O393" s="1972"/>
      <c r="P393" s="1972"/>
      <c r="Q393" s="1998"/>
      <c r="R393" s="1979"/>
      <c r="S393" s="1979"/>
      <c r="T393" s="1979"/>
    </row>
    <row r="394" spans="1:20" s="727" customFormat="1" ht="12.75" x14ac:dyDescent="0.2">
      <c r="A394" s="728"/>
      <c r="B394" s="806" t="s">
        <v>684</v>
      </c>
      <c r="C394" s="903" t="s">
        <v>647</v>
      </c>
      <c r="D394" s="797">
        <v>30</v>
      </c>
      <c r="E394" s="792">
        <v>10</v>
      </c>
      <c r="F394" s="792">
        <f t="shared" si="134"/>
        <v>300</v>
      </c>
      <c r="G394" s="783"/>
      <c r="H394" s="783">
        <f t="shared" si="136"/>
        <v>300</v>
      </c>
      <c r="I394" s="1996"/>
      <c r="J394" s="1990">
        <v>0.84699999999999998</v>
      </c>
      <c r="K394" s="1980">
        <f t="shared" si="135"/>
        <v>254.1</v>
      </c>
      <c r="L394" s="1980"/>
      <c r="M394" s="1983"/>
      <c r="N394" s="2005"/>
      <c r="O394" s="1972"/>
      <c r="P394" s="1972"/>
      <c r="Q394" s="1998"/>
      <c r="R394" s="1979"/>
      <c r="S394" s="1979"/>
      <c r="T394" s="1979"/>
    </row>
    <row r="395" spans="1:20" s="736" customFormat="1" ht="23.25" customHeight="1" x14ac:dyDescent="0.2">
      <c r="A395" s="873"/>
      <c r="B395" s="874" t="s">
        <v>1103</v>
      </c>
      <c r="C395" s="875"/>
      <c r="D395" s="876"/>
      <c r="E395" s="877"/>
      <c r="F395" s="878"/>
      <c r="G395" s="793"/>
      <c r="H395" s="793">
        <f>SUM(H396:H398)</f>
        <v>4900</v>
      </c>
      <c r="I395" s="1972"/>
      <c r="J395" s="1972"/>
      <c r="K395" s="1980"/>
      <c r="L395" s="1980">
        <f>SUM(K396:K398)</f>
        <v>4244.8</v>
      </c>
      <c r="M395" s="1972"/>
      <c r="N395" s="1976"/>
      <c r="O395" s="1976"/>
      <c r="P395" s="1972"/>
      <c r="Q395" s="1972"/>
      <c r="R395" s="1996"/>
      <c r="S395" s="1996"/>
      <c r="T395" s="1996"/>
    </row>
    <row r="396" spans="1:20" s="736" customFormat="1" ht="17.25" customHeight="1" x14ac:dyDescent="0.2">
      <c r="A396" s="879"/>
      <c r="B396" s="880" t="s">
        <v>800</v>
      </c>
      <c r="C396" s="881" t="s">
        <v>1013</v>
      </c>
      <c r="D396" s="797">
        <v>1</v>
      </c>
      <c r="E396" s="796">
        <v>1500</v>
      </c>
      <c r="F396" s="894">
        <f>+D396*E396</f>
        <v>1500</v>
      </c>
      <c r="G396" s="738"/>
      <c r="H396" s="836">
        <f>SUM(F396:G396)</f>
        <v>1500</v>
      </c>
      <c r="I396" s="1972"/>
      <c r="J396" s="1999">
        <v>0.91</v>
      </c>
      <c r="K396" s="1980">
        <f>H396*J396</f>
        <v>1365</v>
      </c>
      <c r="L396" s="1980"/>
      <c r="M396" s="1972"/>
      <c r="N396" s="1976"/>
      <c r="O396" s="1976"/>
      <c r="P396" s="1972"/>
      <c r="Q396" s="1972"/>
      <c r="R396" s="1996"/>
      <c r="S396" s="1996"/>
      <c r="T396" s="1996"/>
    </row>
    <row r="397" spans="1:20" s="736" customFormat="1" ht="17.25" customHeight="1" x14ac:dyDescent="0.2">
      <c r="A397" s="879"/>
      <c r="B397" s="880" t="s">
        <v>764</v>
      </c>
      <c r="C397" s="858" t="s">
        <v>770</v>
      </c>
      <c r="D397" s="807">
        <v>200</v>
      </c>
      <c r="E397" s="882">
        <v>10</v>
      </c>
      <c r="F397" s="894">
        <f t="shared" ref="F397:F398" si="137">+D397*E397</f>
        <v>2000</v>
      </c>
      <c r="G397" s="738"/>
      <c r="H397" s="836">
        <f t="shared" ref="H397:H398" si="138">SUM(F397:G397)</f>
        <v>2000</v>
      </c>
      <c r="I397" s="1972"/>
      <c r="J397" s="1990">
        <v>0.84699999999999998</v>
      </c>
      <c r="K397" s="1980">
        <f t="shared" ref="K397:K398" si="139">H397*J397</f>
        <v>1694</v>
      </c>
      <c r="L397" s="1980"/>
      <c r="M397" s="1972"/>
      <c r="N397" s="1976"/>
      <c r="O397" s="1976"/>
      <c r="P397" s="1972"/>
      <c r="Q397" s="1972"/>
      <c r="R397" s="1996"/>
      <c r="S397" s="1996"/>
      <c r="T397" s="1996"/>
    </row>
    <row r="398" spans="1:20" s="736" customFormat="1" ht="17.25" customHeight="1" x14ac:dyDescent="0.2">
      <c r="A398" s="879"/>
      <c r="B398" s="880" t="s">
        <v>798</v>
      </c>
      <c r="C398" s="858" t="s">
        <v>770</v>
      </c>
      <c r="D398" s="807">
        <v>200</v>
      </c>
      <c r="E398" s="882">
        <v>7</v>
      </c>
      <c r="F398" s="894">
        <f t="shared" si="137"/>
        <v>1400</v>
      </c>
      <c r="G398" s="738"/>
      <c r="H398" s="836">
        <f t="shared" si="138"/>
        <v>1400</v>
      </c>
      <c r="I398" s="1972"/>
      <c r="J398" s="1990">
        <v>0.84699999999999998</v>
      </c>
      <c r="K398" s="1980">
        <f t="shared" si="139"/>
        <v>1185.8</v>
      </c>
      <c r="L398" s="1980"/>
      <c r="M398" s="1972"/>
      <c r="N398" s="1976"/>
      <c r="O398" s="1976"/>
      <c r="P398" s="1972"/>
      <c r="Q398" s="1972"/>
      <c r="R398" s="1996"/>
      <c r="S398" s="1996"/>
      <c r="T398" s="1996"/>
    </row>
    <row r="399" spans="1:20" s="720" customFormat="1" ht="12.75" x14ac:dyDescent="0.2">
      <c r="A399" s="777"/>
      <c r="B399" s="902" t="s">
        <v>1055</v>
      </c>
      <c r="C399" s="798"/>
      <c r="D399" s="799"/>
      <c r="E399" s="800"/>
      <c r="F399" s="801"/>
      <c r="G399" s="800"/>
      <c r="H399" s="800">
        <f>SUM(H400:H408)</f>
        <v>1740</v>
      </c>
      <c r="I399" s="1991"/>
      <c r="J399" s="2006"/>
      <c r="K399" s="1993"/>
      <c r="L399" s="1980">
        <f>SUM(K400:K408)</f>
        <v>1473.7799999999997</v>
      </c>
      <c r="M399" s="1992"/>
      <c r="N399" s="2007"/>
      <c r="O399" s="1994"/>
      <c r="P399" s="1994"/>
      <c r="Q399" s="2004"/>
      <c r="R399" s="1995"/>
      <c r="S399" s="1995"/>
      <c r="T399" s="1995"/>
    </row>
    <row r="400" spans="1:20" s="727" customFormat="1" ht="12.75" x14ac:dyDescent="0.2">
      <c r="A400" s="728"/>
      <c r="B400" s="806" t="s">
        <v>727</v>
      </c>
      <c r="C400" s="903" t="s">
        <v>689</v>
      </c>
      <c r="D400" s="797">
        <v>20</v>
      </c>
      <c r="E400" s="792">
        <v>26</v>
      </c>
      <c r="F400" s="792">
        <f t="shared" ref="F400:F408" si="140">D400*E400</f>
        <v>520</v>
      </c>
      <c r="G400" s="783"/>
      <c r="H400" s="783">
        <f>SUM(F400:G400)</f>
        <v>520</v>
      </c>
      <c r="I400" s="1996"/>
      <c r="J400" s="1990">
        <v>0.84699999999999998</v>
      </c>
      <c r="K400" s="1980">
        <f t="shared" ref="K400:K408" si="141">+H400*J400</f>
        <v>440.44</v>
      </c>
      <c r="L400" s="1980"/>
      <c r="M400" s="1983"/>
      <c r="N400" s="2005"/>
      <c r="O400" s="1972"/>
      <c r="P400" s="1972"/>
      <c r="Q400" s="1998"/>
      <c r="R400" s="1979"/>
      <c r="S400" s="1979"/>
      <c r="T400" s="1979"/>
    </row>
    <row r="401" spans="1:20" s="727" customFormat="1" ht="12.75" x14ac:dyDescent="0.2">
      <c r="A401" s="728"/>
      <c r="B401" s="806" t="s">
        <v>716</v>
      </c>
      <c r="C401" s="903" t="s">
        <v>647</v>
      </c>
      <c r="D401" s="797">
        <v>70</v>
      </c>
      <c r="E401" s="792">
        <v>0.3</v>
      </c>
      <c r="F401" s="792">
        <f t="shared" si="140"/>
        <v>21</v>
      </c>
      <c r="G401" s="783"/>
      <c r="H401" s="783">
        <f t="shared" ref="H401:H408" si="142">SUM(F401:G401)</f>
        <v>21</v>
      </c>
      <c r="I401" s="1996"/>
      <c r="J401" s="1990">
        <v>0.84699999999999998</v>
      </c>
      <c r="K401" s="1980">
        <f t="shared" si="141"/>
        <v>17.786999999999999</v>
      </c>
      <c r="L401" s="1980"/>
      <c r="M401" s="1983"/>
      <c r="N401" s="2005"/>
      <c r="O401" s="1972"/>
      <c r="P401" s="1972"/>
      <c r="Q401" s="1998"/>
      <c r="R401" s="1979"/>
      <c r="S401" s="1979"/>
      <c r="T401" s="1979"/>
    </row>
    <row r="402" spans="1:20" s="727" customFormat="1" ht="12.75" x14ac:dyDescent="0.2">
      <c r="A402" s="728"/>
      <c r="B402" s="806" t="s">
        <v>717</v>
      </c>
      <c r="C402" s="903" t="s">
        <v>647</v>
      </c>
      <c r="D402" s="797">
        <v>30</v>
      </c>
      <c r="E402" s="792">
        <v>2.2999999999999998</v>
      </c>
      <c r="F402" s="792">
        <f t="shared" si="140"/>
        <v>69</v>
      </c>
      <c r="G402" s="783"/>
      <c r="H402" s="783">
        <f t="shared" si="142"/>
        <v>69</v>
      </c>
      <c r="I402" s="1996"/>
      <c r="J402" s="1990">
        <v>0.84699999999999998</v>
      </c>
      <c r="K402" s="1980">
        <f t="shared" si="141"/>
        <v>58.442999999999998</v>
      </c>
      <c r="L402" s="1980"/>
      <c r="M402" s="1983"/>
      <c r="N402" s="2005"/>
      <c r="O402" s="1972"/>
      <c r="P402" s="1972"/>
      <c r="Q402" s="1998"/>
      <c r="R402" s="1979"/>
      <c r="S402" s="1979"/>
      <c r="T402" s="1979"/>
    </row>
    <row r="403" spans="1:20" s="727" customFormat="1" ht="12.75" x14ac:dyDescent="0.2">
      <c r="A403" s="728"/>
      <c r="B403" s="806" t="s">
        <v>718</v>
      </c>
      <c r="C403" s="903" t="s">
        <v>647</v>
      </c>
      <c r="D403" s="797">
        <v>30</v>
      </c>
      <c r="E403" s="792">
        <v>3</v>
      </c>
      <c r="F403" s="792">
        <f t="shared" si="140"/>
        <v>90</v>
      </c>
      <c r="G403" s="783"/>
      <c r="H403" s="783">
        <f t="shared" si="142"/>
        <v>90</v>
      </c>
      <c r="I403" s="1996"/>
      <c r="J403" s="1990">
        <v>0.84699999999999998</v>
      </c>
      <c r="K403" s="1980">
        <f t="shared" si="141"/>
        <v>76.23</v>
      </c>
      <c r="L403" s="1980"/>
      <c r="M403" s="1983"/>
      <c r="N403" s="2005"/>
      <c r="O403" s="1972"/>
      <c r="P403" s="1972"/>
      <c r="Q403" s="1998"/>
      <c r="R403" s="1979"/>
      <c r="S403" s="1979"/>
      <c r="T403" s="1979"/>
    </row>
    <row r="404" spans="1:20" s="727" customFormat="1" ht="12.75" x14ac:dyDescent="0.2">
      <c r="A404" s="728"/>
      <c r="B404" s="806" t="s">
        <v>723</v>
      </c>
      <c r="C404" s="903" t="s">
        <v>647</v>
      </c>
      <c r="D404" s="797">
        <v>20</v>
      </c>
      <c r="E404" s="792">
        <v>5.5</v>
      </c>
      <c r="F404" s="792">
        <f t="shared" si="140"/>
        <v>110</v>
      </c>
      <c r="G404" s="783"/>
      <c r="H404" s="783">
        <f t="shared" si="142"/>
        <v>110</v>
      </c>
      <c r="I404" s="1996"/>
      <c r="J404" s="1990">
        <v>0.84699999999999998</v>
      </c>
      <c r="K404" s="1980">
        <f t="shared" si="141"/>
        <v>93.17</v>
      </c>
      <c r="L404" s="1980"/>
      <c r="M404" s="1983"/>
      <c r="N404" s="2005"/>
      <c r="O404" s="1972"/>
      <c r="P404" s="1972"/>
      <c r="Q404" s="1998"/>
      <c r="R404" s="1979"/>
      <c r="S404" s="1979"/>
      <c r="T404" s="1979"/>
    </row>
    <row r="405" spans="1:20" s="727" customFormat="1" ht="12.75" x14ac:dyDescent="0.2">
      <c r="A405" s="728"/>
      <c r="B405" s="806" t="s">
        <v>693</v>
      </c>
      <c r="C405" s="903" t="s">
        <v>647</v>
      </c>
      <c r="D405" s="797">
        <v>3</v>
      </c>
      <c r="E405" s="792">
        <v>10</v>
      </c>
      <c r="F405" s="792">
        <f t="shared" si="140"/>
        <v>30</v>
      </c>
      <c r="G405" s="783"/>
      <c r="H405" s="783">
        <f t="shared" si="142"/>
        <v>30</v>
      </c>
      <c r="I405" s="1996"/>
      <c r="J405" s="1990">
        <v>0.84699999999999998</v>
      </c>
      <c r="K405" s="1980">
        <f t="shared" si="141"/>
        <v>25.41</v>
      </c>
      <c r="L405" s="1980"/>
      <c r="M405" s="1983"/>
      <c r="N405" s="2005"/>
      <c r="O405" s="1972"/>
      <c r="P405" s="1972"/>
      <c r="Q405" s="1998"/>
      <c r="R405" s="1979"/>
      <c r="S405" s="1979"/>
      <c r="T405" s="1979"/>
    </row>
    <row r="406" spans="1:20" s="727" customFormat="1" ht="12.75" x14ac:dyDescent="0.2">
      <c r="A406" s="728"/>
      <c r="B406" s="806" t="s">
        <v>728</v>
      </c>
      <c r="C406" s="903" t="s">
        <v>647</v>
      </c>
      <c r="D406" s="797">
        <v>30</v>
      </c>
      <c r="E406" s="792">
        <v>15</v>
      </c>
      <c r="F406" s="792">
        <f t="shared" si="140"/>
        <v>450</v>
      </c>
      <c r="G406" s="783"/>
      <c r="H406" s="783">
        <f t="shared" si="142"/>
        <v>450</v>
      </c>
      <c r="I406" s="1996"/>
      <c r="J406" s="1990">
        <v>0.84699999999999998</v>
      </c>
      <c r="K406" s="1980">
        <f t="shared" si="141"/>
        <v>381.15</v>
      </c>
      <c r="L406" s="1980"/>
      <c r="M406" s="1983"/>
      <c r="N406" s="2005"/>
      <c r="O406" s="1972"/>
      <c r="P406" s="1972"/>
      <c r="Q406" s="1998"/>
      <c r="R406" s="1979"/>
      <c r="S406" s="1979"/>
      <c r="T406" s="1979"/>
    </row>
    <row r="407" spans="1:20" s="727" customFormat="1" ht="12.75" x14ac:dyDescent="0.2">
      <c r="A407" s="728"/>
      <c r="B407" s="806" t="s">
        <v>729</v>
      </c>
      <c r="C407" s="903" t="s">
        <v>730</v>
      </c>
      <c r="D407" s="797">
        <v>30</v>
      </c>
      <c r="E407" s="792">
        <v>5</v>
      </c>
      <c r="F407" s="792">
        <f t="shared" si="140"/>
        <v>150</v>
      </c>
      <c r="G407" s="783"/>
      <c r="H407" s="783">
        <f t="shared" si="142"/>
        <v>150</v>
      </c>
      <c r="I407" s="1996"/>
      <c r="J407" s="1990">
        <v>0.84699999999999998</v>
      </c>
      <c r="K407" s="1980">
        <f t="shared" si="141"/>
        <v>127.05</v>
      </c>
      <c r="L407" s="1980"/>
      <c r="M407" s="1983"/>
      <c r="N407" s="2005"/>
      <c r="O407" s="1972"/>
      <c r="P407" s="1972"/>
      <c r="Q407" s="1998"/>
      <c r="R407" s="1979"/>
      <c r="S407" s="1979"/>
      <c r="T407" s="1979"/>
    </row>
    <row r="408" spans="1:20" s="727" customFormat="1" ht="12.75" x14ac:dyDescent="0.2">
      <c r="A408" s="728"/>
      <c r="B408" s="806" t="s">
        <v>684</v>
      </c>
      <c r="C408" s="903" t="s">
        <v>647</v>
      </c>
      <c r="D408" s="797">
        <v>30</v>
      </c>
      <c r="E408" s="792">
        <v>10</v>
      </c>
      <c r="F408" s="792">
        <f t="shared" si="140"/>
        <v>300</v>
      </c>
      <c r="G408" s="783"/>
      <c r="H408" s="783">
        <f t="shared" si="142"/>
        <v>300</v>
      </c>
      <c r="I408" s="1996"/>
      <c r="J408" s="1990">
        <v>0.84699999999999998</v>
      </c>
      <c r="K408" s="1980">
        <f t="shared" si="141"/>
        <v>254.1</v>
      </c>
      <c r="L408" s="1980"/>
      <c r="M408" s="1983"/>
      <c r="N408" s="2005"/>
      <c r="O408" s="1972"/>
      <c r="P408" s="1972"/>
      <c r="Q408" s="1998"/>
      <c r="R408" s="1979"/>
      <c r="S408" s="1979"/>
      <c r="T408" s="1979"/>
    </row>
    <row r="409" spans="1:20" s="736" customFormat="1" ht="24" customHeight="1" x14ac:dyDescent="0.2">
      <c r="A409" s="873"/>
      <c r="B409" s="874" t="s">
        <v>1104</v>
      </c>
      <c r="C409" s="875"/>
      <c r="D409" s="876"/>
      <c r="E409" s="877"/>
      <c r="F409" s="878"/>
      <c r="G409" s="793"/>
      <c r="H409" s="793">
        <f>SUM(H410:H412)</f>
        <v>4900</v>
      </c>
      <c r="I409" s="1972"/>
      <c r="J409" s="1972"/>
      <c r="K409" s="1980"/>
      <c r="L409" s="1980">
        <f>SUM(K410:K412)</f>
        <v>4244.8</v>
      </c>
      <c r="M409" s="1972"/>
      <c r="N409" s="1976"/>
      <c r="O409" s="1976"/>
      <c r="P409" s="1972"/>
      <c r="Q409" s="1972"/>
      <c r="R409" s="1996"/>
      <c r="S409" s="1996"/>
      <c r="T409" s="1996"/>
    </row>
    <row r="410" spans="1:20" s="736" customFormat="1" ht="17.25" customHeight="1" x14ac:dyDescent="0.2">
      <c r="A410" s="879"/>
      <c r="B410" s="880" t="s">
        <v>800</v>
      </c>
      <c r="C410" s="881" t="s">
        <v>1013</v>
      </c>
      <c r="D410" s="797">
        <v>1</v>
      </c>
      <c r="E410" s="796">
        <v>1500</v>
      </c>
      <c r="F410" s="894">
        <f>+D410*E410</f>
        <v>1500</v>
      </c>
      <c r="G410" s="738"/>
      <c r="H410" s="836">
        <f>SUM(F410:G410)</f>
        <v>1500</v>
      </c>
      <c r="I410" s="1972"/>
      <c r="J410" s="1999">
        <v>0.91</v>
      </c>
      <c r="K410" s="1980">
        <f>H410*J410</f>
        <v>1365</v>
      </c>
      <c r="L410" s="1980"/>
      <c r="M410" s="1972"/>
      <c r="N410" s="1976"/>
      <c r="O410" s="1976"/>
      <c r="P410" s="1972"/>
      <c r="Q410" s="1972"/>
      <c r="R410" s="1996"/>
      <c r="S410" s="1996"/>
      <c r="T410" s="1996"/>
    </row>
    <row r="411" spans="1:20" s="736" customFormat="1" ht="17.25" customHeight="1" x14ac:dyDescent="0.2">
      <c r="A411" s="879"/>
      <c r="B411" s="880" t="s">
        <v>764</v>
      </c>
      <c r="C411" s="858" t="s">
        <v>770</v>
      </c>
      <c r="D411" s="807">
        <v>200</v>
      </c>
      <c r="E411" s="882">
        <v>10</v>
      </c>
      <c r="F411" s="894">
        <f t="shared" ref="F411:F412" si="143">+D411*E411</f>
        <v>2000</v>
      </c>
      <c r="G411" s="738"/>
      <c r="H411" s="836">
        <f t="shared" ref="H411:H412" si="144">SUM(F411:G411)</f>
        <v>2000</v>
      </c>
      <c r="I411" s="1972"/>
      <c r="J411" s="1990">
        <v>0.84699999999999998</v>
      </c>
      <c r="K411" s="1980">
        <f t="shared" ref="K411:K412" si="145">H411*J411</f>
        <v>1694</v>
      </c>
      <c r="L411" s="1980"/>
      <c r="M411" s="1972"/>
      <c r="N411" s="1976"/>
      <c r="O411" s="1976"/>
      <c r="P411" s="1972"/>
      <c r="Q411" s="1972"/>
      <c r="R411" s="1996"/>
      <c r="S411" s="1996"/>
      <c r="T411" s="1996"/>
    </row>
    <row r="412" spans="1:20" s="736" customFormat="1" ht="17.25" customHeight="1" x14ac:dyDescent="0.2">
      <c r="A412" s="879"/>
      <c r="B412" s="880" t="s">
        <v>798</v>
      </c>
      <c r="C412" s="858" t="s">
        <v>770</v>
      </c>
      <c r="D412" s="807">
        <v>200</v>
      </c>
      <c r="E412" s="882">
        <v>7</v>
      </c>
      <c r="F412" s="894">
        <f t="shared" si="143"/>
        <v>1400</v>
      </c>
      <c r="G412" s="738"/>
      <c r="H412" s="836">
        <f t="shared" si="144"/>
        <v>1400</v>
      </c>
      <c r="I412" s="1972"/>
      <c r="J412" s="1990">
        <v>0.84699999999999998</v>
      </c>
      <c r="K412" s="1980">
        <f t="shared" si="145"/>
        <v>1185.8</v>
      </c>
      <c r="L412" s="1980"/>
      <c r="M412" s="1972"/>
      <c r="N412" s="1976"/>
      <c r="O412" s="1976"/>
      <c r="P412" s="1972"/>
      <c r="Q412" s="1972"/>
      <c r="R412" s="1996"/>
      <c r="S412" s="1996"/>
      <c r="T412" s="1996"/>
    </row>
    <row r="413" spans="1:20" s="720" customFormat="1" ht="12.75" x14ac:dyDescent="0.2">
      <c r="A413" s="777"/>
      <c r="B413" s="902" t="s">
        <v>1056</v>
      </c>
      <c r="C413" s="798"/>
      <c r="D413" s="799"/>
      <c r="E413" s="800"/>
      <c r="F413" s="801"/>
      <c r="G413" s="800"/>
      <c r="H413" s="800">
        <f>SUM(H414:H422)</f>
        <v>1740</v>
      </c>
      <c r="I413" s="1991"/>
      <c r="J413" s="2006"/>
      <c r="K413" s="1993"/>
      <c r="L413" s="1980">
        <f>SUM(K414:K422)</f>
        <v>1473.7799999999997</v>
      </c>
      <c r="M413" s="1992"/>
      <c r="N413" s="2007"/>
      <c r="O413" s="1994"/>
      <c r="P413" s="1994"/>
      <c r="Q413" s="2004"/>
      <c r="R413" s="1995"/>
      <c r="S413" s="1995"/>
      <c r="T413" s="1995"/>
    </row>
    <row r="414" spans="1:20" s="727" customFormat="1" ht="12.75" x14ac:dyDescent="0.2">
      <c r="A414" s="728"/>
      <c r="B414" s="806" t="s">
        <v>727</v>
      </c>
      <c r="C414" s="903" t="s">
        <v>689</v>
      </c>
      <c r="D414" s="797">
        <v>20</v>
      </c>
      <c r="E414" s="792">
        <v>26</v>
      </c>
      <c r="F414" s="792">
        <f t="shared" ref="F414:F422" si="146">D414*E414</f>
        <v>520</v>
      </c>
      <c r="G414" s="783"/>
      <c r="H414" s="783">
        <f>SUM(F414:G414)</f>
        <v>520</v>
      </c>
      <c r="I414" s="1996"/>
      <c r="J414" s="1990">
        <v>0.84699999999999998</v>
      </c>
      <c r="K414" s="1980">
        <f t="shared" ref="K414:K422" si="147">+H414*J414</f>
        <v>440.44</v>
      </c>
      <c r="L414" s="1980"/>
      <c r="M414" s="1983"/>
      <c r="N414" s="2005"/>
      <c r="O414" s="1972"/>
      <c r="P414" s="1972"/>
      <c r="Q414" s="1998"/>
      <c r="R414" s="1979"/>
      <c r="S414" s="1979"/>
      <c r="T414" s="1979"/>
    </row>
    <row r="415" spans="1:20" s="727" customFormat="1" ht="12.75" x14ac:dyDescent="0.2">
      <c r="A415" s="728"/>
      <c r="B415" s="806" t="s">
        <v>716</v>
      </c>
      <c r="C415" s="903" t="s">
        <v>647</v>
      </c>
      <c r="D415" s="797">
        <v>70</v>
      </c>
      <c r="E415" s="792">
        <v>0.3</v>
      </c>
      <c r="F415" s="792">
        <f t="shared" si="146"/>
        <v>21</v>
      </c>
      <c r="G415" s="783"/>
      <c r="H415" s="783">
        <f t="shared" ref="H415:H422" si="148">SUM(F415:G415)</f>
        <v>21</v>
      </c>
      <c r="I415" s="1996"/>
      <c r="J415" s="1990">
        <v>0.84699999999999998</v>
      </c>
      <c r="K415" s="1980">
        <f t="shared" si="147"/>
        <v>17.786999999999999</v>
      </c>
      <c r="L415" s="1980"/>
      <c r="M415" s="1983"/>
      <c r="N415" s="2005"/>
      <c r="O415" s="1972"/>
      <c r="P415" s="1972"/>
      <c r="Q415" s="1998"/>
      <c r="R415" s="1979"/>
      <c r="S415" s="1979"/>
      <c r="T415" s="1979"/>
    </row>
    <row r="416" spans="1:20" s="727" customFormat="1" ht="12.75" x14ac:dyDescent="0.2">
      <c r="A416" s="728"/>
      <c r="B416" s="806" t="s">
        <v>717</v>
      </c>
      <c r="C416" s="903" t="s">
        <v>647</v>
      </c>
      <c r="D416" s="797">
        <v>30</v>
      </c>
      <c r="E416" s="792">
        <v>2.2999999999999998</v>
      </c>
      <c r="F416" s="792">
        <f t="shared" si="146"/>
        <v>69</v>
      </c>
      <c r="G416" s="783"/>
      <c r="H416" s="783">
        <f t="shared" si="148"/>
        <v>69</v>
      </c>
      <c r="I416" s="1996"/>
      <c r="J416" s="1990">
        <v>0.84699999999999998</v>
      </c>
      <c r="K416" s="1980">
        <f t="shared" si="147"/>
        <v>58.442999999999998</v>
      </c>
      <c r="L416" s="1980"/>
      <c r="M416" s="1983"/>
      <c r="N416" s="2005"/>
      <c r="O416" s="1972"/>
      <c r="P416" s="1972"/>
      <c r="Q416" s="1998"/>
      <c r="R416" s="1979"/>
      <c r="S416" s="1979"/>
      <c r="T416" s="1979"/>
    </row>
    <row r="417" spans="1:20" s="727" customFormat="1" ht="12.75" x14ac:dyDescent="0.2">
      <c r="A417" s="728"/>
      <c r="B417" s="806" t="s">
        <v>718</v>
      </c>
      <c r="C417" s="903" t="s">
        <v>647</v>
      </c>
      <c r="D417" s="797">
        <v>30</v>
      </c>
      <c r="E417" s="792">
        <v>3</v>
      </c>
      <c r="F417" s="792">
        <f t="shared" si="146"/>
        <v>90</v>
      </c>
      <c r="G417" s="783"/>
      <c r="H417" s="783">
        <f t="shared" si="148"/>
        <v>90</v>
      </c>
      <c r="I417" s="1996"/>
      <c r="J417" s="1990">
        <v>0.84699999999999998</v>
      </c>
      <c r="K417" s="1980">
        <f t="shared" si="147"/>
        <v>76.23</v>
      </c>
      <c r="L417" s="1980"/>
      <c r="M417" s="1983"/>
      <c r="N417" s="2005"/>
      <c r="O417" s="1972"/>
      <c r="P417" s="1972"/>
      <c r="Q417" s="1998"/>
      <c r="R417" s="1979"/>
      <c r="S417" s="1979"/>
      <c r="T417" s="1979"/>
    </row>
    <row r="418" spans="1:20" s="727" customFormat="1" ht="12.75" x14ac:dyDescent="0.2">
      <c r="A418" s="728"/>
      <c r="B418" s="806" t="s">
        <v>723</v>
      </c>
      <c r="C418" s="903" t="s">
        <v>647</v>
      </c>
      <c r="D418" s="797">
        <v>20</v>
      </c>
      <c r="E418" s="792">
        <v>5.5</v>
      </c>
      <c r="F418" s="792">
        <f t="shared" si="146"/>
        <v>110</v>
      </c>
      <c r="G418" s="783"/>
      <c r="H418" s="783">
        <f t="shared" si="148"/>
        <v>110</v>
      </c>
      <c r="I418" s="1996"/>
      <c r="J418" s="1990">
        <v>0.84699999999999998</v>
      </c>
      <c r="K418" s="1980">
        <f t="shared" si="147"/>
        <v>93.17</v>
      </c>
      <c r="L418" s="1980"/>
      <c r="M418" s="1983"/>
      <c r="N418" s="2005"/>
      <c r="O418" s="1972"/>
      <c r="P418" s="1972"/>
      <c r="Q418" s="1998"/>
      <c r="R418" s="1979"/>
      <c r="S418" s="1979"/>
      <c r="T418" s="1979"/>
    </row>
    <row r="419" spans="1:20" s="727" customFormat="1" ht="12.75" x14ac:dyDescent="0.2">
      <c r="A419" s="728"/>
      <c r="B419" s="806" t="s">
        <v>693</v>
      </c>
      <c r="C419" s="903" t="s">
        <v>647</v>
      </c>
      <c r="D419" s="797">
        <v>3</v>
      </c>
      <c r="E419" s="792">
        <v>10</v>
      </c>
      <c r="F419" s="792">
        <f t="shared" si="146"/>
        <v>30</v>
      </c>
      <c r="G419" s="783"/>
      <c r="H419" s="783">
        <f t="shared" si="148"/>
        <v>30</v>
      </c>
      <c r="I419" s="1996"/>
      <c r="J419" s="1990">
        <v>0.84699999999999998</v>
      </c>
      <c r="K419" s="1980">
        <f t="shared" si="147"/>
        <v>25.41</v>
      </c>
      <c r="L419" s="1980"/>
      <c r="M419" s="1983"/>
      <c r="N419" s="2005"/>
      <c r="O419" s="1972"/>
      <c r="P419" s="1972"/>
      <c r="Q419" s="1998"/>
      <c r="R419" s="1979"/>
      <c r="S419" s="1979"/>
      <c r="T419" s="1979"/>
    </row>
    <row r="420" spans="1:20" s="727" customFormat="1" ht="12.75" x14ac:dyDescent="0.2">
      <c r="A420" s="728"/>
      <c r="B420" s="806" t="s">
        <v>728</v>
      </c>
      <c r="C420" s="903" t="s">
        <v>647</v>
      </c>
      <c r="D420" s="797">
        <v>30</v>
      </c>
      <c r="E420" s="792">
        <v>15</v>
      </c>
      <c r="F420" s="792">
        <f t="shared" si="146"/>
        <v>450</v>
      </c>
      <c r="G420" s="783"/>
      <c r="H420" s="783">
        <f t="shared" si="148"/>
        <v>450</v>
      </c>
      <c r="I420" s="1996"/>
      <c r="J420" s="1990">
        <v>0.84699999999999998</v>
      </c>
      <c r="K420" s="1980">
        <f t="shared" si="147"/>
        <v>381.15</v>
      </c>
      <c r="L420" s="1980"/>
      <c r="M420" s="1983"/>
      <c r="N420" s="2005"/>
      <c r="O420" s="1972"/>
      <c r="P420" s="1972"/>
      <c r="Q420" s="1998"/>
      <c r="R420" s="1979"/>
      <c r="S420" s="1979"/>
      <c r="T420" s="1979"/>
    </row>
    <row r="421" spans="1:20" s="727" customFormat="1" ht="12.75" x14ac:dyDescent="0.2">
      <c r="A421" s="728"/>
      <c r="B421" s="806" t="s">
        <v>729</v>
      </c>
      <c r="C421" s="903" t="s">
        <v>730</v>
      </c>
      <c r="D421" s="797">
        <v>30</v>
      </c>
      <c r="E421" s="792">
        <v>5</v>
      </c>
      <c r="F421" s="792">
        <f t="shared" si="146"/>
        <v>150</v>
      </c>
      <c r="G421" s="783"/>
      <c r="H421" s="783">
        <f t="shared" si="148"/>
        <v>150</v>
      </c>
      <c r="I421" s="1996"/>
      <c r="J421" s="1990">
        <v>0.84699999999999998</v>
      </c>
      <c r="K421" s="1980">
        <f t="shared" si="147"/>
        <v>127.05</v>
      </c>
      <c r="L421" s="1980"/>
      <c r="M421" s="1983"/>
      <c r="N421" s="2005"/>
      <c r="O421" s="1972"/>
      <c r="P421" s="1972"/>
      <c r="Q421" s="1998"/>
      <c r="R421" s="1979"/>
      <c r="S421" s="1979"/>
      <c r="T421" s="1979"/>
    </row>
    <row r="422" spans="1:20" s="727" customFormat="1" ht="13.5" thickBot="1" x14ac:dyDescent="0.25">
      <c r="A422" s="728"/>
      <c r="B422" s="806" t="s">
        <v>684</v>
      </c>
      <c r="C422" s="903" t="s">
        <v>647</v>
      </c>
      <c r="D422" s="797">
        <v>30</v>
      </c>
      <c r="E422" s="792">
        <v>10</v>
      </c>
      <c r="F422" s="792">
        <f t="shared" si="146"/>
        <v>300</v>
      </c>
      <c r="G422" s="783"/>
      <c r="H422" s="783">
        <f t="shared" si="148"/>
        <v>300</v>
      </c>
      <c r="I422" s="1996"/>
      <c r="J422" s="1990">
        <v>0.84699999999999998</v>
      </c>
      <c r="K422" s="1980">
        <f t="shared" si="147"/>
        <v>254.1</v>
      </c>
      <c r="L422" s="1980"/>
      <c r="M422" s="1983"/>
      <c r="N422" s="2005"/>
      <c r="O422" s="1972"/>
      <c r="P422" s="1972"/>
      <c r="Q422" s="1998"/>
      <c r="R422" s="1979"/>
      <c r="S422" s="1979"/>
      <c r="T422" s="1979"/>
    </row>
    <row r="423" spans="1:20" s="727" customFormat="1" ht="26.25" thickBot="1" x14ac:dyDescent="0.25">
      <c r="A423" s="719" t="s">
        <v>1224</v>
      </c>
      <c r="B423" s="721" t="s">
        <v>1233</v>
      </c>
      <c r="C423" s="904"/>
      <c r="D423" s="905"/>
      <c r="E423" s="812"/>
      <c r="F423" s="812"/>
      <c r="G423" s="813"/>
      <c r="H423" s="814">
        <f>H424+H480+H531+H587</f>
        <v>1252324</v>
      </c>
      <c r="I423" s="1996"/>
      <c r="J423" s="1990"/>
      <c r="K423" s="1980"/>
      <c r="L423" s="1980"/>
      <c r="M423" s="1983"/>
      <c r="N423" s="2005"/>
      <c r="O423" s="1972"/>
      <c r="P423" s="1972"/>
      <c r="Q423" s="1998"/>
      <c r="R423" s="1979"/>
      <c r="S423" s="1979"/>
      <c r="T423" s="1979"/>
    </row>
    <row r="424" spans="1:20" s="727" customFormat="1" ht="12.75" x14ac:dyDescent="0.2">
      <c r="A424" s="760" t="s">
        <v>1225</v>
      </c>
      <c r="B424" s="906" t="s">
        <v>1058</v>
      </c>
      <c r="C424" s="907"/>
      <c r="D424" s="871"/>
      <c r="E424" s="825"/>
      <c r="F424" s="825"/>
      <c r="G424" s="759"/>
      <c r="H424" s="759">
        <f>H425+H438+H448+H471+H476</f>
        <v>626501</v>
      </c>
      <c r="I424" s="1996"/>
      <c r="J424" s="1990"/>
      <c r="K424" s="1980"/>
      <c r="L424" s="1980"/>
      <c r="M424" s="1983"/>
      <c r="N424" s="2005"/>
      <c r="O424" s="1972"/>
      <c r="P424" s="1972"/>
      <c r="Q424" s="1998"/>
      <c r="R424" s="1979"/>
      <c r="S424" s="1979"/>
      <c r="T424" s="1979"/>
    </row>
    <row r="425" spans="1:20" s="720" customFormat="1" ht="12.75" x14ac:dyDescent="0.2">
      <c r="A425" s="740" t="s">
        <v>1226</v>
      </c>
      <c r="B425" s="747" t="s">
        <v>1002</v>
      </c>
      <c r="C425" s="908"/>
      <c r="D425" s="742"/>
      <c r="E425" s="743"/>
      <c r="F425" s="743"/>
      <c r="G425" s="726"/>
      <c r="H425" s="726">
        <f>H426+H427</f>
        <v>35501</v>
      </c>
      <c r="I425" s="1991"/>
      <c r="J425" s="2006"/>
      <c r="K425" s="1993"/>
      <c r="L425" s="1980">
        <f>SUM(K426)</f>
        <v>25410</v>
      </c>
      <c r="M425" s="1992"/>
      <c r="N425" s="2007"/>
      <c r="O425" s="1994"/>
      <c r="P425" s="1994"/>
      <c r="Q425" s="2004"/>
      <c r="R425" s="1995"/>
      <c r="S425" s="1995"/>
      <c r="T425" s="1995"/>
    </row>
    <row r="426" spans="1:20" s="736" customFormat="1" ht="17.25" customHeight="1" x14ac:dyDescent="0.2">
      <c r="A426" s="879"/>
      <c r="B426" s="887" t="s">
        <v>1059</v>
      </c>
      <c r="C426" s="858" t="s">
        <v>1008</v>
      </c>
      <c r="D426" s="807">
        <v>30</v>
      </c>
      <c r="E426" s="882">
        <v>1000</v>
      </c>
      <c r="F426" s="909">
        <f>+D426*E426</f>
        <v>30000</v>
      </c>
      <c r="G426" s="738"/>
      <c r="H426" s="836">
        <f>SUM(F426:G426)</f>
        <v>30000</v>
      </c>
      <c r="I426" s="1972"/>
      <c r="J426" s="1990">
        <v>0.84699999999999998</v>
      </c>
      <c r="K426" s="1980">
        <f>J426*H426</f>
        <v>25410</v>
      </c>
      <c r="L426" s="1980"/>
      <c r="M426" s="1972"/>
      <c r="N426" s="1976"/>
      <c r="O426" s="1976"/>
      <c r="P426" s="1972"/>
      <c r="Q426" s="1972"/>
      <c r="R426" s="1996"/>
      <c r="S426" s="1996"/>
      <c r="T426" s="1996"/>
    </row>
    <row r="427" spans="1:20" s="720" customFormat="1" ht="12.75" x14ac:dyDescent="0.2">
      <c r="A427" s="777"/>
      <c r="B427" s="902" t="s">
        <v>1057</v>
      </c>
      <c r="C427" s="798"/>
      <c r="D427" s="799"/>
      <c r="E427" s="800"/>
      <c r="F427" s="801"/>
      <c r="G427" s="800"/>
      <c r="H427" s="800">
        <f>SUM(H428:H437)</f>
        <v>5501</v>
      </c>
      <c r="I427" s="2008"/>
      <c r="J427" s="1997"/>
      <c r="K427" s="1993"/>
      <c r="L427" s="1980">
        <f>SUM(K428:K437)</f>
        <v>4659.3470000000007</v>
      </c>
      <c r="M427" s="1992"/>
      <c r="N427" s="2007"/>
      <c r="O427" s="1994"/>
      <c r="P427" s="1994"/>
      <c r="Q427" s="2004"/>
      <c r="R427" s="1995"/>
      <c r="S427" s="1995"/>
      <c r="T427" s="1995"/>
    </row>
    <row r="428" spans="1:20" s="727" customFormat="1" ht="12.75" x14ac:dyDescent="0.2">
      <c r="A428" s="728"/>
      <c r="B428" s="806" t="str">
        <f>+'[3]FF-16'!B89</f>
        <v>Papel bond 80gr. A4</v>
      </c>
      <c r="C428" s="903" t="str">
        <f>+'[3]FF-16'!C89</f>
        <v>Millar</v>
      </c>
      <c r="D428" s="797">
        <v>10</v>
      </c>
      <c r="E428" s="792">
        <v>26</v>
      </c>
      <c r="F428" s="792">
        <f t="shared" ref="F428:F437" si="149">D428*E428</f>
        <v>260</v>
      </c>
      <c r="G428" s="783"/>
      <c r="H428" s="783">
        <f>SUM(F428:G428)</f>
        <v>260</v>
      </c>
      <c r="I428" s="1996"/>
      <c r="J428" s="1990">
        <v>0.84699999999999998</v>
      </c>
      <c r="K428" s="1980">
        <f t="shared" ref="K428:K437" si="150">+H428*J428</f>
        <v>220.22</v>
      </c>
      <c r="L428" s="1980"/>
      <c r="M428" s="1983"/>
      <c r="N428" s="2005"/>
      <c r="O428" s="1972"/>
      <c r="P428" s="1972"/>
      <c r="Q428" s="1998"/>
      <c r="R428" s="1979"/>
      <c r="S428" s="1979"/>
      <c r="T428" s="1979"/>
    </row>
    <row r="429" spans="1:20" s="727" customFormat="1" ht="12.75" x14ac:dyDescent="0.2">
      <c r="A429" s="728"/>
      <c r="B429" s="806" t="str">
        <f>+'[3]FF-16'!B90</f>
        <v>Papel Kraft</v>
      </c>
      <c r="C429" s="903" t="str">
        <f>+'[3]FF-16'!C90</f>
        <v>Und.</v>
      </c>
      <c r="D429" s="797">
        <v>1000</v>
      </c>
      <c r="E429" s="792">
        <v>0.3</v>
      </c>
      <c r="F429" s="792">
        <f t="shared" si="149"/>
        <v>300</v>
      </c>
      <c r="G429" s="783"/>
      <c r="H429" s="783">
        <f t="shared" ref="H429:H437" si="151">SUM(F429:G429)</f>
        <v>300</v>
      </c>
      <c r="I429" s="1996"/>
      <c r="J429" s="1990">
        <v>0.84699999999999998</v>
      </c>
      <c r="K429" s="1980">
        <f t="shared" si="150"/>
        <v>254.1</v>
      </c>
      <c r="L429" s="1980"/>
      <c r="M429" s="1983"/>
      <c r="N429" s="2005"/>
      <c r="O429" s="1972"/>
      <c r="P429" s="1972"/>
      <c r="Q429" s="1998"/>
      <c r="R429" s="1979"/>
      <c r="S429" s="1979"/>
      <c r="T429" s="1979"/>
    </row>
    <row r="430" spans="1:20" s="727" customFormat="1" ht="12.75" x14ac:dyDescent="0.2">
      <c r="A430" s="728"/>
      <c r="B430" s="806" t="str">
        <f>+'[3]FF-16'!B91</f>
        <v>Cuaderno de 50 hojas</v>
      </c>
      <c r="C430" s="903" t="str">
        <f>+'[3]FF-16'!C91</f>
        <v>Unid</v>
      </c>
      <c r="D430" s="797">
        <v>3000</v>
      </c>
      <c r="E430" s="792">
        <v>1</v>
      </c>
      <c r="F430" s="792">
        <f t="shared" si="149"/>
        <v>3000</v>
      </c>
      <c r="G430" s="783"/>
      <c r="H430" s="783">
        <f t="shared" si="151"/>
        <v>3000</v>
      </c>
      <c r="I430" s="1996"/>
      <c r="J430" s="1990">
        <v>0.84699999999999998</v>
      </c>
      <c r="K430" s="1980">
        <f t="shared" si="150"/>
        <v>2541</v>
      </c>
      <c r="L430" s="1980"/>
      <c r="M430" s="1983"/>
      <c r="N430" s="2005"/>
      <c r="O430" s="1972"/>
      <c r="P430" s="1972"/>
      <c r="Q430" s="1998"/>
      <c r="R430" s="1979"/>
      <c r="S430" s="1979"/>
      <c r="T430" s="1979"/>
    </row>
    <row r="431" spans="1:20" s="727" customFormat="1" ht="12.75" x14ac:dyDescent="0.2">
      <c r="A431" s="728"/>
      <c r="B431" s="806" t="str">
        <f>+'[3]FF-16'!B92</f>
        <v>Plumones de papelografo punta gruesa</v>
      </c>
      <c r="C431" s="903" t="str">
        <f>+'[3]FF-16'!C92</f>
        <v>Und.</v>
      </c>
      <c r="D431" s="797">
        <v>70</v>
      </c>
      <c r="E431" s="792">
        <v>2.2999999999999998</v>
      </c>
      <c r="F431" s="792">
        <f t="shared" si="149"/>
        <v>161</v>
      </c>
      <c r="G431" s="783"/>
      <c r="H431" s="783">
        <f t="shared" si="151"/>
        <v>161</v>
      </c>
      <c r="I431" s="1996"/>
      <c r="J431" s="1990">
        <v>0.84699999999999998</v>
      </c>
      <c r="K431" s="1980">
        <f t="shared" si="150"/>
        <v>136.36699999999999</v>
      </c>
      <c r="L431" s="1980"/>
      <c r="M431" s="1983"/>
      <c r="N431" s="2005"/>
      <c r="O431" s="1972"/>
      <c r="P431" s="1972"/>
      <c r="Q431" s="1998"/>
      <c r="R431" s="1979"/>
      <c r="S431" s="1979"/>
      <c r="T431" s="1979"/>
    </row>
    <row r="432" spans="1:20" s="727" customFormat="1" ht="12.75" x14ac:dyDescent="0.2">
      <c r="A432" s="728"/>
      <c r="B432" s="806" t="str">
        <f>+'[3]FF-16'!B93</f>
        <v xml:space="preserve">Plumones para pizarra acrilica </v>
      </c>
      <c r="C432" s="903" t="str">
        <f>+'[3]FF-16'!C93</f>
        <v>Und.</v>
      </c>
      <c r="D432" s="797">
        <v>20</v>
      </c>
      <c r="E432" s="792">
        <v>3</v>
      </c>
      <c r="F432" s="792">
        <f t="shared" si="149"/>
        <v>60</v>
      </c>
      <c r="G432" s="783"/>
      <c r="H432" s="783">
        <f t="shared" si="151"/>
        <v>60</v>
      </c>
      <c r="I432" s="1996"/>
      <c r="J432" s="1990">
        <v>0.84699999999999998</v>
      </c>
      <c r="K432" s="1980">
        <f t="shared" si="150"/>
        <v>50.82</v>
      </c>
      <c r="L432" s="1980"/>
      <c r="M432" s="1983"/>
      <c r="N432" s="2005"/>
      <c r="O432" s="1972"/>
      <c r="P432" s="1972"/>
      <c r="Q432" s="1998"/>
      <c r="R432" s="1979"/>
      <c r="S432" s="1979"/>
      <c r="T432" s="1979"/>
    </row>
    <row r="433" spans="1:20" s="727" customFormat="1" ht="12.75" x14ac:dyDescent="0.2">
      <c r="A433" s="728"/>
      <c r="B433" s="806" t="str">
        <f>+'[3]FF-16'!B94</f>
        <v>Cinta masking de 3/4 x 40  Yrd.</v>
      </c>
      <c r="C433" s="903" t="str">
        <f>+'[3]FF-16'!C94</f>
        <v>Und.</v>
      </c>
      <c r="D433" s="797">
        <v>20</v>
      </c>
      <c r="E433" s="792">
        <v>5.5</v>
      </c>
      <c r="F433" s="792">
        <f t="shared" si="149"/>
        <v>110</v>
      </c>
      <c r="G433" s="783"/>
      <c r="H433" s="783">
        <f t="shared" si="151"/>
        <v>110</v>
      </c>
      <c r="I433" s="1996"/>
      <c r="J433" s="1990">
        <v>0.84699999999999998</v>
      </c>
      <c r="K433" s="1980">
        <f t="shared" si="150"/>
        <v>93.17</v>
      </c>
      <c r="L433" s="1980"/>
      <c r="M433" s="1983"/>
      <c r="N433" s="2005"/>
      <c r="O433" s="1972"/>
      <c r="P433" s="1972"/>
      <c r="Q433" s="1998"/>
      <c r="R433" s="1979"/>
      <c r="S433" s="1979"/>
      <c r="T433" s="1979"/>
    </row>
    <row r="434" spans="1:20" s="727" customFormat="1" ht="12.75" x14ac:dyDescent="0.2">
      <c r="A434" s="728"/>
      <c r="B434" s="806" t="str">
        <f>+'[3]FF-16'!B95</f>
        <v>Cartulina de colores</v>
      </c>
      <c r="C434" s="903" t="str">
        <f>+'[3]FF-16'!C95</f>
        <v>Und.</v>
      </c>
      <c r="D434" s="797">
        <v>500</v>
      </c>
      <c r="E434" s="792">
        <v>0.4</v>
      </c>
      <c r="F434" s="792">
        <f t="shared" si="149"/>
        <v>200</v>
      </c>
      <c r="G434" s="783"/>
      <c r="H434" s="783">
        <f t="shared" si="151"/>
        <v>200</v>
      </c>
      <c r="I434" s="1996"/>
      <c r="J434" s="1990">
        <v>0.84699999999999998</v>
      </c>
      <c r="K434" s="1980">
        <f t="shared" si="150"/>
        <v>169.4</v>
      </c>
      <c r="L434" s="1980"/>
      <c r="M434" s="1983"/>
      <c r="N434" s="2005"/>
      <c r="O434" s="1972"/>
      <c r="P434" s="1972"/>
      <c r="Q434" s="1998"/>
      <c r="R434" s="1979"/>
      <c r="S434" s="1979"/>
      <c r="T434" s="1979"/>
    </row>
    <row r="435" spans="1:20" s="727" customFormat="1" ht="12.75" x14ac:dyDescent="0.2">
      <c r="A435" s="728"/>
      <c r="B435" s="806" t="str">
        <f>+'[3]FF-16'!B96</f>
        <v>Lapicero</v>
      </c>
      <c r="C435" s="903" t="str">
        <f>+'[3]FF-16'!C96</f>
        <v>Und</v>
      </c>
      <c r="D435" s="797">
        <v>300</v>
      </c>
      <c r="E435" s="792">
        <v>0.5</v>
      </c>
      <c r="F435" s="792">
        <f t="shared" si="149"/>
        <v>150</v>
      </c>
      <c r="G435" s="783"/>
      <c r="H435" s="783">
        <f t="shared" si="151"/>
        <v>150</v>
      </c>
      <c r="I435" s="1996"/>
      <c r="J435" s="1990">
        <v>0.84699999999999998</v>
      </c>
      <c r="K435" s="1980">
        <f t="shared" si="150"/>
        <v>127.05</v>
      </c>
      <c r="L435" s="1980"/>
      <c r="M435" s="1983"/>
      <c r="N435" s="2005"/>
      <c r="O435" s="1972"/>
      <c r="P435" s="1972"/>
      <c r="Q435" s="1998"/>
      <c r="R435" s="1979"/>
      <c r="S435" s="1979"/>
      <c r="T435" s="1979"/>
    </row>
    <row r="436" spans="1:20" s="727" customFormat="1" ht="12.75" x14ac:dyDescent="0.2">
      <c r="A436" s="728"/>
      <c r="B436" s="806" t="str">
        <f>+'[3]FF-16'!B97</f>
        <v>Calculadora basica</v>
      </c>
      <c r="C436" s="903" t="str">
        <f>+'[3]FF-16'!C97</f>
        <v>Und.</v>
      </c>
      <c r="D436" s="797">
        <v>30</v>
      </c>
      <c r="E436" s="792">
        <v>12</v>
      </c>
      <c r="F436" s="792">
        <f t="shared" si="149"/>
        <v>360</v>
      </c>
      <c r="G436" s="783"/>
      <c r="H436" s="783">
        <f t="shared" si="151"/>
        <v>360</v>
      </c>
      <c r="I436" s="1996"/>
      <c r="J436" s="1990">
        <v>0.84699999999999998</v>
      </c>
      <c r="K436" s="1980">
        <f t="shared" si="150"/>
        <v>304.92</v>
      </c>
      <c r="L436" s="1980"/>
      <c r="M436" s="1983"/>
      <c r="N436" s="2005"/>
      <c r="O436" s="1972"/>
      <c r="P436" s="1972"/>
      <c r="Q436" s="1998"/>
      <c r="R436" s="1979"/>
      <c r="S436" s="1979"/>
      <c r="T436" s="1979"/>
    </row>
    <row r="437" spans="1:20" s="727" customFormat="1" ht="12.75" x14ac:dyDescent="0.2">
      <c r="A437" s="728"/>
      <c r="B437" s="806" t="str">
        <f>+'[3]FF-16'!B98</f>
        <v>Folder manila A4</v>
      </c>
      <c r="C437" s="903" t="str">
        <f>+'[3]FF-16'!C98</f>
        <v>Und</v>
      </c>
      <c r="D437" s="797">
        <v>3000</v>
      </c>
      <c r="E437" s="792">
        <v>0.3</v>
      </c>
      <c r="F437" s="792">
        <f t="shared" si="149"/>
        <v>900</v>
      </c>
      <c r="G437" s="783"/>
      <c r="H437" s="783">
        <f t="shared" si="151"/>
        <v>900</v>
      </c>
      <c r="I437" s="1996"/>
      <c r="J437" s="1990">
        <v>0.84699999999999998</v>
      </c>
      <c r="K437" s="1980">
        <f t="shared" si="150"/>
        <v>762.3</v>
      </c>
      <c r="L437" s="1980"/>
      <c r="M437" s="1983"/>
      <c r="N437" s="2005"/>
      <c r="O437" s="1972"/>
      <c r="P437" s="1972"/>
      <c r="Q437" s="1998"/>
      <c r="R437" s="1979"/>
      <c r="S437" s="1979"/>
      <c r="T437" s="1979"/>
    </row>
    <row r="438" spans="1:20" s="727" customFormat="1" ht="12.75" x14ac:dyDescent="0.2">
      <c r="A438" s="740" t="s">
        <v>1227</v>
      </c>
      <c r="B438" s="747" t="s">
        <v>1004</v>
      </c>
      <c r="C438" s="908"/>
      <c r="D438" s="742"/>
      <c r="E438" s="743"/>
      <c r="F438" s="743"/>
      <c r="G438" s="726"/>
      <c r="H438" s="726">
        <f>SUM(H439:H447)</f>
        <v>162000</v>
      </c>
      <c r="I438" s="1996"/>
      <c r="J438" s="1990"/>
      <c r="K438" s="1980"/>
      <c r="L438" s="1980">
        <f>SUM(K439:K447)</f>
        <v>137214</v>
      </c>
      <c r="M438" s="1983"/>
      <c r="N438" s="2005"/>
      <c r="O438" s="1972"/>
      <c r="P438" s="1972"/>
      <c r="Q438" s="1998"/>
      <c r="R438" s="1979"/>
      <c r="S438" s="1979"/>
      <c r="T438" s="1979"/>
    </row>
    <row r="439" spans="1:20" s="727" customFormat="1" ht="12.75" x14ac:dyDescent="0.2">
      <c r="A439" s="728"/>
      <c r="B439" s="806" t="s">
        <v>1060</v>
      </c>
      <c r="C439" s="903" t="s">
        <v>689</v>
      </c>
      <c r="D439" s="797">
        <v>3</v>
      </c>
      <c r="E439" s="792">
        <v>6000</v>
      </c>
      <c r="F439" s="792">
        <f t="shared" ref="F439:F447" si="152">D439*E439</f>
        <v>18000</v>
      </c>
      <c r="G439" s="783"/>
      <c r="H439" s="783">
        <f>SUM(F439:G439)</f>
        <v>18000</v>
      </c>
      <c r="I439" s="1996"/>
      <c r="J439" s="1990">
        <v>0.84699999999999998</v>
      </c>
      <c r="K439" s="1980">
        <f t="shared" ref="K439:K447" si="153">+H439*J439</f>
        <v>15246</v>
      </c>
      <c r="L439" s="1980"/>
      <c r="M439" s="1983"/>
      <c r="N439" s="2005"/>
      <c r="O439" s="1972"/>
      <c r="P439" s="1972"/>
      <c r="Q439" s="1998"/>
      <c r="R439" s="1979"/>
      <c r="S439" s="1979"/>
      <c r="T439" s="1979"/>
    </row>
    <row r="440" spans="1:20" s="727" customFormat="1" ht="12.75" x14ac:dyDescent="0.2">
      <c r="A440" s="728"/>
      <c r="B440" s="806" t="s">
        <v>1061</v>
      </c>
      <c r="C440" s="903" t="s">
        <v>689</v>
      </c>
      <c r="D440" s="797">
        <v>3</v>
      </c>
      <c r="E440" s="792">
        <v>6000</v>
      </c>
      <c r="F440" s="792">
        <f t="shared" si="152"/>
        <v>18000</v>
      </c>
      <c r="G440" s="783"/>
      <c r="H440" s="783">
        <f t="shared" ref="H440:H447" si="154">SUM(F440:G440)</f>
        <v>18000</v>
      </c>
      <c r="I440" s="1996"/>
      <c r="J440" s="1990">
        <v>0.84699999999999998</v>
      </c>
      <c r="K440" s="1980">
        <f t="shared" si="153"/>
        <v>15246</v>
      </c>
      <c r="L440" s="1980"/>
      <c r="M440" s="1983"/>
      <c r="N440" s="2005"/>
      <c r="O440" s="1972"/>
      <c r="P440" s="1972"/>
      <c r="Q440" s="1998"/>
      <c r="R440" s="1979"/>
      <c r="S440" s="1979"/>
      <c r="T440" s="1979"/>
    </row>
    <row r="441" spans="1:20" s="727" customFormat="1" ht="12.75" x14ac:dyDescent="0.2">
      <c r="A441" s="728"/>
      <c r="B441" s="806" t="s">
        <v>1062</v>
      </c>
      <c r="C441" s="903" t="s">
        <v>689</v>
      </c>
      <c r="D441" s="797">
        <v>3</v>
      </c>
      <c r="E441" s="792">
        <v>6000</v>
      </c>
      <c r="F441" s="792">
        <f t="shared" si="152"/>
        <v>18000</v>
      </c>
      <c r="G441" s="783"/>
      <c r="H441" s="783">
        <f t="shared" si="154"/>
        <v>18000</v>
      </c>
      <c r="I441" s="1996"/>
      <c r="J441" s="1990">
        <v>0.84699999999999998</v>
      </c>
      <c r="K441" s="1980">
        <f t="shared" si="153"/>
        <v>15246</v>
      </c>
      <c r="L441" s="1980"/>
      <c r="M441" s="1983"/>
      <c r="N441" s="2005"/>
      <c r="O441" s="1972"/>
      <c r="P441" s="1972"/>
      <c r="Q441" s="1998"/>
      <c r="R441" s="1979"/>
      <c r="S441" s="1979"/>
      <c r="T441" s="1979"/>
    </row>
    <row r="442" spans="1:20" s="727" customFormat="1" ht="12.75" x14ac:dyDescent="0.2">
      <c r="A442" s="728"/>
      <c r="B442" s="806" t="s">
        <v>1064</v>
      </c>
      <c r="C442" s="903" t="s">
        <v>689</v>
      </c>
      <c r="D442" s="797">
        <v>3</v>
      </c>
      <c r="E442" s="792">
        <v>6000</v>
      </c>
      <c r="F442" s="792">
        <f t="shared" si="152"/>
        <v>18000</v>
      </c>
      <c r="G442" s="783"/>
      <c r="H442" s="783">
        <f t="shared" si="154"/>
        <v>18000</v>
      </c>
      <c r="I442" s="1996"/>
      <c r="J442" s="1990">
        <v>0.84699999999999998</v>
      </c>
      <c r="K442" s="1980">
        <f t="shared" si="153"/>
        <v>15246</v>
      </c>
      <c r="L442" s="1980"/>
      <c r="M442" s="1983"/>
      <c r="N442" s="2005"/>
      <c r="O442" s="1972"/>
      <c r="P442" s="1972"/>
      <c r="Q442" s="1998"/>
      <c r="R442" s="1979"/>
      <c r="S442" s="1979"/>
      <c r="T442" s="1979"/>
    </row>
    <row r="443" spans="1:20" s="727" customFormat="1" ht="12.75" x14ac:dyDescent="0.2">
      <c r="A443" s="728"/>
      <c r="B443" s="806" t="s">
        <v>1063</v>
      </c>
      <c r="C443" s="903" t="s">
        <v>689</v>
      </c>
      <c r="D443" s="797">
        <v>3</v>
      </c>
      <c r="E443" s="792">
        <v>6000</v>
      </c>
      <c r="F443" s="792">
        <f t="shared" si="152"/>
        <v>18000</v>
      </c>
      <c r="G443" s="783"/>
      <c r="H443" s="783">
        <f t="shared" si="154"/>
        <v>18000</v>
      </c>
      <c r="I443" s="1996"/>
      <c r="J443" s="1990">
        <v>0.84699999999999998</v>
      </c>
      <c r="K443" s="1980">
        <f t="shared" si="153"/>
        <v>15246</v>
      </c>
      <c r="L443" s="1980"/>
      <c r="M443" s="1983"/>
      <c r="N443" s="2005"/>
      <c r="O443" s="1972"/>
      <c r="P443" s="1972"/>
      <c r="Q443" s="1998"/>
      <c r="R443" s="1979"/>
      <c r="S443" s="1979"/>
      <c r="T443" s="1979"/>
    </row>
    <row r="444" spans="1:20" s="727" customFormat="1" ht="12.75" x14ac:dyDescent="0.2">
      <c r="A444" s="728"/>
      <c r="B444" s="806" t="s">
        <v>1065</v>
      </c>
      <c r="C444" s="903" t="s">
        <v>689</v>
      </c>
      <c r="D444" s="797">
        <v>3</v>
      </c>
      <c r="E444" s="792">
        <v>6000</v>
      </c>
      <c r="F444" s="792">
        <f t="shared" si="152"/>
        <v>18000</v>
      </c>
      <c r="G444" s="783"/>
      <c r="H444" s="783">
        <f t="shared" si="154"/>
        <v>18000</v>
      </c>
      <c r="I444" s="1996"/>
      <c r="J444" s="1990">
        <v>0.84699999999999998</v>
      </c>
      <c r="K444" s="1980">
        <f t="shared" si="153"/>
        <v>15246</v>
      </c>
      <c r="L444" s="1980"/>
      <c r="M444" s="1983"/>
      <c r="N444" s="2005"/>
      <c r="O444" s="1972"/>
      <c r="P444" s="1972"/>
      <c r="Q444" s="1998"/>
      <c r="R444" s="1979"/>
      <c r="S444" s="1979"/>
      <c r="T444" s="1979"/>
    </row>
    <row r="445" spans="1:20" s="727" customFormat="1" ht="12.75" x14ac:dyDescent="0.2">
      <c r="A445" s="728"/>
      <c r="B445" s="806" t="s">
        <v>1066</v>
      </c>
      <c r="C445" s="903" t="s">
        <v>689</v>
      </c>
      <c r="D445" s="797">
        <v>3</v>
      </c>
      <c r="E445" s="792">
        <v>6000</v>
      </c>
      <c r="F445" s="792">
        <f t="shared" si="152"/>
        <v>18000</v>
      </c>
      <c r="G445" s="783"/>
      <c r="H445" s="783">
        <f t="shared" si="154"/>
        <v>18000</v>
      </c>
      <c r="I445" s="1996"/>
      <c r="J445" s="1990">
        <v>0.84699999999999998</v>
      </c>
      <c r="K445" s="1980">
        <f t="shared" si="153"/>
        <v>15246</v>
      </c>
      <c r="L445" s="1980"/>
      <c r="M445" s="1983"/>
      <c r="N445" s="2005"/>
      <c r="O445" s="1972"/>
      <c r="P445" s="1972"/>
      <c r="Q445" s="1998"/>
      <c r="R445" s="1979"/>
      <c r="S445" s="1979"/>
      <c r="T445" s="1979"/>
    </row>
    <row r="446" spans="1:20" s="727" customFormat="1" ht="12.75" x14ac:dyDescent="0.2">
      <c r="A446" s="728"/>
      <c r="B446" s="806" t="s">
        <v>1067</v>
      </c>
      <c r="C446" s="903" t="s">
        <v>689</v>
      </c>
      <c r="D446" s="797">
        <v>3</v>
      </c>
      <c r="E446" s="792">
        <v>6000</v>
      </c>
      <c r="F446" s="792">
        <f t="shared" si="152"/>
        <v>18000</v>
      </c>
      <c r="G446" s="783"/>
      <c r="H446" s="783">
        <f t="shared" si="154"/>
        <v>18000</v>
      </c>
      <c r="I446" s="1996"/>
      <c r="J446" s="1990">
        <v>0.84699999999999998</v>
      </c>
      <c r="K446" s="1980">
        <f t="shared" si="153"/>
        <v>15246</v>
      </c>
      <c r="L446" s="1980"/>
      <c r="M446" s="1983"/>
      <c r="N446" s="2005"/>
      <c r="O446" s="1972"/>
      <c r="P446" s="1972"/>
      <c r="Q446" s="1998"/>
      <c r="R446" s="1979"/>
      <c r="S446" s="1979"/>
      <c r="T446" s="1979"/>
    </row>
    <row r="447" spans="1:20" s="727" customFormat="1" ht="12.75" x14ac:dyDescent="0.2">
      <c r="A447" s="728"/>
      <c r="B447" s="806" t="s">
        <v>1068</v>
      </c>
      <c r="C447" s="903" t="s">
        <v>689</v>
      </c>
      <c r="D447" s="797">
        <v>3</v>
      </c>
      <c r="E447" s="792">
        <v>6000</v>
      </c>
      <c r="F447" s="792">
        <f t="shared" si="152"/>
        <v>18000</v>
      </c>
      <c r="G447" s="783"/>
      <c r="H447" s="783">
        <f t="shared" si="154"/>
        <v>18000</v>
      </c>
      <c r="I447" s="1996"/>
      <c r="J447" s="1990">
        <v>0.84699999999999998</v>
      </c>
      <c r="K447" s="1980">
        <f t="shared" si="153"/>
        <v>15246</v>
      </c>
      <c r="L447" s="1980"/>
      <c r="M447" s="1983"/>
      <c r="N447" s="2005"/>
      <c r="O447" s="1972"/>
      <c r="P447" s="1972"/>
      <c r="Q447" s="1998"/>
      <c r="R447" s="1979"/>
      <c r="S447" s="1979"/>
      <c r="T447" s="1979"/>
    </row>
    <row r="448" spans="1:20" s="720" customFormat="1" ht="12.75" x14ac:dyDescent="0.2">
      <c r="A448" s="740" t="s">
        <v>1228</v>
      </c>
      <c r="B448" s="910" t="s">
        <v>1069</v>
      </c>
      <c r="C448" s="908"/>
      <c r="D448" s="742"/>
      <c r="E448" s="743"/>
      <c r="F448" s="743"/>
      <c r="G448" s="726"/>
      <c r="H448" s="726">
        <f>SUM(H449:H470)</f>
        <v>393200</v>
      </c>
      <c r="I448" s="1991"/>
      <c r="J448" s="2006"/>
      <c r="K448" s="1993"/>
      <c r="L448" s="1980">
        <f>SUM(K449:K470)</f>
        <v>333040.40000000002</v>
      </c>
      <c r="M448" s="1992"/>
      <c r="N448" s="2007"/>
      <c r="O448" s="1994"/>
      <c r="P448" s="1994"/>
      <c r="Q448" s="2004"/>
      <c r="R448" s="1995"/>
      <c r="S448" s="1995"/>
      <c r="T448" s="1995"/>
    </row>
    <row r="449" spans="1:20" s="727" customFormat="1" ht="12.75" x14ac:dyDescent="0.2">
      <c r="A449" s="728"/>
      <c r="B449" s="806" t="s">
        <v>777</v>
      </c>
      <c r="C449" s="903" t="s">
        <v>689</v>
      </c>
      <c r="D449" s="797">
        <v>3</v>
      </c>
      <c r="E449" s="792">
        <v>500</v>
      </c>
      <c r="F449" s="792">
        <f t="shared" ref="F449:F470" si="155">D449*E449</f>
        <v>1500</v>
      </c>
      <c r="G449" s="783"/>
      <c r="H449" s="783">
        <f>SUM(F449:G449)</f>
        <v>1500</v>
      </c>
      <c r="I449" s="1996"/>
      <c r="J449" s="2009">
        <v>0.84699999999999998</v>
      </c>
      <c r="K449" s="1980">
        <f t="shared" ref="K449:K470" si="156">+H449*J449</f>
        <v>1270.5</v>
      </c>
      <c r="L449" s="1980"/>
      <c r="M449" s="1983"/>
      <c r="N449" s="2005"/>
      <c r="O449" s="1972"/>
      <c r="P449" s="1972"/>
      <c r="Q449" s="1998"/>
      <c r="R449" s="1979"/>
      <c r="S449" s="1979"/>
      <c r="T449" s="1979"/>
    </row>
    <row r="450" spans="1:20" s="727" customFormat="1" ht="12.75" x14ac:dyDescent="0.2">
      <c r="A450" s="728"/>
      <c r="B450" s="806" t="s">
        <v>778</v>
      </c>
      <c r="C450" s="903" t="s">
        <v>689</v>
      </c>
      <c r="D450" s="797">
        <v>3</v>
      </c>
      <c r="E450" s="792">
        <v>2000</v>
      </c>
      <c r="F450" s="792">
        <f t="shared" si="155"/>
        <v>6000</v>
      </c>
      <c r="G450" s="783"/>
      <c r="H450" s="783">
        <f t="shared" ref="H450:H470" si="157">SUM(F450:G450)</f>
        <v>6000</v>
      </c>
      <c r="I450" s="1996"/>
      <c r="J450" s="2009">
        <v>0.84699999999999998</v>
      </c>
      <c r="K450" s="1980">
        <f t="shared" si="156"/>
        <v>5082</v>
      </c>
      <c r="L450" s="1980"/>
      <c r="M450" s="1983"/>
      <c r="N450" s="2005"/>
      <c r="O450" s="1972"/>
      <c r="P450" s="1972"/>
      <c r="Q450" s="1998"/>
      <c r="R450" s="1979"/>
      <c r="S450" s="1979"/>
      <c r="T450" s="1979"/>
    </row>
    <row r="451" spans="1:20" s="727" customFormat="1" ht="12.75" x14ac:dyDescent="0.2">
      <c r="A451" s="728"/>
      <c r="B451" s="806" t="s">
        <v>779</v>
      </c>
      <c r="C451" s="903" t="s">
        <v>689</v>
      </c>
      <c r="D451" s="797">
        <v>3</v>
      </c>
      <c r="E451" s="792">
        <v>1500</v>
      </c>
      <c r="F451" s="792">
        <f t="shared" si="155"/>
        <v>4500</v>
      </c>
      <c r="G451" s="783"/>
      <c r="H451" s="783">
        <f t="shared" si="157"/>
        <v>4500</v>
      </c>
      <c r="I451" s="1996"/>
      <c r="J451" s="2009">
        <v>0.84699999999999998</v>
      </c>
      <c r="K451" s="1980">
        <f t="shared" si="156"/>
        <v>3811.5</v>
      </c>
      <c r="L451" s="1980"/>
      <c r="M451" s="1983"/>
      <c r="N451" s="2005"/>
      <c r="O451" s="1972"/>
      <c r="P451" s="1972"/>
      <c r="Q451" s="1998"/>
      <c r="R451" s="1979"/>
      <c r="S451" s="1979"/>
      <c r="T451" s="1979"/>
    </row>
    <row r="452" spans="1:20" s="727" customFormat="1" ht="12.75" x14ac:dyDescent="0.2">
      <c r="A452" s="728"/>
      <c r="B452" s="806" t="s">
        <v>780</v>
      </c>
      <c r="C452" s="903" t="s">
        <v>660</v>
      </c>
      <c r="D452" s="797">
        <v>22</v>
      </c>
      <c r="E452" s="792">
        <v>400</v>
      </c>
      <c r="F452" s="792">
        <f t="shared" si="155"/>
        <v>8800</v>
      </c>
      <c r="G452" s="783"/>
      <c r="H452" s="783">
        <f t="shared" si="157"/>
        <v>8800</v>
      </c>
      <c r="I452" s="1996"/>
      <c r="J452" s="2009">
        <v>0.84699999999999998</v>
      </c>
      <c r="K452" s="1980">
        <f t="shared" si="156"/>
        <v>7453.5999999999995</v>
      </c>
      <c r="L452" s="1980"/>
      <c r="M452" s="1983"/>
      <c r="N452" s="2005"/>
      <c r="O452" s="1972"/>
      <c r="P452" s="1972"/>
      <c r="Q452" s="1998"/>
      <c r="R452" s="1979"/>
      <c r="S452" s="1979"/>
      <c r="T452" s="1979"/>
    </row>
    <row r="453" spans="1:20" s="727" customFormat="1" ht="12.75" x14ac:dyDescent="0.2">
      <c r="A453" s="728"/>
      <c r="B453" s="806" t="s">
        <v>781</v>
      </c>
      <c r="C453" s="903" t="s">
        <v>660</v>
      </c>
      <c r="D453" s="797">
        <v>15</v>
      </c>
      <c r="E453" s="792">
        <v>500</v>
      </c>
      <c r="F453" s="792">
        <f t="shared" si="155"/>
        <v>7500</v>
      </c>
      <c r="G453" s="783"/>
      <c r="H453" s="783">
        <f t="shared" si="157"/>
        <v>7500</v>
      </c>
      <c r="I453" s="1996"/>
      <c r="J453" s="2009">
        <v>0.84699999999999998</v>
      </c>
      <c r="K453" s="1980">
        <f t="shared" si="156"/>
        <v>6352.5</v>
      </c>
      <c r="L453" s="1980"/>
      <c r="M453" s="1983"/>
      <c r="N453" s="2005"/>
      <c r="O453" s="1972"/>
      <c r="P453" s="1972"/>
      <c r="Q453" s="1998"/>
      <c r="R453" s="1979"/>
      <c r="S453" s="1979"/>
      <c r="T453" s="1979"/>
    </row>
    <row r="454" spans="1:20" s="727" customFormat="1" ht="12.75" x14ac:dyDescent="0.2">
      <c r="A454" s="728"/>
      <c r="B454" s="806" t="s">
        <v>782</v>
      </c>
      <c r="C454" s="903" t="s">
        <v>653</v>
      </c>
      <c r="D454" s="797">
        <v>15</v>
      </c>
      <c r="E454" s="792">
        <v>500</v>
      </c>
      <c r="F454" s="792">
        <f t="shared" si="155"/>
        <v>7500</v>
      </c>
      <c r="G454" s="783"/>
      <c r="H454" s="783">
        <f t="shared" si="157"/>
        <v>7500</v>
      </c>
      <c r="I454" s="1996"/>
      <c r="J454" s="2009">
        <v>0.84699999999999998</v>
      </c>
      <c r="K454" s="1980">
        <f t="shared" si="156"/>
        <v>6352.5</v>
      </c>
      <c r="L454" s="1980"/>
      <c r="M454" s="1983"/>
      <c r="N454" s="2005"/>
      <c r="O454" s="1972"/>
      <c r="P454" s="1972"/>
      <c r="Q454" s="1998"/>
      <c r="R454" s="1979"/>
      <c r="S454" s="1979"/>
      <c r="T454" s="1979"/>
    </row>
    <row r="455" spans="1:20" s="727" customFormat="1" ht="12.75" x14ac:dyDescent="0.2">
      <c r="A455" s="728"/>
      <c r="B455" s="806" t="s">
        <v>783</v>
      </c>
      <c r="C455" s="903" t="s">
        <v>660</v>
      </c>
      <c r="D455" s="797">
        <v>432</v>
      </c>
      <c r="E455" s="792">
        <v>200</v>
      </c>
      <c r="F455" s="792">
        <f t="shared" si="155"/>
        <v>86400</v>
      </c>
      <c r="G455" s="783"/>
      <c r="H455" s="783">
        <f t="shared" si="157"/>
        <v>86400</v>
      </c>
      <c r="I455" s="1996"/>
      <c r="J455" s="2009">
        <v>0.84699999999999998</v>
      </c>
      <c r="K455" s="1980">
        <f t="shared" si="156"/>
        <v>73180.800000000003</v>
      </c>
      <c r="L455" s="1980"/>
      <c r="M455" s="1983"/>
      <c r="N455" s="2005"/>
      <c r="O455" s="1972"/>
      <c r="P455" s="1972"/>
      <c r="Q455" s="1998"/>
      <c r="R455" s="1979"/>
      <c r="S455" s="1979"/>
      <c r="T455" s="1979"/>
    </row>
    <row r="456" spans="1:20" s="727" customFormat="1" ht="12.75" x14ac:dyDescent="0.2">
      <c r="A456" s="728"/>
      <c r="B456" s="806" t="s">
        <v>784</v>
      </c>
      <c r="C456" s="903" t="s">
        <v>660</v>
      </c>
      <c r="D456" s="797">
        <v>72</v>
      </c>
      <c r="E456" s="792">
        <v>500</v>
      </c>
      <c r="F456" s="792">
        <f t="shared" si="155"/>
        <v>36000</v>
      </c>
      <c r="G456" s="783"/>
      <c r="H456" s="783">
        <f t="shared" si="157"/>
        <v>36000</v>
      </c>
      <c r="I456" s="1996"/>
      <c r="J456" s="2009">
        <v>0.84699999999999998</v>
      </c>
      <c r="K456" s="1980">
        <f t="shared" si="156"/>
        <v>30492</v>
      </c>
      <c r="L456" s="1980"/>
      <c r="M456" s="1983"/>
      <c r="N456" s="2005"/>
      <c r="O456" s="1972"/>
      <c r="P456" s="1972"/>
      <c r="Q456" s="1998"/>
      <c r="R456" s="1979"/>
      <c r="S456" s="1979"/>
      <c r="T456" s="1979"/>
    </row>
    <row r="457" spans="1:20" s="727" customFormat="1" ht="12.75" x14ac:dyDescent="0.2">
      <c r="A457" s="728"/>
      <c r="B457" s="806" t="s">
        <v>785</v>
      </c>
      <c r="C457" s="903" t="s">
        <v>660</v>
      </c>
      <c r="D457" s="797">
        <v>105</v>
      </c>
      <c r="E457" s="792">
        <v>200</v>
      </c>
      <c r="F457" s="792">
        <f t="shared" si="155"/>
        <v>21000</v>
      </c>
      <c r="G457" s="783"/>
      <c r="H457" s="783">
        <f t="shared" si="157"/>
        <v>21000</v>
      </c>
      <c r="I457" s="1996"/>
      <c r="J457" s="2009">
        <v>0.84699999999999998</v>
      </c>
      <c r="K457" s="1980">
        <f t="shared" si="156"/>
        <v>17787</v>
      </c>
      <c r="L457" s="1980"/>
      <c r="M457" s="1983"/>
      <c r="N457" s="2005"/>
      <c r="O457" s="1972"/>
      <c r="P457" s="1972"/>
      <c r="Q457" s="1998"/>
      <c r="R457" s="1979"/>
      <c r="S457" s="1979"/>
      <c r="T457" s="1979"/>
    </row>
    <row r="458" spans="1:20" s="727" customFormat="1" ht="12.75" x14ac:dyDescent="0.2">
      <c r="A458" s="728"/>
      <c r="B458" s="806" t="s">
        <v>1113</v>
      </c>
      <c r="C458" s="903" t="s">
        <v>786</v>
      </c>
      <c r="D458" s="797">
        <v>36</v>
      </c>
      <c r="E458" s="792">
        <v>1500</v>
      </c>
      <c r="F458" s="792">
        <f t="shared" si="155"/>
        <v>54000</v>
      </c>
      <c r="G458" s="783"/>
      <c r="H458" s="783">
        <f t="shared" si="157"/>
        <v>54000</v>
      </c>
      <c r="I458" s="1996"/>
      <c r="J458" s="2009">
        <v>0.84699999999999998</v>
      </c>
      <c r="K458" s="1980">
        <f t="shared" si="156"/>
        <v>45738</v>
      </c>
      <c r="L458" s="1980"/>
      <c r="M458" s="1983"/>
      <c r="N458" s="2005"/>
      <c r="O458" s="1972"/>
      <c r="P458" s="1972"/>
      <c r="Q458" s="1998"/>
      <c r="R458" s="1979"/>
      <c r="S458" s="1979"/>
      <c r="T458" s="1979"/>
    </row>
    <row r="459" spans="1:20" s="727" customFormat="1" ht="12.75" x14ac:dyDescent="0.2">
      <c r="A459" s="728"/>
      <c r="B459" s="806" t="s">
        <v>1114</v>
      </c>
      <c r="C459" s="903" t="s">
        <v>660</v>
      </c>
      <c r="D459" s="797">
        <v>1</v>
      </c>
      <c r="E459" s="792">
        <v>5000</v>
      </c>
      <c r="F459" s="792">
        <f t="shared" si="155"/>
        <v>5000</v>
      </c>
      <c r="G459" s="783"/>
      <c r="H459" s="783">
        <f t="shared" si="157"/>
        <v>5000</v>
      </c>
      <c r="I459" s="1996"/>
      <c r="J459" s="2009">
        <v>0.84699999999999998</v>
      </c>
      <c r="K459" s="1980">
        <f t="shared" si="156"/>
        <v>4235</v>
      </c>
      <c r="L459" s="1980"/>
      <c r="M459" s="1983"/>
      <c r="N459" s="2005"/>
      <c r="O459" s="1972"/>
      <c r="P459" s="1972"/>
      <c r="Q459" s="1998"/>
      <c r="R459" s="1979"/>
      <c r="S459" s="1979"/>
      <c r="T459" s="1979"/>
    </row>
    <row r="460" spans="1:20" s="727" customFormat="1" ht="12.75" x14ac:dyDescent="0.2">
      <c r="A460" s="728"/>
      <c r="B460" s="806" t="s">
        <v>1070</v>
      </c>
      <c r="C460" s="903" t="s">
        <v>660</v>
      </c>
      <c r="D460" s="797">
        <v>3</v>
      </c>
      <c r="E460" s="792">
        <v>1000</v>
      </c>
      <c r="F460" s="792">
        <f t="shared" si="155"/>
        <v>3000</v>
      </c>
      <c r="G460" s="783"/>
      <c r="H460" s="783">
        <f t="shared" si="157"/>
        <v>3000</v>
      </c>
      <c r="I460" s="1996"/>
      <c r="J460" s="2009">
        <v>0.84699999999999998</v>
      </c>
      <c r="K460" s="1980">
        <f t="shared" si="156"/>
        <v>2541</v>
      </c>
      <c r="L460" s="1980"/>
      <c r="M460" s="1983"/>
      <c r="N460" s="2005"/>
      <c r="O460" s="1972"/>
      <c r="P460" s="1972"/>
      <c r="Q460" s="1998"/>
      <c r="R460" s="1979"/>
      <c r="S460" s="1979"/>
      <c r="T460" s="1979"/>
    </row>
    <row r="461" spans="1:20" s="727" customFormat="1" ht="12.75" x14ac:dyDescent="0.2">
      <c r="A461" s="728"/>
      <c r="B461" s="806" t="s">
        <v>1071</v>
      </c>
      <c r="C461" s="903" t="s">
        <v>660</v>
      </c>
      <c r="D461" s="797">
        <v>3</v>
      </c>
      <c r="E461" s="792">
        <v>1000</v>
      </c>
      <c r="F461" s="792">
        <f t="shared" si="155"/>
        <v>3000</v>
      </c>
      <c r="G461" s="783"/>
      <c r="H461" s="783">
        <f t="shared" si="157"/>
        <v>3000</v>
      </c>
      <c r="I461" s="1996"/>
      <c r="J461" s="2009">
        <v>0.84699999999999998</v>
      </c>
      <c r="K461" s="1980">
        <f t="shared" si="156"/>
        <v>2541</v>
      </c>
      <c r="L461" s="1980"/>
      <c r="M461" s="1983"/>
      <c r="N461" s="2005"/>
      <c r="O461" s="1972"/>
      <c r="P461" s="1972"/>
      <c r="Q461" s="1998"/>
      <c r="R461" s="1979"/>
      <c r="S461" s="1979"/>
      <c r="T461" s="1979"/>
    </row>
    <row r="462" spans="1:20" s="727" customFormat="1" ht="12.75" x14ac:dyDescent="0.2">
      <c r="A462" s="728"/>
      <c r="B462" s="806" t="s">
        <v>1105</v>
      </c>
      <c r="C462" s="903" t="s">
        <v>689</v>
      </c>
      <c r="D462" s="797">
        <v>3</v>
      </c>
      <c r="E462" s="792">
        <v>2000</v>
      </c>
      <c r="F462" s="792">
        <f t="shared" si="155"/>
        <v>6000</v>
      </c>
      <c r="G462" s="783"/>
      <c r="H462" s="783">
        <f t="shared" si="157"/>
        <v>6000</v>
      </c>
      <c r="I462" s="1996"/>
      <c r="J462" s="1990">
        <v>0.84699999999999998</v>
      </c>
      <c r="K462" s="1980">
        <f t="shared" si="156"/>
        <v>5082</v>
      </c>
      <c r="L462" s="1980"/>
      <c r="M462" s="1983"/>
      <c r="N462" s="2005"/>
      <c r="O462" s="1972"/>
      <c r="P462" s="1972"/>
      <c r="Q462" s="1998"/>
      <c r="R462" s="1979"/>
      <c r="S462" s="1979"/>
      <c r="T462" s="1979"/>
    </row>
    <row r="463" spans="1:20" s="727" customFormat="1" ht="12.75" x14ac:dyDescent="0.2">
      <c r="A463" s="728"/>
      <c r="B463" s="806" t="s">
        <v>1106</v>
      </c>
      <c r="C463" s="903" t="s">
        <v>689</v>
      </c>
      <c r="D463" s="797">
        <v>3</v>
      </c>
      <c r="E463" s="792">
        <v>3000</v>
      </c>
      <c r="F463" s="792">
        <f t="shared" si="155"/>
        <v>9000</v>
      </c>
      <c r="G463" s="783"/>
      <c r="H463" s="783">
        <f t="shared" si="157"/>
        <v>9000</v>
      </c>
      <c r="I463" s="1996"/>
      <c r="J463" s="1990">
        <v>0.84699999999999998</v>
      </c>
      <c r="K463" s="1980">
        <f t="shared" si="156"/>
        <v>7623</v>
      </c>
      <c r="L463" s="1980"/>
      <c r="M463" s="1983"/>
      <c r="N463" s="2005"/>
      <c r="O463" s="1972"/>
      <c r="P463" s="1972"/>
      <c r="Q463" s="1998"/>
      <c r="R463" s="1979"/>
      <c r="S463" s="1979"/>
      <c r="T463" s="1979"/>
    </row>
    <row r="464" spans="1:20" s="727" customFormat="1" ht="12.75" x14ac:dyDescent="0.2">
      <c r="A464" s="728"/>
      <c r="B464" s="806" t="s">
        <v>1107</v>
      </c>
      <c r="C464" s="903" t="s">
        <v>689</v>
      </c>
      <c r="D464" s="797">
        <v>3</v>
      </c>
      <c r="E464" s="792">
        <v>5000</v>
      </c>
      <c r="F464" s="792">
        <f t="shared" si="155"/>
        <v>15000</v>
      </c>
      <c r="G464" s="783"/>
      <c r="H464" s="783">
        <f t="shared" si="157"/>
        <v>15000</v>
      </c>
      <c r="I464" s="1996"/>
      <c r="J464" s="1990">
        <v>0.84699999999999998</v>
      </c>
      <c r="K464" s="1980">
        <f t="shared" si="156"/>
        <v>12705</v>
      </c>
      <c r="L464" s="1980"/>
      <c r="M464" s="1983"/>
      <c r="N464" s="2005"/>
      <c r="O464" s="1972"/>
      <c r="P464" s="1972"/>
      <c r="Q464" s="1998"/>
      <c r="R464" s="1979"/>
      <c r="S464" s="1979"/>
      <c r="T464" s="1979"/>
    </row>
    <row r="465" spans="1:20" s="727" customFormat="1" ht="12.75" x14ac:dyDescent="0.2">
      <c r="A465" s="728"/>
      <c r="B465" s="806" t="s">
        <v>1108</v>
      </c>
      <c r="C465" s="903" t="s">
        <v>689</v>
      </c>
      <c r="D465" s="797">
        <v>1</v>
      </c>
      <c r="E465" s="792">
        <v>6000</v>
      </c>
      <c r="F465" s="792">
        <f t="shared" si="155"/>
        <v>6000</v>
      </c>
      <c r="G465" s="783"/>
      <c r="H465" s="783">
        <f t="shared" si="157"/>
        <v>6000</v>
      </c>
      <c r="I465" s="1996"/>
      <c r="J465" s="1990">
        <v>0.84699999999999998</v>
      </c>
      <c r="K465" s="1980">
        <f t="shared" si="156"/>
        <v>5082</v>
      </c>
      <c r="L465" s="1980"/>
      <c r="M465" s="1983"/>
      <c r="N465" s="2005"/>
      <c r="O465" s="1972"/>
      <c r="P465" s="1972"/>
      <c r="Q465" s="1998"/>
      <c r="R465" s="1979"/>
      <c r="S465" s="1979"/>
      <c r="T465" s="1979"/>
    </row>
    <row r="466" spans="1:20" s="727" customFormat="1" ht="12.75" x14ac:dyDescent="0.2">
      <c r="A466" s="728"/>
      <c r="B466" s="806" t="s">
        <v>1109</v>
      </c>
      <c r="C466" s="903" t="s">
        <v>689</v>
      </c>
      <c r="D466" s="797">
        <v>0.5</v>
      </c>
      <c r="E466" s="792">
        <v>8000</v>
      </c>
      <c r="F466" s="792">
        <f t="shared" si="155"/>
        <v>4000</v>
      </c>
      <c r="G466" s="783"/>
      <c r="H466" s="783">
        <f t="shared" si="157"/>
        <v>4000</v>
      </c>
      <c r="I466" s="1996"/>
      <c r="J466" s="1990">
        <v>0.84699999999999998</v>
      </c>
      <c r="K466" s="1980">
        <f t="shared" si="156"/>
        <v>3388</v>
      </c>
      <c r="L466" s="1980"/>
      <c r="M466" s="1983"/>
      <c r="N466" s="2005"/>
      <c r="O466" s="1972"/>
      <c r="P466" s="1972"/>
      <c r="Q466" s="1998"/>
      <c r="R466" s="1979"/>
      <c r="S466" s="1979"/>
      <c r="T466" s="1979"/>
    </row>
    <row r="467" spans="1:20" s="727" customFormat="1" ht="12.75" x14ac:dyDescent="0.2">
      <c r="A467" s="728"/>
      <c r="B467" s="806" t="s">
        <v>744</v>
      </c>
      <c r="C467" s="903" t="s">
        <v>689</v>
      </c>
      <c r="D467" s="797">
        <v>10</v>
      </c>
      <c r="E467" s="792">
        <v>150</v>
      </c>
      <c r="F467" s="792">
        <f t="shared" si="155"/>
        <v>1500</v>
      </c>
      <c r="G467" s="783"/>
      <c r="H467" s="783">
        <f t="shared" si="157"/>
        <v>1500</v>
      </c>
      <c r="I467" s="1996"/>
      <c r="J467" s="1990">
        <v>0.84699999999999998</v>
      </c>
      <c r="K467" s="1980">
        <f t="shared" si="156"/>
        <v>1270.5</v>
      </c>
      <c r="L467" s="1980"/>
      <c r="M467" s="1983"/>
      <c r="N467" s="2005"/>
      <c r="O467" s="1972"/>
      <c r="P467" s="1972"/>
      <c r="Q467" s="1998"/>
      <c r="R467" s="1979"/>
      <c r="S467" s="1979"/>
      <c r="T467" s="1979"/>
    </row>
    <row r="468" spans="1:20" s="727" customFormat="1" ht="12.75" x14ac:dyDescent="0.2">
      <c r="A468" s="728"/>
      <c r="B468" s="806" t="s">
        <v>1110</v>
      </c>
      <c r="C468" s="903" t="s">
        <v>689</v>
      </c>
      <c r="D468" s="797">
        <v>0.5</v>
      </c>
      <c r="E468" s="792">
        <v>35000</v>
      </c>
      <c r="F468" s="792">
        <f t="shared" si="155"/>
        <v>17500</v>
      </c>
      <c r="G468" s="783"/>
      <c r="H468" s="783">
        <f t="shared" si="157"/>
        <v>17500</v>
      </c>
      <c r="I468" s="1996"/>
      <c r="J468" s="1990">
        <v>0.84699999999999998</v>
      </c>
      <c r="K468" s="1980">
        <f t="shared" si="156"/>
        <v>14822.5</v>
      </c>
      <c r="L468" s="1980"/>
      <c r="M468" s="1983"/>
      <c r="N468" s="2005"/>
      <c r="O468" s="1972"/>
      <c r="P468" s="1972"/>
      <c r="Q468" s="1998"/>
      <c r="R468" s="1979"/>
      <c r="S468" s="1979"/>
      <c r="T468" s="1979"/>
    </row>
    <row r="469" spans="1:20" s="727" customFormat="1" ht="12.75" x14ac:dyDescent="0.2">
      <c r="A469" s="728"/>
      <c r="B469" s="806" t="s">
        <v>1111</v>
      </c>
      <c r="C469" s="903" t="s">
        <v>689</v>
      </c>
      <c r="D469" s="797">
        <v>3</v>
      </c>
      <c r="E469" s="792">
        <v>15000</v>
      </c>
      <c r="F469" s="792">
        <f t="shared" si="155"/>
        <v>45000</v>
      </c>
      <c r="G469" s="783"/>
      <c r="H469" s="783">
        <f t="shared" si="157"/>
        <v>45000</v>
      </c>
      <c r="I469" s="1996"/>
      <c r="J469" s="1990">
        <v>0.84699999999999998</v>
      </c>
      <c r="K469" s="1980">
        <f t="shared" si="156"/>
        <v>38115</v>
      </c>
      <c r="L469" s="1980"/>
      <c r="M469" s="1983"/>
      <c r="N469" s="2005"/>
      <c r="O469" s="1972"/>
      <c r="P469" s="1972"/>
      <c r="Q469" s="1998"/>
      <c r="R469" s="1979"/>
      <c r="S469" s="1979"/>
      <c r="T469" s="1979"/>
    </row>
    <row r="470" spans="1:20" s="727" customFormat="1" ht="12.75" x14ac:dyDescent="0.2">
      <c r="A470" s="728"/>
      <c r="B470" s="806" t="s">
        <v>1112</v>
      </c>
      <c r="C470" s="903" t="s">
        <v>689</v>
      </c>
      <c r="D470" s="797">
        <v>3</v>
      </c>
      <c r="E470" s="792">
        <v>15000</v>
      </c>
      <c r="F470" s="792">
        <f t="shared" si="155"/>
        <v>45000</v>
      </c>
      <c r="G470" s="783"/>
      <c r="H470" s="783">
        <f t="shared" si="157"/>
        <v>45000</v>
      </c>
      <c r="I470" s="1996"/>
      <c r="J470" s="1990">
        <v>0.84699999999999998</v>
      </c>
      <c r="K470" s="1980">
        <f t="shared" si="156"/>
        <v>38115</v>
      </c>
      <c r="L470" s="1980"/>
      <c r="M470" s="1983"/>
      <c r="N470" s="2005"/>
      <c r="O470" s="1972"/>
      <c r="P470" s="1972"/>
      <c r="Q470" s="1998"/>
      <c r="R470" s="1979"/>
      <c r="S470" s="1979"/>
      <c r="T470" s="1979"/>
    </row>
    <row r="471" spans="1:20" s="727" customFormat="1" ht="12.75" x14ac:dyDescent="0.2">
      <c r="A471" s="740" t="s">
        <v>1229</v>
      </c>
      <c r="B471" s="747" t="s">
        <v>1005</v>
      </c>
      <c r="C471" s="908"/>
      <c r="D471" s="742"/>
      <c r="E471" s="743"/>
      <c r="F471" s="743"/>
      <c r="G471" s="726"/>
      <c r="H471" s="726">
        <f>SUM(H472:H475)</f>
        <v>20400</v>
      </c>
      <c r="I471" s="1996"/>
      <c r="J471" s="2009"/>
      <c r="K471" s="1980"/>
      <c r="L471" s="1980">
        <f>SUM(K472:K475)</f>
        <v>17278.8</v>
      </c>
      <c r="M471" s="1983"/>
      <c r="N471" s="2005"/>
      <c r="O471" s="1972"/>
      <c r="P471" s="1972"/>
      <c r="Q471" s="1998"/>
      <c r="R471" s="1979"/>
      <c r="S471" s="1979"/>
      <c r="T471" s="1979"/>
    </row>
    <row r="472" spans="1:20" s="727" customFormat="1" ht="12.75" x14ac:dyDescent="0.2">
      <c r="A472" s="728"/>
      <c r="B472" s="806" t="s">
        <v>787</v>
      </c>
      <c r="C472" s="903" t="s">
        <v>789</v>
      </c>
      <c r="D472" s="797">
        <v>7</v>
      </c>
      <c r="E472" s="792">
        <v>1000</v>
      </c>
      <c r="F472" s="792">
        <f>D472*E472</f>
        <v>7000</v>
      </c>
      <c r="G472" s="783"/>
      <c r="H472" s="783">
        <f>SUM(F472:G472)</f>
        <v>7000</v>
      </c>
      <c r="I472" s="1996"/>
      <c r="J472" s="2009">
        <v>0.84699999999999998</v>
      </c>
      <c r="K472" s="1980">
        <f>+H472*J472</f>
        <v>5929</v>
      </c>
      <c r="L472" s="1980"/>
      <c r="M472" s="1983"/>
      <c r="N472" s="2005"/>
      <c r="O472" s="1972"/>
      <c r="P472" s="1972"/>
      <c r="Q472" s="1998"/>
      <c r="R472" s="1979"/>
      <c r="S472" s="1979"/>
      <c r="T472" s="1979"/>
    </row>
    <row r="473" spans="1:20" s="727" customFormat="1" ht="12.75" x14ac:dyDescent="0.2">
      <c r="A473" s="728"/>
      <c r="B473" s="806" t="s">
        <v>788</v>
      </c>
      <c r="C473" s="903" t="s">
        <v>660</v>
      </c>
      <c r="D473" s="797">
        <v>14</v>
      </c>
      <c r="E473" s="792">
        <v>250</v>
      </c>
      <c r="F473" s="792">
        <f t="shared" ref="F473:F475" si="158">D473*E473</f>
        <v>3500</v>
      </c>
      <c r="G473" s="783"/>
      <c r="H473" s="783">
        <f t="shared" ref="H473:H475" si="159">SUM(F473:G473)</f>
        <v>3500</v>
      </c>
      <c r="I473" s="1996"/>
      <c r="J473" s="2009">
        <v>0.84699999999999998</v>
      </c>
      <c r="K473" s="1980">
        <f>+H473*J473</f>
        <v>2964.5</v>
      </c>
      <c r="L473" s="1980"/>
      <c r="M473" s="1983"/>
      <c r="N473" s="2005"/>
      <c r="O473" s="1972"/>
      <c r="P473" s="1972"/>
      <c r="Q473" s="1998"/>
      <c r="R473" s="1979"/>
      <c r="S473" s="1979"/>
      <c r="T473" s="1979"/>
    </row>
    <row r="474" spans="1:20" s="727" customFormat="1" ht="12.75" x14ac:dyDescent="0.2">
      <c r="A474" s="728"/>
      <c r="B474" s="806" t="s">
        <v>790</v>
      </c>
      <c r="C474" s="903" t="s">
        <v>660</v>
      </c>
      <c r="D474" s="797">
        <v>22</v>
      </c>
      <c r="E474" s="792">
        <v>250</v>
      </c>
      <c r="F474" s="792">
        <f t="shared" si="158"/>
        <v>5500</v>
      </c>
      <c r="G474" s="783"/>
      <c r="H474" s="783">
        <f t="shared" si="159"/>
        <v>5500</v>
      </c>
      <c r="I474" s="1996"/>
      <c r="J474" s="2009">
        <v>0.84699999999999998</v>
      </c>
      <c r="K474" s="1980">
        <f>+H474*J474</f>
        <v>4658.5</v>
      </c>
      <c r="L474" s="1980"/>
      <c r="M474" s="1983"/>
      <c r="N474" s="2005"/>
      <c r="O474" s="1972"/>
      <c r="P474" s="1972"/>
      <c r="Q474" s="1998"/>
      <c r="R474" s="1979"/>
      <c r="S474" s="1979"/>
      <c r="T474" s="1979"/>
    </row>
    <row r="475" spans="1:20" s="727" customFormat="1" ht="12.75" x14ac:dyDescent="0.2">
      <c r="A475" s="728"/>
      <c r="B475" s="806" t="s">
        <v>791</v>
      </c>
      <c r="C475" s="903" t="s">
        <v>1297</v>
      </c>
      <c r="D475" s="797">
        <v>22</v>
      </c>
      <c r="E475" s="792">
        <v>200</v>
      </c>
      <c r="F475" s="792">
        <f t="shared" si="158"/>
        <v>4400</v>
      </c>
      <c r="G475" s="783"/>
      <c r="H475" s="783">
        <f t="shared" si="159"/>
        <v>4400</v>
      </c>
      <c r="I475" s="1996"/>
      <c r="J475" s="2009">
        <v>0.84699999999999998</v>
      </c>
      <c r="K475" s="1980">
        <f>+H475*J475</f>
        <v>3726.7999999999997</v>
      </c>
      <c r="L475" s="1980"/>
      <c r="M475" s="1983"/>
      <c r="N475" s="2005"/>
      <c r="O475" s="1972"/>
      <c r="P475" s="1972"/>
      <c r="Q475" s="1998"/>
      <c r="R475" s="1979"/>
      <c r="S475" s="1979"/>
      <c r="T475" s="1979"/>
    </row>
    <row r="476" spans="1:20" s="727" customFormat="1" ht="12.75" x14ac:dyDescent="0.2">
      <c r="A476" s="740" t="s">
        <v>1230</v>
      </c>
      <c r="B476" s="910" t="s">
        <v>1006</v>
      </c>
      <c r="C476" s="908"/>
      <c r="D476" s="742"/>
      <c r="E476" s="743"/>
      <c r="F476" s="743"/>
      <c r="G476" s="726"/>
      <c r="H476" s="726">
        <f>SUM(H477:H479)</f>
        <v>15400</v>
      </c>
      <c r="I476" s="1996"/>
      <c r="J476" s="2009"/>
      <c r="K476" s="1980"/>
      <c r="L476" s="1980">
        <f>SUM(K477:K479)</f>
        <v>13043.8</v>
      </c>
      <c r="M476" s="1983"/>
      <c r="N476" s="2005"/>
      <c r="O476" s="1972"/>
      <c r="P476" s="1972"/>
      <c r="Q476" s="1998"/>
      <c r="R476" s="1979"/>
      <c r="S476" s="1979"/>
      <c r="T476" s="1979"/>
    </row>
    <row r="477" spans="1:20" s="727" customFormat="1" ht="12.75" x14ac:dyDescent="0.2">
      <c r="A477" s="728"/>
      <c r="B477" s="806" t="s">
        <v>1155</v>
      </c>
      <c r="C477" s="903" t="s">
        <v>647</v>
      </c>
      <c r="D477" s="797">
        <v>22</v>
      </c>
      <c r="E477" s="792">
        <v>250</v>
      </c>
      <c r="F477" s="792">
        <f>D477*E477</f>
        <v>5500</v>
      </c>
      <c r="G477" s="783"/>
      <c r="H477" s="783">
        <f>SUM(F477:G477)</f>
        <v>5500</v>
      </c>
      <c r="I477" s="1996"/>
      <c r="J477" s="2009">
        <v>0.84699999999999998</v>
      </c>
      <c r="K477" s="1980">
        <f>+H477*J477</f>
        <v>4658.5</v>
      </c>
      <c r="L477" s="1980"/>
      <c r="M477" s="1983"/>
      <c r="N477" s="2005"/>
      <c r="O477" s="1972"/>
      <c r="P477" s="1972"/>
      <c r="Q477" s="1998"/>
      <c r="R477" s="1979"/>
      <c r="S477" s="1979"/>
      <c r="T477" s="1979"/>
    </row>
    <row r="478" spans="1:20" s="727" customFormat="1" ht="12.75" x14ac:dyDescent="0.2">
      <c r="A478" s="728"/>
      <c r="B478" s="806" t="s">
        <v>1156</v>
      </c>
      <c r="C478" s="903" t="s">
        <v>647</v>
      </c>
      <c r="D478" s="797">
        <v>22</v>
      </c>
      <c r="E478" s="792">
        <v>200</v>
      </c>
      <c r="F478" s="792">
        <f t="shared" ref="F478:F479" si="160">D478*E478</f>
        <v>4400</v>
      </c>
      <c r="G478" s="783"/>
      <c r="H478" s="783">
        <f t="shared" ref="H478:H479" si="161">SUM(F478:G478)</f>
        <v>4400</v>
      </c>
      <c r="I478" s="1996"/>
      <c r="J478" s="2009">
        <v>0.84699999999999998</v>
      </c>
      <c r="K478" s="1980">
        <f>+H478*J478</f>
        <v>3726.7999999999997</v>
      </c>
      <c r="L478" s="1980"/>
      <c r="M478" s="1983"/>
      <c r="N478" s="2005"/>
      <c r="O478" s="1972"/>
      <c r="P478" s="1972"/>
      <c r="Q478" s="1998"/>
      <c r="R478" s="1979"/>
      <c r="S478" s="1979"/>
      <c r="T478" s="1979"/>
    </row>
    <row r="479" spans="1:20" s="727" customFormat="1" ht="12.75" x14ac:dyDescent="0.2">
      <c r="A479" s="728"/>
      <c r="B479" s="806" t="s">
        <v>1072</v>
      </c>
      <c r="C479" s="903" t="s">
        <v>749</v>
      </c>
      <c r="D479" s="797">
        <v>22</v>
      </c>
      <c r="E479" s="792">
        <v>250</v>
      </c>
      <c r="F479" s="792">
        <f t="shared" si="160"/>
        <v>5500</v>
      </c>
      <c r="G479" s="783"/>
      <c r="H479" s="783">
        <f t="shared" si="161"/>
        <v>5500</v>
      </c>
      <c r="I479" s="1996"/>
      <c r="J479" s="2009">
        <v>0.84699999999999998</v>
      </c>
      <c r="K479" s="1980">
        <f>+H479*J479</f>
        <v>4658.5</v>
      </c>
      <c r="L479" s="1980"/>
      <c r="M479" s="1983"/>
      <c r="N479" s="2005"/>
      <c r="O479" s="1972"/>
      <c r="P479" s="1972"/>
      <c r="Q479" s="1998"/>
      <c r="R479" s="1979"/>
      <c r="S479" s="1979"/>
      <c r="T479" s="1979"/>
    </row>
    <row r="480" spans="1:20" s="727" customFormat="1" ht="12.75" x14ac:dyDescent="0.2">
      <c r="A480" s="760" t="s">
        <v>1231</v>
      </c>
      <c r="B480" s="754" t="s">
        <v>1142</v>
      </c>
      <c r="C480" s="755"/>
      <c r="D480" s="756"/>
      <c r="E480" s="757"/>
      <c r="F480" s="757"/>
      <c r="G480" s="758"/>
      <c r="H480" s="759">
        <f>H481+H490+H497</f>
        <v>354220.6</v>
      </c>
      <c r="I480" s="1996"/>
      <c r="J480" s="1990"/>
      <c r="K480" s="1980"/>
      <c r="L480" s="1980"/>
      <c r="M480" s="1983"/>
      <c r="N480" s="2005"/>
      <c r="O480" s="1972"/>
      <c r="P480" s="1972"/>
      <c r="Q480" s="1998"/>
      <c r="R480" s="1979"/>
      <c r="S480" s="1979"/>
      <c r="T480" s="1979"/>
    </row>
    <row r="481" spans="1:20" s="727" customFormat="1" ht="12.75" x14ac:dyDescent="0.2">
      <c r="A481" s="827" t="s">
        <v>1234</v>
      </c>
      <c r="B481" s="910" t="s">
        <v>1146</v>
      </c>
      <c r="C481" s="911"/>
      <c r="D481" s="912"/>
      <c r="E481" s="913"/>
      <c r="F481" s="913"/>
      <c r="G481" s="914"/>
      <c r="H481" s="915">
        <f>H482+H484+H486</f>
        <v>144800</v>
      </c>
      <c r="I481" s="1996"/>
      <c r="J481" s="1990"/>
      <c r="K481" s="1980"/>
      <c r="L481" s="1980"/>
      <c r="M481" s="1983"/>
      <c r="N481" s="2005"/>
      <c r="O481" s="1972"/>
      <c r="P481" s="1972"/>
      <c r="Q481" s="1998"/>
      <c r="R481" s="1979"/>
      <c r="S481" s="1979"/>
      <c r="T481" s="1979"/>
    </row>
    <row r="482" spans="1:20" s="727" customFormat="1" ht="12.75" x14ac:dyDescent="0.2">
      <c r="A482" s="777"/>
      <c r="B482" s="902" t="s">
        <v>1077</v>
      </c>
      <c r="C482" s="786"/>
      <c r="D482" s="805"/>
      <c r="E482" s="788"/>
      <c r="F482" s="789"/>
      <c r="G482" s="788"/>
      <c r="H482" s="788">
        <f>SUM(H483)</f>
        <v>35000</v>
      </c>
      <c r="I482" s="1996"/>
      <c r="J482" s="1999"/>
      <c r="K482" s="1980"/>
      <c r="L482" s="1980">
        <f>SUM(K483)</f>
        <v>29645</v>
      </c>
      <c r="M482" s="1983"/>
      <c r="N482" s="2005"/>
      <c r="O482" s="1972"/>
      <c r="P482" s="1972"/>
      <c r="Q482" s="1998"/>
      <c r="R482" s="1979"/>
      <c r="S482" s="1979"/>
      <c r="T482" s="1979"/>
    </row>
    <row r="483" spans="1:20" s="727" customFormat="1" ht="12.75" x14ac:dyDescent="0.2">
      <c r="A483" s="728"/>
      <c r="B483" s="806" t="s">
        <v>748</v>
      </c>
      <c r="C483" s="903" t="s">
        <v>660</v>
      </c>
      <c r="D483" s="797">
        <v>50</v>
      </c>
      <c r="E483" s="792">
        <v>700</v>
      </c>
      <c r="F483" s="792">
        <f>D483*E483</f>
        <v>35000</v>
      </c>
      <c r="G483" s="783"/>
      <c r="H483" s="783">
        <f>SUM(F483:G483)</f>
        <v>35000</v>
      </c>
      <c r="I483" s="1996"/>
      <c r="J483" s="1990">
        <v>0.84699999999999998</v>
      </c>
      <c r="K483" s="1980">
        <f>+H483*J483</f>
        <v>29645</v>
      </c>
      <c r="L483" s="1980"/>
      <c r="M483" s="1983"/>
      <c r="N483" s="2005"/>
      <c r="O483" s="1972"/>
      <c r="P483" s="1972"/>
      <c r="Q483" s="1998"/>
      <c r="R483" s="1979"/>
      <c r="S483" s="1979"/>
      <c r="T483" s="1979"/>
    </row>
    <row r="484" spans="1:20" s="727" customFormat="1" ht="12.75" x14ac:dyDescent="0.2">
      <c r="A484" s="777"/>
      <c r="B484" s="785" t="s">
        <v>1081</v>
      </c>
      <c r="C484" s="786"/>
      <c r="D484" s="805"/>
      <c r="E484" s="789"/>
      <c r="F484" s="789"/>
      <c r="G484" s="788"/>
      <c r="H484" s="788">
        <f>SUM(H485)</f>
        <v>1500</v>
      </c>
      <c r="I484" s="1996"/>
      <c r="J484" s="1999"/>
      <c r="K484" s="1980"/>
      <c r="L484" s="1980">
        <f>SUM(K485)</f>
        <v>1365</v>
      </c>
      <c r="M484" s="1983"/>
      <c r="N484" s="2005"/>
      <c r="O484" s="1972"/>
      <c r="P484" s="1972"/>
      <c r="Q484" s="1998"/>
      <c r="R484" s="1979"/>
      <c r="S484" s="1979"/>
      <c r="T484" s="1979"/>
    </row>
    <row r="485" spans="1:20" s="727" customFormat="1" ht="12.75" x14ac:dyDescent="0.2">
      <c r="A485" s="728"/>
      <c r="B485" s="729" t="s">
        <v>756</v>
      </c>
      <c r="C485" s="794" t="s">
        <v>757</v>
      </c>
      <c r="D485" s="797">
        <v>3</v>
      </c>
      <c r="E485" s="792">
        <v>500</v>
      </c>
      <c r="F485" s="792">
        <f t="shared" ref="F485" si="162">D485*E485</f>
        <v>1500</v>
      </c>
      <c r="G485" s="783"/>
      <c r="H485" s="783">
        <f>SUM(F485:G485)</f>
        <v>1500</v>
      </c>
      <c r="I485" s="1996"/>
      <c r="J485" s="1999">
        <v>0.91</v>
      </c>
      <c r="K485" s="1980">
        <f>+H485*J485</f>
        <v>1365</v>
      </c>
      <c r="L485" s="1980"/>
      <c r="M485" s="1983"/>
      <c r="N485" s="2005"/>
      <c r="O485" s="1972"/>
      <c r="P485" s="1972"/>
      <c r="Q485" s="1998"/>
      <c r="R485" s="1979"/>
      <c r="S485" s="1979"/>
      <c r="T485" s="1979"/>
    </row>
    <row r="486" spans="1:20" s="727" customFormat="1" ht="12.75" x14ac:dyDescent="0.2">
      <c r="A486" s="777"/>
      <c r="B486" s="785" t="s">
        <v>1115</v>
      </c>
      <c r="C486" s="802"/>
      <c r="D486" s="803"/>
      <c r="E486" s="788"/>
      <c r="F486" s="789"/>
      <c r="G486" s="788"/>
      <c r="H486" s="788">
        <f>SUM(H487:H489)</f>
        <v>108300</v>
      </c>
      <c r="I486" s="2010"/>
      <c r="J486" s="1999"/>
      <c r="K486" s="1980"/>
      <c r="L486" s="1980">
        <f>SUM(K487:K489)</f>
        <v>91730.1</v>
      </c>
      <c r="M486" s="1983"/>
      <c r="N486" s="2005"/>
      <c r="O486" s="1972"/>
      <c r="P486" s="1972"/>
      <c r="Q486" s="1998"/>
      <c r="R486" s="1979"/>
      <c r="S486" s="1979"/>
      <c r="T486" s="1979"/>
    </row>
    <row r="487" spans="1:20" s="727" customFormat="1" ht="12.75" x14ac:dyDescent="0.2">
      <c r="A487" s="728"/>
      <c r="B487" s="806" t="s">
        <v>764</v>
      </c>
      <c r="C487" s="903" t="s">
        <v>761</v>
      </c>
      <c r="D487" s="797">
        <v>3000</v>
      </c>
      <c r="E487" s="792">
        <v>5</v>
      </c>
      <c r="F487" s="792">
        <f>D487*E487</f>
        <v>15000</v>
      </c>
      <c r="G487" s="783"/>
      <c r="H487" s="783">
        <f>SUM(F487:G487)</f>
        <v>15000</v>
      </c>
      <c r="I487" s="1996"/>
      <c r="J487" s="2009">
        <v>0.84699999999999998</v>
      </c>
      <c r="K487" s="1980">
        <f>+H487*J487</f>
        <v>12705</v>
      </c>
      <c r="L487" s="1980"/>
      <c r="M487" s="1983"/>
      <c r="N487" s="2005"/>
      <c r="O487" s="1972"/>
      <c r="P487" s="1972"/>
      <c r="Q487" s="1998"/>
      <c r="R487" s="1979"/>
      <c r="S487" s="1979"/>
      <c r="T487" s="1979"/>
    </row>
    <row r="488" spans="1:20" s="727" customFormat="1" ht="12.75" x14ac:dyDescent="0.2">
      <c r="A488" s="728"/>
      <c r="B488" s="806" t="s">
        <v>795</v>
      </c>
      <c r="C488" s="903" t="s">
        <v>660</v>
      </c>
      <c r="D488" s="797">
        <v>22</v>
      </c>
      <c r="E488" s="792">
        <v>150</v>
      </c>
      <c r="F488" s="792">
        <f t="shared" ref="F488:F489" si="163">D488*E488</f>
        <v>3300</v>
      </c>
      <c r="G488" s="783"/>
      <c r="H488" s="783">
        <f t="shared" ref="H488:H489" si="164">SUM(F488:G488)</f>
        <v>3300</v>
      </c>
      <c r="I488" s="1996"/>
      <c r="J488" s="2009">
        <v>0.84699999999999998</v>
      </c>
      <c r="K488" s="1980">
        <f>+H488*J488</f>
        <v>2795.1</v>
      </c>
      <c r="L488" s="1980"/>
      <c r="M488" s="1983"/>
      <c r="N488" s="2005"/>
      <c r="O488" s="1972"/>
      <c r="P488" s="1972"/>
      <c r="Q488" s="1998"/>
      <c r="R488" s="1979"/>
      <c r="S488" s="1979"/>
      <c r="T488" s="1979"/>
    </row>
    <row r="489" spans="1:20" s="727" customFormat="1" ht="12.75" x14ac:dyDescent="0.2">
      <c r="A489" s="728"/>
      <c r="B489" s="806" t="s">
        <v>796</v>
      </c>
      <c r="C489" s="903" t="s">
        <v>758</v>
      </c>
      <c r="D489" s="797">
        <v>6000</v>
      </c>
      <c r="E489" s="792">
        <v>15</v>
      </c>
      <c r="F489" s="792">
        <f t="shared" si="163"/>
        <v>90000</v>
      </c>
      <c r="G489" s="783"/>
      <c r="H489" s="783">
        <f t="shared" si="164"/>
        <v>90000</v>
      </c>
      <c r="I489" s="1996"/>
      <c r="J489" s="2009">
        <v>0.84699999999999998</v>
      </c>
      <c r="K489" s="1980">
        <f>+H489*J489</f>
        <v>76230</v>
      </c>
      <c r="L489" s="1980"/>
      <c r="M489" s="1983"/>
      <c r="N489" s="2005"/>
      <c r="O489" s="1972"/>
      <c r="P489" s="1972"/>
      <c r="Q489" s="1998"/>
      <c r="R489" s="1979"/>
      <c r="S489" s="1979"/>
      <c r="T489" s="1979"/>
    </row>
    <row r="490" spans="1:20" s="727" customFormat="1" ht="12.75" x14ac:dyDescent="0.2">
      <c r="A490" s="740" t="s">
        <v>1236</v>
      </c>
      <c r="B490" s="910" t="s">
        <v>1147</v>
      </c>
      <c r="C490" s="752"/>
      <c r="D490" s="753"/>
      <c r="E490" s="724"/>
      <c r="F490" s="724"/>
      <c r="G490" s="725"/>
      <c r="H490" s="726">
        <f>+H491+H495</f>
        <v>108250</v>
      </c>
      <c r="I490" s="1996"/>
      <c r="J490" s="1999"/>
      <c r="K490" s="1980"/>
      <c r="L490" s="1980"/>
      <c r="M490" s="1983"/>
      <c r="N490" s="2005"/>
      <c r="O490" s="1972"/>
      <c r="P490" s="1972"/>
      <c r="Q490" s="1998"/>
      <c r="R490" s="1979"/>
      <c r="S490" s="1979"/>
      <c r="T490" s="1979"/>
    </row>
    <row r="491" spans="1:20" s="727" customFormat="1" ht="12.75" x14ac:dyDescent="0.2">
      <c r="A491" s="777"/>
      <c r="B491" s="785" t="s">
        <v>1115</v>
      </c>
      <c r="C491" s="802"/>
      <c r="D491" s="803"/>
      <c r="E491" s="788"/>
      <c r="F491" s="789"/>
      <c r="G491" s="788"/>
      <c r="H491" s="788">
        <f>SUM(H492:H494)</f>
        <v>106750</v>
      </c>
      <c r="I491" s="2010"/>
      <c r="J491" s="1999"/>
      <c r="K491" s="1980"/>
      <c r="L491" s="1980">
        <f>SUM(K492:K494)</f>
        <v>90417.25</v>
      </c>
      <c r="M491" s="1983"/>
      <c r="N491" s="2005"/>
      <c r="O491" s="1972"/>
      <c r="P491" s="1972"/>
      <c r="Q491" s="1998"/>
      <c r="R491" s="1979"/>
      <c r="S491" s="1979"/>
      <c r="T491" s="1979"/>
    </row>
    <row r="492" spans="1:20" s="727" customFormat="1" ht="12.75" x14ac:dyDescent="0.2">
      <c r="A492" s="728"/>
      <c r="B492" s="806" t="s">
        <v>764</v>
      </c>
      <c r="C492" s="903" t="s">
        <v>761</v>
      </c>
      <c r="D492" s="797">
        <v>3000</v>
      </c>
      <c r="E492" s="792">
        <v>5</v>
      </c>
      <c r="F492" s="792">
        <f>D492*E492</f>
        <v>15000</v>
      </c>
      <c r="G492" s="783"/>
      <c r="H492" s="783">
        <f>SUM(F492:G492)</f>
        <v>15000</v>
      </c>
      <c r="I492" s="1996"/>
      <c r="J492" s="2009">
        <v>0.84699999999999998</v>
      </c>
      <c r="K492" s="1980">
        <f>+H492*J492</f>
        <v>12705</v>
      </c>
      <c r="L492" s="1980"/>
      <c r="M492" s="1983"/>
      <c r="N492" s="2005"/>
      <c r="O492" s="1972"/>
      <c r="P492" s="1972"/>
      <c r="Q492" s="1998"/>
      <c r="R492" s="1979"/>
      <c r="S492" s="1979"/>
      <c r="T492" s="1979"/>
    </row>
    <row r="493" spans="1:20" s="727" customFormat="1" ht="12.75" x14ac:dyDescent="0.2">
      <c r="A493" s="728"/>
      <c r="B493" s="806" t="s">
        <v>795</v>
      </c>
      <c r="C493" s="903" t="s">
        <v>660</v>
      </c>
      <c r="D493" s="797">
        <v>7</v>
      </c>
      <c r="E493" s="792">
        <v>250</v>
      </c>
      <c r="F493" s="792">
        <f t="shared" ref="F493:F494" si="165">D493*E493</f>
        <v>1750</v>
      </c>
      <c r="G493" s="783"/>
      <c r="H493" s="783">
        <f t="shared" ref="H493:H494" si="166">SUM(F493:G493)</f>
        <v>1750</v>
      </c>
      <c r="I493" s="1996"/>
      <c r="J493" s="2009">
        <v>0.84699999999999998</v>
      </c>
      <c r="K493" s="1980">
        <f>+H493*J493</f>
        <v>1482.25</v>
      </c>
      <c r="L493" s="1980"/>
      <c r="M493" s="1983"/>
      <c r="N493" s="2005"/>
      <c r="O493" s="1972"/>
      <c r="P493" s="1972"/>
      <c r="Q493" s="1998"/>
      <c r="R493" s="1979"/>
      <c r="S493" s="1979"/>
      <c r="T493" s="1979"/>
    </row>
    <row r="494" spans="1:20" s="727" customFormat="1" ht="12.75" x14ac:dyDescent="0.2">
      <c r="A494" s="728"/>
      <c r="B494" s="806" t="s">
        <v>796</v>
      </c>
      <c r="C494" s="903" t="s">
        <v>758</v>
      </c>
      <c r="D494" s="797">
        <v>6000</v>
      </c>
      <c r="E494" s="792">
        <v>15</v>
      </c>
      <c r="F494" s="792">
        <f t="shared" si="165"/>
        <v>90000</v>
      </c>
      <c r="G494" s="783"/>
      <c r="H494" s="783">
        <f t="shared" si="166"/>
        <v>90000</v>
      </c>
      <c r="I494" s="1996"/>
      <c r="J494" s="2009">
        <v>0.84699999999999998</v>
      </c>
      <c r="K494" s="1980">
        <f>+H494*J494</f>
        <v>76230</v>
      </c>
      <c r="L494" s="1980"/>
      <c r="M494" s="1983"/>
      <c r="N494" s="2005"/>
      <c r="O494" s="1972"/>
      <c r="P494" s="1972"/>
      <c r="Q494" s="1998"/>
      <c r="R494" s="1979"/>
      <c r="S494" s="1979"/>
      <c r="T494" s="1979"/>
    </row>
    <row r="495" spans="1:20" s="727" customFormat="1" ht="12.75" x14ac:dyDescent="0.2">
      <c r="A495" s="777"/>
      <c r="B495" s="785" t="s">
        <v>1081</v>
      </c>
      <c r="C495" s="786"/>
      <c r="D495" s="805"/>
      <c r="E495" s="789"/>
      <c r="F495" s="789"/>
      <c r="G495" s="788"/>
      <c r="H495" s="788">
        <f>SUM(H496)</f>
        <v>1500</v>
      </c>
      <c r="I495" s="1996"/>
      <c r="J495" s="1999"/>
      <c r="K495" s="1980"/>
      <c r="L495" s="1980">
        <f>SUM(K496)</f>
        <v>1365</v>
      </c>
      <c r="M495" s="1983"/>
      <c r="N495" s="2005"/>
      <c r="O495" s="1972"/>
      <c r="P495" s="1972"/>
      <c r="Q495" s="1998"/>
      <c r="R495" s="1979"/>
      <c r="S495" s="1979"/>
      <c r="T495" s="1979"/>
    </row>
    <row r="496" spans="1:20" s="727" customFormat="1" ht="12.75" x14ac:dyDescent="0.2">
      <c r="A496" s="728"/>
      <c r="B496" s="729" t="s">
        <v>756</v>
      </c>
      <c r="C496" s="794" t="s">
        <v>757</v>
      </c>
      <c r="D496" s="797">
        <v>3</v>
      </c>
      <c r="E496" s="792">
        <v>500</v>
      </c>
      <c r="F496" s="792">
        <f t="shared" ref="F496" si="167">D496*E496</f>
        <v>1500</v>
      </c>
      <c r="G496" s="783"/>
      <c r="H496" s="783">
        <f>SUM(F496:G496)</f>
        <v>1500</v>
      </c>
      <c r="I496" s="1996"/>
      <c r="J496" s="1999">
        <v>0.91</v>
      </c>
      <c r="K496" s="1980">
        <f>+H496*J496</f>
        <v>1365</v>
      </c>
      <c r="L496" s="1980"/>
      <c r="M496" s="1983"/>
      <c r="N496" s="2005"/>
      <c r="O496" s="1972"/>
      <c r="P496" s="1972"/>
      <c r="Q496" s="1998"/>
      <c r="R496" s="1979"/>
      <c r="S496" s="1979"/>
      <c r="T496" s="1979"/>
    </row>
    <row r="497" spans="1:20" s="727" customFormat="1" ht="12.75" x14ac:dyDescent="0.2">
      <c r="A497" s="740" t="s">
        <v>1235</v>
      </c>
      <c r="B497" s="747" t="s">
        <v>1148</v>
      </c>
      <c r="C497" s="908"/>
      <c r="D497" s="742"/>
      <c r="E497" s="743"/>
      <c r="F497" s="743"/>
      <c r="G497" s="726"/>
      <c r="H497" s="726">
        <f>H498+H508+H517+H521+H524+H529</f>
        <v>101170.6</v>
      </c>
      <c r="I497" s="1996"/>
      <c r="J497" s="2009"/>
      <c r="K497" s="1980"/>
      <c r="L497" s="1980"/>
      <c r="M497" s="1983"/>
      <c r="N497" s="2005"/>
      <c r="O497" s="1972"/>
      <c r="P497" s="1972"/>
      <c r="Q497" s="1998"/>
      <c r="R497" s="1979"/>
      <c r="S497" s="1979"/>
      <c r="T497" s="1979"/>
    </row>
    <row r="498" spans="1:20" s="727" customFormat="1" ht="12.75" x14ac:dyDescent="0.2">
      <c r="A498" s="777"/>
      <c r="B498" s="785" t="s">
        <v>1078</v>
      </c>
      <c r="C498" s="802"/>
      <c r="D498" s="803"/>
      <c r="E498" s="788"/>
      <c r="F498" s="789"/>
      <c r="G498" s="788"/>
      <c r="H498" s="788">
        <f>SUM(H499:H507)</f>
        <v>51250</v>
      </c>
      <c r="I498" s="2010"/>
      <c r="J498" s="1999"/>
      <c r="K498" s="1980"/>
      <c r="L498" s="1980">
        <f>SUM(K499:K507)</f>
        <v>43408.75</v>
      </c>
      <c r="M498" s="1983"/>
      <c r="N498" s="2005"/>
      <c r="O498" s="1972"/>
      <c r="P498" s="1972"/>
      <c r="Q498" s="1998"/>
      <c r="R498" s="1979"/>
      <c r="S498" s="1979"/>
      <c r="T498" s="1979"/>
    </row>
    <row r="499" spans="1:20" s="727" customFormat="1" ht="12.75" x14ac:dyDescent="0.2">
      <c r="A499" s="728"/>
      <c r="B499" s="806" t="s">
        <v>764</v>
      </c>
      <c r="C499" s="903" t="s">
        <v>761</v>
      </c>
      <c r="D499" s="797">
        <v>3000</v>
      </c>
      <c r="E499" s="792">
        <v>5</v>
      </c>
      <c r="F499" s="792">
        <f t="shared" ref="F499:F507" si="168">D499*E499</f>
        <v>15000</v>
      </c>
      <c r="G499" s="783"/>
      <c r="H499" s="783">
        <f>SUM(F499:G499)</f>
        <v>15000</v>
      </c>
      <c r="I499" s="1996"/>
      <c r="J499" s="2009">
        <v>0.84699999999999998</v>
      </c>
      <c r="K499" s="1980">
        <f t="shared" ref="K499:K507" si="169">+H499*J499</f>
        <v>12705</v>
      </c>
      <c r="L499" s="1980"/>
      <c r="M499" s="1983"/>
      <c r="N499" s="2005"/>
      <c r="O499" s="1972"/>
      <c r="P499" s="1972"/>
      <c r="Q499" s="1998"/>
      <c r="R499" s="1979"/>
      <c r="S499" s="1979"/>
      <c r="T499" s="1979"/>
    </row>
    <row r="500" spans="1:20" s="727" customFormat="1" ht="12.75" x14ac:dyDescent="0.2">
      <c r="A500" s="728"/>
      <c r="B500" s="806" t="s">
        <v>772</v>
      </c>
      <c r="C500" s="903" t="s">
        <v>770</v>
      </c>
      <c r="D500" s="797">
        <v>3000</v>
      </c>
      <c r="E500" s="792">
        <v>2</v>
      </c>
      <c r="F500" s="792">
        <f t="shared" si="168"/>
        <v>6000</v>
      </c>
      <c r="G500" s="783"/>
      <c r="H500" s="783">
        <f t="shared" ref="H500:H507" si="170">SUM(F500:G500)</f>
        <v>6000</v>
      </c>
      <c r="I500" s="1996"/>
      <c r="J500" s="2009">
        <v>0.84699999999999998</v>
      </c>
      <c r="K500" s="1980">
        <f t="shared" si="169"/>
        <v>5082</v>
      </c>
      <c r="L500" s="1980"/>
      <c r="M500" s="1983"/>
      <c r="N500" s="2005"/>
      <c r="O500" s="1972"/>
      <c r="P500" s="1972"/>
      <c r="Q500" s="1998"/>
      <c r="R500" s="1979"/>
      <c r="S500" s="1979"/>
      <c r="T500" s="1979"/>
    </row>
    <row r="501" spans="1:20" s="727" customFormat="1" ht="12.75" x14ac:dyDescent="0.2">
      <c r="A501" s="728"/>
      <c r="B501" s="806" t="s">
        <v>1151</v>
      </c>
      <c r="C501" s="903" t="s">
        <v>771</v>
      </c>
      <c r="D501" s="797">
        <v>3</v>
      </c>
      <c r="E501" s="792">
        <v>700</v>
      </c>
      <c r="F501" s="792">
        <f t="shared" si="168"/>
        <v>2100</v>
      </c>
      <c r="G501" s="783"/>
      <c r="H501" s="783">
        <f t="shared" si="170"/>
        <v>2100</v>
      </c>
      <c r="I501" s="1996"/>
      <c r="J501" s="2009">
        <v>0.84699999999999998</v>
      </c>
      <c r="K501" s="1980">
        <f t="shared" si="169"/>
        <v>1778.7</v>
      </c>
      <c r="L501" s="1980"/>
      <c r="M501" s="1983"/>
      <c r="N501" s="2005"/>
      <c r="O501" s="1972"/>
      <c r="P501" s="1972"/>
      <c r="Q501" s="1998"/>
      <c r="R501" s="1979"/>
      <c r="S501" s="1979"/>
      <c r="T501" s="1979"/>
    </row>
    <row r="502" spans="1:20" s="727" customFormat="1" ht="12.75" x14ac:dyDescent="0.2">
      <c r="A502" s="728"/>
      <c r="B502" s="917" t="s">
        <v>1150</v>
      </c>
      <c r="C502" s="838" t="s">
        <v>771</v>
      </c>
      <c r="D502" s="797">
        <v>3</v>
      </c>
      <c r="E502" s="792">
        <v>500</v>
      </c>
      <c r="F502" s="792">
        <f t="shared" si="168"/>
        <v>1500</v>
      </c>
      <c r="G502" s="783"/>
      <c r="H502" s="783">
        <f t="shared" si="170"/>
        <v>1500</v>
      </c>
      <c r="I502" s="1996"/>
      <c r="J502" s="2009">
        <v>0.84699999999999998</v>
      </c>
      <c r="K502" s="1980">
        <f t="shared" si="169"/>
        <v>1270.5</v>
      </c>
      <c r="L502" s="1980"/>
      <c r="M502" s="1983"/>
      <c r="N502" s="2005"/>
      <c r="O502" s="1972"/>
      <c r="P502" s="1972"/>
      <c r="Q502" s="1998"/>
      <c r="R502" s="1979"/>
      <c r="S502" s="1979"/>
      <c r="T502" s="1979"/>
    </row>
    <row r="503" spans="1:20" s="727" customFormat="1" ht="12.75" x14ac:dyDescent="0.2">
      <c r="A503" s="728"/>
      <c r="B503" s="917" t="s">
        <v>792</v>
      </c>
      <c r="C503" s="838" t="s">
        <v>735</v>
      </c>
      <c r="D503" s="797">
        <v>3</v>
      </c>
      <c r="E503" s="792">
        <v>350</v>
      </c>
      <c r="F503" s="792">
        <f t="shared" si="168"/>
        <v>1050</v>
      </c>
      <c r="G503" s="783"/>
      <c r="H503" s="783">
        <f t="shared" si="170"/>
        <v>1050</v>
      </c>
      <c r="I503" s="1996"/>
      <c r="J503" s="2009">
        <v>0.84699999999999998</v>
      </c>
      <c r="K503" s="1980">
        <f t="shared" si="169"/>
        <v>889.35</v>
      </c>
      <c r="L503" s="1980"/>
      <c r="M503" s="1983"/>
      <c r="N503" s="2005"/>
      <c r="O503" s="1972"/>
      <c r="P503" s="1972"/>
      <c r="Q503" s="1998"/>
      <c r="R503" s="1979"/>
      <c r="S503" s="1979"/>
      <c r="T503" s="1979"/>
    </row>
    <row r="504" spans="1:20" s="727" customFormat="1" ht="12.75" x14ac:dyDescent="0.2">
      <c r="A504" s="728"/>
      <c r="B504" s="917" t="s">
        <v>793</v>
      </c>
      <c r="C504" s="838" t="s">
        <v>757</v>
      </c>
      <c r="D504" s="797">
        <v>12</v>
      </c>
      <c r="E504" s="792">
        <v>300</v>
      </c>
      <c r="F504" s="792">
        <f t="shared" si="168"/>
        <v>3600</v>
      </c>
      <c r="G504" s="783"/>
      <c r="H504" s="783">
        <f t="shared" si="170"/>
        <v>3600</v>
      </c>
      <c r="I504" s="1996"/>
      <c r="J504" s="2009">
        <v>0.84699999999999998</v>
      </c>
      <c r="K504" s="1980">
        <f t="shared" si="169"/>
        <v>3049.2</v>
      </c>
      <c r="L504" s="1980"/>
      <c r="M504" s="1983"/>
      <c r="N504" s="2005"/>
      <c r="O504" s="1972"/>
      <c r="P504" s="1972"/>
      <c r="Q504" s="1998"/>
      <c r="R504" s="1979"/>
      <c r="S504" s="1979"/>
      <c r="T504" s="1979"/>
    </row>
    <row r="505" spans="1:20" s="727" customFormat="1" ht="12.75" x14ac:dyDescent="0.2">
      <c r="A505" s="728"/>
      <c r="B505" s="917" t="s">
        <v>1152</v>
      </c>
      <c r="C505" s="838" t="s">
        <v>758</v>
      </c>
      <c r="D505" s="797">
        <v>400</v>
      </c>
      <c r="E505" s="792">
        <v>10</v>
      </c>
      <c r="F505" s="792">
        <f t="shared" si="168"/>
        <v>4000</v>
      </c>
      <c r="G505" s="783"/>
      <c r="H505" s="783">
        <f t="shared" si="170"/>
        <v>4000</v>
      </c>
      <c r="I505" s="1996"/>
      <c r="J505" s="2009">
        <v>0.84699999999999998</v>
      </c>
      <c r="K505" s="1980">
        <f t="shared" si="169"/>
        <v>3388</v>
      </c>
      <c r="L505" s="1980"/>
      <c r="M505" s="1983"/>
      <c r="N505" s="2005"/>
      <c r="O505" s="1972"/>
      <c r="P505" s="1972"/>
      <c r="Q505" s="1998"/>
      <c r="R505" s="1979"/>
      <c r="S505" s="1979"/>
      <c r="T505" s="1979"/>
    </row>
    <row r="506" spans="1:20" s="727" customFormat="1" ht="12.75" x14ac:dyDescent="0.2">
      <c r="A506" s="728"/>
      <c r="B506" s="917" t="s">
        <v>1153</v>
      </c>
      <c r="C506" s="838" t="s">
        <v>758</v>
      </c>
      <c r="D506" s="797">
        <v>300</v>
      </c>
      <c r="E506" s="792">
        <v>20</v>
      </c>
      <c r="F506" s="792">
        <f t="shared" si="168"/>
        <v>6000</v>
      </c>
      <c r="G506" s="783"/>
      <c r="H506" s="783">
        <f t="shared" si="170"/>
        <v>6000</v>
      </c>
      <c r="I506" s="1996"/>
      <c r="J506" s="2009">
        <v>0.84699999999999998</v>
      </c>
      <c r="K506" s="1980">
        <f t="shared" si="169"/>
        <v>5082</v>
      </c>
      <c r="L506" s="1980"/>
      <c r="M506" s="1983"/>
      <c r="N506" s="2005"/>
      <c r="O506" s="1972"/>
      <c r="P506" s="1972"/>
      <c r="Q506" s="1998"/>
      <c r="R506" s="1979"/>
      <c r="S506" s="1979"/>
      <c r="T506" s="1979"/>
    </row>
    <row r="507" spans="1:20" s="727" customFormat="1" ht="12.75" x14ac:dyDescent="0.2">
      <c r="A507" s="728"/>
      <c r="B507" s="917" t="s">
        <v>1154</v>
      </c>
      <c r="C507" s="838" t="s">
        <v>758</v>
      </c>
      <c r="D507" s="797">
        <v>300</v>
      </c>
      <c r="E507" s="792">
        <v>40</v>
      </c>
      <c r="F507" s="792">
        <f t="shared" si="168"/>
        <v>12000</v>
      </c>
      <c r="G507" s="783"/>
      <c r="H507" s="783">
        <f t="shared" si="170"/>
        <v>12000</v>
      </c>
      <c r="I507" s="1996"/>
      <c r="J507" s="2009">
        <v>0.84699999999999998</v>
      </c>
      <c r="K507" s="1980">
        <f t="shared" si="169"/>
        <v>10164</v>
      </c>
      <c r="L507" s="1980"/>
      <c r="M507" s="1983"/>
      <c r="N507" s="2005"/>
      <c r="O507" s="1972"/>
      <c r="P507" s="1972"/>
      <c r="Q507" s="1998"/>
      <c r="R507" s="1979"/>
      <c r="S507" s="1979"/>
      <c r="T507" s="1979"/>
    </row>
    <row r="508" spans="1:20" s="727" customFormat="1" ht="12.75" x14ac:dyDescent="0.2">
      <c r="A508" s="777"/>
      <c r="B508" s="902" t="s">
        <v>1079</v>
      </c>
      <c r="C508" s="786"/>
      <c r="D508" s="805"/>
      <c r="E508" s="788"/>
      <c r="F508" s="789"/>
      <c r="G508" s="788"/>
      <c r="H508" s="788">
        <f>SUM(H509:H516)</f>
        <v>11008</v>
      </c>
      <c r="I508" s="2010"/>
      <c r="J508" s="1999"/>
      <c r="K508" s="1980"/>
      <c r="L508" s="1980">
        <f>SUM(K509:K516)</f>
        <v>9323.7759999999998</v>
      </c>
      <c r="M508" s="1983"/>
      <c r="N508" s="2005"/>
      <c r="O508" s="1972"/>
      <c r="P508" s="1972"/>
      <c r="Q508" s="1998"/>
      <c r="R508" s="1979"/>
      <c r="S508" s="1979"/>
      <c r="T508" s="1979"/>
    </row>
    <row r="509" spans="1:20" s="727" customFormat="1" ht="12.75" x14ac:dyDescent="0.2">
      <c r="A509" s="728"/>
      <c r="B509" s="806" t="s">
        <v>745</v>
      </c>
      <c r="C509" s="903" t="s">
        <v>660</v>
      </c>
      <c r="D509" s="797">
        <v>60</v>
      </c>
      <c r="E509" s="792">
        <v>0.3</v>
      </c>
      <c r="F509" s="792">
        <f t="shared" ref="F509:F516" si="171">D509*E509</f>
        <v>18</v>
      </c>
      <c r="G509" s="783"/>
      <c r="H509" s="783">
        <f>SUM(F509:G509)</f>
        <v>18</v>
      </c>
      <c r="I509" s="1996"/>
      <c r="J509" s="1990">
        <v>0.84699999999999998</v>
      </c>
      <c r="K509" s="1980">
        <f t="shared" ref="K509:K516" si="172">+H509*J509</f>
        <v>15.245999999999999</v>
      </c>
      <c r="L509" s="1980"/>
      <c r="M509" s="1983"/>
      <c r="N509" s="2005"/>
      <c r="O509" s="1972"/>
      <c r="P509" s="1972"/>
      <c r="Q509" s="1998"/>
      <c r="R509" s="1979"/>
      <c r="S509" s="1979"/>
      <c r="T509" s="1979"/>
    </row>
    <row r="510" spans="1:20" s="727" customFormat="1" ht="12.75" x14ac:dyDescent="0.2">
      <c r="A510" s="728"/>
      <c r="B510" s="806" t="s">
        <v>718</v>
      </c>
      <c r="C510" s="903" t="s">
        <v>660</v>
      </c>
      <c r="D510" s="797">
        <v>10</v>
      </c>
      <c r="E510" s="792">
        <v>3</v>
      </c>
      <c r="F510" s="792">
        <f t="shared" si="171"/>
        <v>30</v>
      </c>
      <c r="G510" s="783"/>
      <c r="H510" s="783">
        <f t="shared" ref="H510:H516" si="173">SUM(F510:G510)</f>
        <v>30</v>
      </c>
      <c r="I510" s="1996"/>
      <c r="J510" s="1990">
        <v>0.84699999999999998</v>
      </c>
      <c r="K510" s="1980">
        <f t="shared" si="172"/>
        <v>25.41</v>
      </c>
      <c r="L510" s="1980"/>
      <c r="M510" s="1983"/>
      <c r="N510" s="2005"/>
      <c r="O510" s="1972"/>
      <c r="P510" s="1972"/>
      <c r="Q510" s="1998"/>
      <c r="R510" s="1979"/>
      <c r="S510" s="1979"/>
      <c r="T510" s="1979"/>
    </row>
    <row r="511" spans="1:20" s="727" customFormat="1" ht="12.75" x14ac:dyDescent="0.2">
      <c r="A511" s="728"/>
      <c r="B511" s="806" t="s">
        <v>717</v>
      </c>
      <c r="C511" s="903" t="s">
        <v>660</v>
      </c>
      <c r="D511" s="797">
        <v>10</v>
      </c>
      <c r="E511" s="792">
        <v>2.2999999999999998</v>
      </c>
      <c r="F511" s="792">
        <f t="shared" si="171"/>
        <v>23</v>
      </c>
      <c r="G511" s="783"/>
      <c r="H511" s="783">
        <f t="shared" si="173"/>
        <v>23</v>
      </c>
      <c r="I511" s="1996"/>
      <c r="J511" s="1990">
        <v>0.84699999999999998</v>
      </c>
      <c r="K511" s="1980">
        <f t="shared" si="172"/>
        <v>19.480999999999998</v>
      </c>
      <c r="L511" s="1980"/>
      <c r="M511" s="1983"/>
      <c r="N511" s="2005"/>
      <c r="O511" s="1972"/>
      <c r="P511" s="1972"/>
      <c r="Q511" s="1998"/>
      <c r="R511" s="1979"/>
      <c r="S511" s="1979"/>
      <c r="T511" s="1979"/>
    </row>
    <row r="512" spans="1:20" s="727" customFormat="1" ht="12.75" x14ac:dyDescent="0.2">
      <c r="A512" s="728"/>
      <c r="B512" s="806" t="s">
        <v>723</v>
      </c>
      <c r="C512" s="903" t="s">
        <v>660</v>
      </c>
      <c r="D512" s="797">
        <v>10</v>
      </c>
      <c r="E512" s="792">
        <v>5.5</v>
      </c>
      <c r="F512" s="792">
        <f t="shared" si="171"/>
        <v>55</v>
      </c>
      <c r="G512" s="783"/>
      <c r="H512" s="783">
        <f t="shared" si="173"/>
        <v>55</v>
      </c>
      <c r="I512" s="1996"/>
      <c r="J512" s="1990">
        <v>0.84699999999999998</v>
      </c>
      <c r="K512" s="1980">
        <f t="shared" si="172"/>
        <v>46.585000000000001</v>
      </c>
      <c r="L512" s="1980"/>
      <c r="M512" s="1983"/>
      <c r="N512" s="2005"/>
      <c r="O512" s="1972"/>
      <c r="P512" s="1972"/>
      <c r="Q512" s="1998"/>
      <c r="R512" s="1979"/>
      <c r="S512" s="1979"/>
      <c r="T512" s="1979"/>
    </row>
    <row r="513" spans="1:20" s="727" customFormat="1" ht="12.75" x14ac:dyDescent="0.2">
      <c r="A513" s="728"/>
      <c r="B513" s="806" t="s">
        <v>731</v>
      </c>
      <c r="C513" s="903" t="s">
        <v>689</v>
      </c>
      <c r="D513" s="797">
        <v>2</v>
      </c>
      <c r="E513" s="792">
        <v>26</v>
      </c>
      <c r="F513" s="792">
        <f t="shared" si="171"/>
        <v>52</v>
      </c>
      <c r="G513" s="783"/>
      <c r="H513" s="783">
        <f t="shared" si="173"/>
        <v>52</v>
      </c>
      <c r="I513" s="1996"/>
      <c r="J513" s="1990">
        <v>0.84699999999999998</v>
      </c>
      <c r="K513" s="1980">
        <f t="shared" si="172"/>
        <v>44.043999999999997</v>
      </c>
      <c r="L513" s="1980"/>
      <c r="M513" s="1983"/>
      <c r="N513" s="2005"/>
      <c r="O513" s="1972"/>
      <c r="P513" s="1972"/>
      <c r="Q513" s="1998"/>
      <c r="R513" s="1979"/>
      <c r="S513" s="1979"/>
      <c r="T513" s="1979"/>
    </row>
    <row r="514" spans="1:20" s="727" customFormat="1" ht="12.75" x14ac:dyDescent="0.2">
      <c r="A514" s="728"/>
      <c r="B514" s="806" t="s">
        <v>746</v>
      </c>
      <c r="C514" s="903" t="s">
        <v>660</v>
      </c>
      <c r="D514" s="797">
        <v>22</v>
      </c>
      <c r="E514" s="792">
        <v>15</v>
      </c>
      <c r="F514" s="792">
        <f t="shared" si="171"/>
        <v>330</v>
      </c>
      <c r="G514" s="783"/>
      <c r="H514" s="783">
        <f t="shared" si="173"/>
        <v>330</v>
      </c>
      <c r="I514" s="1996"/>
      <c r="J514" s="1990">
        <v>0.84699999999999998</v>
      </c>
      <c r="K514" s="1980">
        <f t="shared" si="172"/>
        <v>279.51</v>
      </c>
      <c r="L514" s="1980"/>
      <c r="M514" s="1983"/>
      <c r="N514" s="2005"/>
      <c r="O514" s="1972"/>
      <c r="P514" s="1972"/>
      <c r="Q514" s="1998"/>
      <c r="R514" s="1979"/>
      <c r="S514" s="1979"/>
      <c r="T514" s="1979"/>
    </row>
    <row r="515" spans="1:20" s="727" customFormat="1" ht="12.75" x14ac:dyDescent="0.2">
      <c r="A515" s="728"/>
      <c r="B515" s="806" t="s">
        <v>747</v>
      </c>
      <c r="C515" s="903" t="s">
        <v>660</v>
      </c>
      <c r="D515" s="797">
        <v>1000</v>
      </c>
      <c r="E515" s="792">
        <v>10</v>
      </c>
      <c r="F515" s="792">
        <f t="shared" si="171"/>
        <v>10000</v>
      </c>
      <c r="G515" s="783"/>
      <c r="H515" s="783">
        <f t="shared" si="173"/>
        <v>10000</v>
      </c>
      <c r="I515" s="1996"/>
      <c r="J515" s="1990">
        <v>0.84699999999999998</v>
      </c>
      <c r="K515" s="1980">
        <f t="shared" si="172"/>
        <v>8470</v>
      </c>
      <c r="L515" s="1980"/>
      <c r="M515" s="1983"/>
      <c r="N515" s="2005"/>
      <c r="O515" s="1972"/>
      <c r="P515" s="1972"/>
      <c r="Q515" s="1998"/>
      <c r="R515" s="1979"/>
      <c r="S515" s="1979"/>
      <c r="T515" s="1979"/>
    </row>
    <row r="516" spans="1:20" s="727" customFormat="1" ht="12.75" x14ac:dyDescent="0.2">
      <c r="A516" s="728"/>
      <c r="B516" s="806" t="s">
        <v>734</v>
      </c>
      <c r="C516" s="903" t="s">
        <v>660</v>
      </c>
      <c r="D516" s="797">
        <v>1000</v>
      </c>
      <c r="E516" s="792">
        <v>0.5</v>
      </c>
      <c r="F516" s="792">
        <f t="shared" si="171"/>
        <v>500</v>
      </c>
      <c r="G516" s="783"/>
      <c r="H516" s="783">
        <f t="shared" si="173"/>
        <v>500</v>
      </c>
      <c r="I516" s="1996"/>
      <c r="J516" s="1990">
        <v>0.84699999999999998</v>
      </c>
      <c r="K516" s="1980">
        <f t="shared" si="172"/>
        <v>423.5</v>
      </c>
      <c r="L516" s="1980"/>
      <c r="M516" s="1983"/>
      <c r="N516" s="2005"/>
      <c r="O516" s="1972"/>
      <c r="P516" s="1972"/>
      <c r="Q516" s="1998"/>
      <c r="R516" s="1979"/>
      <c r="S516" s="1979"/>
      <c r="T516" s="1979"/>
    </row>
    <row r="517" spans="1:20" s="727" customFormat="1" ht="12.75" x14ac:dyDescent="0.2">
      <c r="A517" s="777"/>
      <c r="B517" s="902" t="s">
        <v>1080</v>
      </c>
      <c r="C517" s="916"/>
      <c r="D517" s="803"/>
      <c r="E517" s="788"/>
      <c r="F517" s="789"/>
      <c r="G517" s="788"/>
      <c r="H517" s="788">
        <f>SUM(H518:H520)</f>
        <v>36000</v>
      </c>
      <c r="I517" s="2010"/>
      <c r="J517" s="1999"/>
      <c r="K517" s="1980"/>
      <c r="L517" s="1980">
        <f>SUM(K518:K520)</f>
        <v>30492</v>
      </c>
      <c r="M517" s="1983"/>
      <c r="N517" s="2005"/>
      <c r="O517" s="1972"/>
      <c r="P517" s="1972"/>
      <c r="Q517" s="1998"/>
      <c r="R517" s="1979"/>
      <c r="S517" s="1979"/>
      <c r="T517" s="1979"/>
    </row>
    <row r="518" spans="1:20" s="727" customFormat="1" ht="12.75" x14ac:dyDescent="0.2">
      <c r="A518" s="728"/>
      <c r="B518" s="806" t="s">
        <v>1073</v>
      </c>
      <c r="C518" s="903" t="s">
        <v>749</v>
      </c>
      <c r="D518" s="797">
        <v>3</v>
      </c>
      <c r="E518" s="792">
        <v>5000</v>
      </c>
      <c r="F518" s="792">
        <f>D518*E518</f>
        <v>15000</v>
      </c>
      <c r="G518" s="783"/>
      <c r="H518" s="783">
        <f>SUM(F518:G518)</f>
        <v>15000</v>
      </c>
      <c r="I518" s="1996"/>
      <c r="J518" s="2009">
        <v>0.84699999999999998</v>
      </c>
      <c r="K518" s="1980">
        <f>+H518*J518</f>
        <v>12705</v>
      </c>
      <c r="L518" s="1980"/>
      <c r="M518" s="1983"/>
      <c r="N518" s="2005"/>
      <c r="O518" s="1972"/>
      <c r="P518" s="1972"/>
      <c r="Q518" s="1998"/>
      <c r="R518" s="1979"/>
      <c r="S518" s="1979"/>
      <c r="T518" s="1979"/>
    </row>
    <row r="519" spans="1:20" s="727" customFormat="1" ht="12.75" x14ac:dyDescent="0.2">
      <c r="A519" s="728"/>
      <c r="B519" s="806" t="s">
        <v>1074</v>
      </c>
      <c r="C519" s="903" t="s">
        <v>749</v>
      </c>
      <c r="D519" s="797">
        <v>3</v>
      </c>
      <c r="E519" s="792">
        <v>4000</v>
      </c>
      <c r="F519" s="792">
        <f t="shared" ref="F519:F520" si="174">D519*E519</f>
        <v>12000</v>
      </c>
      <c r="G519" s="783"/>
      <c r="H519" s="783">
        <f t="shared" ref="H519:H520" si="175">SUM(F519:G519)</f>
        <v>12000</v>
      </c>
      <c r="I519" s="1996"/>
      <c r="J519" s="2009">
        <v>0.84699999999999998</v>
      </c>
      <c r="K519" s="1980">
        <f>+H519*J519</f>
        <v>10164</v>
      </c>
      <c r="L519" s="1980"/>
      <c r="M519" s="1983"/>
      <c r="N519" s="2005"/>
      <c r="O519" s="1972"/>
      <c r="P519" s="1972"/>
      <c r="Q519" s="1998"/>
      <c r="R519" s="1979"/>
      <c r="S519" s="1979"/>
      <c r="T519" s="1979"/>
    </row>
    <row r="520" spans="1:20" s="727" customFormat="1" ht="12.75" x14ac:dyDescent="0.2">
      <c r="A520" s="728"/>
      <c r="B520" s="806" t="s">
        <v>1075</v>
      </c>
      <c r="C520" s="903" t="s">
        <v>749</v>
      </c>
      <c r="D520" s="797">
        <v>3</v>
      </c>
      <c r="E520" s="792">
        <v>3000</v>
      </c>
      <c r="F520" s="792">
        <f t="shared" si="174"/>
        <v>9000</v>
      </c>
      <c r="G520" s="783"/>
      <c r="H520" s="783">
        <f t="shared" si="175"/>
        <v>9000</v>
      </c>
      <c r="I520" s="1996"/>
      <c r="J520" s="2009">
        <v>0.84699999999999998</v>
      </c>
      <c r="K520" s="1980">
        <f>+H520*J520</f>
        <v>7623</v>
      </c>
      <c r="L520" s="1980"/>
      <c r="M520" s="1983"/>
      <c r="N520" s="2005"/>
      <c r="O520" s="1972"/>
      <c r="P520" s="1972"/>
      <c r="Q520" s="1998"/>
      <c r="R520" s="1979"/>
      <c r="S520" s="1979"/>
      <c r="T520" s="1979"/>
    </row>
    <row r="521" spans="1:20" s="727" customFormat="1" ht="12.75" x14ac:dyDescent="0.2">
      <c r="A521" s="777"/>
      <c r="B521" s="902" t="s">
        <v>1076</v>
      </c>
      <c r="C521" s="786"/>
      <c r="D521" s="805"/>
      <c r="E521" s="788"/>
      <c r="F521" s="789"/>
      <c r="G521" s="788"/>
      <c r="H521" s="788">
        <f>SUM(H522:H523)</f>
        <v>110</v>
      </c>
      <c r="I521" s="2010"/>
      <c r="J521" s="1999"/>
      <c r="K521" s="1980"/>
      <c r="L521" s="1980">
        <f>SUM(K522:K523)</f>
        <v>93.169999999999987</v>
      </c>
      <c r="M521" s="1983"/>
      <c r="N521" s="2005"/>
      <c r="O521" s="1972"/>
      <c r="P521" s="1972"/>
      <c r="Q521" s="1998"/>
      <c r="R521" s="1979"/>
      <c r="S521" s="1979"/>
      <c r="T521" s="1979"/>
    </row>
    <row r="522" spans="1:20" s="727" customFormat="1" ht="12.75" x14ac:dyDescent="0.2">
      <c r="A522" s="728"/>
      <c r="B522" s="806" t="s">
        <v>739</v>
      </c>
      <c r="C522" s="903" t="s">
        <v>689</v>
      </c>
      <c r="D522" s="797">
        <v>4</v>
      </c>
      <c r="E522" s="792">
        <v>26</v>
      </c>
      <c r="F522" s="792">
        <f>D522*E522</f>
        <v>104</v>
      </c>
      <c r="G522" s="783"/>
      <c r="H522" s="783">
        <f>SUM(F522:G522)</f>
        <v>104</v>
      </c>
      <c r="I522" s="1996"/>
      <c r="J522" s="1990">
        <v>0.84699999999999998</v>
      </c>
      <c r="K522" s="1980">
        <f>+H522*J522</f>
        <v>88.087999999999994</v>
      </c>
      <c r="L522" s="1980"/>
      <c r="M522" s="1983"/>
      <c r="N522" s="2005"/>
      <c r="O522" s="1972"/>
      <c r="P522" s="1972"/>
      <c r="Q522" s="1998"/>
      <c r="R522" s="1979"/>
      <c r="S522" s="1979"/>
      <c r="T522" s="1979"/>
    </row>
    <row r="523" spans="1:20" s="727" customFormat="1" ht="12.75" x14ac:dyDescent="0.2">
      <c r="A523" s="728"/>
      <c r="B523" s="806" t="s">
        <v>736</v>
      </c>
      <c r="C523" s="903" t="s">
        <v>647</v>
      </c>
      <c r="D523" s="797">
        <v>20</v>
      </c>
      <c r="E523" s="792">
        <v>0.3</v>
      </c>
      <c r="F523" s="792">
        <f>D523*E523</f>
        <v>6</v>
      </c>
      <c r="G523" s="783"/>
      <c r="H523" s="783">
        <f>SUM(F523:G523)</f>
        <v>6</v>
      </c>
      <c r="I523" s="1996"/>
      <c r="J523" s="1990">
        <v>0.84699999999999998</v>
      </c>
      <c r="K523" s="1980">
        <f>+H523*J523</f>
        <v>5.0819999999999999</v>
      </c>
      <c r="L523" s="1980"/>
      <c r="M523" s="1983"/>
      <c r="N523" s="2005"/>
      <c r="O523" s="1972"/>
      <c r="P523" s="1972"/>
      <c r="Q523" s="1998"/>
      <c r="R523" s="1979"/>
      <c r="S523" s="1979"/>
      <c r="T523" s="1979"/>
    </row>
    <row r="524" spans="1:20" s="727" customFormat="1" ht="12.75" x14ac:dyDescent="0.2">
      <c r="A524" s="777"/>
      <c r="B524" s="902" t="s">
        <v>733</v>
      </c>
      <c r="C524" s="786"/>
      <c r="D524" s="805"/>
      <c r="E524" s="788"/>
      <c r="F524" s="789"/>
      <c r="G524" s="788"/>
      <c r="H524" s="788">
        <f>SUM(H525:H528)</f>
        <v>102.6</v>
      </c>
      <c r="I524" s="2010"/>
      <c r="J524" s="1999"/>
      <c r="K524" s="1980"/>
      <c r="L524" s="1980">
        <f>SUM(K525:K528)</f>
        <v>86.902199999999993</v>
      </c>
      <c r="M524" s="1983"/>
      <c r="N524" s="2005"/>
      <c r="O524" s="1972"/>
      <c r="P524" s="1972"/>
      <c r="Q524" s="1998"/>
      <c r="R524" s="1979"/>
      <c r="S524" s="1979"/>
      <c r="T524" s="1979"/>
    </row>
    <row r="525" spans="1:20" s="727" customFormat="1" ht="12.75" x14ac:dyDescent="0.2">
      <c r="A525" s="728"/>
      <c r="B525" s="806" t="str">
        <f>+'[3]FF-16'!B106</f>
        <v>Papel bond 80gr. A4</v>
      </c>
      <c r="C525" s="903" t="str">
        <f>+'[3]FF-16'!C106</f>
        <v>Millar</v>
      </c>
      <c r="D525" s="797">
        <v>3</v>
      </c>
      <c r="E525" s="792">
        <v>26</v>
      </c>
      <c r="F525" s="792">
        <f>D525*E525</f>
        <v>78</v>
      </c>
      <c r="G525" s="783"/>
      <c r="H525" s="783">
        <f>SUM(F525:G525)</f>
        <v>78</v>
      </c>
      <c r="I525" s="1996"/>
      <c r="J525" s="1990">
        <v>0.84699999999999998</v>
      </c>
      <c r="K525" s="1980">
        <f>+H525*J525</f>
        <v>66.066000000000003</v>
      </c>
      <c r="L525" s="1980"/>
      <c r="M525" s="1983"/>
      <c r="N525" s="2005"/>
      <c r="O525" s="1972"/>
      <c r="P525" s="1972"/>
      <c r="Q525" s="1998"/>
      <c r="R525" s="1979"/>
      <c r="S525" s="1979"/>
      <c r="T525" s="1979"/>
    </row>
    <row r="526" spans="1:20" s="727" customFormat="1" ht="12.75" x14ac:dyDescent="0.2">
      <c r="A526" s="728"/>
      <c r="B526" s="806" t="str">
        <f>+'[3]FF-16'!B107</f>
        <v>Papel Kraft</v>
      </c>
      <c r="C526" s="903" t="str">
        <f>+'[3]FF-16'!C107</f>
        <v>Und.</v>
      </c>
      <c r="D526" s="797">
        <v>20</v>
      </c>
      <c r="E526" s="792">
        <v>0.3</v>
      </c>
      <c r="F526" s="792">
        <f t="shared" ref="F526:F528" si="176">D526*E526</f>
        <v>6</v>
      </c>
      <c r="G526" s="783"/>
      <c r="H526" s="783">
        <f t="shared" ref="H526:H528" si="177">SUM(F526:G526)</f>
        <v>6</v>
      </c>
      <c r="I526" s="1996"/>
      <c r="J526" s="1990">
        <v>0.84699999999999998</v>
      </c>
      <c r="K526" s="1980">
        <f>+H526*J526</f>
        <v>5.0819999999999999</v>
      </c>
      <c r="L526" s="1980"/>
      <c r="M526" s="1983"/>
      <c r="N526" s="2005"/>
      <c r="O526" s="1972"/>
      <c r="P526" s="1972"/>
      <c r="Q526" s="1998"/>
      <c r="R526" s="1979"/>
      <c r="S526" s="1979"/>
      <c r="T526" s="1979"/>
    </row>
    <row r="527" spans="1:20" s="727" customFormat="1" ht="12.75" x14ac:dyDescent="0.2">
      <c r="A527" s="728"/>
      <c r="B527" s="806" t="str">
        <f>+'[3]FF-16'!B108</f>
        <v>Folder manila A4</v>
      </c>
      <c r="C527" s="903" t="str">
        <f>+'[3]FF-16'!C108</f>
        <v>Und.</v>
      </c>
      <c r="D527" s="797">
        <v>22</v>
      </c>
      <c r="E527" s="792">
        <v>0.3</v>
      </c>
      <c r="F527" s="792">
        <f t="shared" si="176"/>
        <v>6.6</v>
      </c>
      <c r="G527" s="783"/>
      <c r="H527" s="783">
        <f t="shared" si="177"/>
        <v>6.6</v>
      </c>
      <c r="I527" s="1996"/>
      <c r="J527" s="1990">
        <v>0.84699999999999998</v>
      </c>
      <c r="K527" s="1980">
        <f>+H527*J527</f>
        <v>5.5901999999999994</v>
      </c>
      <c r="L527" s="1980"/>
      <c r="M527" s="1983"/>
      <c r="N527" s="2005"/>
      <c r="O527" s="1972"/>
      <c r="P527" s="1972"/>
      <c r="Q527" s="1998"/>
      <c r="R527" s="1979"/>
      <c r="S527" s="1979"/>
      <c r="T527" s="1979"/>
    </row>
    <row r="528" spans="1:20" s="727" customFormat="1" ht="12.75" x14ac:dyDescent="0.2">
      <c r="A528" s="728"/>
      <c r="B528" s="806" t="str">
        <f>+'[3]FF-16'!B109</f>
        <v>Lapiceros</v>
      </c>
      <c r="C528" s="903" t="str">
        <f>+'[3]FF-16'!C109</f>
        <v>Und.</v>
      </c>
      <c r="D528" s="797">
        <v>24</v>
      </c>
      <c r="E528" s="792">
        <v>0.5</v>
      </c>
      <c r="F528" s="792">
        <f t="shared" si="176"/>
        <v>12</v>
      </c>
      <c r="G528" s="783"/>
      <c r="H528" s="783">
        <f t="shared" si="177"/>
        <v>12</v>
      </c>
      <c r="I528" s="1996"/>
      <c r="J528" s="1990">
        <v>0.84699999999999998</v>
      </c>
      <c r="K528" s="1980">
        <f>+H528*J528</f>
        <v>10.164</v>
      </c>
      <c r="L528" s="1980"/>
      <c r="M528" s="1983"/>
      <c r="N528" s="2005"/>
      <c r="O528" s="1972"/>
      <c r="P528" s="1972"/>
      <c r="Q528" s="1998"/>
      <c r="R528" s="1979"/>
      <c r="S528" s="1979"/>
      <c r="T528" s="1979"/>
    </row>
    <row r="529" spans="1:20" s="727" customFormat="1" ht="12.75" x14ac:dyDescent="0.2">
      <c r="A529" s="777"/>
      <c r="B529" s="785" t="s">
        <v>1082</v>
      </c>
      <c r="C529" s="786"/>
      <c r="D529" s="805"/>
      <c r="E529" s="789"/>
      <c r="F529" s="789"/>
      <c r="G529" s="788"/>
      <c r="H529" s="788">
        <f>SUM(H530)</f>
        <v>2700</v>
      </c>
      <c r="I529" s="1996"/>
      <c r="J529" s="1999"/>
      <c r="K529" s="1980"/>
      <c r="L529" s="1980">
        <f>SUM(K530)</f>
        <v>2457</v>
      </c>
      <c r="M529" s="1983"/>
      <c r="N529" s="2005"/>
      <c r="O529" s="1972"/>
      <c r="P529" s="1972"/>
      <c r="Q529" s="1998"/>
      <c r="R529" s="1979"/>
      <c r="S529" s="1979"/>
      <c r="T529" s="1979"/>
    </row>
    <row r="530" spans="1:20" s="727" customFormat="1" ht="12.75" x14ac:dyDescent="0.2">
      <c r="A530" s="728"/>
      <c r="B530" s="729" t="s">
        <v>754</v>
      </c>
      <c r="C530" s="794" t="s">
        <v>755</v>
      </c>
      <c r="D530" s="797">
        <v>9</v>
      </c>
      <c r="E530" s="792">
        <v>300</v>
      </c>
      <c r="F530" s="792">
        <f>D530*E530</f>
        <v>2700</v>
      </c>
      <c r="G530" s="783"/>
      <c r="H530" s="783">
        <f>SUM(F530:G530)</f>
        <v>2700</v>
      </c>
      <c r="I530" s="1996"/>
      <c r="J530" s="1999">
        <v>0.91</v>
      </c>
      <c r="K530" s="1980">
        <f>+H530*J530</f>
        <v>2457</v>
      </c>
      <c r="L530" s="1980"/>
      <c r="M530" s="1983"/>
      <c r="N530" s="2005"/>
      <c r="O530" s="1972"/>
      <c r="P530" s="1972"/>
      <c r="Q530" s="1998"/>
      <c r="R530" s="1979"/>
      <c r="S530" s="1979"/>
      <c r="T530" s="1979"/>
    </row>
    <row r="531" spans="1:20" s="727" customFormat="1" ht="12.75" x14ac:dyDescent="0.2">
      <c r="A531" s="760" t="s">
        <v>1237</v>
      </c>
      <c r="B531" s="754" t="s">
        <v>1232</v>
      </c>
      <c r="C531" s="918"/>
      <c r="D531" s="756"/>
      <c r="E531" s="757"/>
      <c r="F531" s="757"/>
      <c r="G531" s="757"/>
      <c r="H531" s="825">
        <f>H532+H560+H576</f>
        <v>253602.4</v>
      </c>
      <c r="I531" s="1979"/>
      <c r="J531" s="1979"/>
      <c r="K531" s="2011"/>
      <c r="L531" s="2011"/>
      <c r="M531" s="1979"/>
      <c r="N531" s="1998"/>
      <c r="O531" s="1998"/>
      <c r="P531" s="1998"/>
      <c r="Q531" s="1998"/>
      <c r="R531" s="1979"/>
      <c r="S531" s="1979"/>
      <c r="T531" s="1979"/>
    </row>
    <row r="532" spans="1:20" s="727" customFormat="1" ht="12.75" x14ac:dyDescent="0.2">
      <c r="A532" s="740" t="s">
        <v>1238</v>
      </c>
      <c r="B532" s="862" t="s">
        <v>1128</v>
      </c>
      <c r="C532" s="919"/>
      <c r="D532" s="753"/>
      <c r="E532" s="724"/>
      <c r="F532" s="724"/>
      <c r="G532" s="724"/>
      <c r="H532" s="743">
        <f>H533+H544+H548+H553</f>
        <v>56839.4</v>
      </c>
      <c r="I532" s="1979"/>
      <c r="J532" s="1979"/>
      <c r="K532" s="2011"/>
      <c r="L532" s="2011"/>
      <c r="M532" s="1979"/>
      <c r="N532" s="1998"/>
      <c r="O532" s="1998"/>
      <c r="P532" s="1998"/>
      <c r="Q532" s="1998"/>
      <c r="R532" s="1979"/>
      <c r="S532" s="1979"/>
      <c r="T532" s="1979"/>
    </row>
    <row r="533" spans="1:20" s="727" customFormat="1" ht="12.75" x14ac:dyDescent="0.2">
      <c r="A533" s="777"/>
      <c r="B533" s="902" t="s">
        <v>1083</v>
      </c>
      <c r="C533" s="786"/>
      <c r="D533" s="805"/>
      <c r="E533" s="788"/>
      <c r="F533" s="789"/>
      <c r="G533" s="788"/>
      <c r="H533" s="788">
        <f>SUM(H534:H543)</f>
        <v>467.4</v>
      </c>
      <c r="I533" s="2010"/>
      <c r="J533" s="1999"/>
      <c r="K533" s="1980"/>
      <c r="L533" s="1980">
        <f>SUM(K534:K543)</f>
        <v>395.88779999999991</v>
      </c>
      <c r="M533" s="1983"/>
      <c r="N533" s="2005"/>
      <c r="O533" s="1972"/>
      <c r="P533" s="1972"/>
      <c r="Q533" s="1998"/>
      <c r="R533" s="1979"/>
      <c r="S533" s="1979"/>
      <c r="T533" s="1979"/>
    </row>
    <row r="534" spans="1:20" s="727" customFormat="1" ht="12.75" x14ac:dyDescent="0.2">
      <c r="A534" s="728"/>
      <c r="B534" s="806" t="str">
        <f>+'[3]FF-16'!B139</f>
        <v>Libro de actas</v>
      </c>
      <c r="C534" s="903" t="str">
        <f>+'[3]FF-16'!C139</f>
        <v>Unidad</v>
      </c>
      <c r="D534" s="797">
        <v>1</v>
      </c>
      <c r="E534" s="792">
        <v>10</v>
      </c>
      <c r="F534" s="792">
        <f t="shared" ref="F534:F543" si="178">D534*E534</f>
        <v>10</v>
      </c>
      <c r="G534" s="783"/>
      <c r="H534" s="783">
        <f>SUM(F534:G534)</f>
        <v>10</v>
      </c>
      <c r="I534" s="1996"/>
      <c r="J534" s="1990">
        <v>0.84699999999999998</v>
      </c>
      <c r="K534" s="1980">
        <f t="shared" ref="K534:K543" si="179">+H534*J534</f>
        <v>8.4699999999999989</v>
      </c>
      <c r="L534" s="1980"/>
      <c r="M534" s="1983"/>
      <c r="N534" s="2005"/>
      <c r="O534" s="1972"/>
      <c r="P534" s="1972"/>
      <c r="Q534" s="1998"/>
      <c r="R534" s="1979"/>
      <c r="S534" s="1979"/>
      <c r="T534" s="1979"/>
    </row>
    <row r="535" spans="1:20" s="727" customFormat="1" ht="12.75" x14ac:dyDescent="0.2">
      <c r="A535" s="728"/>
      <c r="B535" s="806" t="str">
        <f>+'[3]FF-16'!B140</f>
        <v>Papel bond 80 gr. A-4</v>
      </c>
      <c r="C535" s="903" t="str">
        <f>+'[3]FF-16'!C140</f>
        <v>Millar</v>
      </c>
      <c r="D535" s="797">
        <v>4</v>
      </c>
      <c r="E535" s="792">
        <v>26</v>
      </c>
      <c r="F535" s="792">
        <f t="shared" si="178"/>
        <v>104</v>
      </c>
      <c r="G535" s="783"/>
      <c r="H535" s="783">
        <f t="shared" ref="H535:H543" si="180">SUM(F535:G535)</f>
        <v>104</v>
      </c>
      <c r="I535" s="1996"/>
      <c r="J535" s="1990">
        <v>0.84699999999999998</v>
      </c>
      <c r="K535" s="1980">
        <f t="shared" si="179"/>
        <v>88.087999999999994</v>
      </c>
      <c r="L535" s="1980"/>
      <c r="M535" s="1983"/>
      <c r="N535" s="2005"/>
      <c r="O535" s="1972"/>
      <c r="P535" s="1972"/>
      <c r="Q535" s="1998"/>
      <c r="R535" s="1979"/>
      <c r="S535" s="1979"/>
      <c r="T535" s="1979"/>
    </row>
    <row r="536" spans="1:20" s="727" customFormat="1" ht="12.75" x14ac:dyDescent="0.2">
      <c r="A536" s="728"/>
      <c r="B536" s="806" t="str">
        <f>+'[3]FF-16'!B141</f>
        <v>Toner</v>
      </c>
      <c r="C536" s="903" t="str">
        <f>+'[3]FF-16'!C141</f>
        <v>unidad</v>
      </c>
      <c r="D536" s="797">
        <v>1</v>
      </c>
      <c r="E536" s="792">
        <v>280</v>
      </c>
      <c r="F536" s="792">
        <f t="shared" si="178"/>
        <v>280</v>
      </c>
      <c r="G536" s="783"/>
      <c r="H536" s="783">
        <f t="shared" si="180"/>
        <v>280</v>
      </c>
      <c r="I536" s="1996"/>
      <c r="J536" s="1990">
        <v>0.84699999999999998</v>
      </c>
      <c r="K536" s="1980">
        <f t="shared" si="179"/>
        <v>237.16</v>
      </c>
      <c r="L536" s="1980"/>
      <c r="M536" s="1983"/>
      <c r="N536" s="2005"/>
      <c r="O536" s="1972"/>
      <c r="P536" s="1972"/>
      <c r="Q536" s="1998"/>
      <c r="R536" s="1979"/>
      <c r="S536" s="1979"/>
      <c r="T536" s="1979"/>
    </row>
    <row r="537" spans="1:20" s="727" customFormat="1" ht="12.75" x14ac:dyDescent="0.2">
      <c r="A537" s="728"/>
      <c r="B537" s="806" t="str">
        <f>+'[3]FF-16'!B142</f>
        <v>Cinta masking de 3/4 x 40  Yrd.</v>
      </c>
      <c r="C537" s="903" t="str">
        <f>+'[3]FF-16'!C142</f>
        <v>unidad</v>
      </c>
      <c r="D537" s="797">
        <v>1</v>
      </c>
      <c r="E537" s="792">
        <v>5.5</v>
      </c>
      <c r="F537" s="792">
        <f t="shared" si="178"/>
        <v>5.5</v>
      </c>
      <c r="G537" s="783"/>
      <c r="H537" s="783">
        <f t="shared" si="180"/>
        <v>5.5</v>
      </c>
      <c r="I537" s="1996"/>
      <c r="J537" s="1990">
        <v>0.84699999999999998</v>
      </c>
      <c r="K537" s="1980">
        <f t="shared" si="179"/>
        <v>4.6585000000000001</v>
      </c>
      <c r="L537" s="1980"/>
      <c r="M537" s="1983"/>
      <c r="N537" s="2005"/>
      <c r="O537" s="1972"/>
      <c r="P537" s="1972"/>
      <c r="Q537" s="1998"/>
      <c r="R537" s="1979"/>
      <c r="S537" s="1979"/>
      <c r="T537" s="1979"/>
    </row>
    <row r="538" spans="1:20" s="727" customFormat="1" ht="12.75" x14ac:dyDescent="0.2">
      <c r="A538" s="728"/>
      <c r="B538" s="806" t="str">
        <f>+'[3]FF-16'!B143</f>
        <v>Lapicero punta fina de color azul</v>
      </c>
      <c r="C538" s="903" t="str">
        <f>+'[3]FF-16'!C143</f>
        <v>unidad</v>
      </c>
      <c r="D538" s="797">
        <v>22</v>
      </c>
      <c r="E538" s="792">
        <v>1</v>
      </c>
      <c r="F538" s="792">
        <f t="shared" si="178"/>
        <v>22</v>
      </c>
      <c r="G538" s="783"/>
      <c r="H538" s="783">
        <f t="shared" si="180"/>
        <v>22</v>
      </c>
      <c r="I538" s="1996"/>
      <c r="J538" s="1990">
        <v>0.84699999999999998</v>
      </c>
      <c r="K538" s="1980">
        <f t="shared" si="179"/>
        <v>18.634</v>
      </c>
      <c r="L538" s="1980"/>
      <c r="M538" s="1983"/>
      <c r="N538" s="2005"/>
      <c r="O538" s="1972"/>
      <c r="P538" s="1972"/>
      <c r="Q538" s="1998"/>
      <c r="R538" s="1979"/>
      <c r="S538" s="1979"/>
      <c r="T538" s="1979"/>
    </row>
    <row r="539" spans="1:20" s="727" customFormat="1" ht="12.75" x14ac:dyDescent="0.2">
      <c r="A539" s="728"/>
      <c r="B539" s="806" t="str">
        <f>+'[3]FF-16'!B144</f>
        <v>Papelografo kraft</v>
      </c>
      <c r="C539" s="903" t="str">
        <f>+'[3]FF-16'!C144</f>
        <v>unidad</v>
      </c>
      <c r="D539" s="797">
        <v>13</v>
      </c>
      <c r="E539" s="792">
        <v>0.3</v>
      </c>
      <c r="F539" s="792">
        <f t="shared" si="178"/>
        <v>3.9</v>
      </c>
      <c r="G539" s="783"/>
      <c r="H539" s="783">
        <f t="shared" si="180"/>
        <v>3.9</v>
      </c>
      <c r="I539" s="1996"/>
      <c r="J539" s="1990">
        <v>0.84699999999999998</v>
      </c>
      <c r="K539" s="1980">
        <f t="shared" si="179"/>
        <v>3.3032999999999997</v>
      </c>
      <c r="L539" s="1980"/>
      <c r="M539" s="1983"/>
      <c r="N539" s="2005"/>
      <c r="O539" s="1972"/>
      <c r="P539" s="1972"/>
      <c r="Q539" s="1998"/>
      <c r="R539" s="1979"/>
      <c r="S539" s="1979"/>
      <c r="T539" s="1979"/>
    </row>
    <row r="540" spans="1:20" s="727" customFormat="1" ht="12.75" x14ac:dyDescent="0.2">
      <c r="A540" s="728"/>
      <c r="B540" s="806" t="str">
        <f>+'[3]FF-16'!B145</f>
        <v>Plumones de papelografo punta gruesa</v>
      </c>
      <c r="C540" s="903" t="str">
        <f>+'[3]FF-16'!C145</f>
        <v>unidad</v>
      </c>
      <c r="D540" s="797">
        <v>5</v>
      </c>
      <c r="E540" s="792">
        <v>2.2999999999999998</v>
      </c>
      <c r="F540" s="792">
        <f t="shared" si="178"/>
        <v>11.5</v>
      </c>
      <c r="G540" s="783"/>
      <c r="H540" s="783">
        <f t="shared" si="180"/>
        <v>11.5</v>
      </c>
      <c r="I540" s="1996"/>
      <c r="J540" s="1990">
        <v>0.84699999999999998</v>
      </c>
      <c r="K540" s="1980">
        <f t="shared" si="179"/>
        <v>9.740499999999999</v>
      </c>
      <c r="L540" s="1980"/>
      <c r="M540" s="1983"/>
      <c r="N540" s="2005"/>
      <c r="O540" s="1972"/>
      <c r="P540" s="1972"/>
      <c r="Q540" s="1998"/>
      <c r="R540" s="1979"/>
      <c r="S540" s="1979"/>
      <c r="T540" s="1979"/>
    </row>
    <row r="541" spans="1:20" s="727" customFormat="1" ht="12.75" x14ac:dyDescent="0.2">
      <c r="A541" s="728"/>
      <c r="B541" s="806" t="str">
        <f>+'[3]FF-16'!B146</f>
        <v>Plumon acrilico de color negro y azul</v>
      </c>
      <c r="C541" s="903" t="str">
        <f>+'[3]FF-16'!C146</f>
        <v>unidad</v>
      </c>
      <c r="D541" s="797">
        <v>3</v>
      </c>
      <c r="E541" s="792">
        <v>3</v>
      </c>
      <c r="F541" s="792">
        <f t="shared" si="178"/>
        <v>9</v>
      </c>
      <c r="G541" s="783"/>
      <c r="H541" s="783">
        <f t="shared" si="180"/>
        <v>9</v>
      </c>
      <c r="I541" s="1996"/>
      <c r="J541" s="1990">
        <v>0.84699999999999998</v>
      </c>
      <c r="K541" s="1980">
        <f t="shared" si="179"/>
        <v>7.6229999999999993</v>
      </c>
      <c r="L541" s="1980"/>
      <c r="M541" s="1983"/>
      <c r="N541" s="2005"/>
      <c r="O541" s="1972"/>
      <c r="P541" s="1972"/>
      <c r="Q541" s="1998"/>
      <c r="R541" s="1979"/>
      <c r="S541" s="1979"/>
      <c r="T541" s="1979"/>
    </row>
    <row r="542" spans="1:20" s="727" customFormat="1" ht="12.75" x14ac:dyDescent="0.2">
      <c r="A542" s="728"/>
      <c r="B542" s="806" t="str">
        <f>+'[3]FF-16'!B147</f>
        <v>Folder manila A - 4</v>
      </c>
      <c r="C542" s="903" t="str">
        <f>+'[3]FF-16'!C147</f>
        <v>unidad</v>
      </c>
      <c r="D542" s="797">
        <v>35</v>
      </c>
      <c r="E542" s="792">
        <v>0.5</v>
      </c>
      <c r="F542" s="792">
        <f t="shared" si="178"/>
        <v>17.5</v>
      </c>
      <c r="G542" s="783"/>
      <c r="H542" s="783">
        <f t="shared" si="180"/>
        <v>17.5</v>
      </c>
      <c r="I542" s="1996"/>
      <c r="J542" s="1990">
        <v>0.84699999999999998</v>
      </c>
      <c r="K542" s="1980">
        <f t="shared" si="179"/>
        <v>14.8225</v>
      </c>
      <c r="L542" s="1980"/>
      <c r="M542" s="1983"/>
      <c r="N542" s="2005"/>
      <c r="O542" s="1972"/>
      <c r="P542" s="1972"/>
      <c r="Q542" s="1998"/>
      <c r="R542" s="1979"/>
      <c r="S542" s="1979"/>
      <c r="T542" s="1979"/>
    </row>
    <row r="543" spans="1:20" s="727" customFormat="1" ht="12.75" x14ac:dyDescent="0.2">
      <c r="A543" s="728"/>
      <c r="B543" s="806" t="str">
        <f>+'[3]FF-16'!B148</f>
        <v>Cartulina de colores</v>
      </c>
      <c r="C543" s="903" t="str">
        <f>+'[3]FF-16'!C148</f>
        <v>unidad</v>
      </c>
      <c r="D543" s="797">
        <v>10</v>
      </c>
      <c r="E543" s="792">
        <v>0.4</v>
      </c>
      <c r="F543" s="792">
        <f t="shared" si="178"/>
        <v>4</v>
      </c>
      <c r="G543" s="783"/>
      <c r="H543" s="783">
        <f t="shared" si="180"/>
        <v>4</v>
      </c>
      <c r="I543" s="1996"/>
      <c r="J543" s="1990">
        <v>0.84699999999999998</v>
      </c>
      <c r="K543" s="1980">
        <f t="shared" si="179"/>
        <v>3.3879999999999999</v>
      </c>
      <c r="L543" s="1980"/>
      <c r="M543" s="1983"/>
      <c r="N543" s="2005"/>
      <c r="O543" s="1972"/>
      <c r="P543" s="1972"/>
      <c r="Q543" s="1998"/>
      <c r="R543" s="1979"/>
      <c r="S543" s="1979"/>
      <c r="T543" s="1979"/>
    </row>
    <row r="544" spans="1:20" s="727" customFormat="1" ht="12.75" x14ac:dyDescent="0.2">
      <c r="A544" s="777"/>
      <c r="B544" s="902" t="s">
        <v>1084</v>
      </c>
      <c r="C544" s="786"/>
      <c r="D544" s="805"/>
      <c r="E544" s="788"/>
      <c r="F544" s="789"/>
      <c r="G544" s="788"/>
      <c r="H544" s="788">
        <f>SUM(H545:H547)</f>
        <v>96</v>
      </c>
      <c r="I544" s="2010"/>
      <c r="J544" s="1999"/>
      <c r="K544" s="1980"/>
      <c r="L544" s="1980">
        <f>SUM(K545:K547)</f>
        <v>81.311999999999998</v>
      </c>
      <c r="M544" s="1983"/>
      <c r="N544" s="2005"/>
      <c r="O544" s="1972"/>
      <c r="P544" s="1972"/>
      <c r="Q544" s="1998"/>
      <c r="R544" s="1979"/>
      <c r="S544" s="1979"/>
      <c r="T544" s="1979"/>
    </row>
    <row r="545" spans="1:20" s="727" customFormat="1" ht="12.75" x14ac:dyDescent="0.2">
      <c r="A545" s="728"/>
      <c r="B545" s="806" t="str">
        <f>+'[3]FF-16'!B246</f>
        <v>Papel bond 80 gr. A-4</v>
      </c>
      <c r="C545" s="903" t="str">
        <f>+'[3]FF-16'!C246</f>
        <v>Millar</v>
      </c>
      <c r="D545" s="797">
        <v>1</v>
      </c>
      <c r="E545" s="792">
        <v>26</v>
      </c>
      <c r="F545" s="792">
        <f>D545*E545</f>
        <v>26</v>
      </c>
      <c r="G545" s="783"/>
      <c r="H545" s="783">
        <f>SUM(F545:G545)</f>
        <v>26</v>
      </c>
      <c r="I545" s="1996"/>
      <c r="J545" s="1990">
        <v>0.84699999999999998</v>
      </c>
      <c r="K545" s="1980">
        <f>+H545*J545</f>
        <v>22.021999999999998</v>
      </c>
      <c r="L545" s="1980"/>
      <c r="M545" s="1983"/>
      <c r="N545" s="2005"/>
      <c r="O545" s="1972"/>
      <c r="P545" s="1972"/>
      <c r="Q545" s="1998"/>
      <c r="R545" s="1979"/>
      <c r="S545" s="1979"/>
      <c r="T545" s="1979"/>
    </row>
    <row r="546" spans="1:20" s="727" customFormat="1" ht="12.75" x14ac:dyDescent="0.2">
      <c r="A546" s="728"/>
      <c r="B546" s="806" t="str">
        <f>+'[3]FF-16'!B247</f>
        <v>Papelografo kraft</v>
      </c>
      <c r="C546" s="903" t="str">
        <f>+'[3]FF-16'!C247</f>
        <v xml:space="preserve">Unidad   </v>
      </c>
      <c r="D546" s="797">
        <v>100</v>
      </c>
      <c r="E546" s="792">
        <v>0.3</v>
      </c>
      <c r="F546" s="792">
        <f t="shared" ref="F546:F547" si="181">D546*E546</f>
        <v>30</v>
      </c>
      <c r="G546" s="783"/>
      <c r="H546" s="783">
        <f t="shared" ref="H546:H547" si="182">SUM(F546:G546)</f>
        <v>30</v>
      </c>
      <c r="I546" s="1996"/>
      <c r="J546" s="1990">
        <v>0.84699999999999998</v>
      </c>
      <c r="K546" s="1980">
        <f>+H546*J546</f>
        <v>25.41</v>
      </c>
      <c r="L546" s="1980"/>
      <c r="M546" s="1983"/>
      <c r="N546" s="2005"/>
      <c r="O546" s="1972"/>
      <c r="P546" s="1972"/>
      <c r="Q546" s="1998"/>
      <c r="R546" s="1979"/>
      <c r="S546" s="1979"/>
      <c r="T546" s="1979"/>
    </row>
    <row r="547" spans="1:20" s="727" customFormat="1" ht="12.75" x14ac:dyDescent="0.2">
      <c r="A547" s="728"/>
      <c r="B547" s="806" t="str">
        <f>+'[3]FF-16'!B248</f>
        <v>Cartulina de colores</v>
      </c>
      <c r="C547" s="903" t="str">
        <f>+'[3]FF-16'!C248</f>
        <v xml:space="preserve">Unidad   </v>
      </c>
      <c r="D547" s="797">
        <v>100</v>
      </c>
      <c r="E547" s="792">
        <v>0.4</v>
      </c>
      <c r="F547" s="792">
        <f t="shared" si="181"/>
        <v>40</v>
      </c>
      <c r="G547" s="783"/>
      <c r="H547" s="783">
        <f t="shared" si="182"/>
        <v>40</v>
      </c>
      <c r="I547" s="1996"/>
      <c r="J547" s="1990">
        <v>0.84699999999999998</v>
      </c>
      <c r="K547" s="1980">
        <f>+H547*J547</f>
        <v>33.879999999999995</v>
      </c>
      <c r="L547" s="1980"/>
      <c r="M547" s="1983"/>
      <c r="N547" s="2005"/>
      <c r="O547" s="1972"/>
      <c r="P547" s="1972"/>
      <c r="Q547" s="1998"/>
      <c r="R547" s="1979"/>
      <c r="S547" s="1979"/>
      <c r="T547" s="1979"/>
    </row>
    <row r="548" spans="1:20" s="727" customFormat="1" ht="12.75" x14ac:dyDescent="0.2">
      <c r="A548" s="777"/>
      <c r="B548" s="902" t="s">
        <v>1085</v>
      </c>
      <c r="C548" s="786"/>
      <c r="D548" s="805"/>
      <c r="E548" s="788"/>
      <c r="F548" s="789"/>
      <c r="G548" s="788"/>
      <c r="H548" s="788">
        <f>SUM(H549:H552)</f>
        <v>296</v>
      </c>
      <c r="I548" s="2010"/>
      <c r="J548" s="1999"/>
      <c r="K548" s="1980"/>
      <c r="L548" s="1980">
        <f>SUM(K549:K552)</f>
        <v>250.71199999999999</v>
      </c>
      <c r="M548" s="1983"/>
      <c r="N548" s="2005"/>
      <c r="O548" s="1972"/>
      <c r="P548" s="1972"/>
      <c r="Q548" s="1998"/>
      <c r="R548" s="1979"/>
      <c r="S548" s="1979"/>
      <c r="T548" s="1979"/>
    </row>
    <row r="549" spans="1:20" s="727" customFormat="1" ht="12.75" x14ac:dyDescent="0.2">
      <c r="A549" s="728"/>
      <c r="B549" s="806" t="s">
        <v>731</v>
      </c>
      <c r="C549" s="903" t="s">
        <v>689</v>
      </c>
      <c r="D549" s="797">
        <v>1</v>
      </c>
      <c r="E549" s="792">
        <v>26</v>
      </c>
      <c r="F549" s="792">
        <f>D549*E549</f>
        <v>26</v>
      </c>
      <c r="G549" s="783"/>
      <c r="H549" s="783">
        <f>SUM(F549:G549)</f>
        <v>26</v>
      </c>
      <c r="I549" s="1996"/>
      <c r="J549" s="1990">
        <v>0.84699999999999998</v>
      </c>
      <c r="K549" s="1980">
        <f>+H549*J549</f>
        <v>22.021999999999998</v>
      </c>
      <c r="L549" s="1980"/>
      <c r="M549" s="1983"/>
      <c r="N549" s="2005"/>
      <c r="O549" s="1972"/>
      <c r="P549" s="1972"/>
      <c r="Q549" s="1998"/>
      <c r="R549" s="1979"/>
      <c r="S549" s="1979"/>
      <c r="T549" s="1979"/>
    </row>
    <row r="550" spans="1:20" s="727" customFormat="1" ht="12.75" x14ac:dyDescent="0.2">
      <c r="A550" s="728"/>
      <c r="B550" s="806" t="s">
        <v>736</v>
      </c>
      <c r="C550" s="903" t="s">
        <v>737</v>
      </c>
      <c r="D550" s="797">
        <v>100</v>
      </c>
      <c r="E550" s="792">
        <v>0.3</v>
      </c>
      <c r="F550" s="792">
        <f t="shared" ref="F550:F552" si="183">D550*E550</f>
        <v>30</v>
      </c>
      <c r="G550" s="783"/>
      <c r="H550" s="783">
        <f t="shared" ref="H550:H552" si="184">SUM(F550:G550)</f>
        <v>30</v>
      </c>
      <c r="I550" s="1996"/>
      <c r="J550" s="1990">
        <v>0.84699999999999998</v>
      </c>
      <c r="K550" s="1980">
        <f>+H550*J550</f>
        <v>25.41</v>
      </c>
      <c r="L550" s="1980"/>
      <c r="M550" s="1983"/>
      <c r="N550" s="2005"/>
      <c r="O550" s="1972"/>
      <c r="P550" s="1972"/>
      <c r="Q550" s="1998"/>
      <c r="R550" s="1979"/>
      <c r="S550" s="1979"/>
      <c r="T550" s="1979"/>
    </row>
    <row r="551" spans="1:20" s="727" customFormat="1" ht="12.75" x14ac:dyDescent="0.2">
      <c r="A551" s="728"/>
      <c r="B551" s="806" t="s">
        <v>732</v>
      </c>
      <c r="C551" s="903" t="s">
        <v>737</v>
      </c>
      <c r="D551" s="797">
        <v>100</v>
      </c>
      <c r="E551" s="792">
        <v>0.4</v>
      </c>
      <c r="F551" s="792">
        <f t="shared" si="183"/>
        <v>40</v>
      </c>
      <c r="G551" s="783"/>
      <c r="H551" s="783">
        <f t="shared" si="184"/>
        <v>40</v>
      </c>
      <c r="I551" s="1996"/>
      <c r="J551" s="1990">
        <v>0.84699999999999998</v>
      </c>
      <c r="K551" s="1980">
        <f>+H551*J551</f>
        <v>33.879999999999995</v>
      </c>
      <c r="L551" s="1980"/>
      <c r="M551" s="1983"/>
      <c r="N551" s="2005"/>
      <c r="O551" s="1972"/>
      <c r="P551" s="1972"/>
      <c r="Q551" s="1998"/>
      <c r="R551" s="1979"/>
      <c r="S551" s="1979"/>
      <c r="T551" s="1979"/>
    </row>
    <row r="552" spans="1:20" s="727" customFormat="1" ht="12.75" x14ac:dyDescent="0.2">
      <c r="A552" s="728"/>
      <c r="B552" s="806" t="s">
        <v>738</v>
      </c>
      <c r="C552" s="903" t="s">
        <v>737</v>
      </c>
      <c r="D552" s="797">
        <v>100</v>
      </c>
      <c r="E552" s="792">
        <v>2</v>
      </c>
      <c r="F552" s="792">
        <f t="shared" si="183"/>
        <v>200</v>
      </c>
      <c r="G552" s="783"/>
      <c r="H552" s="783">
        <f t="shared" si="184"/>
        <v>200</v>
      </c>
      <c r="I552" s="1996"/>
      <c r="J552" s="1990">
        <v>0.84699999999999998</v>
      </c>
      <c r="K552" s="1980">
        <f>+H552*J552</f>
        <v>169.4</v>
      </c>
      <c r="L552" s="1980"/>
      <c r="M552" s="1983"/>
      <c r="N552" s="2005"/>
      <c r="O552" s="1972"/>
      <c r="P552" s="1972"/>
      <c r="Q552" s="1998"/>
      <c r="R552" s="1979"/>
      <c r="S552" s="1979"/>
      <c r="T552" s="1979"/>
    </row>
    <row r="553" spans="1:20" s="727" customFormat="1" ht="12.75" x14ac:dyDescent="0.2">
      <c r="A553" s="777"/>
      <c r="B553" s="785" t="s">
        <v>1116</v>
      </c>
      <c r="C553" s="802"/>
      <c r="D553" s="803"/>
      <c r="E553" s="788"/>
      <c r="F553" s="789"/>
      <c r="G553" s="788"/>
      <c r="H553" s="788">
        <f>SUM(H554:H559)</f>
        <v>55980</v>
      </c>
      <c r="I553" s="2010"/>
      <c r="J553" s="1999"/>
      <c r="K553" s="1980"/>
      <c r="L553" s="1980">
        <f>SUM(K554:K559)</f>
        <v>47415.06</v>
      </c>
      <c r="M553" s="1983"/>
      <c r="N553" s="2005"/>
      <c r="O553" s="1972"/>
      <c r="P553" s="1972"/>
      <c r="Q553" s="1998"/>
      <c r="R553" s="1979"/>
      <c r="S553" s="1979"/>
      <c r="T553" s="1979"/>
    </row>
    <row r="554" spans="1:20" s="727" customFormat="1" ht="12.75" x14ac:dyDescent="0.2">
      <c r="A554" s="728"/>
      <c r="B554" s="806" t="s">
        <v>763</v>
      </c>
      <c r="C554" s="903" t="s">
        <v>771</v>
      </c>
      <c r="D554" s="797">
        <v>22</v>
      </c>
      <c r="E554" s="792">
        <v>200</v>
      </c>
      <c r="F554" s="792">
        <f>D554*E554</f>
        <v>4400</v>
      </c>
      <c r="G554" s="783"/>
      <c r="H554" s="783">
        <f>SUM(F554:G554)</f>
        <v>4400</v>
      </c>
      <c r="I554" s="1996"/>
      <c r="J554" s="2009">
        <v>0.84699999999999998</v>
      </c>
      <c r="K554" s="1980">
        <f t="shared" ref="K554:K559" si="185">+H554*J554</f>
        <v>3726.7999999999997</v>
      </c>
      <c r="L554" s="1980"/>
      <c r="M554" s="1983"/>
      <c r="N554" s="2005"/>
      <c r="O554" s="1972"/>
      <c r="P554" s="1972"/>
      <c r="Q554" s="1998"/>
      <c r="R554" s="1979"/>
      <c r="S554" s="1979"/>
      <c r="T554" s="1979"/>
    </row>
    <row r="555" spans="1:20" s="727" customFormat="1" ht="12.75" x14ac:dyDescent="0.2">
      <c r="A555" s="728"/>
      <c r="B555" s="806" t="s">
        <v>772</v>
      </c>
      <c r="C555" s="903" t="s">
        <v>770</v>
      </c>
      <c r="D555" s="797">
        <v>420</v>
      </c>
      <c r="E555" s="792">
        <v>2</v>
      </c>
      <c r="F555" s="792">
        <f t="shared" ref="F555:F559" si="186">D555*E555</f>
        <v>840</v>
      </c>
      <c r="G555" s="783"/>
      <c r="H555" s="783">
        <f t="shared" ref="H555:H559" si="187">SUM(F555:G555)</f>
        <v>840</v>
      </c>
      <c r="I555" s="1996"/>
      <c r="J555" s="2009">
        <v>0.84699999999999998</v>
      </c>
      <c r="K555" s="1980">
        <f t="shared" si="185"/>
        <v>711.48</v>
      </c>
      <c r="L555" s="1980"/>
      <c r="M555" s="1983"/>
      <c r="N555" s="2005"/>
      <c r="O555" s="1972"/>
      <c r="P555" s="1972"/>
      <c r="Q555" s="1998"/>
      <c r="R555" s="1979"/>
      <c r="S555" s="1979"/>
      <c r="T555" s="1979"/>
    </row>
    <row r="556" spans="1:20" s="727" customFormat="1" ht="12.75" x14ac:dyDescent="0.2">
      <c r="A556" s="728"/>
      <c r="B556" s="806" t="s">
        <v>772</v>
      </c>
      <c r="C556" s="903" t="s">
        <v>770</v>
      </c>
      <c r="D556" s="797">
        <v>1770</v>
      </c>
      <c r="E556" s="792">
        <v>2</v>
      </c>
      <c r="F556" s="792">
        <f t="shared" si="186"/>
        <v>3540</v>
      </c>
      <c r="G556" s="783"/>
      <c r="H556" s="783">
        <f t="shared" si="187"/>
        <v>3540</v>
      </c>
      <c r="I556" s="1996"/>
      <c r="J556" s="2009">
        <v>0.84699999999999998</v>
      </c>
      <c r="K556" s="1980">
        <f t="shared" si="185"/>
        <v>2998.38</v>
      </c>
      <c r="L556" s="1980"/>
      <c r="M556" s="1983"/>
      <c r="N556" s="2005"/>
      <c r="O556" s="1972"/>
      <c r="P556" s="1972"/>
      <c r="Q556" s="1998"/>
      <c r="R556" s="1979"/>
      <c r="S556" s="1979"/>
      <c r="T556" s="1979"/>
    </row>
    <row r="557" spans="1:20" s="727" customFormat="1" ht="12.75" x14ac:dyDescent="0.2">
      <c r="A557" s="728"/>
      <c r="B557" s="806" t="s">
        <v>773</v>
      </c>
      <c r="C557" s="903" t="s">
        <v>660</v>
      </c>
      <c r="D557" s="797">
        <v>59</v>
      </c>
      <c r="E557" s="792">
        <v>200</v>
      </c>
      <c r="F557" s="792">
        <f t="shared" si="186"/>
        <v>11800</v>
      </c>
      <c r="G557" s="783"/>
      <c r="H557" s="783">
        <f t="shared" si="187"/>
        <v>11800</v>
      </c>
      <c r="I557" s="1996"/>
      <c r="J557" s="2009">
        <v>0.84699999999999998</v>
      </c>
      <c r="K557" s="1980">
        <f t="shared" si="185"/>
        <v>9994.6</v>
      </c>
      <c r="L557" s="1980"/>
      <c r="M557" s="1983"/>
      <c r="N557" s="2005"/>
      <c r="O557" s="1972"/>
      <c r="P557" s="1972"/>
      <c r="Q557" s="1998"/>
      <c r="R557" s="1979"/>
      <c r="S557" s="1979"/>
      <c r="T557" s="1979"/>
    </row>
    <row r="558" spans="1:20" s="727" customFormat="1" ht="12.75" x14ac:dyDescent="0.2">
      <c r="A558" s="728"/>
      <c r="B558" s="806" t="s">
        <v>774</v>
      </c>
      <c r="C558" s="903" t="s">
        <v>339</v>
      </c>
      <c r="D558" s="797">
        <v>590</v>
      </c>
      <c r="E558" s="792">
        <v>10</v>
      </c>
      <c r="F558" s="792">
        <f t="shared" si="186"/>
        <v>5900</v>
      </c>
      <c r="G558" s="783"/>
      <c r="H558" s="783">
        <f t="shared" si="187"/>
        <v>5900</v>
      </c>
      <c r="I558" s="1996"/>
      <c r="J558" s="2009">
        <v>0.84699999999999998</v>
      </c>
      <c r="K558" s="1980">
        <f t="shared" si="185"/>
        <v>4997.3</v>
      </c>
      <c r="L558" s="1980"/>
      <c r="M558" s="1983"/>
      <c r="N558" s="2005"/>
      <c r="O558" s="1972"/>
      <c r="P558" s="1972"/>
      <c r="Q558" s="1998"/>
      <c r="R558" s="1979"/>
      <c r="S558" s="1979"/>
      <c r="T558" s="1979"/>
    </row>
    <row r="559" spans="1:20" s="727" customFormat="1" ht="12.75" x14ac:dyDescent="0.2">
      <c r="A559" s="728"/>
      <c r="B559" s="806" t="s">
        <v>775</v>
      </c>
      <c r="C559" s="903" t="s">
        <v>776</v>
      </c>
      <c r="D559" s="797">
        <v>59</v>
      </c>
      <c r="E559" s="792">
        <v>500</v>
      </c>
      <c r="F559" s="792">
        <f t="shared" si="186"/>
        <v>29500</v>
      </c>
      <c r="G559" s="783"/>
      <c r="H559" s="783">
        <f t="shared" si="187"/>
        <v>29500</v>
      </c>
      <c r="I559" s="1996"/>
      <c r="J559" s="2009">
        <v>0.84699999999999998</v>
      </c>
      <c r="K559" s="1980">
        <f t="shared" si="185"/>
        <v>24986.5</v>
      </c>
      <c r="L559" s="1980"/>
      <c r="M559" s="1983"/>
      <c r="N559" s="2005"/>
      <c r="O559" s="1972"/>
      <c r="P559" s="1972"/>
      <c r="Q559" s="1998"/>
      <c r="R559" s="1979"/>
      <c r="S559" s="1979"/>
      <c r="T559" s="1979"/>
    </row>
    <row r="560" spans="1:20" s="727" customFormat="1" ht="12.75" x14ac:dyDescent="0.2">
      <c r="A560" s="740" t="s">
        <v>1239</v>
      </c>
      <c r="B560" s="747" t="s">
        <v>1133</v>
      </c>
      <c r="C560" s="752"/>
      <c r="D560" s="753"/>
      <c r="E560" s="724"/>
      <c r="F560" s="724"/>
      <c r="G560" s="725"/>
      <c r="H560" s="726">
        <f>H561+H566+H570+H573</f>
        <v>128863</v>
      </c>
      <c r="I560" s="1996"/>
      <c r="J560" s="2009"/>
      <c r="K560" s="1980"/>
      <c r="L560" s="1980"/>
      <c r="M560" s="1983"/>
      <c r="N560" s="2005"/>
      <c r="O560" s="1972"/>
      <c r="P560" s="1972"/>
      <c r="Q560" s="1998"/>
      <c r="R560" s="1979"/>
      <c r="S560" s="1979"/>
      <c r="T560" s="1979"/>
    </row>
    <row r="561" spans="1:20" s="727" customFormat="1" ht="12.75" x14ac:dyDescent="0.2">
      <c r="A561" s="777"/>
      <c r="B561" s="902" t="s">
        <v>1086</v>
      </c>
      <c r="C561" s="786"/>
      <c r="D561" s="805"/>
      <c r="E561" s="788"/>
      <c r="F561" s="789"/>
      <c r="G561" s="788"/>
      <c r="H561" s="788">
        <f>SUM(H562:H565)</f>
        <v>7763</v>
      </c>
      <c r="I561" s="2010"/>
      <c r="J561" s="1999"/>
      <c r="K561" s="1980"/>
      <c r="L561" s="1980">
        <f>SUM(K562:K565)</f>
        <v>6575.2610000000004</v>
      </c>
      <c r="M561" s="1983"/>
      <c r="N561" s="2005"/>
      <c r="O561" s="1972"/>
      <c r="P561" s="1972"/>
      <c r="Q561" s="1998"/>
      <c r="R561" s="1979"/>
      <c r="S561" s="1979"/>
      <c r="T561" s="1979"/>
    </row>
    <row r="562" spans="1:20" s="727" customFormat="1" ht="12.75" x14ac:dyDescent="0.2">
      <c r="A562" s="728"/>
      <c r="B562" s="806" t="s">
        <v>741</v>
      </c>
      <c r="C562" s="903" t="s">
        <v>740</v>
      </c>
      <c r="D562" s="797">
        <v>22</v>
      </c>
      <c r="E562" s="792">
        <v>200</v>
      </c>
      <c r="F562" s="792">
        <f>D562*E562</f>
        <v>4400</v>
      </c>
      <c r="G562" s="783"/>
      <c r="H562" s="783">
        <f>SUM(F562:G562)</f>
        <v>4400</v>
      </c>
      <c r="I562" s="1996"/>
      <c r="J562" s="1990">
        <v>0.84699999999999998</v>
      </c>
      <c r="K562" s="1980">
        <f>+H562*J562</f>
        <v>3726.7999999999997</v>
      </c>
      <c r="L562" s="1980"/>
      <c r="M562" s="1983"/>
      <c r="N562" s="2005"/>
      <c r="O562" s="1972"/>
      <c r="P562" s="1972"/>
      <c r="Q562" s="1998"/>
      <c r="R562" s="1979"/>
      <c r="S562" s="1979"/>
      <c r="T562" s="1979"/>
    </row>
    <row r="563" spans="1:20" s="727" customFormat="1" ht="12.75" x14ac:dyDescent="0.2">
      <c r="A563" s="728"/>
      <c r="B563" s="806" t="s">
        <v>717</v>
      </c>
      <c r="C563" s="903" t="s">
        <v>740</v>
      </c>
      <c r="D563" s="797">
        <v>590</v>
      </c>
      <c r="E563" s="792">
        <v>2.2999999999999998</v>
      </c>
      <c r="F563" s="792">
        <f t="shared" ref="F563:F565" si="188">D563*E563</f>
        <v>1357</v>
      </c>
      <c r="G563" s="783"/>
      <c r="H563" s="783">
        <f t="shared" ref="H563:H565" si="189">SUM(F563:G563)</f>
        <v>1357</v>
      </c>
      <c r="I563" s="1996"/>
      <c r="J563" s="1990">
        <v>0.84699999999999998</v>
      </c>
      <c r="K563" s="1980">
        <f>+H563*J563</f>
        <v>1149.3789999999999</v>
      </c>
      <c r="L563" s="1980"/>
      <c r="M563" s="1983"/>
      <c r="N563" s="2005"/>
      <c r="O563" s="1972"/>
      <c r="P563" s="1972"/>
      <c r="Q563" s="1998"/>
      <c r="R563" s="1979"/>
      <c r="S563" s="1979"/>
      <c r="T563" s="1979"/>
    </row>
    <row r="564" spans="1:20" s="727" customFormat="1" ht="12.75" x14ac:dyDescent="0.2">
      <c r="A564" s="728"/>
      <c r="B564" s="806" t="s">
        <v>732</v>
      </c>
      <c r="C564" s="903" t="s">
        <v>740</v>
      </c>
      <c r="D564" s="797">
        <v>2950</v>
      </c>
      <c r="E564" s="792">
        <v>0.4</v>
      </c>
      <c r="F564" s="792">
        <f t="shared" si="188"/>
        <v>1180</v>
      </c>
      <c r="G564" s="783"/>
      <c r="H564" s="783">
        <f t="shared" si="189"/>
        <v>1180</v>
      </c>
      <c r="I564" s="1996"/>
      <c r="J564" s="1990">
        <v>0.84699999999999998</v>
      </c>
      <c r="K564" s="1980">
        <f>+H564*J564</f>
        <v>999.45999999999992</v>
      </c>
      <c r="L564" s="1980"/>
      <c r="M564" s="1983"/>
      <c r="N564" s="2005"/>
      <c r="O564" s="1972"/>
      <c r="P564" s="1972"/>
      <c r="Q564" s="1998"/>
      <c r="R564" s="1979"/>
      <c r="S564" s="1979"/>
      <c r="T564" s="1979"/>
    </row>
    <row r="565" spans="1:20" s="727" customFormat="1" ht="12.75" x14ac:dyDescent="0.2">
      <c r="A565" s="728"/>
      <c r="B565" s="806" t="s">
        <v>742</v>
      </c>
      <c r="C565" s="903" t="s">
        <v>743</v>
      </c>
      <c r="D565" s="797">
        <v>118</v>
      </c>
      <c r="E565" s="792">
        <v>7</v>
      </c>
      <c r="F565" s="792">
        <f t="shared" si="188"/>
        <v>826</v>
      </c>
      <c r="G565" s="783"/>
      <c r="H565" s="783">
        <f t="shared" si="189"/>
        <v>826</v>
      </c>
      <c r="I565" s="1996"/>
      <c r="J565" s="1990">
        <v>0.84699999999999998</v>
      </c>
      <c r="K565" s="1980">
        <f>+H565*J565</f>
        <v>699.62199999999996</v>
      </c>
      <c r="L565" s="1980"/>
      <c r="M565" s="1983"/>
      <c r="N565" s="2005"/>
      <c r="O565" s="1972"/>
      <c r="P565" s="1972"/>
      <c r="Q565" s="1998"/>
      <c r="R565" s="1979"/>
      <c r="S565" s="1979"/>
      <c r="T565" s="1979"/>
    </row>
    <row r="566" spans="1:20" s="727" customFormat="1" ht="12.75" x14ac:dyDescent="0.2">
      <c r="A566" s="777"/>
      <c r="B566" s="902" t="s">
        <v>1087</v>
      </c>
      <c r="C566" s="916"/>
      <c r="D566" s="803"/>
      <c r="E566" s="788"/>
      <c r="F566" s="789"/>
      <c r="G566" s="788"/>
      <c r="H566" s="788">
        <f>SUM(H567:H569)</f>
        <v>99000</v>
      </c>
      <c r="I566" s="2010"/>
      <c r="J566" s="2012"/>
      <c r="K566" s="1980"/>
      <c r="L566" s="1980">
        <f>SUM(K567:K569)</f>
        <v>83853</v>
      </c>
      <c r="M566" s="1983"/>
      <c r="N566" s="2013"/>
      <c r="O566" s="2013"/>
      <c r="P566" s="2013"/>
      <c r="Q566" s="1998"/>
      <c r="R566" s="1979"/>
      <c r="S566" s="1979"/>
      <c r="T566" s="1979"/>
    </row>
    <row r="567" spans="1:20" s="727" customFormat="1" ht="12.75" x14ac:dyDescent="0.2">
      <c r="A567" s="728"/>
      <c r="B567" s="806" t="s">
        <v>751</v>
      </c>
      <c r="C567" s="903" t="s">
        <v>749</v>
      </c>
      <c r="D567" s="797">
        <v>22</v>
      </c>
      <c r="E567" s="792">
        <v>2000</v>
      </c>
      <c r="F567" s="792">
        <f>D567*E567</f>
        <v>44000</v>
      </c>
      <c r="G567" s="783"/>
      <c r="H567" s="783">
        <f>SUM(F567:G567)</f>
        <v>44000</v>
      </c>
      <c r="I567" s="2014"/>
      <c r="J567" s="2009">
        <v>0.84699999999999998</v>
      </c>
      <c r="K567" s="1980">
        <f>+H567*J567</f>
        <v>37268</v>
      </c>
      <c r="L567" s="1980"/>
      <c r="M567" s="1983"/>
      <c r="N567" s="2013"/>
      <c r="O567" s="2013"/>
      <c r="P567" s="2013"/>
      <c r="Q567" s="1998"/>
      <c r="R567" s="1979"/>
      <c r="S567" s="1979"/>
      <c r="T567" s="1979"/>
    </row>
    <row r="568" spans="1:20" s="727" customFormat="1" ht="12.75" x14ac:dyDescent="0.2">
      <c r="A568" s="728"/>
      <c r="B568" s="806" t="s">
        <v>752</v>
      </c>
      <c r="C568" s="903" t="s">
        <v>749</v>
      </c>
      <c r="D568" s="797">
        <v>22</v>
      </c>
      <c r="E568" s="792">
        <v>1500</v>
      </c>
      <c r="F568" s="792">
        <f t="shared" ref="F568:F569" si="190">D568*E568</f>
        <v>33000</v>
      </c>
      <c r="G568" s="783"/>
      <c r="H568" s="783">
        <f t="shared" ref="H568:H569" si="191">SUM(F568:G568)</f>
        <v>33000</v>
      </c>
      <c r="I568" s="2014"/>
      <c r="J568" s="2009">
        <v>0.84699999999999998</v>
      </c>
      <c r="K568" s="1980">
        <f>+H568*J568</f>
        <v>27951</v>
      </c>
      <c r="L568" s="1980"/>
      <c r="M568" s="1983"/>
      <c r="N568" s="2013"/>
      <c r="O568" s="2013"/>
      <c r="P568" s="2013"/>
      <c r="Q568" s="1998"/>
      <c r="R568" s="1979"/>
      <c r="S568" s="1979"/>
      <c r="T568" s="1979"/>
    </row>
    <row r="569" spans="1:20" s="727" customFormat="1" ht="12.75" x14ac:dyDescent="0.2">
      <c r="A569" s="728"/>
      <c r="B569" s="806" t="s">
        <v>753</v>
      </c>
      <c r="C569" s="903" t="s">
        <v>749</v>
      </c>
      <c r="D569" s="797">
        <v>22</v>
      </c>
      <c r="E569" s="792">
        <v>1000</v>
      </c>
      <c r="F569" s="792">
        <f t="shared" si="190"/>
        <v>22000</v>
      </c>
      <c r="G569" s="783"/>
      <c r="H569" s="783">
        <f t="shared" si="191"/>
        <v>22000</v>
      </c>
      <c r="I569" s="2014"/>
      <c r="J569" s="2009">
        <v>0.84699999999999998</v>
      </c>
      <c r="K569" s="1980">
        <f>+H569*J569</f>
        <v>18634</v>
      </c>
      <c r="L569" s="1980"/>
      <c r="M569" s="1983"/>
      <c r="N569" s="2013"/>
      <c r="O569" s="2013"/>
      <c r="P569" s="2013"/>
      <c r="Q569" s="1998"/>
      <c r="R569" s="1979"/>
      <c r="S569" s="1979"/>
      <c r="T569" s="1979"/>
    </row>
    <row r="570" spans="1:20" s="727" customFormat="1" ht="12.75" x14ac:dyDescent="0.2">
      <c r="A570" s="777"/>
      <c r="B570" s="785" t="s">
        <v>1088</v>
      </c>
      <c r="C570" s="786"/>
      <c r="D570" s="805"/>
      <c r="E570" s="789"/>
      <c r="F570" s="789"/>
      <c r="G570" s="788"/>
      <c r="H570" s="788">
        <f>SUM(H571:H572)</f>
        <v>7100</v>
      </c>
      <c r="I570" s="2010"/>
      <c r="J570" s="1999"/>
      <c r="K570" s="1980"/>
      <c r="L570" s="1980">
        <f>SUM(K571:K572)</f>
        <v>6461</v>
      </c>
      <c r="M570" s="1983"/>
      <c r="N570" s="2005"/>
      <c r="O570" s="1972"/>
      <c r="P570" s="1972"/>
      <c r="Q570" s="1998"/>
      <c r="R570" s="1979"/>
      <c r="S570" s="1979"/>
      <c r="T570" s="1979"/>
    </row>
    <row r="571" spans="1:20" s="727" customFormat="1" ht="12.75" x14ac:dyDescent="0.2">
      <c r="A571" s="728"/>
      <c r="B571" s="806" t="str">
        <f>+'[3]FF-18'!B124</f>
        <v>Jurado</v>
      </c>
      <c r="C571" s="903" t="str">
        <f>+'[3]FF-18'!C124</f>
        <v>Persona</v>
      </c>
      <c r="D571" s="797">
        <v>22</v>
      </c>
      <c r="E571" s="792">
        <v>100</v>
      </c>
      <c r="F571" s="792">
        <f>D571*E571</f>
        <v>2200</v>
      </c>
      <c r="G571" s="783"/>
      <c r="H571" s="783">
        <f>SUM(F571:G571)</f>
        <v>2200</v>
      </c>
      <c r="I571" s="1996"/>
      <c r="J571" s="1999">
        <v>0.91</v>
      </c>
      <c r="K571" s="1980">
        <f>+H571*J571</f>
        <v>2002</v>
      </c>
      <c r="L571" s="1980"/>
      <c r="M571" s="1983"/>
      <c r="N571" s="2005"/>
      <c r="O571" s="1972"/>
      <c r="P571" s="1972"/>
      <c r="Q571" s="1998"/>
      <c r="R571" s="1979"/>
      <c r="S571" s="1979"/>
      <c r="T571" s="1979"/>
    </row>
    <row r="572" spans="1:20" s="727" customFormat="1" ht="12.75" x14ac:dyDescent="0.2">
      <c r="A572" s="728"/>
      <c r="B572" s="806" t="str">
        <f>+'[3]FF-18'!B125</f>
        <v>Especialista en instalacion de cocinas mejoradas</v>
      </c>
      <c r="C572" s="903" t="str">
        <f>+'[3]FF-18'!C125</f>
        <v>Persona</v>
      </c>
      <c r="D572" s="797">
        <v>7</v>
      </c>
      <c r="E572" s="792">
        <v>700</v>
      </c>
      <c r="F572" s="792">
        <f>D572*E572</f>
        <v>4900</v>
      </c>
      <c r="G572" s="783"/>
      <c r="H572" s="783">
        <f>SUM(F572:G572)</f>
        <v>4900</v>
      </c>
      <c r="I572" s="1996"/>
      <c r="J572" s="1999">
        <v>0.91</v>
      </c>
      <c r="K572" s="1980">
        <f>+H572*J572</f>
        <v>4459</v>
      </c>
      <c r="L572" s="1980"/>
      <c r="M572" s="1983"/>
      <c r="N572" s="2005"/>
      <c r="O572" s="1972"/>
      <c r="P572" s="1972"/>
      <c r="Q572" s="1998"/>
      <c r="R572" s="1979"/>
      <c r="S572" s="1979"/>
      <c r="T572" s="1979"/>
    </row>
    <row r="573" spans="1:20" s="727" customFormat="1" ht="12.75" x14ac:dyDescent="0.2">
      <c r="A573" s="777"/>
      <c r="B573" s="785" t="s">
        <v>768</v>
      </c>
      <c r="C573" s="802"/>
      <c r="D573" s="803"/>
      <c r="E573" s="788"/>
      <c r="F573" s="789"/>
      <c r="G573" s="788"/>
      <c r="H573" s="788">
        <f>SUM(H574:H575)</f>
        <v>15000</v>
      </c>
      <c r="I573" s="2010"/>
      <c r="J573" s="1999"/>
      <c r="K573" s="1980"/>
      <c r="L573" s="1980">
        <f>SUM(K574:K575)</f>
        <v>12705</v>
      </c>
      <c r="M573" s="1983"/>
      <c r="N573" s="2005"/>
      <c r="O573" s="1972"/>
      <c r="P573" s="1972"/>
      <c r="Q573" s="1998"/>
      <c r="R573" s="1979"/>
      <c r="S573" s="1979"/>
      <c r="T573" s="1979"/>
    </row>
    <row r="574" spans="1:20" s="727" customFormat="1" ht="12.75" x14ac:dyDescent="0.2">
      <c r="A574" s="728"/>
      <c r="B574" s="806" t="s">
        <v>769</v>
      </c>
      <c r="C574" s="903" t="s">
        <v>762</v>
      </c>
      <c r="D574" s="797">
        <v>100</v>
      </c>
      <c r="E574" s="792">
        <v>100</v>
      </c>
      <c r="F574" s="792">
        <f>D574*E574</f>
        <v>10000</v>
      </c>
      <c r="G574" s="783"/>
      <c r="H574" s="783">
        <f>SUM(F574:G574)</f>
        <v>10000</v>
      </c>
      <c r="I574" s="1996"/>
      <c r="J574" s="2009">
        <v>0.84699999999999998</v>
      </c>
      <c r="K574" s="1980">
        <f>+H574*J574</f>
        <v>8470</v>
      </c>
      <c r="L574" s="1980"/>
      <c r="M574" s="1983"/>
      <c r="N574" s="2005"/>
      <c r="O574" s="1972"/>
      <c r="P574" s="1972"/>
      <c r="Q574" s="1998"/>
      <c r="R574" s="1979"/>
      <c r="S574" s="1979"/>
      <c r="T574" s="1979"/>
    </row>
    <row r="575" spans="1:20" s="727" customFormat="1" ht="12.75" x14ac:dyDescent="0.2">
      <c r="A575" s="728"/>
      <c r="B575" s="806" t="s">
        <v>760</v>
      </c>
      <c r="C575" s="903" t="s">
        <v>770</v>
      </c>
      <c r="D575" s="797">
        <v>1000</v>
      </c>
      <c r="E575" s="792">
        <v>5</v>
      </c>
      <c r="F575" s="792">
        <f>D575*E575</f>
        <v>5000</v>
      </c>
      <c r="G575" s="783"/>
      <c r="H575" s="783">
        <f>SUM(F575:G575)</f>
        <v>5000</v>
      </c>
      <c r="I575" s="1996"/>
      <c r="J575" s="2009">
        <v>0.84699999999999998</v>
      </c>
      <c r="K575" s="1980">
        <f>+H575*J575</f>
        <v>4235</v>
      </c>
      <c r="L575" s="1980"/>
      <c r="M575" s="1983"/>
      <c r="N575" s="2005"/>
      <c r="O575" s="1972"/>
      <c r="P575" s="1972"/>
      <c r="Q575" s="1998"/>
      <c r="R575" s="1979"/>
      <c r="S575" s="1979"/>
      <c r="T575" s="1979"/>
    </row>
    <row r="576" spans="1:20" s="727" customFormat="1" ht="12.75" x14ac:dyDescent="0.2">
      <c r="A576" s="920" t="s">
        <v>1240</v>
      </c>
      <c r="B576" s="910" t="s">
        <v>1129</v>
      </c>
      <c r="C576" s="752"/>
      <c r="D576" s="921"/>
      <c r="E576" s="922"/>
      <c r="F576" s="922"/>
      <c r="G576" s="923"/>
      <c r="H576" s="924">
        <f>SUM(H577)</f>
        <v>67900</v>
      </c>
      <c r="I576" s="1996"/>
      <c r="J576" s="2009"/>
      <c r="K576" s="1980"/>
      <c r="L576" s="1980"/>
      <c r="M576" s="1983"/>
      <c r="N576" s="2005"/>
      <c r="O576" s="1972"/>
      <c r="P576" s="1972"/>
      <c r="Q576" s="1998"/>
      <c r="R576" s="1979"/>
      <c r="S576" s="1979"/>
      <c r="T576" s="1979"/>
    </row>
    <row r="577" spans="1:20" s="727" customFormat="1" ht="12.75" x14ac:dyDescent="0.2">
      <c r="A577" s="777"/>
      <c r="B577" s="785" t="s">
        <v>1149</v>
      </c>
      <c r="C577" s="802"/>
      <c r="D577" s="803"/>
      <c r="E577" s="788"/>
      <c r="F577" s="789"/>
      <c r="G577" s="925"/>
      <c r="H577" s="925">
        <f>SUM(H578:H586)</f>
        <v>67900</v>
      </c>
      <c r="I577" s="2010"/>
      <c r="J577" s="1999"/>
      <c r="K577" s="1980"/>
      <c r="L577" s="1980">
        <f>SUM(K578:K586)</f>
        <v>59401.3</v>
      </c>
      <c r="M577" s="1983"/>
      <c r="N577" s="2005"/>
      <c r="O577" s="1972"/>
      <c r="P577" s="1972"/>
      <c r="Q577" s="1998"/>
      <c r="R577" s="1979"/>
      <c r="S577" s="1979"/>
      <c r="T577" s="1979"/>
    </row>
    <row r="578" spans="1:20" s="727" customFormat="1" ht="12.75" x14ac:dyDescent="0.2">
      <c r="A578" s="728"/>
      <c r="B578" s="806" t="s">
        <v>797</v>
      </c>
      <c r="C578" s="903" t="s">
        <v>643</v>
      </c>
      <c r="D578" s="797">
        <v>3</v>
      </c>
      <c r="E578" s="792">
        <v>10000</v>
      </c>
      <c r="F578" s="792">
        <f t="shared" ref="F578:F586" si="192">D578*E578</f>
        <v>30000</v>
      </c>
      <c r="G578" s="783"/>
      <c r="H578" s="783">
        <f>SUM(F578:G578)</f>
        <v>30000</v>
      </c>
      <c r="I578" s="1996"/>
      <c r="J578" s="1999">
        <v>0.91</v>
      </c>
      <c r="K578" s="1980">
        <f t="shared" ref="K578:K586" si="193">+H578*J578</f>
        <v>27300</v>
      </c>
      <c r="L578" s="1980"/>
      <c r="M578" s="1983"/>
      <c r="N578" s="2005"/>
      <c r="O578" s="1972"/>
      <c r="P578" s="1972"/>
      <c r="Q578" s="1998"/>
      <c r="R578" s="1979"/>
      <c r="S578" s="1979"/>
      <c r="T578" s="1979"/>
    </row>
    <row r="579" spans="1:20" s="727" customFormat="1" ht="12.75" x14ac:dyDescent="0.2">
      <c r="A579" s="728"/>
      <c r="B579" s="806" t="s">
        <v>766</v>
      </c>
      <c r="C579" s="903" t="s">
        <v>767</v>
      </c>
      <c r="D579" s="797">
        <v>50</v>
      </c>
      <c r="E579" s="792">
        <v>70</v>
      </c>
      <c r="F579" s="792">
        <f t="shared" si="192"/>
        <v>3500</v>
      </c>
      <c r="G579" s="783"/>
      <c r="H579" s="783">
        <f t="shared" ref="H579:H586" si="194">SUM(F579:G579)</f>
        <v>3500</v>
      </c>
      <c r="I579" s="1996"/>
      <c r="J579" s="2009">
        <v>0.84699999999999998</v>
      </c>
      <c r="K579" s="1980">
        <f t="shared" si="193"/>
        <v>2964.5</v>
      </c>
      <c r="L579" s="1980"/>
      <c r="M579" s="1983"/>
      <c r="N579" s="2005"/>
      <c r="O579" s="1972"/>
      <c r="P579" s="1972"/>
      <c r="Q579" s="1998"/>
      <c r="R579" s="1979"/>
      <c r="S579" s="1979"/>
      <c r="T579" s="1979"/>
    </row>
    <row r="580" spans="1:20" s="727" customFormat="1" ht="12.75" x14ac:dyDescent="0.2">
      <c r="A580" s="728"/>
      <c r="B580" s="806" t="s">
        <v>765</v>
      </c>
      <c r="C580" s="903" t="s">
        <v>761</v>
      </c>
      <c r="D580" s="797">
        <v>100</v>
      </c>
      <c r="E580" s="792">
        <v>5</v>
      </c>
      <c r="F580" s="792">
        <f t="shared" si="192"/>
        <v>500</v>
      </c>
      <c r="G580" s="783"/>
      <c r="H580" s="783">
        <f t="shared" si="194"/>
        <v>500</v>
      </c>
      <c r="I580" s="1996"/>
      <c r="J580" s="2009">
        <v>0.84699999999999998</v>
      </c>
      <c r="K580" s="1980">
        <f t="shared" si="193"/>
        <v>423.5</v>
      </c>
      <c r="L580" s="1980"/>
      <c r="M580" s="1983"/>
      <c r="N580" s="2005"/>
      <c r="O580" s="1972"/>
      <c r="P580" s="1972"/>
      <c r="Q580" s="1998"/>
      <c r="R580" s="1979"/>
      <c r="S580" s="1979"/>
      <c r="T580" s="1979"/>
    </row>
    <row r="581" spans="1:20" s="727" customFormat="1" ht="12.75" x14ac:dyDescent="0.2">
      <c r="A581" s="728"/>
      <c r="B581" s="806" t="s">
        <v>798</v>
      </c>
      <c r="C581" s="903" t="s">
        <v>770</v>
      </c>
      <c r="D581" s="797">
        <v>100</v>
      </c>
      <c r="E581" s="792">
        <v>2</v>
      </c>
      <c r="F581" s="792">
        <f t="shared" si="192"/>
        <v>200</v>
      </c>
      <c r="G581" s="783"/>
      <c r="H581" s="783">
        <f t="shared" si="194"/>
        <v>200</v>
      </c>
      <c r="I581" s="1996"/>
      <c r="J581" s="2009">
        <v>0.84699999999999998</v>
      </c>
      <c r="K581" s="1980">
        <f t="shared" si="193"/>
        <v>169.4</v>
      </c>
      <c r="L581" s="1980"/>
      <c r="M581" s="1983"/>
      <c r="N581" s="2005"/>
      <c r="O581" s="1972"/>
      <c r="P581" s="1972"/>
      <c r="Q581" s="1998"/>
      <c r="R581" s="1979"/>
      <c r="S581" s="1979"/>
      <c r="T581" s="1979"/>
    </row>
    <row r="582" spans="1:20" s="727" customFormat="1" ht="12.75" x14ac:dyDescent="0.2">
      <c r="A582" s="728"/>
      <c r="B582" s="806" t="s">
        <v>794</v>
      </c>
      <c r="C582" s="903" t="s">
        <v>758</v>
      </c>
      <c r="D582" s="797">
        <v>50</v>
      </c>
      <c r="E582" s="792">
        <v>40</v>
      </c>
      <c r="F582" s="792">
        <f t="shared" si="192"/>
        <v>2000</v>
      </c>
      <c r="G582" s="783"/>
      <c r="H582" s="783">
        <f t="shared" si="194"/>
        <v>2000</v>
      </c>
      <c r="I582" s="1996"/>
      <c r="J582" s="2009">
        <v>0.84699999999999998</v>
      </c>
      <c r="K582" s="1980">
        <f t="shared" si="193"/>
        <v>1694</v>
      </c>
      <c r="L582" s="1980"/>
      <c r="M582" s="1983"/>
      <c r="N582" s="2005"/>
      <c r="O582" s="1972"/>
      <c r="P582" s="1972"/>
      <c r="Q582" s="1998"/>
      <c r="R582" s="1979"/>
      <c r="S582" s="1979"/>
      <c r="T582" s="1979"/>
    </row>
    <row r="583" spans="1:20" s="727" customFormat="1" ht="12.75" x14ac:dyDescent="0.2">
      <c r="A583" s="728"/>
      <c r="B583" s="806" t="s">
        <v>1130</v>
      </c>
      <c r="C583" s="903" t="s">
        <v>1131</v>
      </c>
      <c r="D583" s="797">
        <v>1</v>
      </c>
      <c r="E583" s="792">
        <v>10000</v>
      </c>
      <c r="F583" s="792">
        <f t="shared" si="192"/>
        <v>10000</v>
      </c>
      <c r="G583" s="783"/>
      <c r="H583" s="783">
        <f t="shared" si="194"/>
        <v>10000</v>
      </c>
      <c r="I583" s="1996"/>
      <c r="J583" s="2009">
        <v>0.84699999999999998</v>
      </c>
      <c r="K583" s="1980">
        <f t="shared" si="193"/>
        <v>8470</v>
      </c>
      <c r="L583" s="1980"/>
      <c r="M583" s="1983"/>
      <c r="N583" s="2005"/>
      <c r="O583" s="1972"/>
      <c r="P583" s="1972"/>
      <c r="Q583" s="1998"/>
      <c r="R583" s="1979"/>
      <c r="S583" s="1979"/>
      <c r="T583" s="1979"/>
    </row>
    <row r="584" spans="1:20" s="727" customFormat="1" ht="12.75" x14ac:dyDescent="0.2">
      <c r="A584" s="728"/>
      <c r="B584" s="806" t="s">
        <v>1132</v>
      </c>
      <c r="C584" s="903" t="s">
        <v>638</v>
      </c>
      <c r="D584" s="797">
        <v>2</v>
      </c>
      <c r="E584" s="792">
        <v>10000</v>
      </c>
      <c r="F584" s="792">
        <f t="shared" si="192"/>
        <v>20000</v>
      </c>
      <c r="G584" s="783"/>
      <c r="H584" s="783">
        <f t="shared" si="194"/>
        <v>20000</v>
      </c>
      <c r="I584" s="1996"/>
      <c r="J584" s="2009">
        <v>0.84699999999999998</v>
      </c>
      <c r="K584" s="1980">
        <f t="shared" si="193"/>
        <v>16940</v>
      </c>
      <c r="L584" s="1980"/>
      <c r="M584" s="1983"/>
      <c r="N584" s="2005"/>
      <c r="O584" s="1972"/>
      <c r="P584" s="1972"/>
      <c r="Q584" s="1998"/>
      <c r="R584" s="1979"/>
      <c r="S584" s="1979"/>
      <c r="T584" s="1979"/>
    </row>
    <row r="585" spans="1:20" s="727" customFormat="1" ht="12.75" x14ac:dyDescent="0.2">
      <c r="A585" s="728"/>
      <c r="B585" s="806" t="s">
        <v>799</v>
      </c>
      <c r="C585" s="903" t="s">
        <v>660</v>
      </c>
      <c r="D585" s="797">
        <v>1</v>
      </c>
      <c r="E585" s="792">
        <v>500</v>
      </c>
      <c r="F585" s="792">
        <f t="shared" si="192"/>
        <v>500</v>
      </c>
      <c r="G585" s="783"/>
      <c r="H585" s="783">
        <f t="shared" si="194"/>
        <v>500</v>
      </c>
      <c r="I585" s="1996"/>
      <c r="J585" s="2009">
        <v>0.84699999999999998</v>
      </c>
      <c r="K585" s="1980">
        <f t="shared" si="193"/>
        <v>423.5</v>
      </c>
      <c r="L585" s="1980"/>
      <c r="M585" s="1983"/>
      <c r="N585" s="2005"/>
      <c r="O585" s="1972"/>
      <c r="P585" s="1972"/>
      <c r="Q585" s="1998"/>
      <c r="R585" s="1979"/>
      <c r="S585" s="1979"/>
      <c r="T585" s="1979"/>
    </row>
    <row r="586" spans="1:20" s="727" customFormat="1" ht="12.75" x14ac:dyDescent="0.2">
      <c r="A586" s="728"/>
      <c r="B586" s="806" t="s">
        <v>800</v>
      </c>
      <c r="C586" s="903" t="s">
        <v>660</v>
      </c>
      <c r="D586" s="797">
        <v>4</v>
      </c>
      <c r="E586" s="792">
        <v>300</v>
      </c>
      <c r="F586" s="792">
        <f t="shared" si="192"/>
        <v>1200</v>
      </c>
      <c r="G586" s="783"/>
      <c r="H586" s="783">
        <f t="shared" si="194"/>
        <v>1200</v>
      </c>
      <c r="I586" s="1996"/>
      <c r="J586" s="2009">
        <v>0.84699999999999998</v>
      </c>
      <c r="K586" s="1980">
        <f t="shared" si="193"/>
        <v>1016.4</v>
      </c>
      <c r="L586" s="1980"/>
      <c r="M586" s="1983"/>
      <c r="N586" s="2005"/>
      <c r="O586" s="1972"/>
      <c r="P586" s="1972"/>
      <c r="Q586" s="1998"/>
      <c r="R586" s="1979"/>
      <c r="S586" s="1979"/>
      <c r="T586" s="1979"/>
    </row>
    <row r="587" spans="1:20" s="727" customFormat="1" ht="12.75" x14ac:dyDescent="0.2">
      <c r="A587" s="760" t="s">
        <v>1241</v>
      </c>
      <c r="B587" s="761" t="s">
        <v>1089</v>
      </c>
      <c r="C587" s="755"/>
      <c r="D587" s="756"/>
      <c r="E587" s="757"/>
      <c r="F587" s="757"/>
      <c r="G587" s="758"/>
      <c r="H587" s="759">
        <f>SUM(H588)</f>
        <v>18000</v>
      </c>
      <c r="I587" s="1996"/>
      <c r="J587" s="2009"/>
      <c r="K587" s="1980"/>
      <c r="L587" s="1980"/>
      <c r="M587" s="1983"/>
      <c r="N587" s="2005"/>
      <c r="O587" s="1972"/>
      <c r="P587" s="1972"/>
      <c r="Q587" s="1998"/>
      <c r="R587" s="1979"/>
      <c r="S587" s="1979"/>
      <c r="T587" s="1979"/>
    </row>
    <row r="588" spans="1:20" s="727" customFormat="1" ht="12.75" x14ac:dyDescent="0.2">
      <c r="A588" s="740" t="s">
        <v>1242</v>
      </c>
      <c r="B588" s="862" t="s">
        <v>1117</v>
      </c>
      <c r="C588" s="919"/>
      <c r="D588" s="753"/>
      <c r="E588" s="725"/>
      <c r="F588" s="724"/>
      <c r="G588" s="725"/>
      <c r="H588" s="725">
        <f>SUM(H589:H591)</f>
        <v>18000</v>
      </c>
      <c r="I588" s="2010"/>
      <c r="J588" s="1999"/>
      <c r="K588" s="1980"/>
      <c r="L588" s="1980">
        <f>SUM(K589:K592)</f>
        <v>49126</v>
      </c>
      <c r="M588" s="1983"/>
      <c r="N588" s="2005"/>
      <c r="O588" s="1972"/>
      <c r="P588" s="1972"/>
      <c r="Q588" s="1998"/>
      <c r="R588" s="1979"/>
      <c r="S588" s="1979"/>
      <c r="T588" s="1979"/>
    </row>
    <row r="589" spans="1:20" s="727" customFormat="1" ht="12.75" x14ac:dyDescent="0.2">
      <c r="A589" s="728"/>
      <c r="B589" s="806" t="s">
        <v>1118</v>
      </c>
      <c r="C589" s="903" t="s">
        <v>689</v>
      </c>
      <c r="D589" s="797">
        <v>1000</v>
      </c>
      <c r="E589" s="792">
        <v>10</v>
      </c>
      <c r="F589" s="792">
        <f>D589*E589</f>
        <v>10000</v>
      </c>
      <c r="G589" s="783"/>
      <c r="H589" s="783">
        <f>SUM(F589:G589)</f>
        <v>10000</v>
      </c>
      <c r="I589" s="1996"/>
      <c r="J589" s="2009">
        <v>0.84699999999999998</v>
      </c>
      <c r="K589" s="1980">
        <f>+H589*J589</f>
        <v>8470</v>
      </c>
      <c r="L589" s="1980"/>
      <c r="M589" s="1983"/>
      <c r="N589" s="2005"/>
      <c r="O589" s="1972"/>
      <c r="P589" s="1972"/>
      <c r="Q589" s="1998"/>
      <c r="R589" s="1979"/>
      <c r="S589" s="1979"/>
      <c r="T589" s="1979"/>
    </row>
    <row r="590" spans="1:20" s="727" customFormat="1" ht="12.75" x14ac:dyDescent="0.2">
      <c r="A590" s="728"/>
      <c r="B590" s="806" t="s">
        <v>1114</v>
      </c>
      <c r="C590" s="903" t="s">
        <v>660</v>
      </c>
      <c r="D590" s="797">
        <v>1</v>
      </c>
      <c r="E590" s="792">
        <v>5000</v>
      </c>
      <c r="F590" s="792">
        <f t="shared" ref="F590:F591" si="195">D590*E590</f>
        <v>5000</v>
      </c>
      <c r="G590" s="783"/>
      <c r="H590" s="783">
        <f t="shared" ref="H590:H591" si="196">SUM(F590:G590)</f>
        <v>5000</v>
      </c>
      <c r="I590" s="1996"/>
      <c r="J590" s="2009">
        <v>0.84699999999999998</v>
      </c>
      <c r="K590" s="1980">
        <f>+H590*J590</f>
        <v>4235</v>
      </c>
      <c r="L590" s="1980"/>
      <c r="M590" s="1983"/>
      <c r="N590" s="2005"/>
      <c r="O590" s="1972"/>
      <c r="P590" s="1972"/>
      <c r="Q590" s="1998"/>
      <c r="R590" s="1979"/>
      <c r="S590" s="1979"/>
      <c r="T590" s="1979"/>
    </row>
    <row r="591" spans="1:20" s="727" customFormat="1" ht="12.75" x14ac:dyDescent="0.2">
      <c r="A591" s="728"/>
      <c r="B591" s="806" t="s">
        <v>1070</v>
      </c>
      <c r="C591" s="903" t="s">
        <v>660</v>
      </c>
      <c r="D591" s="797">
        <v>3</v>
      </c>
      <c r="E591" s="792">
        <v>1000</v>
      </c>
      <c r="F591" s="792">
        <f t="shared" si="195"/>
        <v>3000</v>
      </c>
      <c r="G591" s="783"/>
      <c r="H591" s="783">
        <f t="shared" si="196"/>
        <v>3000</v>
      </c>
      <c r="I591" s="1996"/>
      <c r="J591" s="2009">
        <v>0.84699999999999998</v>
      </c>
      <c r="K591" s="1980">
        <f>+H591*J591</f>
        <v>2541</v>
      </c>
      <c r="L591" s="1980"/>
      <c r="M591" s="1983"/>
      <c r="N591" s="2005"/>
      <c r="O591" s="1972"/>
      <c r="P591" s="1972"/>
      <c r="Q591" s="1998"/>
      <c r="R591" s="1979"/>
      <c r="S591" s="1979"/>
      <c r="T591" s="1979"/>
    </row>
    <row r="592" spans="1:20" s="727" customFormat="1" ht="12.75" x14ac:dyDescent="0.2">
      <c r="A592" s="762"/>
      <c r="B592" s="763" t="s">
        <v>1293</v>
      </c>
      <c r="C592" s="764"/>
      <c r="D592" s="765"/>
      <c r="E592" s="766"/>
      <c r="F592" s="766"/>
      <c r="G592" s="767"/>
      <c r="H592" s="768">
        <f>SUM(H593)</f>
        <v>40000</v>
      </c>
      <c r="I592" s="1996"/>
      <c r="J592" s="2009"/>
      <c r="K592" s="1980">
        <f>J593*H592</f>
        <v>33880</v>
      </c>
      <c r="L592" s="1980"/>
      <c r="M592" s="1983"/>
      <c r="N592" s="2005"/>
      <c r="O592" s="1972"/>
      <c r="P592" s="1972"/>
      <c r="Q592" s="1998"/>
      <c r="R592" s="1979"/>
      <c r="S592" s="1979"/>
      <c r="T592" s="1979"/>
    </row>
    <row r="593" spans="1:20" s="727" customFormat="1" ht="12.75" x14ac:dyDescent="0.2">
      <c r="A593" s="728"/>
      <c r="B593" s="806" t="s">
        <v>1605</v>
      </c>
      <c r="C593" s="903" t="s">
        <v>638</v>
      </c>
      <c r="D593" s="797">
        <v>2</v>
      </c>
      <c r="E593" s="792">
        <v>20000</v>
      </c>
      <c r="F593" s="792">
        <f>D593*E593</f>
        <v>40000</v>
      </c>
      <c r="G593" s="783"/>
      <c r="H593" s="783">
        <f>SUM(F593:G593)</f>
        <v>40000</v>
      </c>
      <c r="I593" s="1996"/>
      <c r="J593" s="2009">
        <v>0.84699999999999998</v>
      </c>
      <c r="K593" s="1980"/>
      <c r="L593" s="1980">
        <f>SUM(K594)</f>
        <v>118580</v>
      </c>
      <c r="M593" s="1983"/>
      <c r="N593" s="2005"/>
      <c r="O593" s="1972"/>
      <c r="P593" s="1972"/>
      <c r="Q593" s="1998"/>
      <c r="R593" s="1979"/>
      <c r="S593" s="1979"/>
      <c r="T593" s="1979"/>
    </row>
    <row r="594" spans="1:20" s="727" customFormat="1" ht="12.75" x14ac:dyDescent="0.2">
      <c r="A594" s="762"/>
      <c r="B594" s="763" t="s">
        <v>849</v>
      </c>
      <c r="C594" s="764"/>
      <c r="D594" s="765"/>
      <c r="E594" s="766"/>
      <c r="F594" s="766"/>
      <c r="G594" s="767"/>
      <c r="H594" s="768">
        <f>SUM(H595)</f>
        <v>140000</v>
      </c>
      <c r="I594" s="1996"/>
      <c r="J594" s="2009"/>
      <c r="K594" s="1980">
        <f>J595*H594</f>
        <v>118580</v>
      </c>
      <c r="L594" s="1980"/>
      <c r="M594" s="1983"/>
      <c r="N594" s="2005"/>
      <c r="O594" s="1972"/>
      <c r="P594" s="1972"/>
      <c r="Q594" s="1998"/>
      <c r="R594" s="1979"/>
      <c r="S594" s="1979"/>
      <c r="T594" s="1979"/>
    </row>
    <row r="595" spans="1:20" s="727" customFormat="1" ht="12.75" x14ac:dyDescent="0.2">
      <c r="A595" s="728"/>
      <c r="B595" s="806" t="str">
        <f>PPGG!B58</f>
        <v>Mitigación ambiental</v>
      </c>
      <c r="C595" s="903" t="s">
        <v>638</v>
      </c>
      <c r="D595" s="797">
        <v>7</v>
      </c>
      <c r="E595" s="792">
        <v>20000</v>
      </c>
      <c r="F595" s="792">
        <f>D595*E595</f>
        <v>140000</v>
      </c>
      <c r="G595" s="783"/>
      <c r="H595" s="783">
        <f>SUM(F595:G595)</f>
        <v>140000</v>
      </c>
      <c r="I595" s="1996"/>
      <c r="J595" s="2009">
        <v>0.84699999999999998</v>
      </c>
      <c r="K595" s="1980"/>
      <c r="L595" s="1980">
        <f>SUM(K596)</f>
        <v>16940</v>
      </c>
      <c r="M595" s="1983"/>
      <c r="N595" s="2005"/>
      <c r="O595" s="1972"/>
      <c r="P595" s="1972"/>
      <c r="Q595" s="1998"/>
      <c r="R595" s="1979"/>
      <c r="S595" s="1979"/>
      <c r="T595" s="1979"/>
    </row>
    <row r="596" spans="1:20" s="727" customFormat="1" ht="12.75" x14ac:dyDescent="0.2">
      <c r="A596" s="762"/>
      <c r="B596" s="763" t="s">
        <v>850</v>
      </c>
      <c r="C596" s="764"/>
      <c r="D596" s="765"/>
      <c r="E596" s="766"/>
      <c r="F596" s="766"/>
      <c r="G596" s="767"/>
      <c r="H596" s="768">
        <f>SUM(H597)</f>
        <v>20000</v>
      </c>
      <c r="I596" s="1996"/>
      <c r="J596" s="2009"/>
      <c r="K596" s="1980">
        <f>H597*J597</f>
        <v>16940</v>
      </c>
      <c r="L596" s="1980"/>
      <c r="M596" s="1983"/>
      <c r="N596" s="2005"/>
      <c r="O596" s="1972"/>
      <c r="P596" s="1972"/>
      <c r="Q596" s="1998"/>
      <c r="R596" s="1979"/>
      <c r="S596" s="1979"/>
      <c r="T596" s="1979"/>
    </row>
    <row r="597" spans="1:20" s="727" customFormat="1" ht="12.75" x14ac:dyDescent="0.2">
      <c r="A597" s="728"/>
      <c r="B597" s="806" t="s">
        <v>759</v>
      </c>
      <c r="C597" s="903" t="s">
        <v>638</v>
      </c>
      <c r="D597" s="797">
        <v>2</v>
      </c>
      <c r="E597" s="792">
        <v>10000</v>
      </c>
      <c r="F597" s="792">
        <f>D597*E597</f>
        <v>20000</v>
      </c>
      <c r="G597" s="783"/>
      <c r="H597" s="783">
        <f>SUM(F597:G597)</f>
        <v>20000</v>
      </c>
      <c r="I597" s="1996"/>
      <c r="J597" s="2009">
        <v>0.84699999999999998</v>
      </c>
      <c r="K597" s="1980"/>
      <c r="L597" s="1980"/>
      <c r="M597" s="1983"/>
      <c r="N597" s="2005"/>
      <c r="O597" s="1972"/>
      <c r="P597" s="1972"/>
      <c r="Q597" s="1998"/>
      <c r="R597" s="1979"/>
      <c r="S597" s="1979"/>
      <c r="T597" s="1979"/>
    </row>
    <row r="598" spans="1:20" s="727" customFormat="1" ht="12.75" x14ac:dyDescent="0.2">
      <c r="A598" s="1807" t="s">
        <v>635</v>
      </c>
      <c r="B598" s="1807"/>
      <c r="C598" s="1807"/>
      <c r="D598" s="1807"/>
      <c r="E598" s="926"/>
      <c r="F598" s="927">
        <f>SUM(F14:F597)</f>
        <v>2648072.7800000003</v>
      </c>
      <c r="G598" s="927">
        <f>SUM(G14:G597)</f>
        <v>784989.6</v>
      </c>
      <c r="H598" s="927">
        <f>H14+H19+H24+H29+H34+H40+H65+H71+H74+H77+H81+H85+H89+H92+H98+H123+H132+H135+H167+H228+H423+H592+H594+H596</f>
        <v>3433062.38</v>
      </c>
      <c r="I598" s="1999"/>
      <c r="J598" s="1988"/>
      <c r="K598" s="2015"/>
      <c r="L598" s="2015"/>
      <c r="M598" s="1999"/>
      <c r="N598" s="2005"/>
      <c r="O598" s="1972"/>
      <c r="P598" s="1972"/>
      <c r="Q598" s="1998"/>
      <c r="R598" s="1979"/>
      <c r="S598" s="1979"/>
      <c r="T598" s="1979"/>
    </row>
    <row r="599" spans="1:20" s="727" customFormat="1" ht="12.75" x14ac:dyDescent="0.2">
      <c r="A599" s="2016"/>
      <c r="B599" s="1996"/>
      <c r="C599" s="2017"/>
      <c r="D599" s="2018"/>
      <c r="E599" s="2019"/>
      <c r="F599" s="2015"/>
      <c r="G599" s="2020"/>
      <c r="H599" s="2019">
        <f>F598+G598</f>
        <v>3433062.3800000004</v>
      </c>
      <c r="I599" s="1996"/>
      <c r="J599" s="1996"/>
      <c r="K599" s="2015">
        <f>SUM(K14:K598)</f>
        <v>2959407.5908599971</v>
      </c>
      <c r="L599" s="2015">
        <f>SUM(L14:L598)</f>
        <v>2959407.5908599999</v>
      </c>
      <c r="M599" s="1996"/>
      <c r="N599" s="1972"/>
      <c r="O599" s="1972"/>
      <c r="P599" s="1972"/>
      <c r="Q599" s="1998"/>
      <c r="R599" s="1979"/>
      <c r="S599" s="1979"/>
      <c r="T599" s="1979"/>
    </row>
    <row r="600" spans="1:20" s="727" customFormat="1" ht="12.75" x14ac:dyDescent="0.2">
      <c r="A600" s="2016"/>
      <c r="B600" s="1979"/>
      <c r="C600" s="2017"/>
      <c r="D600" s="2018"/>
      <c r="E600" s="2019"/>
      <c r="F600" s="2015"/>
      <c r="G600" s="2019"/>
      <c r="H600" s="2019"/>
      <c r="I600" s="1996"/>
      <c r="J600" s="1999"/>
      <c r="K600" s="2015"/>
      <c r="L600" s="2015"/>
      <c r="M600" s="1996"/>
      <c r="N600" s="1972"/>
      <c r="O600" s="1972"/>
      <c r="P600" s="1972"/>
      <c r="Q600" s="1998"/>
      <c r="R600" s="1979"/>
      <c r="S600" s="1979"/>
      <c r="T600" s="1979"/>
    </row>
    <row r="601" spans="1:20" s="727" customFormat="1" ht="12.75" x14ac:dyDescent="0.2">
      <c r="A601" s="2016"/>
      <c r="B601" s="1991" t="s">
        <v>1119</v>
      </c>
      <c r="C601" s="2017"/>
      <c r="D601" s="2018"/>
      <c r="E601" s="2019"/>
      <c r="F601" s="2015"/>
      <c r="G601" s="2019"/>
      <c r="H601" s="2019"/>
      <c r="I601" s="1996"/>
      <c r="J601" s="1999"/>
      <c r="K601" s="2015"/>
      <c r="L601" s="2015"/>
      <c r="M601" s="1996"/>
      <c r="N601" s="1972"/>
      <c r="O601" s="1972"/>
      <c r="P601" s="1972"/>
      <c r="Q601" s="1998"/>
      <c r="R601" s="1979"/>
      <c r="S601" s="1979"/>
      <c r="T601" s="1979"/>
    </row>
    <row r="602" spans="1:20" s="727" customFormat="1" ht="12.75" x14ac:dyDescent="0.2">
      <c r="A602" s="2016"/>
      <c r="B602" s="2021" t="s">
        <v>817</v>
      </c>
      <c r="C602" s="2022">
        <f>F598</f>
        <v>2648072.7800000003</v>
      </c>
      <c r="D602" s="2009">
        <v>0.84699999999999998</v>
      </c>
      <c r="E602" s="2019"/>
      <c r="F602" s="2015"/>
      <c r="G602" s="2019"/>
      <c r="H602" s="2019"/>
      <c r="I602" s="1996"/>
      <c r="J602" s="1999"/>
      <c r="K602" s="2015"/>
      <c r="L602" s="2015"/>
      <c r="M602" s="1996"/>
      <c r="N602" s="1972"/>
      <c r="O602" s="1972"/>
      <c r="P602" s="1972"/>
      <c r="Q602" s="1998"/>
      <c r="R602" s="1979"/>
      <c r="S602" s="1979"/>
      <c r="T602" s="1979"/>
    </row>
    <row r="603" spans="1:20" s="727" customFormat="1" ht="12.75" x14ac:dyDescent="0.2">
      <c r="A603" s="2016"/>
      <c r="B603" s="2023" t="s">
        <v>818</v>
      </c>
      <c r="C603" s="2024">
        <f>+L169+L291+L443+L482+L501+L512+L516+L436+L521+L476+L455</f>
        <v>277169.55265999999</v>
      </c>
      <c r="D603" s="2018">
        <v>0.84699999999999998</v>
      </c>
      <c r="E603" s="2019"/>
      <c r="F603" s="2015"/>
      <c r="G603" s="2019"/>
      <c r="H603" s="2019"/>
      <c r="I603" s="1996"/>
      <c r="J603" s="1999"/>
      <c r="K603" s="2015"/>
      <c r="L603" s="2015"/>
      <c r="M603" s="1996"/>
      <c r="N603" s="1972"/>
      <c r="O603" s="1972"/>
      <c r="P603" s="1972"/>
      <c r="Q603" s="1998"/>
      <c r="R603" s="1979"/>
      <c r="S603" s="1979"/>
      <c r="T603" s="1979"/>
    </row>
    <row r="604" spans="1:20" s="727" customFormat="1" ht="12.75" x14ac:dyDescent="0.2">
      <c r="A604" s="2016"/>
      <c r="B604" s="2023" t="s">
        <v>819</v>
      </c>
      <c r="C604" s="2024" t="e">
        <f>+L491+#REF!+L539+L485+K546+K563</f>
        <v>#REF!</v>
      </c>
      <c r="D604" s="2018">
        <v>0.91</v>
      </c>
      <c r="E604" s="2019"/>
      <c r="F604" s="2015"/>
      <c r="G604" s="2019"/>
      <c r="H604" s="2019"/>
      <c r="I604" s="1996"/>
      <c r="J604" s="1999"/>
      <c r="K604" s="2015"/>
      <c r="L604" s="2015"/>
      <c r="M604" s="1996"/>
      <c r="N604" s="1972"/>
      <c r="O604" s="1972"/>
      <c r="P604" s="1972"/>
      <c r="Q604" s="1998"/>
      <c r="R604" s="1979"/>
      <c r="S604" s="1979"/>
      <c r="T604" s="1979"/>
    </row>
    <row r="605" spans="1:20" s="727" customFormat="1" ht="12.75" x14ac:dyDescent="0.2">
      <c r="A605" s="2016"/>
      <c r="B605" s="2023" t="s">
        <v>820</v>
      </c>
      <c r="C605" s="2024">
        <f>+L432+L493+L526+L457</f>
        <v>0</v>
      </c>
      <c r="D605" s="2018">
        <v>0.84699999999999998</v>
      </c>
      <c r="E605" s="2019"/>
      <c r="F605" s="2015"/>
      <c r="G605" s="2019"/>
      <c r="H605" s="2019"/>
      <c r="I605" s="1996"/>
      <c r="J605" s="1996"/>
      <c r="K605" s="2015"/>
      <c r="L605" s="2015"/>
      <c r="M605" s="1996"/>
      <c r="N605" s="1972"/>
      <c r="O605" s="1972"/>
      <c r="P605" s="1972"/>
      <c r="Q605" s="1998"/>
      <c r="R605" s="1979"/>
      <c r="S605" s="1979"/>
      <c r="T605" s="1979"/>
    </row>
    <row r="606" spans="1:20" s="727" customFormat="1" ht="12.75" x14ac:dyDescent="0.2">
      <c r="A606" s="2016"/>
      <c r="B606" s="2023" t="s">
        <v>821</v>
      </c>
      <c r="C606" s="2024" t="e">
        <f>L541+L573+#REF!+#REF!+L466+L462+L545+L562</f>
        <v>#REF!</v>
      </c>
      <c r="D606" s="2018">
        <v>0.84699999999999998</v>
      </c>
      <c r="E606" s="2025"/>
      <c r="F606" s="2025"/>
      <c r="G606" s="2025"/>
      <c r="H606" s="2019"/>
      <c r="I606" s="1996"/>
      <c r="J606" s="1996"/>
      <c r="K606" s="2015"/>
      <c r="L606" s="2015"/>
      <c r="M606" s="1999"/>
      <c r="N606" s="1972"/>
      <c r="O606" s="1972"/>
      <c r="P606" s="1972"/>
      <c r="Q606" s="1998"/>
      <c r="R606" s="1979"/>
      <c r="S606" s="1979"/>
      <c r="T606" s="1979"/>
    </row>
    <row r="607" spans="1:20" s="727" customFormat="1" ht="12.75" x14ac:dyDescent="0.2">
      <c r="A607" s="2016"/>
      <c r="B607" s="2023" t="s">
        <v>822</v>
      </c>
      <c r="C607" s="2024" t="e">
        <f>+#REF!</f>
        <v>#REF!</v>
      </c>
      <c r="D607" s="2018">
        <v>0.84699999999999998</v>
      </c>
      <c r="E607" s="2019"/>
      <c r="F607" s="2015"/>
      <c r="G607" s="2019"/>
      <c r="H607" s="2019"/>
      <c r="I607" s="1996"/>
      <c r="J607" s="1996"/>
      <c r="K607" s="2015"/>
      <c r="L607" s="2015"/>
      <c r="M607" s="1996"/>
      <c r="N607" s="1972"/>
      <c r="O607" s="1972"/>
      <c r="P607" s="1972"/>
      <c r="Q607" s="1998"/>
      <c r="R607" s="1979"/>
      <c r="S607" s="1979"/>
      <c r="T607" s="1979"/>
    </row>
    <row r="608" spans="1:20" s="727" customFormat="1" ht="12.75" x14ac:dyDescent="0.2">
      <c r="A608" s="2016"/>
      <c r="B608" s="2021" t="s">
        <v>823</v>
      </c>
      <c r="C608" s="2022">
        <f>G598</f>
        <v>784989.6</v>
      </c>
      <c r="D608" s="2018">
        <v>0.91</v>
      </c>
      <c r="E608" s="2019"/>
      <c r="F608" s="2015"/>
      <c r="G608" s="2019"/>
      <c r="H608" s="2019"/>
      <c r="I608" s="1996"/>
      <c r="J608" s="1996"/>
      <c r="K608" s="2015"/>
      <c r="L608" s="2015"/>
      <c r="M608" s="1996"/>
      <c r="N608" s="1972"/>
      <c r="O608" s="1972"/>
      <c r="P608" s="1972"/>
      <c r="Q608" s="1998"/>
      <c r="R608" s="1979"/>
      <c r="S608" s="1979"/>
      <c r="T608" s="1979"/>
    </row>
    <row r="609" spans="1:20" s="727" customFormat="1" ht="12.75" x14ac:dyDescent="0.2">
      <c r="A609" s="2016"/>
      <c r="B609" s="2023" t="s">
        <v>818</v>
      </c>
      <c r="C609" s="2024" t="e">
        <f>#REF!+#REF!+#REF!</f>
        <v>#REF!</v>
      </c>
      <c r="D609" s="2018">
        <v>0.84699999999999998</v>
      </c>
      <c r="E609" s="2019"/>
      <c r="F609" s="2015"/>
      <c r="G609" s="2019"/>
      <c r="H609" s="2019"/>
      <c r="I609" s="1996"/>
      <c r="J609" s="1996"/>
      <c r="K609" s="2015"/>
      <c r="L609" s="2015"/>
      <c r="M609" s="1996"/>
      <c r="N609" s="1972"/>
      <c r="O609" s="1972"/>
      <c r="P609" s="1972"/>
      <c r="Q609" s="1998"/>
      <c r="R609" s="1979"/>
      <c r="S609" s="1979"/>
      <c r="T609" s="1979"/>
    </row>
    <row r="610" spans="1:20" s="727" customFormat="1" ht="12.75" x14ac:dyDescent="0.2">
      <c r="A610" s="2016"/>
      <c r="B610" s="2023" t="s">
        <v>819</v>
      </c>
      <c r="C610" s="2024" t="e">
        <f>#REF!+#REF!+#REF!+#REF!+#REF!</f>
        <v>#REF!</v>
      </c>
      <c r="D610" s="2018">
        <v>0.91</v>
      </c>
      <c r="E610" s="2019"/>
      <c r="F610" s="2015"/>
      <c r="G610" s="2019"/>
      <c r="H610" s="2019"/>
      <c r="I610" s="1996"/>
      <c r="J610" s="1996"/>
      <c r="K610" s="2015"/>
      <c r="L610" s="2015"/>
      <c r="M610" s="1996"/>
      <c r="N610" s="1972"/>
      <c r="O610" s="1972"/>
      <c r="P610" s="1972"/>
      <c r="Q610" s="1998"/>
      <c r="R610" s="1979"/>
      <c r="S610" s="1979"/>
      <c r="T610" s="1979"/>
    </row>
    <row r="611" spans="1:20" s="727" customFormat="1" ht="12.75" x14ac:dyDescent="0.2">
      <c r="A611" s="2016"/>
      <c r="B611" s="2023" t="s">
        <v>820</v>
      </c>
      <c r="C611" s="2024" t="e">
        <f>#REF!+L3</f>
        <v>#REF!</v>
      </c>
      <c r="D611" s="2018">
        <v>0.84699999999999998</v>
      </c>
      <c r="E611" s="2019"/>
      <c r="F611" s="2015"/>
      <c r="G611" s="2019"/>
      <c r="H611" s="2019"/>
      <c r="I611" s="1996"/>
      <c r="J611" s="1996"/>
      <c r="K611" s="2015"/>
      <c r="L611" s="2015"/>
      <c r="M611" s="1996"/>
      <c r="N611" s="1972"/>
      <c r="O611" s="1972"/>
      <c r="P611" s="1972"/>
      <c r="Q611" s="1998"/>
      <c r="R611" s="1979"/>
      <c r="S611" s="1979"/>
      <c r="T611" s="1979"/>
    </row>
    <row r="612" spans="1:20" s="727" customFormat="1" ht="12.75" x14ac:dyDescent="0.2">
      <c r="A612" s="2016"/>
      <c r="B612" s="2023" t="s">
        <v>821</v>
      </c>
      <c r="C612" s="2024" t="e">
        <f>#REF!</f>
        <v>#REF!</v>
      </c>
      <c r="D612" s="2018">
        <v>0.84699999999999998</v>
      </c>
      <c r="E612" s="2019"/>
      <c r="F612" s="2015"/>
      <c r="G612" s="2019"/>
      <c r="H612" s="2019"/>
      <c r="I612" s="1996"/>
      <c r="J612" s="1996"/>
      <c r="K612" s="2015"/>
      <c r="L612" s="2015"/>
      <c r="M612" s="1996"/>
      <c r="N612" s="1972"/>
      <c r="O612" s="1972"/>
      <c r="P612" s="1972"/>
      <c r="Q612" s="1998"/>
      <c r="R612" s="1979"/>
      <c r="S612" s="1979"/>
      <c r="T612" s="1979"/>
    </row>
    <row r="613" spans="1:20" s="727" customFormat="1" ht="12.75" x14ac:dyDescent="0.2">
      <c r="A613" s="2016"/>
      <c r="B613" s="2023" t="s">
        <v>822</v>
      </c>
      <c r="C613" s="2024" t="e">
        <f>+#REF!</f>
        <v>#REF!</v>
      </c>
      <c r="D613" s="2018">
        <v>0.84699999999999998</v>
      </c>
      <c r="E613" s="2019"/>
      <c r="F613" s="2015"/>
      <c r="G613" s="2019"/>
      <c r="H613" s="2019"/>
      <c r="I613" s="1996"/>
      <c r="J613" s="1996"/>
      <c r="K613" s="2015"/>
      <c r="L613" s="2015"/>
      <c r="M613" s="1996"/>
      <c r="N613" s="1972"/>
      <c r="O613" s="1972"/>
      <c r="P613" s="1972"/>
      <c r="Q613" s="1998"/>
      <c r="R613" s="1979"/>
      <c r="S613" s="1979"/>
      <c r="T613" s="1979"/>
    </row>
    <row r="614" spans="1:20" s="727" customFormat="1" ht="12.75" x14ac:dyDescent="0.2">
      <c r="A614" s="2016"/>
      <c r="B614" s="2021" t="s">
        <v>824</v>
      </c>
      <c r="C614" s="2022" t="e">
        <f>+C615+C616+C617+C618+C619</f>
        <v>#REF!</v>
      </c>
      <c r="D614" s="2018"/>
      <c r="E614" s="2019"/>
      <c r="F614" s="2015"/>
      <c r="G614" s="2019"/>
      <c r="H614" s="2019"/>
      <c r="I614" s="1996"/>
      <c r="J614" s="1996"/>
      <c r="K614" s="2015"/>
      <c r="L614" s="2015"/>
      <c r="M614" s="1996"/>
      <c r="N614" s="1972"/>
      <c r="O614" s="1972"/>
      <c r="P614" s="1972"/>
      <c r="Q614" s="1998"/>
      <c r="R614" s="1979"/>
      <c r="S614" s="1979"/>
      <c r="T614" s="1979"/>
    </row>
    <row r="615" spans="1:20" s="727" customFormat="1" ht="12.75" x14ac:dyDescent="0.2">
      <c r="A615" s="2016"/>
      <c r="B615" s="2023" t="s">
        <v>818</v>
      </c>
      <c r="C615" s="2024" t="e">
        <f>GSUPERVISION!#REF!</f>
        <v>#REF!</v>
      </c>
      <c r="D615" s="2018">
        <v>0.84699999999999998</v>
      </c>
      <c r="E615" s="2019"/>
      <c r="F615" s="2015"/>
      <c r="G615" s="2019"/>
      <c r="H615" s="2019"/>
      <c r="I615" s="1996"/>
      <c r="J615" s="1996"/>
      <c r="K615" s="2015"/>
      <c r="L615" s="2015"/>
      <c r="M615" s="1996"/>
      <c r="N615" s="1972"/>
      <c r="O615" s="1972"/>
      <c r="P615" s="1972"/>
      <c r="Q615" s="1998"/>
      <c r="R615" s="1979"/>
      <c r="S615" s="1979"/>
      <c r="T615" s="1979"/>
    </row>
    <row r="616" spans="1:20" s="727" customFormat="1" ht="12.75" x14ac:dyDescent="0.2">
      <c r="A616" s="2016"/>
      <c r="B616" s="2023" t="s">
        <v>819</v>
      </c>
      <c r="C616" s="2024" t="e">
        <f>GSUPERVISION!#REF!</f>
        <v>#REF!</v>
      </c>
      <c r="D616" s="2018">
        <v>0.91</v>
      </c>
      <c r="E616" s="2019"/>
      <c r="F616" s="2015"/>
      <c r="G616" s="2019"/>
      <c r="H616" s="2019"/>
      <c r="I616" s="1996"/>
      <c r="J616" s="1996"/>
      <c r="K616" s="2015"/>
      <c r="L616" s="2015"/>
      <c r="M616" s="1996"/>
      <c r="N616" s="1972"/>
      <c r="O616" s="1972"/>
      <c r="P616" s="1972"/>
      <c r="Q616" s="1998"/>
      <c r="R616" s="1979"/>
      <c r="S616" s="1979"/>
      <c r="T616" s="1979"/>
    </row>
    <row r="617" spans="1:20" s="727" customFormat="1" ht="12.75" x14ac:dyDescent="0.2">
      <c r="A617" s="2016"/>
      <c r="B617" s="2023" t="s">
        <v>820</v>
      </c>
      <c r="C617" s="2024" t="e">
        <f>GSUPERVISION!#REF!</f>
        <v>#REF!</v>
      </c>
      <c r="D617" s="2018">
        <v>0.84699999999999998</v>
      </c>
      <c r="E617" s="2019"/>
      <c r="F617" s="2015"/>
      <c r="G617" s="2019"/>
      <c r="H617" s="2019"/>
      <c r="I617" s="1996"/>
      <c r="J617" s="1996"/>
      <c r="K617" s="2015"/>
      <c r="L617" s="2015"/>
      <c r="M617" s="1996"/>
      <c r="N617" s="1972"/>
      <c r="O617" s="1972"/>
      <c r="P617" s="1972"/>
      <c r="Q617" s="1998"/>
      <c r="R617" s="1979"/>
      <c r="S617" s="1979"/>
      <c r="T617" s="1979"/>
    </row>
    <row r="618" spans="1:20" s="727" customFormat="1" ht="12.75" x14ac:dyDescent="0.2">
      <c r="A618" s="2016"/>
      <c r="B618" s="2023" t="s">
        <v>821</v>
      </c>
      <c r="C618" s="2024" t="e">
        <f>GSUPERVISION!#REF!</f>
        <v>#REF!</v>
      </c>
      <c r="D618" s="2018">
        <v>0.84699999999999998</v>
      </c>
      <c r="E618" s="2019"/>
      <c r="F618" s="2015"/>
      <c r="G618" s="2019"/>
      <c r="H618" s="2019"/>
      <c r="I618" s="1996"/>
      <c r="J618" s="1996"/>
      <c r="K618" s="2015"/>
      <c r="L618" s="2015"/>
      <c r="M618" s="1996"/>
      <c r="N618" s="1972"/>
      <c r="O618" s="1972"/>
      <c r="P618" s="1972"/>
      <c r="Q618" s="1998"/>
      <c r="R618" s="1979"/>
      <c r="S618" s="1979"/>
      <c r="T618" s="1979"/>
    </row>
    <row r="619" spans="1:20" s="727" customFormat="1" ht="12.75" x14ac:dyDescent="0.2">
      <c r="A619" s="2016"/>
      <c r="B619" s="2023" t="s">
        <v>822</v>
      </c>
      <c r="C619" s="2024" t="e">
        <f>GSUPERVISION!#REF!</f>
        <v>#REF!</v>
      </c>
      <c r="D619" s="2018">
        <v>0.84699999999999998</v>
      </c>
      <c r="E619" s="2019"/>
      <c r="F619" s="2015"/>
      <c r="G619" s="2019"/>
      <c r="H619" s="2019"/>
      <c r="I619" s="1996"/>
      <c r="J619" s="1996"/>
      <c r="K619" s="2015"/>
      <c r="L619" s="2015"/>
      <c r="M619" s="1996"/>
      <c r="N619" s="1972"/>
      <c r="O619" s="1972"/>
      <c r="P619" s="1972"/>
      <c r="Q619" s="1998"/>
      <c r="R619" s="1979"/>
      <c r="S619" s="1979"/>
      <c r="T619" s="1979"/>
    </row>
    <row r="620" spans="1:20" s="727" customFormat="1" ht="12.75" x14ac:dyDescent="0.2">
      <c r="A620" s="2016"/>
      <c r="B620" s="2021" t="s">
        <v>825</v>
      </c>
      <c r="C620" s="2022" t="e">
        <f>+C621+C622+C623+C624+C625</f>
        <v>#REF!</v>
      </c>
      <c r="D620" s="2018"/>
      <c r="E620" s="2019"/>
      <c r="F620" s="2015"/>
      <c r="G620" s="2019"/>
      <c r="H620" s="2019"/>
      <c r="I620" s="1996"/>
      <c r="J620" s="1996"/>
      <c r="K620" s="2015"/>
      <c r="L620" s="2015"/>
      <c r="M620" s="1996"/>
      <c r="N620" s="1972"/>
      <c r="O620" s="1972"/>
      <c r="P620" s="1972"/>
      <c r="Q620" s="1998"/>
      <c r="R620" s="1979"/>
      <c r="S620" s="1979"/>
      <c r="T620" s="1979"/>
    </row>
    <row r="621" spans="1:20" s="727" customFormat="1" ht="12.75" x14ac:dyDescent="0.2">
      <c r="A621" s="2016"/>
      <c r="B621" s="2023" t="s">
        <v>818</v>
      </c>
      <c r="C621" s="2024">
        <f>GGESTION!F11</f>
        <v>16400</v>
      </c>
      <c r="D621" s="2018">
        <v>0.84699999999999998</v>
      </c>
      <c r="E621" s="2019"/>
      <c r="F621" s="2015"/>
      <c r="G621" s="2019"/>
      <c r="H621" s="2019"/>
      <c r="I621" s="1996"/>
      <c r="J621" s="1996"/>
      <c r="K621" s="2015"/>
      <c r="L621" s="2015"/>
      <c r="M621" s="1996"/>
      <c r="N621" s="1972"/>
      <c r="O621" s="1972"/>
      <c r="P621" s="1972"/>
      <c r="Q621" s="1998"/>
      <c r="R621" s="1979"/>
      <c r="S621" s="1979"/>
      <c r="T621" s="1979"/>
    </row>
    <row r="622" spans="1:20" s="727" customFormat="1" ht="12.75" x14ac:dyDescent="0.2">
      <c r="A622" s="2016"/>
      <c r="B622" s="2023" t="s">
        <v>819</v>
      </c>
      <c r="C622" s="2024">
        <f>GGESTION!F18</f>
        <v>8120</v>
      </c>
      <c r="D622" s="2018">
        <v>0.91</v>
      </c>
      <c r="E622" s="2019"/>
      <c r="F622" s="2015"/>
      <c r="G622" s="2019"/>
      <c r="H622" s="2019"/>
      <c r="I622" s="1996"/>
      <c r="J622" s="1996"/>
      <c r="K622" s="2015"/>
      <c r="L622" s="2015"/>
      <c r="M622" s="1996"/>
      <c r="N622" s="1972"/>
      <c r="O622" s="1972"/>
      <c r="P622" s="1972"/>
      <c r="Q622" s="1998"/>
      <c r="R622" s="1979"/>
      <c r="S622" s="1979"/>
      <c r="T622" s="1979"/>
    </row>
    <row r="623" spans="1:20" s="727" customFormat="1" ht="12.75" x14ac:dyDescent="0.2">
      <c r="A623" s="2016"/>
      <c r="B623" s="2023" t="s">
        <v>820</v>
      </c>
      <c r="C623" s="2024" t="e">
        <f>GGESTION!#REF!</f>
        <v>#REF!</v>
      </c>
      <c r="D623" s="2018">
        <v>0.84699999999999998</v>
      </c>
      <c r="E623" s="2019"/>
      <c r="F623" s="2015"/>
      <c r="G623" s="2019"/>
      <c r="H623" s="2019"/>
      <c r="I623" s="1996"/>
      <c r="J623" s="1996"/>
      <c r="K623" s="2015"/>
      <c r="L623" s="2015"/>
      <c r="M623" s="1996"/>
      <c r="N623" s="1972"/>
      <c r="O623" s="1972"/>
      <c r="P623" s="1972"/>
      <c r="Q623" s="1998"/>
      <c r="R623" s="1979"/>
      <c r="S623" s="1979"/>
      <c r="T623" s="1979"/>
    </row>
    <row r="624" spans="1:20" s="727" customFormat="1" ht="12.75" x14ac:dyDescent="0.2">
      <c r="A624" s="2016"/>
      <c r="B624" s="2023" t="s">
        <v>821</v>
      </c>
      <c r="C624" s="2024" t="e">
        <f>GGESTION!#REF!</f>
        <v>#REF!</v>
      </c>
      <c r="D624" s="2018">
        <v>0.84699999999999998</v>
      </c>
      <c r="E624" s="2019"/>
      <c r="F624" s="2015"/>
      <c r="G624" s="2019"/>
      <c r="H624" s="2019"/>
      <c r="I624" s="1996"/>
      <c r="J624" s="1996"/>
      <c r="K624" s="2015"/>
      <c r="L624" s="2015"/>
      <c r="M624" s="1996"/>
      <c r="N624" s="1972"/>
      <c r="O624" s="1972"/>
      <c r="P624" s="1972"/>
      <c r="Q624" s="1998"/>
      <c r="R624" s="1979"/>
      <c r="S624" s="1979"/>
      <c r="T624" s="1979"/>
    </row>
    <row r="625" spans="1:20" s="727" customFormat="1" ht="12.75" x14ac:dyDescent="0.2">
      <c r="A625" s="2016"/>
      <c r="B625" s="2023" t="s">
        <v>822</v>
      </c>
      <c r="C625" s="2024" t="e">
        <f>GGESTION!#REF!</f>
        <v>#REF!</v>
      </c>
      <c r="D625" s="2018">
        <v>0.84699999999999998</v>
      </c>
      <c r="E625" s="2019"/>
      <c r="F625" s="2015"/>
      <c r="G625" s="2019"/>
      <c r="H625" s="2019"/>
      <c r="I625" s="1996"/>
      <c r="J625" s="1996"/>
      <c r="K625" s="2015"/>
      <c r="L625" s="2015"/>
      <c r="M625" s="1996"/>
      <c r="N625" s="1972"/>
      <c r="O625" s="1972"/>
      <c r="P625" s="1972"/>
      <c r="Q625" s="1998"/>
      <c r="R625" s="1979"/>
      <c r="S625" s="1979"/>
      <c r="T625" s="1979"/>
    </row>
    <row r="626" spans="1:20" s="727" customFormat="1" ht="12.75" x14ac:dyDescent="0.2">
      <c r="A626" s="2016"/>
      <c r="B626" s="2021" t="s">
        <v>826</v>
      </c>
      <c r="C626" s="2022">
        <f>H133</f>
        <v>90000</v>
      </c>
      <c r="D626" s="2018">
        <v>0.84699999999999998</v>
      </c>
      <c r="E626" s="2019"/>
      <c r="F626" s="2015"/>
      <c r="G626" s="2019"/>
      <c r="H626" s="2019"/>
      <c r="I626" s="1996"/>
      <c r="J626" s="1996"/>
      <c r="K626" s="2015"/>
      <c r="L626" s="2015"/>
      <c r="M626" s="1996"/>
      <c r="N626" s="1972"/>
      <c r="O626" s="1972"/>
      <c r="P626" s="1972"/>
      <c r="Q626" s="1998"/>
      <c r="R626" s="1979"/>
      <c r="S626" s="1979"/>
      <c r="T626" s="1979"/>
    </row>
    <row r="627" spans="1:20" s="727" customFormat="1" ht="12.75" x14ac:dyDescent="0.2">
      <c r="A627" s="2016"/>
      <c r="B627" s="2021" t="s">
        <v>827</v>
      </c>
      <c r="C627" s="2022">
        <f>H134</f>
        <v>30000</v>
      </c>
      <c r="D627" s="2018">
        <v>0.84699999999999998</v>
      </c>
      <c r="E627" s="2019"/>
      <c r="F627" s="2015"/>
      <c r="G627" s="2019"/>
      <c r="H627" s="2019"/>
      <c r="I627" s="1996"/>
      <c r="J627" s="1996"/>
      <c r="K627" s="2015"/>
      <c r="L627" s="2015"/>
      <c r="M627" s="1996"/>
      <c r="N627" s="1972"/>
      <c r="O627" s="1972"/>
      <c r="P627" s="1972"/>
      <c r="Q627" s="1998"/>
      <c r="R627" s="1979"/>
      <c r="S627" s="1979"/>
      <c r="T627" s="1979"/>
    </row>
    <row r="628" spans="1:20" s="727" customFormat="1" ht="12.75" x14ac:dyDescent="0.2">
      <c r="A628" s="2016"/>
      <c r="B628" s="2026" t="s">
        <v>828</v>
      </c>
      <c r="C628" s="2027" t="e">
        <f>+C602+C608+C614+C620+C626+C627</f>
        <v>#REF!</v>
      </c>
      <c r="D628" s="2018"/>
      <c r="E628" s="2019"/>
      <c r="F628" s="2015"/>
      <c r="G628" s="2019"/>
      <c r="H628" s="2019"/>
      <c r="I628" s="1996"/>
      <c r="J628" s="1996"/>
      <c r="K628" s="2015"/>
      <c r="L628" s="2015"/>
      <c r="M628" s="1996"/>
      <c r="N628" s="1972"/>
      <c r="O628" s="1972"/>
      <c r="P628" s="1972"/>
      <c r="Q628" s="1998"/>
      <c r="R628" s="1979"/>
      <c r="S628" s="1979"/>
      <c r="T628" s="1979"/>
    </row>
    <row r="629" spans="1:20" s="727" customFormat="1" ht="12.75" x14ac:dyDescent="0.2">
      <c r="A629" s="2016"/>
      <c r="B629" s="1979"/>
      <c r="C629" s="2028"/>
      <c r="D629" s="2018"/>
      <c r="E629" s="2019"/>
      <c r="F629" s="2015"/>
      <c r="G629" s="2019"/>
      <c r="H629" s="2019"/>
      <c r="I629" s="1996"/>
      <c r="J629" s="1996"/>
      <c r="K629" s="2015"/>
      <c r="L629" s="2015"/>
      <c r="M629" s="1996"/>
      <c r="N629" s="1972"/>
      <c r="O629" s="1972"/>
      <c r="P629" s="1972"/>
      <c r="Q629" s="1998"/>
      <c r="R629" s="1979"/>
      <c r="S629" s="1979"/>
      <c r="T629" s="1979"/>
    </row>
    <row r="630" spans="1:20" s="727" customFormat="1" ht="12.75" x14ac:dyDescent="0.2">
      <c r="A630" s="2029"/>
      <c r="B630" s="1991" t="s">
        <v>816</v>
      </c>
      <c r="C630" s="2017"/>
      <c r="D630" s="2030"/>
      <c r="E630" s="2011"/>
      <c r="F630" s="2011"/>
      <c r="G630" s="2011"/>
      <c r="H630" s="2011"/>
      <c r="I630" s="1996"/>
      <c r="J630" s="1996"/>
      <c r="K630" s="2015"/>
      <c r="L630" s="2015"/>
      <c r="M630" s="1996"/>
      <c r="N630" s="1972"/>
      <c r="O630" s="1972"/>
      <c r="P630" s="1972"/>
      <c r="Q630" s="1998"/>
      <c r="R630" s="1979"/>
      <c r="S630" s="1979"/>
      <c r="T630" s="1979"/>
    </row>
    <row r="631" spans="1:20" s="727" customFormat="1" ht="12.75" x14ac:dyDescent="0.2">
      <c r="A631" s="2029"/>
      <c r="B631" s="2021" t="s">
        <v>817</v>
      </c>
      <c r="C631" s="2022">
        <f>C602*D602</f>
        <v>2242917.6446600002</v>
      </c>
      <c r="D631" s="2030"/>
      <c r="E631" s="2011"/>
      <c r="F631" s="2011"/>
      <c r="G631" s="2011"/>
      <c r="H631" s="2011"/>
      <c r="I631" s="1996"/>
      <c r="J631" s="1996"/>
      <c r="K631" s="2015"/>
      <c r="L631" s="2015"/>
      <c r="M631" s="1996"/>
      <c r="N631" s="1972"/>
      <c r="O631" s="1972"/>
      <c r="P631" s="1972"/>
      <c r="Q631" s="1998"/>
      <c r="R631" s="1979"/>
      <c r="S631" s="1979"/>
      <c r="T631" s="1979"/>
    </row>
    <row r="632" spans="1:20" s="727" customFormat="1" ht="12.75" x14ac:dyDescent="0.2">
      <c r="A632" s="2029"/>
      <c r="B632" s="2023" t="s">
        <v>818</v>
      </c>
      <c r="C632" s="2024">
        <f>C603*D603</f>
        <v>234762.61110301997</v>
      </c>
      <c r="D632" s="2030"/>
      <c r="E632" s="2011"/>
      <c r="F632" s="2011"/>
      <c r="G632" s="2011"/>
      <c r="H632" s="2011"/>
      <c r="I632" s="1996"/>
      <c r="J632" s="1996"/>
      <c r="K632" s="2015"/>
      <c r="L632" s="2015"/>
      <c r="M632" s="1996"/>
      <c r="N632" s="1972"/>
      <c r="O632" s="1972"/>
      <c r="P632" s="1972"/>
      <c r="Q632" s="1998"/>
      <c r="R632" s="1979"/>
      <c r="S632" s="1979"/>
      <c r="T632" s="1979"/>
    </row>
    <row r="633" spans="1:20" s="727" customFormat="1" ht="12.75" x14ac:dyDescent="0.2">
      <c r="A633" s="2029"/>
      <c r="B633" s="2023" t="s">
        <v>819</v>
      </c>
      <c r="C633" s="2024" t="e">
        <f t="shared" ref="C633:C635" si="197">C604*D604</f>
        <v>#REF!</v>
      </c>
      <c r="D633" s="2030"/>
      <c r="E633" s="2011"/>
      <c r="F633" s="2011"/>
      <c r="G633" s="2011"/>
      <c r="H633" s="2011"/>
      <c r="I633" s="1996"/>
      <c r="J633" s="1996"/>
      <c r="K633" s="2015"/>
      <c r="L633" s="2015"/>
      <c r="M633" s="1996"/>
      <c r="N633" s="1972"/>
      <c r="O633" s="1972"/>
      <c r="P633" s="1972"/>
      <c r="Q633" s="1998"/>
      <c r="R633" s="1979"/>
      <c r="S633" s="1979"/>
      <c r="T633" s="1979"/>
    </row>
    <row r="634" spans="1:20" s="727" customFormat="1" ht="12.75" x14ac:dyDescent="0.2">
      <c r="A634" s="2029"/>
      <c r="B634" s="2023" t="s">
        <v>820</v>
      </c>
      <c r="C634" s="2024">
        <f t="shared" si="197"/>
        <v>0</v>
      </c>
      <c r="D634" s="2030"/>
      <c r="E634" s="2011"/>
      <c r="F634" s="2011"/>
      <c r="G634" s="2011"/>
      <c r="H634" s="2011"/>
      <c r="I634" s="1996"/>
      <c r="J634" s="1996"/>
      <c r="K634" s="2015"/>
      <c r="L634" s="2015"/>
      <c r="M634" s="1996"/>
      <c r="N634" s="1972"/>
      <c r="O634" s="1972"/>
      <c r="P634" s="1972"/>
      <c r="Q634" s="1998"/>
      <c r="R634" s="1979"/>
      <c r="S634" s="1979"/>
      <c r="T634" s="1979"/>
    </row>
    <row r="635" spans="1:20" s="727" customFormat="1" ht="12.75" x14ac:dyDescent="0.2">
      <c r="A635" s="2029"/>
      <c r="B635" s="2023" t="s">
        <v>821</v>
      </c>
      <c r="C635" s="2024" t="e">
        <f t="shared" si="197"/>
        <v>#REF!</v>
      </c>
      <c r="D635" s="2030"/>
      <c r="E635" s="2011"/>
      <c r="F635" s="2011"/>
      <c r="G635" s="2011"/>
      <c r="H635" s="2011"/>
      <c r="I635" s="1996"/>
      <c r="J635" s="1996"/>
      <c r="K635" s="2015"/>
      <c r="L635" s="2015"/>
      <c r="M635" s="1996"/>
      <c r="N635" s="1972"/>
      <c r="O635" s="1972"/>
      <c r="P635" s="1972"/>
      <c r="Q635" s="1998"/>
      <c r="R635" s="1979"/>
      <c r="S635" s="1979"/>
      <c r="T635" s="1979"/>
    </row>
    <row r="636" spans="1:20" s="727" customFormat="1" ht="12.75" x14ac:dyDescent="0.2">
      <c r="A636" s="2029"/>
      <c r="B636" s="2023" t="s">
        <v>822</v>
      </c>
      <c r="C636" s="2024" t="e">
        <f>C607*D607</f>
        <v>#REF!</v>
      </c>
      <c r="D636" s="2030"/>
      <c r="E636" s="2011"/>
      <c r="F636" s="2011"/>
      <c r="G636" s="2011"/>
      <c r="H636" s="2011"/>
      <c r="I636" s="1996"/>
      <c r="J636" s="1996"/>
      <c r="K636" s="2015"/>
      <c r="L636" s="2015"/>
      <c r="M636" s="1996"/>
      <c r="N636" s="1972"/>
      <c r="O636" s="1972"/>
      <c r="P636" s="1972"/>
      <c r="Q636" s="1998"/>
      <c r="R636" s="1979"/>
      <c r="S636" s="1979"/>
      <c r="T636" s="1979"/>
    </row>
    <row r="637" spans="1:20" s="727" customFormat="1" ht="12.75" x14ac:dyDescent="0.2">
      <c r="A637" s="2029"/>
      <c r="B637" s="2021" t="s">
        <v>823</v>
      </c>
      <c r="C637" s="2022">
        <f>C608*D608</f>
        <v>714340.53599999996</v>
      </c>
      <c r="D637" s="2030"/>
      <c r="E637" s="2011"/>
      <c r="F637" s="2011"/>
      <c r="G637" s="2011"/>
      <c r="H637" s="2011"/>
      <c r="I637" s="1996"/>
      <c r="J637" s="1996"/>
      <c r="K637" s="2015"/>
      <c r="L637" s="2015"/>
      <c r="M637" s="1996"/>
      <c r="N637" s="1972"/>
      <c r="O637" s="1972"/>
      <c r="P637" s="1972"/>
      <c r="Q637" s="1998"/>
      <c r="R637" s="1979"/>
      <c r="S637" s="1979"/>
      <c r="T637" s="1979"/>
    </row>
    <row r="638" spans="1:20" s="727" customFormat="1" ht="12.75" x14ac:dyDescent="0.2">
      <c r="A638" s="2029"/>
      <c r="B638" s="2023" t="s">
        <v>818</v>
      </c>
      <c r="C638" s="2024" t="e">
        <f>C609*D609</f>
        <v>#REF!</v>
      </c>
      <c r="D638" s="2030"/>
      <c r="E638" s="2011"/>
      <c r="F638" s="2011"/>
      <c r="G638" s="2011"/>
      <c r="H638" s="2011"/>
      <c r="I638" s="1996"/>
      <c r="J638" s="1996"/>
      <c r="K638" s="2015"/>
      <c r="L638" s="2015"/>
      <c r="M638" s="1996"/>
      <c r="N638" s="1972"/>
      <c r="O638" s="1972"/>
      <c r="P638" s="1972"/>
      <c r="Q638" s="1998"/>
      <c r="R638" s="1979"/>
      <c r="S638" s="1979"/>
      <c r="T638" s="1979"/>
    </row>
    <row r="639" spans="1:20" s="727" customFormat="1" ht="12.75" x14ac:dyDescent="0.2">
      <c r="A639" s="2029"/>
      <c r="B639" s="2023" t="s">
        <v>819</v>
      </c>
      <c r="C639" s="2024" t="e">
        <f t="shared" ref="C639:C642" si="198">C610*D610</f>
        <v>#REF!</v>
      </c>
      <c r="D639" s="2030"/>
      <c r="E639" s="2011"/>
      <c r="F639" s="2011"/>
      <c r="G639" s="2011"/>
      <c r="H639" s="2011"/>
      <c r="I639" s="1996"/>
      <c r="J639" s="1996"/>
      <c r="K639" s="2015"/>
      <c r="L639" s="2015"/>
      <c r="M639" s="1996"/>
      <c r="N639" s="1972"/>
      <c r="O639" s="1972"/>
      <c r="P639" s="1972"/>
      <c r="Q639" s="1998"/>
      <c r="R639" s="1979"/>
      <c r="S639" s="1979"/>
      <c r="T639" s="1979"/>
    </row>
    <row r="640" spans="1:20" s="727" customFormat="1" ht="12.75" x14ac:dyDescent="0.2">
      <c r="A640" s="2029"/>
      <c r="B640" s="2023" t="s">
        <v>820</v>
      </c>
      <c r="C640" s="2024" t="e">
        <f t="shared" si="198"/>
        <v>#REF!</v>
      </c>
      <c r="D640" s="2030"/>
      <c r="E640" s="2011"/>
      <c r="F640" s="2011"/>
      <c r="G640" s="2011"/>
      <c r="H640" s="2011"/>
      <c r="I640" s="1996"/>
      <c r="J640" s="1996"/>
      <c r="K640" s="2015"/>
      <c r="L640" s="2015"/>
      <c r="M640" s="1996"/>
      <c r="N640" s="1972"/>
      <c r="O640" s="1972"/>
      <c r="P640" s="1972"/>
      <c r="Q640" s="1998"/>
      <c r="R640" s="1979"/>
      <c r="S640" s="1979"/>
      <c r="T640" s="1979"/>
    </row>
    <row r="641" spans="1:20" s="727" customFormat="1" ht="12.75" x14ac:dyDescent="0.2">
      <c r="A641" s="2029"/>
      <c r="B641" s="2023" t="s">
        <v>821</v>
      </c>
      <c r="C641" s="2024" t="e">
        <f t="shared" si="198"/>
        <v>#REF!</v>
      </c>
      <c r="D641" s="2030"/>
      <c r="E641" s="2011"/>
      <c r="F641" s="2011"/>
      <c r="G641" s="2011"/>
      <c r="H641" s="2011"/>
      <c r="I641" s="1996"/>
      <c r="J641" s="1996"/>
      <c r="K641" s="2015"/>
      <c r="L641" s="2015"/>
      <c r="M641" s="1996"/>
      <c r="N641" s="1972"/>
      <c r="O641" s="1972"/>
      <c r="P641" s="1972"/>
      <c r="Q641" s="1998"/>
      <c r="R641" s="1979"/>
      <c r="S641" s="1979"/>
      <c r="T641" s="1979"/>
    </row>
    <row r="642" spans="1:20" s="727" customFormat="1" ht="12.75" x14ac:dyDescent="0.2">
      <c r="A642" s="2029"/>
      <c r="B642" s="2023" t="s">
        <v>822</v>
      </c>
      <c r="C642" s="2024" t="e">
        <f t="shared" si="198"/>
        <v>#REF!</v>
      </c>
      <c r="D642" s="2030"/>
      <c r="E642" s="2011"/>
      <c r="F642" s="2011"/>
      <c r="G642" s="2011"/>
      <c r="H642" s="2011"/>
      <c r="I642" s="1996"/>
      <c r="J642" s="1996"/>
      <c r="K642" s="2015"/>
      <c r="L642" s="2015"/>
      <c r="M642" s="1996"/>
      <c r="N642" s="1972"/>
      <c r="O642" s="1972"/>
      <c r="P642" s="1972"/>
      <c r="Q642" s="1998"/>
      <c r="R642" s="1979"/>
      <c r="S642" s="1979"/>
      <c r="T642" s="1979"/>
    </row>
    <row r="643" spans="1:20" s="727" customFormat="1" ht="12.75" x14ac:dyDescent="0.2">
      <c r="A643" s="2029"/>
      <c r="B643" s="2021" t="s">
        <v>824</v>
      </c>
      <c r="C643" s="2022" t="e">
        <f>+C644+C645+C646+C647+C648</f>
        <v>#REF!</v>
      </c>
      <c r="D643" s="2030"/>
      <c r="E643" s="2011"/>
      <c r="F643" s="2011"/>
      <c r="G643" s="2011"/>
      <c r="H643" s="2011"/>
      <c r="I643" s="1996"/>
      <c r="J643" s="1996"/>
      <c r="K643" s="2015"/>
      <c r="L643" s="2015"/>
      <c r="M643" s="1996"/>
      <c r="N643" s="1972"/>
      <c r="O643" s="1972"/>
      <c r="P643" s="1972"/>
      <c r="Q643" s="1998"/>
      <c r="R643" s="1979"/>
      <c r="S643" s="1979"/>
      <c r="T643" s="1979"/>
    </row>
    <row r="644" spans="1:20" s="727" customFormat="1" ht="12.75" x14ac:dyDescent="0.2">
      <c r="A644" s="2029"/>
      <c r="B644" s="2023" t="s">
        <v>818</v>
      </c>
      <c r="C644" s="2024" t="e">
        <f>C615*D615</f>
        <v>#REF!</v>
      </c>
      <c r="D644" s="2030"/>
      <c r="E644" s="2011"/>
      <c r="F644" s="2011"/>
      <c r="G644" s="2011"/>
      <c r="H644" s="2011"/>
      <c r="I644" s="1996"/>
      <c r="J644" s="1996"/>
      <c r="K644" s="2015"/>
      <c r="L644" s="2015"/>
      <c r="M644" s="1996"/>
      <c r="N644" s="1972"/>
      <c r="O644" s="1972"/>
      <c r="P644" s="1972"/>
      <c r="Q644" s="1998"/>
      <c r="R644" s="1979"/>
      <c r="S644" s="1979"/>
      <c r="T644" s="1979"/>
    </row>
    <row r="645" spans="1:20" s="727" customFormat="1" ht="12.75" x14ac:dyDescent="0.2">
      <c r="A645" s="2029"/>
      <c r="B645" s="2023" t="s">
        <v>819</v>
      </c>
      <c r="C645" s="2024" t="e">
        <f t="shared" ref="C645:C648" si="199">C616*D616</f>
        <v>#REF!</v>
      </c>
      <c r="D645" s="2030"/>
      <c r="E645" s="2011"/>
      <c r="F645" s="2011"/>
      <c r="G645" s="2011"/>
      <c r="H645" s="2011"/>
      <c r="I645" s="1996"/>
      <c r="J645" s="1996"/>
      <c r="K645" s="2015"/>
      <c r="L645" s="2015"/>
      <c r="M645" s="1996"/>
      <c r="N645" s="1972"/>
      <c r="O645" s="1972"/>
      <c r="P645" s="1972"/>
      <c r="Q645" s="1998"/>
      <c r="R645" s="1979"/>
      <c r="S645" s="1979"/>
      <c r="T645" s="1979"/>
    </row>
    <row r="646" spans="1:20" s="727" customFormat="1" ht="12.75" x14ac:dyDescent="0.2">
      <c r="A646" s="2029"/>
      <c r="B646" s="2023" t="s">
        <v>820</v>
      </c>
      <c r="C646" s="2024" t="e">
        <f t="shared" si="199"/>
        <v>#REF!</v>
      </c>
      <c r="D646" s="2030"/>
      <c r="E646" s="2011"/>
      <c r="F646" s="2011"/>
      <c r="G646" s="2011"/>
      <c r="H646" s="2011"/>
      <c r="I646" s="1996"/>
      <c r="J646" s="1996"/>
      <c r="K646" s="2015"/>
      <c r="L646" s="2015"/>
      <c r="M646" s="1996"/>
      <c r="N646" s="1972"/>
      <c r="O646" s="1972"/>
      <c r="P646" s="1972"/>
      <c r="Q646" s="1998"/>
      <c r="R646" s="1979"/>
      <c r="S646" s="1979"/>
      <c r="T646" s="1979"/>
    </row>
    <row r="647" spans="1:20" s="727" customFormat="1" ht="12.75" x14ac:dyDescent="0.2">
      <c r="A647" s="2029"/>
      <c r="B647" s="2023" t="s">
        <v>821</v>
      </c>
      <c r="C647" s="2024" t="e">
        <f t="shared" si="199"/>
        <v>#REF!</v>
      </c>
      <c r="D647" s="2030"/>
      <c r="E647" s="2011"/>
      <c r="F647" s="2011"/>
      <c r="G647" s="2011"/>
      <c r="H647" s="2011"/>
      <c r="I647" s="1996"/>
      <c r="J647" s="1996"/>
      <c r="K647" s="2015"/>
      <c r="L647" s="2015"/>
      <c r="M647" s="1996"/>
      <c r="N647" s="1972"/>
      <c r="O647" s="1972"/>
      <c r="P647" s="1972"/>
      <c r="Q647" s="1998"/>
      <c r="R647" s="1979"/>
      <c r="S647" s="1979"/>
      <c r="T647" s="1979"/>
    </row>
    <row r="648" spans="1:20" s="727" customFormat="1" ht="12.75" x14ac:dyDescent="0.2">
      <c r="A648" s="2029"/>
      <c r="B648" s="2023" t="s">
        <v>822</v>
      </c>
      <c r="C648" s="2024" t="e">
        <f t="shared" si="199"/>
        <v>#REF!</v>
      </c>
      <c r="D648" s="2030"/>
      <c r="E648" s="2011"/>
      <c r="F648" s="2011"/>
      <c r="G648" s="2011"/>
      <c r="H648" s="2011"/>
      <c r="I648" s="1996"/>
      <c r="J648" s="1996"/>
      <c r="K648" s="2015"/>
      <c r="L648" s="2015"/>
      <c r="M648" s="1996"/>
      <c r="N648" s="1972"/>
      <c r="O648" s="1972"/>
      <c r="P648" s="1972"/>
      <c r="Q648" s="1998"/>
      <c r="R648" s="1979"/>
      <c r="S648" s="1979"/>
      <c r="T648" s="1979"/>
    </row>
    <row r="649" spans="1:20" s="727" customFormat="1" ht="12.75" x14ac:dyDescent="0.2">
      <c r="A649" s="2029"/>
      <c r="B649" s="2021" t="s">
        <v>825</v>
      </c>
      <c r="C649" s="2022" t="e">
        <f>+C650+C651+C652+C653+C654</f>
        <v>#REF!</v>
      </c>
      <c r="D649" s="2030"/>
      <c r="E649" s="2011"/>
      <c r="F649" s="2011"/>
      <c r="G649" s="2011"/>
      <c r="H649" s="2011"/>
      <c r="I649" s="1996"/>
      <c r="J649" s="1996"/>
      <c r="K649" s="2015"/>
      <c r="L649" s="2015"/>
      <c r="M649" s="1996"/>
      <c r="N649" s="1972"/>
      <c r="O649" s="1972"/>
      <c r="P649" s="1972"/>
      <c r="Q649" s="1998"/>
      <c r="R649" s="1979"/>
      <c r="S649" s="1979"/>
      <c r="T649" s="1979"/>
    </row>
    <row r="650" spans="1:20" s="727" customFormat="1" ht="12.75" x14ac:dyDescent="0.2">
      <c r="A650" s="2029"/>
      <c r="B650" s="2023" t="s">
        <v>818</v>
      </c>
      <c r="C650" s="2024">
        <f>C621*D621</f>
        <v>13890.8</v>
      </c>
      <c r="D650" s="2030"/>
      <c r="E650" s="2011"/>
      <c r="F650" s="2011"/>
      <c r="G650" s="2011"/>
      <c r="H650" s="2011"/>
      <c r="I650" s="1979"/>
      <c r="J650" s="1979"/>
      <c r="K650" s="2011"/>
      <c r="L650" s="2011"/>
      <c r="M650" s="1979"/>
      <c r="N650" s="1998"/>
      <c r="O650" s="1998"/>
      <c r="P650" s="1998"/>
      <c r="Q650" s="1998"/>
      <c r="R650" s="1979"/>
      <c r="S650" s="1979"/>
      <c r="T650" s="1979"/>
    </row>
    <row r="651" spans="1:20" s="727" customFormat="1" ht="12.75" x14ac:dyDescent="0.2">
      <c r="A651" s="2029"/>
      <c r="B651" s="2023" t="s">
        <v>819</v>
      </c>
      <c r="C651" s="2024">
        <f t="shared" ref="C651:C654" si="200">C622*D622</f>
        <v>7389.2</v>
      </c>
      <c r="D651" s="2030"/>
      <c r="E651" s="2011"/>
      <c r="F651" s="2011"/>
      <c r="G651" s="2011"/>
      <c r="H651" s="2011"/>
      <c r="I651" s="1979"/>
      <c r="J651" s="1979"/>
      <c r="K651" s="2011"/>
      <c r="L651" s="2011"/>
      <c r="M651" s="1979"/>
      <c r="N651" s="1998"/>
      <c r="O651" s="1998"/>
      <c r="P651" s="1998"/>
      <c r="Q651" s="1998"/>
      <c r="R651" s="1979"/>
      <c r="S651" s="1979"/>
      <c r="T651" s="1979"/>
    </row>
    <row r="652" spans="1:20" s="727" customFormat="1" ht="12.75" x14ac:dyDescent="0.2">
      <c r="A652" s="2029"/>
      <c r="B652" s="2023" t="s">
        <v>820</v>
      </c>
      <c r="C652" s="2024" t="e">
        <f t="shared" si="200"/>
        <v>#REF!</v>
      </c>
      <c r="D652" s="2030"/>
      <c r="E652" s="2011"/>
      <c r="F652" s="2011"/>
      <c r="G652" s="2011"/>
      <c r="H652" s="2011"/>
      <c r="I652" s="1979"/>
      <c r="J652" s="1979"/>
      <c r="K652" s="2011"/>
      <c r="L652" s="2011"/>
      <c r="M652" s="1979"/>
      <c r="N652" s="1998"/>
      <c r="O652" s="1998"/>
      <c r="P652" s="1998"/>
      <c r="Q652" s="1998"/>
      <c r="R652" s="1979"/>
      <c r="S652" s="1979"/>
      <c r="T652" s="1979"/>
    </row>
    <row r="653" spans="1:20" s="727" customFormat="1" ht="12.75" x14ac:dyDescent="0.2">
      <c r="A653" s="2029"/>
      <c r="B653" s="2023" t="s">
        <v>821</v>
      </c>
      <c r="C653" s="2024" t="e">
        <f t="shared" si="200"/>
        <v>#REF!</v>
      </c>
      <c r="D653" s="2030"/>
      <c r="E653" s="2011"/>
      <c r="F653" s="2011"/>
      <c r="G653" s="2011"/>
      <c r="H653" s="2011"/>
      <c r="I653" s="1979"/>
      <c r="J653" s="1979"/>
      <c r="K653" s="2011"/>
      <c r="L653" s="2011"/>
      <c r="M653" s="1979"/>
      <c r="N653" s="1998"/>
      <c r="O653" s="1998"/>
      <c r="P653" s="1998"/>
      <c r="Q653" s="1998"/>
      <c r="R653" s="1979"/>
      <c r="S653" s="1979"/>
      <c r="T653" s="1979"/>
    </row>
    <row r="654" spans="1:20" s="727" customFormat="1" ht="12.75" x14ac:dyDescent="0.2">
      <c r="A654" s="2029"/>
      <c r="B654" s="2023" t="s">
        <v>822</v>
      </c>
      <c r="C654" s="2024" t="e">
        <f t="shared" si="200"/>
        <v>#REF!</v>
      </c>
      <c r="D654" s="2030"/>
      <c r="E654" s="2011"/>
      <c r="F654" s="2011"/>
      <c r="G654" s="2011"/>
      <c r="H654" s="2011"/>
      <c r="I654" s="1979"/>
      <c r="J654" s="1979"/>
      <c r="K654" s="2011"/>
      <c r="L654" s="2011"/>
      <c r="M654" s="1979"/>
      <c r="N654" s="1998"/>
      <c r="O654" s="1998"/>
      <c r="P654" s="1998"/>
      <c r="Q654" s="1998"/>
      <c r="R654" s="1979"/>
      <c r="S654" s="1979"/>
      <c r="T654" s="1979"/>
    </row>
    <row r="655" spans="1:20" s="727" customFormat="1" ht="12.75" x14ac:dyDescent="0.2">
      <c r="A655" s="2029"/>
      <c r="B655" s="2021" t="s">
        <v>826</v>
      </c>
      <c r="C655" s="2022">
        <f>+K133</f>
        <v>81900</v>
      </c>
      <c r="D655" s="2030"/>
      <c r="E655" s="2011"/>
      <c r="F655" s="2011"/>
      <c r="G655" s="2011"/>
      <c r="H655" s="2011"/>
      <c r="I655" s="1979"/>
      <c r="J655" s="1979"/>
      <c r="K655" s="2011"/>
      <c r="L655" s="2011"/>
      <c r="M655" s="1979"/>
      <c r="N655" s="1998"/>
      <c r="O655" s="1998"/>
      <c r="P655" s="1998"/>
      <c r="Q655" s="1998"/>
      <c r="R655" s="1979"/>
      <c r="S655" s="1979"/>
      <c r="T655" s="1979"/>
    </row>
    <row r="656" spans="1:20" s="727" customFormat="1" ht="12.75" x14ac:dyDescent="0.2">
      <c r="A656" s="2029"/>
      <c r="B656" s="2021" t="s">
        <v>827</v>
      </c>
      <c r="C656" s="2022">
        <f>+K134</f>
        <v>27300</v>
      </c>
      <c r="D656" s="2030"/>
      <c r="E656" s="2011"/>
      <c r="F656" s="2011"/>
      <c r="G656" s="2011"/>
      <c r="H656" s="2011"/>
      <c r="I656" s="1979"/>
      <c r="J656" s="1979"/>
      <c r="K656" s="2011"/>
      <c r="L656" s="2011"/>
      <c r="M656" s="1979"/>
      <c r="N656" s="1998"/>
      <c r="O656" s="1998"/>
      <c r="P656" s="1998"/>
      <c r="Q656" s="1998"/>
      <c r="R656" s="1979"/>
      <c r="S656" s="1979"/>
      <c r="T656" s="1979"/>
    </row>
    <row r="657" spans="1:20" s="727" customFormat="1" ht="12.75" x14ac:dyDescent="0.2">
      <c r="A657" s="2029"/>
      <c r="B657" s="2026" t="s">
        <v>828</v>
      </c>
      <c r="C657" s="2027" t="e">
        <f>+C631+C637+C643+C649+C655+C656</f>
        <v>#REF!</v>
      </c>
      <c r="D657" s="2030"/>
      <c r="E657" s="2011"/>
      <c r="F657" s="2011"/>
      <c r="G657" s="2011"/>
      <c r="H657" s="2011"/>
      <c r="I657" s="1979"/>
      <c r="J657" s="1979"/>
      <c r="K657" s="2011"/>
      <c r="L657" s="2011"/>
      <c r="M657" s="1979"/>
      <c r="N657" s="1998"/>
      <c r="O657" s="1998"/>
      <c r="P657" s="1998"/>
      <c r="Q657" s="1998"/>
      <c r="R657" s="1979"/>
      <c r="S657" s="1979"/>
      <c r="T657" s="1979"/>
    </row>
    <row r="658" spans="1:20" s="727" customFormat="1" ht="12.75" x14ac:dyDescent="0.2">
      <c r="A658" s="2029"/>
      <c r="B658" s="1979"/>
      <c r="C658" s="2028"/>
      <c r="D658" s="2030"/>
      <c r="E658" s="2011"/>
      <c r="F658" s="2011"/>
      <c r="G658" s="2011"/>
      <c r="H658" s="2011"/>
      <c r="I658" s="1979"/>
      <c r="J658" s="1979"/>
      <c r="K658" s="2011"/>
      <c r="L658" s="2011"/>
      <c r="M658" s="1979"/>
      <c r="N658" s="1998"/>
      <c r="O658" s="1998"/>
      <c r="P658" s="1998"/>
      <c r="Q658" s="1998"/>
      <c r="R658" s="1979"/>
      <c r="S658" s="1979"/>
      <c r="T658" s="1979"/>
    </row>
    <row r="659" spans="1:20" x14ac:dyDescent="0.2">
      <c r="A659" s="2031"/>
      <c r="B659" s="1968"/>
      <c r="C659" s="2032"/>
      <c r="D659" s="2033"/>
      <c r="E659" s="2000"/>
      <c r="F659" s="2000"/>
      <c r="G659" s="2000"/>
      <c r="H659" s="2000"/>
      <c r="I659" s="1968"/>
      <c r="J659" s="1968"/>
      <c r="K659" s="2000"/>
      <c r="L659" s="2000"/>
      <c r="M659" s="1968"/>
      <c r="N659" s="1968"/>
      <c r="O659" s="1968"/>
      <c r="P659" s="1968"/>
      <c r="Q659" s="1968"/>
      <c r="R659" s="1968"/>
      <c r="S659" s="1968"/>
      <c r="T659" s="1968"/>
    </row>
    <row r="660" spans="1:20" x14ac:dyDescent="0.2">
      <c r="A660" s="2031"/>
      <c r="B660" s="1968"/>
      <c r="C660" s="2032"/>
      <c r="D660" s="2033"/>
      <c r="E660" s="2000"/>
      <c r="F660" s="2000"/>
      <c r="G660" s="2000"/>
      <c r="H660" s="2000"/>
      <c r="I660" s="1968"/>
      <c r="J660" s="1968"/>
      <c r="K660" s="2000"/>
      <c r="L660" s="2000"/>
      <c r="M660" s="1968"/>
      <c r="N660" s="1968"/>
      <c r="O660" s="1968"/>
      <c r="P660" s="1968"/>
      <c r="Q660" s="1968"/>
      <c r="R660" s="1968"/>
      <c r="S660" s="1968"/>
      <c r="T660" s="1968"/>
    </row>
    <row r="661" spans="1:20" x14ac:dyDescent="0.2">
      <c r="A661" s="2031"/>
      <c r="B661" s="1968"/>
      <c r="C661" s="2032"/>
      <c r="D661" s="2033"/>
      <c r="E661" s="2000"/>
      <c r="F661" s="2000"/>
      <c r="G661" s="2000"/>
      <c r="H661" s="2000"/>
      <c r="I661" s="1968"/>
      <c r="J661" s="1968"/>
      <c r="K661" s="2000"/>
      <c r="L661" s="2000"/>
      <c r="M661" s="1968"/>
      <c r="N661" s="1968"/>
      <c r="O661" s="1968"/>
      <c r="P661" s="1968"/>
      <c r="Q661" s="1968"/>
      <c r="R661" s="1968"/>
      <c r="S661" s="1968"/>
      <c r="T661" s="1968"/>
    </row>
    <row r="662" spans="1:20" x14ac:dyDescent="0.2">
      <c r="A662" s="2031"/>
      <c r="B662" s="1968"/>
      <c r="C662" s="2032"/>
      <c r="D662" s="2033"/>
      <c r="E662" s="2000"/>
      <c r="F662" s="2000"/>
      <c r="G662" s="2000"/>
      <c r="H662" s="2000"/>
      <c r="I662" s="1968"/>
      <c r="J662" s="1968"/>
      <c r="K662" s="2000"/>
      <c r="L662" s="2000"/>
      <c r="M662" s="1968"/>
      <c r="N662" s="1968"/>
      <c r="O662" s="1968"/>
      <c r="P662" s="1968"/>
      <c r="Q662" s="1968"/>
      <c r="R662" s="1968"/>
      <c r="S662" s="1968"/>
      <c r="T662" s="1968"/>
    </row>
    <row r="663" spans="1:20" x14ac:dyDescent="0.2">
      <c r="A663" s="2031"/>
      <c r="B663" s="1968"/>
      <c r="C663" s="2032"/>
      <c r="D663" s="2033"/>
      <c r="E663" s="2000"/>
      <c r="F663" s="2000"/>
      <c r="G663" s="2000"/>
      <c r="H663" s="2000"/>
      <c r="I663" s="1968"/>
      <c r="J663" s="1968"/>
      <c r="K663" s="2000"/>
      <c r="L663" s="2000"/>
      <c r="M663" s="1968"/>
      <c r="N663" s="1968"/>
      <c r="O663" s="1968"/>
      <c r="P663" s="1968"/>
      <c r="Q663" s="1968"/>
      <c r="R663" s="1968"/>
      <c r="S663" s="1968"/>
      <c r="T663" s="1968"/>
    </row>
    <row r="664" spans="1:20" x14ac:dyDescent="0.2">
      <c r="A664" s="2031"/>
      <c r="B664" s="1968"/>
      <c r="C664" s="2032"/>
      <c r="D664" s="2033"/>
      <c r="E664" s="2000"/>
      <c r="F664" s="2000"/>
      <c r="G664" s="2000"/>
      <c r="H664" s="2000"/>
      <c r="I664" s="1968"/>
      <c r="J664" s="1968"/>
      <c r="K664" s="2000"/>
      <c r="L664" s="2000"/>
      <c r="M664" s="1968"/>
      <c r="N664" s="1968"/>
      <c r="O664" s="1968"/>
      <c r="P664" s="1968"/>
      <c r="Q664" s="1968"/>
      <c r="R664" s="1968"/>
      <c r="S664" s="1968"/>
      <c r="T664" s="1968"/>
    </row>
    <row r="665" spans="1:20" x14ac:dyDescent="0.2">
      <c r="A665" s="2031"/>
      <c r="B665" s="1968"/>
      <c r="C665" s="2032"/>
      <c r="D665" s="2033"/>
      <c r="E665" s="2000"/>
      <c r="F665" s="2000"/>
      <c r="G665" s="2000"/>
      <c r="H665" s="2000"/>
      <c r="I665" s="1968"/>
      <c r="J665" s="1968"/>
      <c r="K665" s="2000"/>
      <c r="L665" s="2000"/>
      <c r="M665" s="1968"/>
      <c r="N665" s="1968"/>
      <c r="O665" s="1968"/>
      <c r="P665" s="1968"/>
      <c r="Q665" s="1968"/>
      <c r="R665" s="1968"/>
      <c r="S665" s="1968"/>
      <c r="T665" s="1968"/>
    </row>
    <row r="666" spans="1:20" x14ac:dyDescent="0.2">
      <c r="A666" s="2031"/>
      <c r="B666" s="1968"/>
      <c r="C666" s="2032"/>
      <c r="D666" s="2033"/>
      <c r="E666" s="2000"/>
      <c r="F666" s="2000"/>
      <c r="G666" s="2000"/>
      <c r="H666" s="2000"/>
      <c r="I666" s="1968"/>
      <c r="J666" s="1968"/>
      <c r="K666" s="2000"/>
      <c r="L666" s="2000"/>
      <c r="M666" s="1968"/>
      <c r="N666" s="1968"/>
      <c r="O666" s="1968"/>
      <c r="P666" s="1968"/>
      <c r="Q666" s="1968"/>
      <c r="R666" s="1968"/>
      <c r="S666" s="1968"/>
      <c r="T666" s="1968"/>
    </row>
    <row r="667" spans="1:20" x14ac:dyDescent="0.2">
      <c r="A667" s="2031"/>
      <c r="B667" s="1968"/>
      <c r="C667" s="2032"/>
      <c r="D667" s="2033"/>
      <c r="E667" s="2000"/>
      <c r="F667" s="2000"/>
      <c r="G667" s="2000"/>
      <c r="H667" s="2000"/>
      <c r="I667" s="1968"/>
      <c r="J667" s="1968"/>
      <c r="K667" s="2000"/>
      <c r="L667" s="2000"/>
      <c r="M667" s="1968"/>
      <c r="N667" s="1968"/>
      <c r="O667" s="1968"/>
      <c r="P667" s="1968"/>
      <c r="Q667" s="1968"/>
      <c r="R667" s="1968"/>
      <c r="S667" s="1968"/>
      <c r="T667" s="1968"/>
    </row>
    <row r="668" spans="1:20" x14ac:dyDescent="0.2">
      <c r="A668" s="2031"/>
      <c r="B668" s="1968"/>
      <c r="C668" s="2032"/>
      <c r="D668" s="2033"/>
      <c r="E668" s="2000"/>
      <c r="F668" s="2000"/>
      <c r="G668" s="2000"/>
      <c r="H668" s="2000"/>
      <c r="I668" s="1968"/>
      <c r="J668" s="1968"/>
      <c r="K668" s="2000"/>
      <c r="L668" s="2000"/>
      <c r="M668" s="1968"/>
      <c r="N668" s="1968"/>
      <c r="O668" s="1968"/>
      <c r="P668" s="1968"/>
      <c r="Q668" s="1968"/>
      <c r="R668" s="1968"/>
      <c r="S668" s="1968"/>
      <c r="T668" s="1968"/>
    </row>
    <row r="669" spans="1:20" x14ac:dyDescent="0.2">
      <c r="A669" s="2031"/>
      <c r="B669" s="1968"/>
      <c r="C669" s="2032"/>
      <c r="D669" s="2033"/>
      <c r="E669" s="2000"/>
      <c r="F669" s="2000"/>
      <c r="G669" s="2000"/>
      <c r="H669" s="2000"/>
      <c r="I669" s="1968"/>
      <c r="J669" s="1968"/>
      <c r="K669" s="2000"/>
      <c r="L669" s="2000"/>
      <c r="M669" s="1968"/>
      <c r="N669" s="1968"/>
      <c r="O669" s="1968"/>
      <c r="P669" s="1968"/>
      <c r="Q669" s="1968"/>
      <c r="R669" s="1968"/>
      <c r="S669" s="1968"/>
      <c r="T669" s="1968"/>
    </row>
    <row r="670" spans="1:20" x14ac:dyDescent="0.2">
      <c r="A670" s="2031"/>
      <c r="B670" s="1968"/>
      <c r="C670" s="2032"/>
      <c r="D670" s="2033"/>
      <c r="E670" s="2000"/>
      <c r="F670" s="2000"/>
      <c r="G670" s="2000"/>
      <c r="H670" s="2000"/>
      <c r="I670" s="1968"/>
      <c r="J670" s="1968"/>
      <c r="K670" s="2000"/>
      <c r="L670" s="2000"/>
      <c r="M670" s="1968"/>
      <c r="N670" s="1968"/>
      <c r="O670" s="1968"/>
      <c r="P670" s="1968"/>
      <c r="Q670" s="1968"/>
      <c r="R670" s="1968"/>
      <c r="S670" s="1968"/>
      <c r="T670" s="1968"/>
    </row>
    <row r="671" spans="1:20" x14ac:dyDescent="0.2">
      <c r="A671" s="2031"/>
      <c r="B671" s="1968"/>
      <c r="C671" s="2032"/>
      <c r="D671" s="2033"/>
      <c r="E671" s="2000"/>
      <c r="F671" s="2000"/>
      <c r="G671" s="2000"/>
      <c r="H671" s="2000"/>
      <c r="I671" s="1968"/>
      <c r="J671" s="1968"/>
      <c r="K671" s="2000"/>
      <c r="L671" s="2000"/>
      <c r="M671" s="1968"/>
      <c r="N671" s="1968"/>
      <c r="O671" s="1968"/>
      <c r="P671" s="1968"/>
      <c r="Q671" s="1968"/>
      <c r="R671" s="1968"/>
      <c r="S671" s="1968"/>
      <c r="T671" s="1968"/>
    </row>
    <row r="672" spans="1:20" x14ac:dyDescent="0.2">
      <c r="A672" s="2031"/>
      <c r="B672" s="1968"/>
      <c r="C672" s="2032"/>
      <c r="D672" s="2033"/>
      <c r="E672" s="2000"/>
      <c r="F672" s="2000"/>
      <c r="G672" s="2000"/>
      <c r="H672" s="2000"/>
      <c r="I672" s="1968"/>
      <c r="J672" s="1968"/>
      <c r="K672" s="2000"/>
      <c r="L672" s="2000"/>
      <c r="M672" s="1968"/>
      <c r="N672" s="1968"/>
      <c r="O672" s="1968"/>
      <c r="P672" s="1968"/>
      <c r="Q672" s="1968"/>
      <c r="R672" s="1968"/>
      <c r="S672" s="1968"/>
      <c r="T672" s="1968"/>
    </row>
    <row r="673" spans="1:20" x14ac:dyDescent="0.2">
      <c r="A673" s="2031"/>
      <c r="B673" s="1968"/>
      <c r="C673" s="2032"/>
      <c r="D673" s="2033"/>
      <c r="E673" s="2000"/>
      <c r="F673" s="2000"/>
      <c r="G673" s="2000"/>
      <c r="H673" s="2000"/>
      <c r="I673" s="1968"/>
      <c r="J673" s="1968"/>
      <c r="K673" s="2000"/>
      <c r="L673" s="2000"/>
      <c r="M673" s="1968"/>
      <c r="N673" s="1968"/>
      <c r="O673" s="1968"/>
      <c r="P673" s="1968"/>
      <c r="Q673" s="1968"/>
      <c r="R673" s="1968"/>
      <c r="S673" s="1968"/>
      <c r="T673" s="1968"/>
    </row>
    <row r="674" spans="1:20" x14ac:dyDescent="0.2">
      <c r="A674" s="2031"/>
      <c r="B674" s="1968"/>
      <c r="C674" s="2032"/>
      <c r="D674" s="2033"/>
      <c r="E674" s="2000"/>
      <c r="F674" s="2000"/>
      <c r="G674" s="2000"/>
      <c r="H674" s="2000"/>
      <c r="I674" s="1968"/>
      <c r="J674" s="1968"/>
      <c r="K674" s="2000"/>
      <c r="L674" s="2000"/>
      <c r="M674" s="1968"/>
      <c r="N674" s="1968"/>
      <c r="O674" s="1968"/>
      <c r="P674" s="1968"/>
      <c r="Q674" s="1968"/>
      <c r="R674" s="1968"/>
      <c r="S674" s="1968"/>
      <c r="T674" s="1968"/>
    </row>
    <row r="675" spans="1:20" x14ac:dyDescent="0.2">
      <c r="A675" s="2031"/>
      <c r="B675" s="1968"/>
      <c r="C675" s="2032"/>
      <c r="D675" s="2033"/>
      <c r="E675" s="2000"/>
      <c r="F675" s="2000"/>
      <c r="G675" s="2000"/>
      <c r="H675" s="2000"/>
      <c r="I675" s="1968"/>
      <c r="J675" s="1968"/>
      <c r="K675" s="2000"/>
      <c r="L675" s="2000"/>
      <c r="M675" s="1968"/>
      <c r="N675" s="1968"/>
      <c r="O675" s="1968"/>
      <c r="P675" s="1968"/>
      <c r="Q675" s="1968"/>
      <c r="R675" s="1968"/>
      <c r="S675" s="1968"/>
      <c r="T675" s="1968"/>
    </row>
    <row r="676" spans="1:20" x14ac:dyDescent="0.2">
      <c r="A676" s="2031"/>
      <c r="B676" s="1968"/>
      <c r="C676" s="2032"/>
      <c r="D676" s="2033"/>
      <c r="E676" s="2000"/>
      <c r="F676" s="2000"/>
      <c r="G676" s="2000"/>
      <c r="H676" s="2000"/>
      <c r="I676" s="1968"/>
      <c r="J676" s="1968"/>
      <c r="K676" s="2000"/>
      <c r="L676" s="2000"/>
      <c r="M676" s="1968"/>
      <c r="N676" s="1968"/>
      <c r="O676" s="1968"/>
      <c r="P676" s="1968"/>
      <c r="Q676" s="1968"/>
      <c r="R676" s="1968"/>
      <c r="S676" s="1968"/>
      <c r="T676" s="1968"/>
    </row>
    <row r="677" spans="1:20" x14ac:dyDescent="0.2">
      <c r="A677" s="2031"/>
      <c r="B677" s="1968"/>
      <c r="C677" s="2032"/>
      <c r="D677" s="2033"/>
      <c r="E677" s="2000"/>
      <c r="F677" s="2000"/>
      <c r="G677" s="2000"/>
      <c r="H677" s="2000"/>
      <c r="I677" s="1968"/>
      <c r="J677" s="1968"/>
      <c r="K677" s="2000"/>
      <c r="L677" s="2000"/>
      <c r="M677" s="1968"/>
      <c r="N677" s="1968"/>
      <c r="O677" s="1968"/>
      <c r="P677" s="1968"/>
      <c r="Q677" s="1968"/>
      <c r="R677" s="1968"/>
      <c r="S677" s="1968"/>
      <c r="T677" s="1968"/>
    </row>
    <row r="678" spans="1:20" x14ac:dyDescent="0.2">
      <c r="A678" s="2031"/>
      <c r="B678" s="1968"/>
      <c r="C678" s="2032"/>
      <c r="D678" s="2033"/>
      <c r="E678" s="2000"/>
      <c r="F678" s="2000"/>
      <c r="G678" s="2000"/>
      <c r="H678" s="2000"/>
      <c r="I678" s="1968"/>
      <c r="J678" s="1968"/>
      <c r="K678" s="2000"/>
      <c r="L678" s="2000"/>
      <c r="M678" s="1968"/>
      <c r="N678" s="1968"/>
      <c r="O678" s="1968"/>
      <c r="P678" s="1968"/>
      <c r="Q678" s="1968"/>
      <c r="R678" s="1968"/>
      <c r="S678" s="1968"/>
      <c r="T678" s="1968"/>
    </row>
    <row r="679" spans="1:20" x14ac:dyDescent="0.2">
      <c r="A679" s="2031"/>
      <c r="B679" s="1968"/>
      <c r="C679" s="2032"/>
      <c r="D679" s="2033"/>
      <c r="E679" s="2000"/>
      <c r="F679" s="2000"/>
      <c r="G679" s="2000"/>
      <c r="H679" s="2000"/>
      <c r="I679" s="1968"/>
      <c r="J679" s="1968"/>
      <c r="K679" s="2000"/>
      <c r="L679" s="2000"/>
      <c r="M679" s="1968"/>
      <c r="N679" s="1968"/>
      <c r="O679" s="1968"/>
      <c r="P679" s="1968"/>
      <c r="Q679" s="1968"/>
      <c r="R679" s="1968"/>
      <c r="S679" s="1968"/>
      <c r="T679" s="1968"/>
    </row>
    <row r="680" spans="1:20" x14ac:dyDescent="0.2">
      <c r="A680" s="2031"/>
      <c r="B680" s="1968"/>
      <c r="C680" s="2032"/>
      <c r="D680" s="2033"/>
      <c r="E680" s="2000"/>
      <c r="F680" s="2000"/>
      <c r="G680" s="2000"/>
      <c r="H680" s="2000"/>
      <c r="I680" s="1968"/>
      <c r="J680" s="1968"/>
      <c r="K680" s="2000"/>
      <c r="L680" s="2000"/>
      <c r="M680" s="1968"/>
      <c r="N680" s="1968"/>
      <c r="O680" s="1968"/>
      <c r="P680" s="1968"/>
      <c r="Q680" s="1968"/>
      <c r="R680" s="1968"/>
      <c r="S680" s="1968"/>
      <c r="T680" s="1968"/>
    </row>
    <row r="681" spans="1:20" x14ac:dyDescent="0.2">
      <c r="A681" s="2031"/>
      <c r="B681" s="1968"/>
      <c r="C681" s="2032"/>
      <c r="D681" s="2033"/>
      <c r="E681" s="2000"/>
      <c r="F681" s="2000"/>
      <c r="G681" s="2000"/>
      <c r="H681" s="2000"/>
      <c r="I681" s="1968"/>
      <c r="J681" s="1968"/>
      <c r="K681" s="2000"/>
      <c r="L681" s="2000"/>
      <c r="M681" s="1968"/>
      <c r="N681" s="1968"/>
      <c r="O681" s="1968"/>
      <c r="P681" s="1968"/>
      <c r="Q681" s="1968"/>
      <c r="R681" s="1968"/>
      <c r="S681" s="1968"/>
      <c r="T681" s="1968"/>
    </row>
    <row r="682" spans="1:20" x14ac:dyDescent="0.2">
      <c r="A682" s="2031"/>
      <c r="B682" s="1968"/>
      <c r="C682" s="2032"/>
      <c r="D682" s="2033"/>
      <c r="E682" s="2000"/>
      <c r="F682" s="2000"/>
      <c r="G682" s="2000"/>
      <c r="H682" s="2000"/>
      <c r="I682" s="1968"/>
      <c r="J682" s="1968"/>
      <c r="K682" s="2000"/>
      <c r="L682" s="2000"/>
      <c r="M682" s="1968"/>
      <c r="N682" s="1968"/>
      <c r="O682" s="1968"/>
      <c r="P682" s="1968"/>
      <c r="Q682" s="1968"/>
      <c r="R682" s="1968"/>
      <c r="S682" s="1968"/>
      <c r="T682" s="1968"/>
    </row>
    <row r="683" spans="1:20" x14ac:dyDescent="0.2">
      <c r="A683" s="2031"/>
      <c r="B683" s="1968"/>
      <c r="C683" s="2032"/>
      <c r="D683" s="2033"/>
      <c r="E683" s="2000"/>
      <c r="F683" s="2000"/>
      <c r="G683" s="2000"/>
      <c r="H683" s="2000"/>
      <c r="I683" s="1968"/>
      <c r="J683" s="1968"/>
      <c r="K683" s="2000"/>
      <c r="L683" s="2000"/>
      <c r="M683" s="1968"/>
      <c r="N683" s="1968"/>
      <c r="O683" s="1968"/>
      <c r="P683" s="1968"/>
      <c r="Q683" s="1968"/>
      <c r="R683" s="1968"/>
      <c r="S683" s="1968"/>
      <c r="T683" s="1968"/>
    </row>
    <row r="684" spans="1:20" x14ac:dyDescent="0.2">
      <c r="A684" s="2031"/>
      <c r="B684" s="1968"/>
      <c r="C684" s="2032"/>
      <c r="D684" s="2033"/>
      <c r="E684" s="2000"/>
      <c r="F684" s="2000"/>
      <c r="G684" s="2000"/>
      <c r="H684" s="2000"/>
      <c r="I684" s="1968"/>
      <c r="J684" s="1968"/>
      <c r="K684" s="2000"/>
      <c r="L684" s="2000"/>
      <c r="M684" s="1968"/>
      <c r="N684" s="1968"/>
      <c r="O684" s="1968"/>
      <c r="P684" s="1968"/>
      <c r="Q684" s="1968"/>
      <c r="R684" s="1968"/>
      <c r="S684" s="1968"/>
      <c r="T684" s="1968"/>
    </row>
    <row r="685" spans="1:20" x14ac:dyDescent="0.2">
      <c r="A685" s="2031"/>
      <c r="B685" s="1968"/>
      <c r="C685" s="2032"/>
      <c r="D685" s="2033"/>
      <c r="E685" s="2000"/>
      <c r="F685" s="2000"/>
      <c r="G685" s="2000"/>
      <c r="H685" s="2000"/>
      <c r="I685" s="1968"/>
      <c r="J685" s="1968"/>
      <c r="K685" s="2000"/>
      <c r="L685" s="2000"/>
      <c r="M685" s="1968"/>
      <c r="N685" s="1968"/>
      <c r="O685" s="1968"/>
      <c r="P685" s="1968"/>
      <c r="Q685" s="1968"/>
      <c r="R685" s="1968"/>
      <c r="S685" s="1968"/>
      <c r="T685" s="1968"/>
    </row>
    <row r="686" spans="1:20" x14ac:dyDescent="0.2">
      <c r="A686" s="2031"/>
      <c r="B686" s="1968"/>
      <c r="C686" s="2032"/>
      <c r="D686" s="2033"/>
      <c r="E686" s="2000"/>
      <c r="F686" s="2000"/>
      <c r="G686" s="2000"/>
      <c r="H686" s="2000"/>
      <c r="I686" s="1968"/>
      <c r="J686" s="1968"/>
      <c r="K686" s="2000"/>
      <c r="L686" s="2000"/>
      <c r="M686" s="1968"/>
      <c r="N686" s="1968"/>
      <c r="O686" s="1968"/>
      <c r="P686" s="1968"/>
      <c r="Q686" s="1968"/>
      <c r="R686" s="1968"/>
      <c r="S686" s="1968"/>
      <c r="T686" s="1968"/>
    </row>
    <row r="687" spans="1:20" x14ac:dyDescent="0.2">
      <c r="A687" s="2031"/>
      <c r="B687" s="1968"/>
      <c r="C687" s="2032"/>
      <c r="D687" s="2033"/>
      <c r="E687" s="2000"/>
      <c r="F687" s="2000"/>
      <c r="G687" s="2000"/>
      <c r="H687" s="2000"/>
      <c r="I687" s="1968"/>
      <c r="J687" s="1968"/>
      <c r="K687" s="2000"/>
      <c r="L687" s="2000"/>
      <c r="M687" s="1968"/>
      <c r="N687" s="1968"/>
      <c r="O687" s="1968"/>
      <c r="P687" s="1968"/>
      <c r="Q687" s="1968"/>
      <c r="R687" s="1968"/>
      <c r="S687" s="1968"/>
      <c r="T687" s="1968"/>
    </row>
    <row r="688" spans="1:20" x14ac:dyDescent="0.2">
      <c r="A688" s="2031"/>
      <c r="B688" s="1968"/>
      <c r="C688" s="2032"/>
      <c r="D688" s="2033"/>
      <c r="E688" s="2000"/>
      <c r="F688" s="2000"/>
      <c r="G688" s="2000"/>
      <c r="H688" s="2000"/>
      <c r="I688" s="1968"/>
      <c r="J688" s="1968"/>
      <c r="K688" s="2000"/>
      <c r="L688" s="2000"/>
      <c r="M688" s="1968"/>
      <c r="N688" s="1968"/>
      <c r="O688" s="1968"/>
      <c r="P688" s="1968"/>
      <c r="Q688" s="1968"/>
      <c r="R688" s="1968"/>
      <c r="S688" s="1968"/>
      <c r="T688" s="1968"/>
    </row>
    <row r="689" spans="1:20" x14ac:dyDescent="0.2">
      <c r="A689" s="2031"/>
      <c r="B689" s="1968"/>
      <c r="C689" s="2032"/>
      <c r="D689" s="2033"/>
      <c r="E689" s="2000"/>
      <c r="F689" s="2000"/>
      <c r="G689" s="2000"/>
      <c r="H689" s="2000"/>
      <c r="I689" s="1968"/>
      <c r="J689" s="1968"/>
      <c r="K689" s="2000"/>
      <c r="L689" s="2000"/>
      <c r="M689" s="1968"/>
      <c r="N689" s="1968"/>
      <c r="O689" s="1968"/>
      <c r="P689" s="1968"/>
      <c r="Q689" s="1968"/>
      <c r="R689" s="1968"/>
      <c r="S689" s="1968"/>
      <c r="T689" s="1968"/>
    </row>
    <row r="690" spans="1:20" x14ac:dyDescent="0.2">
      <c r="A690" s="2031"/>
      <c r="B690" s="1968"/>
      <c r="C690" s="2032"/>
      <c r="D690" s="2033"/>
      <c r="E690" s="2000"/>
      <c r="F690" s="2000"/>
      <c r="G690" s="2000"/>
      <c r="H690" s="2000"/>
      <c r="I690" s="1968"/>
      <c r="J690" s="1968"/>
      <c r="K690" s="2000"/>
      <c r="L690" s="2000"/>
      <c r="M690" s="1968"/>
      <c r="N690" s="1968"/>
      <c r="O690" s="1968"/>
      <c r="P690" s="1968"/>
      <c r="Q690" s="1968"/>
      <c r="R690" s="1968"/>
      <c r="S690" s="1968"/>
      <c r="T690" s="1968"/>
    </row>
    <row r="691" spans="1:20" x14ac:dyDescent="0.2">
      <c r="A691" s="2031"/>
      <c r="B691" s="1968"/>
      <c r="C691" s="2032"/>
      <c r="D691" s="2033"/>
      <c r="E691" s="2000"/>
      <c r="F691" s="2000"/>
      <c r="G691" s="2000"/>
      <c r="H691" s="2000"/>
      <c r="I691" s="1968"/>
      <c r="J691" s="1968"/>
      <c r="K691" s="2000"/>
      <c r="L691" s="2000"/>
      <c r="M691" s="1968"/>
      <c r="N691" s="1968"/>
      <c r="O691" s="1968"/>
      <c r="P691" s="1968"/>
      <c r="Q691" s="1968"/>
      <c r="R691" s="1968"/>
      <c r="S691" s="1968"/>
      <c r="T691" s="1968"/>
    </row>
    <row r="692" spans="1:20" x14ac:dyDescent="0.2">
      <c r="A692" s="2031"/>
      <c r="B692" s="1968"/>
      <c r="C692" s="2032"/>
      <c r="D692" s="2033"/>
      <c r="E692" s="2000"/>
      <c r="F692" s="2000"/>
      <c r="G692" s="2000"/>
      <c r="H692" s="2000"/>
      <c r="I692" s="1968"/>
      <c r="J692" s="1968"/>
      <c r="K692" s="2000"/>
      <c r="L692" s="2000"/>
      <c r="M692" s="1968"/>
      <c r="N692" s="1968"/>
      <c r="O692" s="1968"/>
      <c r="P692" s="1968"/>
      <c r="Q692" s="1968"/>
      <c r="R692" s="1968"/>
      <c r="S692" s="1968"/>
      <c r="T692" s="1968"/>
    </row>
    <row r="693" spans="1:20" x14ac:dyDescent="0.2">
      <c r="A693" s="2031"/>
      <c r="B693" s="1968"/>
      <c r="C693" s="2032"/>
      <c r="D693" s="2033"/>
      <c r="E693" s="2000"/>
      <c r="F693" s="2000"/>
      <c r="G693" s="2000"/>
      <c r="H693" s="2000"/>
      <c r="I693" s="1968"/>
      <c r="J693" s="1968"/>
      <c r="K693" s="2000"/>
      <c r="L693" s="2000"/>
      <c r="M693" s="1968"/>
      <c r="N693" s="1968"/>
      <c r="O693" s="1968"/>
      <c r="P693" s="1968"/>
      <c r="Q693" s="1968"/>
      <c r="R693" s="1968"/>
      <c r="S693" s="1968"/>
      <c r="T693" s="1968"/>
    </row>
    <row r="694" spans="1:20" x14ac:dyDescent="0.2">
      <c r="A694" s="2031"/>
      <c r="B694" s="1968"/>
      <c r="C694" s="2032"/>
      <c r="D694" s="2033"/>
      <c r="E694" s="2000"/>
      <c r="F694" s="2000"/>
      <c r="G694" s="2000"/>
      <c r="H694" s="2000"/>
      <c r="I694" s="1968"/>
      <c r="J694" s="1968"/>
      <c r="K694" s="2000"/>
      <c r="L694" s="2000"/>
      <c r="M694" s="1968"/>
      <c r="N694" s="1968"/>
      <c r="O694" s="1968"/>
      <c r="P694" s="1968"/>
      <c r="Q694" s="1968"/>
      <c r="R694" s="1968"/>
      <c r="S694" s="1968"/>
      <c r="T694" s="1968"/>
    </row>
    <row r="695" spans="1:20" x14ac:dyDescent="0.2">
      <c r="A695" s="2031"/>
      <c r="B695" s="1968"/>
      <c r="C695" s="2032"/>
      <c r="D695" s="2033"/>
      <c r="E695" s="2000"/>
      <c r="F695" s="2000"/>
      <c r="G695" s="2000"/>
      <c r="H695" s="2000"/>
      <c r="I695" s="1968"/>
      <c r="J695" s="1968"/>
      <c r="K695" s="2000"/>
      <c r="L695" s="2000"/>
      <c r="M695" s="1968"/>
      <c r="N695" s="1968"/>
      <c r="O695" s="1968"/>
      <c r="P695" s="1968"/>
      <c r="Q695" s="1968"/>
      <c r="R695" s="1968"/>
      <c r="S695" s="1968"/>
      <c r="T695" s="1968"/>
    </row>
    <row r="696" spans="1:20" x14ac:dyDescent="0.2">
      <c r="A696" s="2031"/>
      <c r="B696" s="1968"/>
      <c r="C696" s="2032"/>
      <c r="D696" s="2033"/>
      <c r="E696" s="2000"/>
      <c r="F696" s="2000"/>
      <c r="G696" s="2000"/>
      <c r="H696" s="2000"/>
      <c r="I696" s="1968"/>
      <c r="J696" s="1968"/>
      <c r="K696" s="2000"/>
      <c r="L696" s="2000"/>
      <c r="M696" s="1968"/>
      <c r="N696" s="1968"/>
      <c r="O696" s="1968"/>
      <c r="P696" s="1968"/>
      <c r="Q696" s="1968"/>
      <c r="R696" s="1968"/>
      <c r="S696" s="1968"/>
      <c r="T696" s="1968"/>
    </row>
    <row r="697" spans="1:20" x14ac:dyDescent="0.2">
      <c r="A697" s="2031"/>
      <c r="B697" s="1968"/>
      <c r="C697" s="2032"/>
      <c r="D697" s="2033"/>
      <c r="E697" s="2000"/>
      <c r="F697" s="2000"/>
      <c r="G697" s="2000"/>
      <c r="H697" s="2000"/>
      <c r="I697" s="1968"/>
      <c r="J697" s="1968"/>
      <c r="K697" s="2000"/>
      <c r="L697" s="2000"/>
      <c r="M697" s="1968"/>
      <c r="N697" s="1968"/>
      <c r="O697" s="1968"/>
      <c r="P697" s="1968"/>
      <c r="Q697" s="1968"/>
      <c r="R697" s="1968"/>
      <c r="S697" s="1968"/>
      <c r="T697" s="1968"/>
    </row>
    <row r="698" spans="1:20" x14ac:dyDescent="0.2">
      <c r="A698" s="2031"/>
      <c r="B698" s="1968"/>
      <c r="C698" s="2032"/>
      <c r="D698" s="2033"/>
      <c r="E698" s="2000"/>
      <c r="F698" s="2000"/>
      <c r="G698" s="2000"/>
      <c r="H698" s="2000"/>
      <c r="I698" s="1968"/>
      <c r="J698" s="1968"/>
      <c r="K698" s="2000"/>
      <c r="L698" s="2000"/>
      <c r="M698" s="1968"/>
      <c r="N698" s="1968"/>
      <c r="O698" s="1968"/>
      <c r="P698" s="1968"/>
      <c r="Q698" s="1968"/>
      <c r="R698" s="1968"/>
      <c r="S698" s="1968"/>
      <c r="T698" s="1968"/>
    </row>
    <row r="699" spans="1:20" x14ac:dyDescent="0.2">
      <c r="A699" s="2031"/>
      <c r="B699" s="1968"/>
      <c r="C699" s="2032"/>
      <c r="D699" s="2033"/>
      <c r="E699" s="2000"/>
      <c r="F699" s="2000"/>
      <c r="G699" s="2000"/>
      <c r="H699" s="2000"/>
      <c r="I699" s="1968"/>
      <c r="J699" s="1968"/>
      <c r="K699" s="2000"/>
      <c r="L699" s="2000"/>
      <c r="M699" s="1968"/>
      <c r="N699" s="1968"/>
      <c r="O699" s="1968"/>
      <c r="P699" s="1968"/>
      <c r="Q699" s="1968"/>
      <c r="R699" s="1968"/>
      <c r="S699" s="1968"/>
      <c r="T699" s="1968"/>
    </row>
    <row r="700" spans="1:20" x14ac:dyDescent="0.2">
      <c r="A700" s="2031"/>
      <c r="B700" s="1968"/>
      <c r="C700" s="2032"/>
      <c r="D700" s="2033"/>
      <c r="E700" s="2000"/>
      <c r="F700" s="2000"/>
      <c r="G700" s="2000"/>
      <c r="H700" s="2000"/>
      <c r="I700" s="1968"/>
      <c r="J700" s="1968"/>
      <c r="K700" s="2000"/>
      <c r="L700" s="2000"/>
      <c r="M700" s="1968"/>
      <c r="N700" s="1968"/>
      <c r="O700" s="1968"/>
      <c r="P700" s="1968"/>
      <c r="Q700" s="1968"/>
      <c r="R700" s="1968"/>
      <c r="S700" s="1968"/>
      <c r="T700" s="1968"/>
    </row>
    <row r="701" spans="1:20" x14ac:dyDescent="0.2">
      <c r="A701" s="2031"/>
      <c r="B701" s="1968"/>
      <c r="C701" s="2032"/>
      <c r="D701" s="2033"/>
      <c r="E701" s="2000"/>
      <c r="F701" s="2000"/>
      <c r="G701" s="2000"/>
      <c r="H701" s="2000"/>
      <c r="I701" s="1968"/>
      <c r="J701" s="1968"/>
      <c r="K701" s="2000"/>
      <c r="L701" s="2000"/>
      <c r="M701" s="1968"/>
      <c r="N701" s="1968"/>
      <c r="O701" s="1968"/>
      <c r="P701" s="1968"/>
      <c r="Q701" s="1968"/>
      <c r="R701" s="1968"/>
      <c r="S701" s="1968"/>
      <c r="T701" s="1968"/>
    </row>
    <row r="702" spans="1:20" x14ac:dyDescent="0.2">
      <c r="A702" s="2031"/>
      <c r="B702" s="1968"/>
      <c r="C702" s="2032"/>
      <c r="D702" s="2033"/>
      <c r="E702" s="2000"/>
      <c r="F702" s="2000"/>
      <c r="G702" s="2000"/>
      <c r="H702" s="2000"/>
      <c r="I702" s="1968"/>
      <c r="J702" s="1968"/>
      <c r="K702" s="2000"/>
      <c r="L702" s="2000"/>
      <c r="M702" s="1968"/>
      <c r="N702" s="1968"/>
      <c r="O702" s="1968"/>
      <c r="P702" s="1968"/>
      <c r="Q702" s="1968"/>
      <c r="R702" s="1968"/>
      <c r="S702" s="1968"/>
      <c r="T702" s="1968"/>
    </row>
    <row r="703" spans="1:20" x14ac:dyDescent="0.2">
      <c r="A703" s="2031"/>
      <c r="B703" s="1968"/>
      <c r="C703" s="2032"/>
      <c r="D703" s="2033"/>
      <c r="E703" s="2000"/>
      <c r="F703" s="2000"/>
      <c r="G703" s="2000"/>
      <c r="H703" s="2000"/>
      <c r="I703" s="1968"/>
      <c r="J703" s="1968"/>
      <c r="K703" s="2000"/>
      <c r="L703" s="2000"/>
      <c r="M703" s="1968"/>
      <c r="N703" s="1968"/>
      <c r="O703" s="1968"/>
      <c r="P703" s="1968"/>
      <c r="Q703" s="1968"/>
      <c r="R703" s="1968"/>
      <c r="S703" s="1968"/>
      <c r="T703" s="1968"/>
    </row>
    <row r="704" spans="1:20" x14ac:dyDescent="0.2">
      <c r="A704" s="2031"/>
      <c r="B704" s="1968"/>
      <c r="C704" s="2032"/>
      <c r="D704" s="2033"/>
      <c r="E704" s="2000"/>
      <c r="F704" s="2000"/>
      <c r="G704" s="2000"/>
      <c r="H704" s="2000"/>
      <c r="I704" s="1968"/>
      <c r="J704" s="1968"/>
      <c r="K704" s="2000"/>
      <c r="L704" s="2000"/>
      <c r="M704" s="1968"/>
      <c r="N704" s="1968"/>
      <c r="O704" s="1968"/>
      <c r="P704" s="1968"/>
      <c r="Q704" s="1968"/>
      <c r="R704" s="1968"/>
      <c r="S704" s="1968"/>
      <c r="T704" s="1968"/>
    </row>
    <row r="705" spans="1:20" x14ac:dyDescent="0.2">
      <c r="A705" s="2031"/>
      <c r="B705" s="1968"/>
      <c r="C705" s="2032"/>
      <c r="D705" s="2033"/>
      <c r="E705" s="2000"/>
      <c r="F705" s="2000"/>
      <c r="G705" s="2000"/>
      <c r="H705" s="2000"/>
      <c r="I705" s="1968"/>
      <c r="J705" s="1968"/>
      <c r="K705" s="2000"/>
      <c r="L705" s="2000"/>
      <c r="M705" s="1968"/>
      <c r="N705" s="1968"/>
      <c r="O705" s="1968"/>
      <c r="P705" s="1968"/>
      <c r="Q705" s="1968"/>
      <c r="R705" s="1968"/>
      <c r="S705" s="1968"/>
      <c r="T705" s="1968"/>
    </row>
    <row r="706" spans="1:20" x14ac:dyDescent="0.2">
      <c r="A706" s="2031"/>
      <c r="B706" s="1968"/>
      <c r="C706" s="2032"/>
      <c r="D706" s="2033"/>
      <c r="E706" s="2000"/>
      <c r="F706" s="2000"/>
      <c r="G706" s="2000"/>
      <c r="H706" s="2000"/>
      <c r="I706" s="1968"/>
      <c r="J706" s="1968"/>
      <c r="K706" s="2000"/>
      <c r="L706" s="2000"/>
      <c r="M706" s="1968"/>
      <c r="N706" s="1968"/>
      <c r="O706" s="1968"/>
      <c r="P706" s="1968"/>
      <c r="Q706" s="1968"/>
      <c r="R706" s="1968"/>
      <c r="S706" s="1968"/>
      <c r="T706" s="1968"/>
    </row>
    <row r="707" spans="1:20" x14ac:dyDescent="0.2">
      <c r="A707" s="2031"/>
      <c r="B707" s="1968"/>
      <c r="C707" s="2032"/>
      <c r="D707" s="2033"/>
      <c r="E707" s="2000"/>
      <c r="F707" s="2000"/>
      <c r="G707" s="2000"/>
      <c r="H707" s="2000"/>
      <c r="I707" s="1968"/>
      <c r="J707" s="1968"/>
      <c r="K707" s="2000"/>
      <c r="L707" s="2000"/>
      <c r="M707" s="1968"/>
      <c r="N707" s="1968"/>
      <c r="O707" s="1968"/>
      <c r="P707" s="1968"/>
      <c r="Q707" s="1968"/>
      <c r="R707" s="1968"/>
      <c r="S707" s="1968"/>
      <c r="T707" s="1968"/>
    </row>
    <row r="708" spans="1:20" x14ac:dyDescent="0.2">
      <c r="A708" s="2031"/>
      <c r="B708" s="1968"/>
      <c r="C708" s="2032"/>
      <c r="D708" s="2033"/>
      <c r="E708" s="2000"/>
      <c r="F708" s="2000"/>
      <c r="G708" s="2000"/>
      <c r="H708" s="2000"/>
      <c r="I708" s="1968"/>
      <c r="J708" s="1968"/>
      <c r="K708" s="2000"/>
      <c r="L708" s="2000"/>
      <c r="M708" s="1968"/>
      <c r="N708" s="1968"/>
      <c r="O708" s="1968"/>
      <c r="P708" s="1968"/>
      <c r="Q708" s="1968"/>
      <c r="R708" s="1968"/>
      <c r="S708" s="1968"/>
      <c r="T708" s="1968"/>
    </row>
    <row r="709" spans="1:20" x14ac:dyDescent="0.2">
      <c r="A709" s="2031"/>
      <c r="B709" s="1968"/>
      <c r="C709" s="2032"/>
      <c r="D709" s="2033"/>
      <c r="E709" s="2000"/>
      <c r="F709" s="2000"/>
      <c r="G709" s="2000"/>
      <c r="H709" s="2000"/>
      <c r="I709" s="1968"/>
      <c r="J709" s="1968"/>
      <c r="K709" s="2000"/>
      <c r="L709" s="2000"/>
      <c r="M709" s="1968"/>
      <c r="N709" s="1968"/>
      <c r="O709" s="1968"/>
      <c r="P709" s="1968"/>
      <c r="Q709" s="1968"/>
      <c r="R709" s="1968"/>
      <c r="S709" s="1968"/>
      <c r="T709" s="1968"/>
    </row>
    <row r="710" spans="1:20" x14ac:dyDescent="0.2">
      <c r="A710" s="2031"/>
      <c r="B710" s="1968"/>
      <c r="C710" s="2032"/>
      <c r="D710" s="2033"/>
      <c r="E710" s="2000"/>
      <c r="F710" s="2000"/>
      <c r="G710" s="2000"/>
      <c r="H710" s="2000"/>
      <c r="I710" s="1968"/>
      <c r="J710" s="1968"/>
      <c r="K710" s="2000"/>
      <c r="L710" s="2000"/>
      <c r="M710" s="1968"/>
      <c r="N710" s="1968"/>
      <c r="O710" s="1968"/>
      <c r="P710" s="1968"/>
      <c r="Q710" s="1968"/>
      <c r="R710" s="1968"/>
      <c r="S710" s="1968"/>
      <c r="T710" s="1968"/>
    </row>
    <row r="711" spans="1:20" x14ac:dyDescent="0.2">
      <c r="A711" s="2031"/>
      <c r="B711" s="1968"/>
      <c r="C711" s="2032"/>
      <c r="D711" s="2033"/>
      <c r="E711" s="2000"/>
      <c r="F711" s="2000"/>
      <c r="G711" s="2000"/>
      <c r="H711" s="2000"/>
      <c r="I711" s="1968"/>
      <c r="J711" s="1968"/>
      <c r="K711" s="2000"/>
      <c r="L711" s="2000"/>
      <c r="M711" s="1968"/>
      <c r="N711" s="1968"/>
      <c r="O711" s="1968"/>
      <c r="P711" s="1968"/>
      <c r="Q711" s="1968"/>
      <c r="R711" s="1968"/>
      <c r="S711" s="1968"/>
      <c r="T711" s="1968"/>
    </row>
    <row r="712" spans="1:20" x14ac:dyDescent="0.2">
      <c r="A712" s="2031"/>
      <c r="B712" s="1968"/>
      <c r="C712" s="2032"/>
      <c r="D712" s="2033"/>
      <c r="E712" s="2000"/>
      <c r="F712" s="2000"/>
      <c r="G712" s="2000"/>
      <c r="H712" s="2000"/>
      <c r="I712" s="1968"/>
      <c r="J712" s="1968"/>
      <c r="K712" s="2000"/>
      <c r="L712" s="2000"/>
      <c r="M712" s="1968"/>
      <c r="N712" s="1968"/>
      <c r="O712" s="1968"/>
      <c r="P712" s="1968"/>
      <c r="Q712" s="1968"/>
      <c r="R712" s="1968"/>
      <c r="S712" s="1968"/>
      <c r="T712" s="1968"/>
    </row>
    <row r="713" spans="1:20" x14ac:dyDescent="0.2">
      <c r="A713" s="2031"/>
      <c r="B713" s="1968"/>
      <c r="C713" s="2032"/>
      <c r="D713" s="2033"/>
      <c r="E713" s="2000"/>
      <c r="F713" s="2000"/>
      <c r="G713" s="2000"/>
      <c r="H713" s="2000"/>
      <c r="I713" s="1968"/>
      <c r="J713" s="1968"/>
      <c r="K713" s="2000"/>
      <c r="L713" s="2000"/>
      <c r="M713" s="1968"/>
      <c r="N713" s="1968"/>
      <c r="O713" s="1968"/>
      <c r="P713" s="1968"/>
      <c r="Q713" s="1968"/>
      <c r="R713" s="1968"/>
      <c r="S713" s="1968"/>
      <c r="T713" s="1968"/>
    </row>
    <row r="714" spans="1:20" x14ac:dyDescent="0.2">
      <c r="A714" s="2031"/>
      <c r="B714" s="1968"/>
      <c r="C714" s="2032"/>
      <c r="D714" s="2033"/>
      <c r="E714" s="2000"/>
      <c r="F714" s="2000"/>
      <c r="G714" s="2000"/>
      <c r="H714" s="2000"/>
      <c r="I714" s="1968"/>
      <c r="J714" s="1968"/>
      <c r="K714" s="2000"/>
      <c r="L714" s="2000"/>
      <c r="M714" s="1968"/>
      <c r="N714" s="1968"/>
      <c r="O714" s="1968"/>
      <c r="P714" s="1968"/>
      <c r="Q714" s="1968"/>
      <c r="R714" s="1968"/>
      <c r="S714" s="1968"/>
      <c r="T714" s="1968"/>
    </row>
    <row r="715" spans="1:20" x14ac:dyDescent="0.2">
      <c r="A715" s="2031"/>
      <c r="B715" s="1968"/>
      <c r="C715" s="2032"/>
      <c r="D715" s="2033"/>
      <c r="E715" s="2000"/>
      <c r="F715" s="2000"/>
      <c r="G715" s="2000"/>
      <c r="H715" s="2000"/>
      <c r="I715" s="1968"/>
      <c r="J715" s="1968"/>
      <c r="K715" s="2000"/>
      <c r="L715" s="2000"/>
      <c r="M715" s="1968"/>
      <c r="N715" s="1968"/>
      <c r="O715" s="1968"/>
      <c r="P715" s="1968"/>
      <c r="Q715" s="1968"/>
      <c r="R715" s="1968"/>
      <c r="S715" s="1968"/>
      <c r="T715" s="1968"/>
    </row>
    <row r="716" spans="1:20" x14ac:dyDescent="0.2">
      <c r="A716" s="2031"/>
      <c r="B716" s="1968"/>
      <c r="C716" s="2032"/>
      <c r="D716" s="2033"/>
      <c r="E716" s="2000"/>
      <c r="F716" s="2000"/>
      <c r="G716" s="2000"/>
      <c r="H716" s="2000"/>
      <c r="I716" s="1968"/>
      <c r="J716" s="1968"/>
      <c r="K716" s="2000"/>
      <c r="L716" s="2000"/>
      <c r="M716" s="1968"/>
      <c r="N716" s="1968"/>
      <c r="O716" s="1968"/>
      <c r="P716" s="1968"/>
      <c r="Q716" s="1968"/>
      <c r="R716" s="1968"/>
      <c r="S716" s="1968"/>
      <c r="T716" s="1968"/>
    </row>
    <row r="717" spans="1:20" x14ac:dyDescent="0.2">
      <c r="A717" s="2031"/>
      <c r="B717" s="1968"/>
      <c r="C717" s="2032"/>
      <c r="D717" s="2033"/>
      <c r="E717" s="2000"/>
      <c r="F717" s="2000"/>
      <c r="G717" s="2000"/>
      <c r="H717" s="2000"/>
      <c r="I717" s="1968"/>
      <c r="J717" s="1968"/>
      <c r="K717" s="2000"/>
      <c r="L717" s="2000"/>
      <c r="M717" s="1968"/>
      <c r="N717" s="1968"/>
      <c r="O717" s="1968"/>
      <c r="P717" s="1968"/>
      <c r="Q717" s="1968"/>
      <c r="R717" s="1968"/>
      <c r="S717" s="1968"/>
      <c r="T717" s="1968"/>
    </row>
    <row r="718" spans="1:20" x14ac:dyDescent="0.2">
      <c r="A718" s="2031"/>
      <c r="B718" s="1968"/>
      <c r="C718" s="2032"/>
      <c r="D718" s="2033"/>
      <c r="E718" s="2000"/>
      <c r="F718" s="2000"/>
      <c r="G718" s="2000"/>
      <c r="H718" s="2000"/>
      <c r="I718" s="1968"/>
      <c r="J718" s="1968"/>
      <c r="K718" s="2000"/>
      <c r="L718" s="2000"/>
      <c r="M718" s="1968"/>
      <c r="N718" s="1968"/>
      <c r="O718" s="1968"/>
      <c r="P718" s="1968"/>
      <c r="Q718" s="1968"/>
      <c r="R718" s="1968"/>
      <c r="S718" s="1968"/>
      <c r="T718" s="1968"/>
    </row>
    <row r="719" spans="1:20" x14ac:dyDescent="0.2">
      <c r="A719" s="2031"/>
      <c r="B719" s="1968"/>
      <c r="C719" s="2032"/>
      <c r="D719" s="2033"/>
      <c r="E719" s="2000"/>
      <c r="F719" s="2000"/>
      <c r="G719" s="2000"/>
      <c r="H719" s="2000"/>
      <c r="I719" s="1968"/>
      <c r="J719" s="1968"/>
      <c r="K719" s="2000"/>
      <c r="L719" s="2000"/>
      <c r="M719" s="1968"/>
      <c r="N719" s="1968"/>
      <c r="O719" s="1968"/>
      <c r="P719" s="1968"/>
      <c r="Q719" s="1968"/>
      <c r="R719" s="1968"/>
      <c r="S719" s="1968"/>
      <c r="T719" s="1968"/>
    </row>
    <row r="720" spans="1:20" x14ac:dyDescent="0.2">
      <c r="A720" s="2031"/>
      <c r="B720" s="1968"/>
      <c r="C720" s="2032"/>
      <c r="D720" s="2033"/>
      <c r="E720" s="2000"/>
      <c r="F720" s="2000"/>
      <c r="G720" s="2000"/>
      <c r="H720" s="2000"/>
      <c r="I720" s="1968"/>
      <c r="J720" s="1968"/>
      <c r="K720" s="2000"/>
      <c r="L720" s="2000"/>
      <c r="M720" s="1968"/>
      <c r="N720" s="1968"/>
      <c r="O720" s="1968"/>
      <c r="P720" s="1968"/>
      <c r="Q720" s="1968"/>
      <c r="R720" s="1968"/>
      <c r="S720" s="1968"/>
      <c r="T720" s="1968"/>
    </row>
    <row r="721" spans="1:20" x14ac:dyDescent="0.2">
      <c r="A721" s="2031"/>
      <c r="B721" s="1968"/>
      <c r="C721" s="2032"/>
      <c r="D721" s="2033"/>
      <c r="E721" s="2000"/>
      <c r="F721" s="2000"/>
      <c r="G721" s="2000"/>
      <c r="H721" s="2000"/>
      <c r="I721" s="1968"/>
      <c r="J721" s="1968"/>
      <c r="K721" s="2000"/>
      <c r="L721" s="2000"/>
      <c r="M721" s="1968"/>
      <c r="N721" s="1968"/>
      <c r="O721" s="1968"/>
      <c r="P721" s="1968"/>
      <c r="Q721" s="1968"/>
      <c r="R721" s="1968"/>
      <c r="S721" s="1968"/>
      <c r="T721" s="1968"/>
    </row>
    <row r="722" spans="1:20" x14ac:dyDescent="0.2">
      <c r="A722" s="2031"/>
      <c r="B722" s="1968"/>
      <c r="C722" s="2032"/>
      <c r="D722" s="2033"/>
      <c r="E722" s="2000"/>
      <c r="F722" s="2000"/>
      <c r="G722" s="2000"/>
      <c r="H722" s="2000"/>
      <c r="I722" s="1968"/>
      <c r="J722" s="1968"/>
      <c r="K722" s="2000"/>
      <c r="L722" s="2000"/>
      <c r="M722" s="1968"/>
      <c r="N722" s="1968"/>
      <c r="O722" s="1968"/>
      <c r="P722" s="1968"/>
      <c r="Q722" s="1968"/>
      <c r="R722" s="1968"/>
      <c r="S722" s="1968"/>
      <c r="T722" s="1968"/>
    </row>
    <row r="723" spans="1:20" x14ac:dyDescent="0.2">
      <c r="A723" s="2031"/>
      <c r="B723" s="1968"/>
      <c r="C723" s="2032"/>
      <c r="D723" s="2033"/>
      <c r="E723" s="2000"/>
      <c r="F723" s="2000"/>
      <c r="G723" s="2000"/>
      <c r="H723" s="2000"/>
      <c r="I723" s="1968"/>
      <c r="J723" s="1968"/>
      <c r="K723" s="2000"/>
      <c r="L723" s="2000"/>
      <c r="M723" s="1968"/>
      <c r="N723" s="1968"/>
      <c r="O723" s="1968"/>
      <c r="P723" s="1968"/>
      <c r="Q723" s="1968"/>
      <c r="R723" s="1968"/>
      <c r="S723" s="1968"/>
      <c r="T723" s="1968"/>
    </row>
    <row r="724" spans="1:20" x14ac:dyDescent="0.2">
      <c r="A724" s="2031"/>
      <c r="B724" s="1968"/>
      <c r="C724" s="2032"/>
      <c r="D724" s="2033"/>
      <c r="E724" s="2000"/>
      <c r="F724" s="2000"/>
      <c r="G724" s="2000"/>
      <c r="H724" s="2000"/>
      <c r="I724" s="1968"/>
      <c r="J724" s="1968"/>
      <c r="K724" s="2000"/>
      <c r="L724" s="2000"/>
      <c r="M724" s="1968"/>
      <c r="N724" s="1968"/>
      <c r="O724" s="1968"/>
      <c r="P724" s="1968"/>
      <c r="Q724" s="1968"/>
      <c r="R724" s="1968"/>
      <c r="S724" s="1968"/>
      <c r="T724" s="1968"/>
    </row>
    <row r="725" spans="1:20" x14ac:dyDescent="0.2">
      <c r="A725" s="2031"/>
      <c r="B725" s="1968"/>
      <c r="C725" s="2032"/>
      <c r="D725" s="2033"/>
      <c r="E725" s="2000"/>
      <c r="F725" s="2000"/>
      <c r="G725" s="2000"/>
      <c r="H725" s="2000"/>
      <c r="I725" s="1968"/>
      <c r="J725" s="1968"/>
      <c r="K725" s="2000"/>
      <c r="L725" s="2000"/>
      <c r="M725" s="1968"/>
      <c r="N725" s="1968"/>
      <c r="O725" s="1968"/>
      <c r="P725" s="1968"/>
      <c r="Q725" s="1968"/>
      <c r="R725" s="1968"/>
      <c r="S725" s="1968"/>
      <c r="T725" s="1968"/>
    </row>
    <row r="726" spans="1:20" x14ac:dyDescent="0.2">
      <c r="A726" s="2031"/>
      <c r="B726" s="1968"/>
      <c r="C726" s="2032"/>
      <c r="D726" s="2033"/>
      <c r="E726" s="2000"/>
      <c r="F726" s="2000"/>
      <c r="G726" s="2000"/>
      <c r="H726" s="2000"/>
      <c r="I726" s="1968"/>
      <c r="J726" s="1968"/>
      <c r="K726" s="2000"/>
      <c r="L726" s="2000"/>
      <c r="M726" s="1968"/>
      <c r="N726" s="1968"/>
      <c r="O726" s="1968"/>
      <c r="P726" s="1968"/>
      <c r="Q726" s="1968"/>
      <c r="R726" s="1968"/>
      <c r="S726" s="1968"/>
      <c r="T726" s="1968"/>
    </row>
    <row r="727" spans="1:20" x14ac:dyDescent="0.2">
      <c r="A727" s="2031"/>
      <c r="B727" s="1968"/>
      <c r="C727" s="2032"/>
      <c r="D727" s="2033"/>
      <c r="E727" s="2000"/>
      <c r="F727" s="2000"/>
      <c r="G727" s="2000"/>
      <c r="H727" s="2000"/>
      <c r="I727" s="1968"/>
      <c r="J727" s="1968"/>
      <c r="K727" s="2000"/>
      <c r="L727" s="2000"/>
      <c r="M727" s="1968"/>
      <c r="N727" s="1968"/>
      <c r="O727" s="1968"/>
      <c r="P727" s="1968"/>
      <c r="Q727" s="1968"/>
      <c r="R727" s="1968"/>
      <c r="S727" s="1968"/>
      <c r="T727" s="1968"/>
    </row>
    <row r="728" spans="1:20" x14ac:dyDescent="0.2">
      <c r="A728" s="2031"/>
      <c r="B728" s="1968"/>
      <c r="C728" s="2032"/>
      <c r="D728" s="2033"/>
      <c r="E728" s="2000"/>
      <c r="F728" s="2000"/>
      <c r="G728" s="2000"/>
      <c r="H728" s="2000"/>
      <c r="I728" s="1968"/>
      <c r="J728" s="1968"/>
      <c r="K728" s="2000"/>
      <c r="L728" s="2000"/>
      <c r="M728" s="1968"/>
      <c r="N728" s="1968"/>
      <c r="O728" s="1968"/>
      <c r="P728" s="1968"/>
      <c r="Q728" s="1968"/>
      <c r="R728" s="1968"/>
      <c r="S728" s="1968"/>
      <c r="T728" s="1968"/>
    </row>
    <row r="729" spans="1:20" x14ac:dyDescent="0.2">
      <c r="A729" s="2031"/>
      <c r="B729" s="1968"/>
      <c r="C729" s="2032"/>
      <c r="D729" s="2033"/>
      <c r="E729" s="2000"/>
      <c r="F729" s="2000"/>
      <c r="G729" s="2000"/>
      <c r="H729" s="2000"/>
      <c r="I729" s="1968"/>
      <c r="J729" s="1968"/>
      <c r="K729" s="2000"/>
      <c r="L729" s="2000"/>
      <c r="M729" s="1968"/>
      <c r="N729" s="1968"/>
      <c r="O729" s="1968"/>
      <c r="P729" s="1968"/>
      <c r="Q729" s="1968"/>
      <c r="R729" s="1968"/>
      <c r="S729" s="1968"/>
      <c r="T729" s="1968"/>
    </row>
    <row r="730" spans="1:20" x14ac:dyDescent="0.2">
      <c r="A730" s="2031"/>
      <c r="B730" s="1968"/>
      <c r="C730" s="2032"/>
      <c r="D730" s="2033"/>
      <c r="E730" s="2000"/>
      <c r="F730" s="2000"/>
      <c r="G730" s="2000"/>
      <c r="H730" s="2000"/>
      <c r="I730" s="1968"/>
      <c r="J730" s="1968"/>
      <c r="K730" s="2000"/>
      <c r="L730" s="2000"/>
      <c r="M730" s="1968"/>
      <c r="N730" s="1968"/>
      <c r="O730" s="1968"/>
      <c r="P730" s="1968"/>
      <c r="Q730" s="1968"/>
      <c r="R730" s="1968"/>
      <c r="S730" s="1968"/>
      <c r="T730" s="1968"/>
    </row>
    <row r="731" spans="1:20" x14ac:dyDescent="0.2">
      <c r="A731" s="2031"/>
      <c r="B731" s="1968"/>
      <c r="C731" s="2032"/>
      <c r="D731" s="2033"/>
      <c r="E731" s="2000"/>
      <c r="F731" s="2000"/>
      <c r="G731" s="2000"/>
      <c r="H731" s="2000"/>
      <c r="I731" s="1968"/>
      <c r="J731" s="1968"/>
      <c r="K731" s="2000"/>
      <c r="L731" s="2000"/>
      <c r="M731" s="1968"/>
      <c r="N731" s="1968"/>
      <c r="O731" s="1968"/>
      <c r="P731" s="1968"/>
      <c r="Q731" s="1968"/>
      <c r="R731" s="1968"/>
      <c r="S731" s="1968"/>
      <c r="T731" s="1968"/>
    </row>
    <row r="732" spans="1:20" x14ac:dyDescent="0.2">
      <c r="A732" s="2031"/>
      <c r="B732" s="1968"/>
      <c r="C732" s="2032"/>
      <c r="D732" s="2033"/>
      <c r="E732" s="2000"/>
      <c r="F732" s="2000"/>
      <c r="G732" s="2000"/>
      <c r="H732" s="2000"/>
      <c r="I732" s="1968"/>
      <c r="J732" s="1968"/>
      <c r="K732" s="2000"/>
      <c r="L732" s="2000"/>
      <c r="M732" s="1968"/>
      <c r="N732" s="1968"/>
      <c r="O732" s="1968"/>
      <c r="P732" s="1968"/>
      <c r="Q732" s="1968"/>
      <c r="R732" s="1968"/>
      <c r="S732" s="1968"/>
      <c r="T732" s="1968"/>
    </row>
    <row r="733" spans="1:20" x14ac:dyDescent="0.2">
      <c r="A733" s="2031"/>
      <c r="B733" s="1968"/>
      <c r="C733" s="2032"/>
      <c r="D733" s="2033"/>
      <c r="E733" s="2000"/>
      <c r="F733" s="2000"/>
      <c r="G733" s="2000"/>
      <c r="H733" s="2000"/>
      <c r="I733" s="1968"/>
      <c r="J733" s="1968"/>
      <c r="K733" s="2000"/>
      <c r="L733" s="2000"/>
      <c r="M733" s="1968"/>
      <c r="N733" s="1968"/>
      <c r="O733" s="1968"/>
      <c r="P733" s="1968"/>
      <c r="Q733" s="1968"/>
      <c r="R733" s="1968"/>
      <c r="S733" s="1968"/>
      <c r="T733" s="1968"/>
    </row>
    <row r="734" spans="1:20" x14ac:dyDescent="0.2">
      <c r="A734" s="2031"/>
      <c r="B734" s="1968"/>
      <c r="C734" s="2032"/>
      <c r="D734" s="2033"/>
      <c r="E734" s="2000"/>
      <c r="F734" s="2000"/>
      <c r="G734" s="2000"/>
      <c r="H734" s="2000"/>
      <c r="I734" s="1968"/>
      <c r="J734" s="1968"/>
      <c r="K734" s="2000"/>
      <c r="L734" s="2000"/>
      <c r="M734" s="1968"/>
      <c r="N734" s="1968"/>
      <c r="O734" s="1968"/>
      <c r="P734" s="1968"/>
      <c r="Q734" s="1968"/>
      <c r="R734" s="1968"/>
      <c r="S734" s="1968"/>
      <c r="T734" s="1968"/>
    </row>
    <row r="735" spans="1:20" x14ac:dyDescent="0.2">
      <c r="A735" s="2031"/>
      <c r="B735" s="1968"/>
      <c r="C735" s="2032"/>
      <c r="D735" s="2033"/>
      <c r="E735" s="2000"/>
      <c r="F735" s="2000"/>
      <c r="G735" s="2000"/>
      <c r="H735" s="2000"/>
      <c r="I735" s="1968"/>
      <c r="J735" s="1968"/>
      <c r="K735" s="2000"/>
      <c r="L735" s="2000"/>
      <c r="M735" s="1968"/>
      <c r="N735" s="1968"/>
      <c r="O735" s="1968"/>
      <c r="P735" s="1968"/>
      <c r="Q735" s="1968"/>
      <c r="R735" s="1968"/>
      <c r="S735" s="1968"/>
      <c r="T735" s="1968"/>
    </row>
    <row r="736" spans="1:20" x14ac:dyDescent="0.2">
      <c r="A736" s="2031"/>
      <c r="B736" s="1968"/>
      <c r="C736" s="2032"/>
      <c r="D736" s="2033"/>
      <c r="E736" s="2000"/>
      <c r="F736" s="2000"/>
      <c r="G736" s="2000"/>
      <c r="H736" s="2000"/>
      <c r="I736" s="1968"/>
      <c r="J736" s="1968"/>
      <c r="K736" s="2000"/>
      <c r="L736" s="2000"/>
      <c r="M736" s="1968"/>
      <c r="N736" s="1968"/>
      <c r="O736" s="1968"/>
      <c r="P736" s="1968"/>
      <c r="Q736" s="1968"/>
      <c r="R736" s="1968"/>
      <c r="S736" s="1968"/>
      <c r="T736" s="1968"/>
    </row>
    <row r="737" spans="1:20" x14ac:dyDescent="0.2">
      <c r="A737" s="2031"/>
      <c r="B737" s="1968"/>
      <c r="C737" s="2032"/>
      <c r="D737" s="2033"/>
      <c r="E737" s="2000"/>
      <c r="F737" s="2000"/>
      <c r="G737" s="2000"/>
      <c r="H737" s="2000"/>
      <c r="I737" s="1968"/>
      <c r="J737" s="1968"/>
      <c r="K737" s="2000"/>
      <c r="L737" s="2000"/>
      <c r="M737" s="1968"/>
      <c r="N737" s="1968"/>
      <c r="O737" s="1968"/>
      <c r="P737" s="1968"/>
      <c r="Q737" s="1968"/>
      <c r="R737" s="1968"/>
      <c r="S737" s="1968"/>
      <c r="T737" s="1968"/>
    </row>
    <row r="738" spans="1:20" x14ac:dyDescent="0.2">
      <c r="A738" s="2031"/>
      <c r="B738" s="1968"/>
      <c r="C738" s="2032"/>
      <c r="D738" s="2033"/>
      <c r="E738" s="2000"/>
      <c r="F738" s="2000"/>
      <c r="G738" s="2000"/>
      <c r="H738" s="2000"/>
      <c r="I738" s="1968"/>
      <c r="J738" s="1968"/>
      <c r="K738" s="2000"/>
      <c r="L738" s="2000"/>
      <c r="M738" s="1968"/>
      <c r="N738" s="1968"/>
      <c r="O738" s="1968"/>
      <c r="P738" s="1968"/>
      <c r="Q738" s="1968"/>
      <c r="R738" s="1968"/>
      <c r="S738" s="1968"/>
      <c r="T738" s="1968"/>
    </row>
    <row r="739" spans="1:20" x14ac:dyDescent="0.2">
      <c r="A739" s="2031"/>
      <c r="B739" s="1968"/>
      <c r="C739" s="2032"/>
      <c r="D739" s="2033"/>
      <c r="E739" s="2000"/>
      <c r="F739" s="2000"/>
      <c r="G739" s="2000"/>
      <c r="H739" s="2000"/>
      <c r="I739" s="1968"/>
      <c r="J739" s="1968"/>
      <c r="K739" s="2000"/>
      <c r="L739" s="2000"/>
      <c r="M739" s="1968"/>
      <c r="N739" s="1968"/>
      <c r="O739" s="1968"/>
      <c r="P739" s="1968"/>
      <c r="Q739" s="1968"/>
      <c r="R739" s="1968"/>
      <c r="S739" s="1968"/>
      <c r="T739" s="1968"/>
    </row>
    <row r="740" spans="1:20" x14ac:dyDescent="0.2">
      <c r="A740" s="2031"/>
      <c r="B740" s="1968"/>
      <c r="C740" s="2032"/>
      <c r="D740" s="2033"/>
      <c r="E740" s="2000"/>
      <c r="F740" s="2000"/>
      <c r="G740" s="2000"/>
      <c r="H740" s="2000"/>
      <c r="I740" s="1968"/>
      <c r="J740" s="1968"/>
      <c r="K740" s="2000"/>
      <c r="L740" s="2000"/>
      <c r="M740" s="1968"/>
      <c r="N740" s="1968"/>
      <c r="O740" s="1968"/>
      <c r="P740" s="1968"/>
      <c r="Q740" s="1968"/>
      <c r="R740" s="1968"/>
      <c r="S740" s="1968"/>
      <c r="T740" s="1968"/>
    </row>
    <row r="741" spans="1:20" x14ac:dyDescent="0.2">
      <c r="A741" s="2031"/>
      <c r="B741" s="1968"/>
      <c r="C741" s="2032"/>
      <c r="D741" s="2033"/>
      <c r="E741" s="2000"/>
      <c r="F741" s="2000"/>
      <c r="G741" s="2000"/>
      <c r="H741" s="2000"/>
      <c r="I741" s="1968"/>
      <c r="J741" s="1968"/>
      <c r="K741" s="2000"/>
      <c r="L741" s="2000"/>
      <c r="M741" s="1968"/>
      <c r="N741" s="1968"/>
      <c r="O741" s="1968"/>
      <c r="P741" s="1968"/>
      <c r="Q741" s="1968"/>
      <c r="R741" s="1968"/>
      <c r="S741" s="1968"/>
      <c r="T741" s="1968"/>
    </row>
    <row r="742" spans="1:20" x14ac:dyDescent="0.2">
      <c r="A742" s="2031"/>
      <c r="B742" s="1968"/>
      <c r="C742" s="2032"/>
      <c r="D742" s="2033"/>
      <c r="E742" s="2000"/>
      <c r="F742" s="2000"/>
      <c r="G742" s="2000"/>
      <c r="H742" s="2000"/>
      <c r="I742" s="1968"/>
      <c r="J742" s="1968"/>
      <c r="K742" s="2000"/>
      <c r="L742" s="2000"/>
      <c r="M742" s="1968"/>
      <c r="N742" s="1968"/>
      <c r="O742" s="1968"/>
      <c r="P742" s="1968"/>
      <c r="Q742" s="1968"/>
      <c r="R742" s="1968"/>
      <c r="S742" s="1968"/>
      <c r="T742" s="1968"/>
    </row>
    <row r="743" spans="1:20" x14ac:dyDescent="0.2">
      <c r="A743" s="2031"/>
      <c r="B743" s="1968"/>
      <c r="C743" s="2032"/>
      <c r="D743" s="2033"/>
      <c r="E743" s="2000"/>
      <c r="F743" s="2000"/>
      <c r="G743" s="2000"/>
      <c r="H743" s="2000"/>
      <c r="I743" s="1968"/>
      <c r="J743" s="1968"/>
      <c r="K743" s="2000"/>
      <c r="L743" s="2000"/>
      <c r="M743" s="1968"/>
      <c r="N743" s="1968"/>
      <c r="O743" s="1968"/>
      <c r="P743" s="1968"/>
      <c r="Q743" s="1968"/>
      <c r="R743" s="1968"/>
      <c r="S743" s="1968"/>
      <c r="T743" s="1968"/>
    </row>
    <row r="744" spans="1:20" x14ac:dyDescent="0.2">
      <c r="A744" s="2031"/>
      <c r="B744" s="1968"/>
      <c r="C744" s="2032"/>
      <c r="D744" s="2033"/>
      <c r="E744" s="2000"/>
      <c r="F744" s="2000"/>
      <c r="G744" s="2000"/>
      <c r="H744" s="2000"/>
      <c r="I744" s="1968"/>
      <c r="J744" s="1968"/>
      <c r="K744" s="2000"/>
      <c r="L744" s="2000"/>
      <c r="M744" s="1968"/>
      <c r="N744" s="1968"/>
      <c r="O744" s="1968"/>
      <c r="P744" s="1968"/>
      <c r="Q744" s="1968"/>
      <c r="R744" s="1968"/>
      <c r="S744" s="1968"/>
      <c r="T744" s="1968"/>
    </row>
    <row r="745" spans="1:20" x14ac:dyDescent="0.2">
      <c r="A745" s="2031"/>
      <c r="B745" s="1968"/>
      <c r="C745" s="2032"/>
      <c r="D745" s="2033"/>
      <c r="E745" s="2000"/>
      <c r="F745" s="2000"/>
      <c r="G745" s="2000"/>
      <c r="H745" s="2000"/>
      <c r="I745" s="1968"/>
      <c r="J745" s="1968"/>
      <c r="K745" s="2000"/>
      <c r="L745" s="2000"/>
      <c r="M745" s="1968"/>
      <c r="N745" s="1968"/>
      <c r="O745" s="1968"/>
      <c r="P745" s="1968"/>
      <c r="Q745" s="1968"/>
      <c r="R745" s="1968"/>
      <c r="S745" s="1968"/>
      <c r="T745" s="1968"/>
    </row>
    <row r="746" spans="1:20" x14ac:dyDescent="0.2">
      <c r="A746" s="2031"/>
      <c r="B746" s="1968"/>
      <c r="C746" s="2032"/>
      <c r="D746" s="2033"/>
      <c r="E746" s="2000"/>
      <c r="F746" s="2000"/>
      <c r="G746" s="2000"/>
      <c r="H746" s="2000"/>
      <c r="I746" s="1968"/>
      <c r="J746" s="1968"/>
      <c r="K746" s="2000"/>
      <c r="L746" s="2000"/>
      <c r="M746" s="1968"/>
      <c r="N746" s="1968"/>
      <c r="O746" s="1968"/>
      <c r="P746" s="1968"/>
      <c r="Q746" s="1968"/>
      <c r="R746" s="1968"/>
      <c r="S746" s="1968"/>
      <c r="T746" s="1968"/>
    </row>
    <row r="747" spans="1:20" x14ac:dyDescent="0.2">
      <c r="A747" s="2031"/>
      <c r="B747" s="1968"/>
      <c r="C747" s="2032"/>
      <c r="D747" s="2033"/>
      <c r="E747" s="2000"/>
      <c r="F747" s="2000"/>
      <c r="G747" s="2000"/>
      <c r="H747" s="2000"/>
      <c r="I747" s="1968"/>
      <c r="J747" s="1968"/>
      <c r="K747" s="2000"/>
      <c r="L747" s="2000"/>
      <c r="M747" s="1968"/>
      <c r="N747" s="1968"/>
      <c r="O747" s="1968"/>
      <c r="P747" s="1968"/>
      <c r="Q747" s="1968"/>
      <c r="R747" s="1968"/>
      <c r="S747" s="1968"/>
      <c r="T747" s="1968"/>
    </row>
    <row r="748" spans="1:20" x14ac:dyDescent="0.2">
      <c r="A748" s="2031"/>
      <c r="B748" s="1968"/>
      <c r="C748" s="2032"/>
      <c r="D748" s="2033"/>
      <c r="E748" s="2000"/>
      <c r="F748" s="2000"/>
      <c r="G748" s="2000"/>
      <c r="H748" s="2000"/>
      <c r="I748" s="1968"/>
      <c r="J748" s="1968"/>
      <c r="K748" s="2000"/>
      <c r="L748" s="2000"/>
      <c r="M748" s="1968"/>
      <c r="N748" s="1968"/>
      <c r="O748" s="1968"/>
      <c r="P748" s="1968"/>
      <c r="Q748" s="1968"/>
      <c r="R748" s="1968"/>
      <c r="S748" s="1968"/>
      <c r="T748" s="1968"/>
    </row>
    <row r="749" spans="1:20" x14ac:dyDescent="0.2">
      <c r="A749" s="2031"/>
      <c r="B749" s="1968"/>
      <c r="C749" s="2032"/>
      <c r="D749" s="2033"/>
      <c r="E749" s="2000"/>
      <c r="F749" s="2000"/>
      <c r="G749" s="2000"/>
      <c r="H749" s="2000"/>
      <c r="I749" s="1968"/>
      <c r="J749" s="1968"/>
      <c r="K749" s="2000"/>
      <c r="L749" s="2000"/>
      <c r="M749" s="1968"/>
      <c r="N749" s="1968"/>
      <c r="O749" s="1968"/>
      <c r="P749" s="1968"/>
      <c r="Q749" s="1968"/>
      <c r="R749" s="1968"/>
      <c r="S749" s="1968"/>
      <c r="T749" s="1968"/>
    </row>
    <row r="750" spans="1:20" x14ac:dyDescent="0.2">
      <c r="A750" s="2031"/>
      <c r="B750" s="1968"/>
      <c r="C750" s="2032"/>
      <c r="D750" s="2033"/>
      <c r="E750" s="2000"/>
      <c r="F750" s="2000"/>
      <c r="G750" s="2000"/>
      <c r="H750" s="2000"/>
      <c r="I750" s="1968"/>
      <c r="J750" s="1968"/>
      <c r="K750" s="2000"/>
      <c r="L750" s="2000"/>
      <c r="M750" s="1968"/>
      <c r="N750" s="1968"/>
      <c r="O750" s="1968"/>
      <c r="P750" s="1968"/>
      <c r="Q750" s="1968"/>
      <c r="R750" s="1968"/>
      <c r="S750" s="1968"/>
      <c r="T750" s="1968"/>
    </row>
    <row r="751" spans="1:20" x14ac:dyDescent="0.2">
      <c r="A751" s="2031"/>
      <c r="B751" s="1968"/>
      <c r="C751" s="2032"/>
      <c r="D751" s="2033"/>
      <c r="E751" s="2000"/>
      <c r="F751" s="2000"/>
      <c r="G751" s="2000"/>
      <c r="H751" s="2000"/>
      <c r="I751" s="1968"/>
      <c r="J751" s="1968"/>
      <c r="K751" s="2000"/>
      <c r="L751" s="2000"/>
      <c r="M751" s="1968"/>
      <c r="N751" s="1968"/>
      <c r="O751" s="1968"/>
      <c r="P751" s="1968"/>
      <c r="Q751" s="1968"/>
      <c r="R751" s="1968"/>
      <c r="S751" s="1968"/>
      <c r="T751" s="1968"/>
    </row>
    <row r="752" spans="1:20" x14ac:dyDescent="0.2">
      <c r="A752" s="2031"/>
      <c r="B752" s="1968"/>
      <c r="C752" s="2032"/>
      <c r="D752" s="2033"/>
      <c r="E752" s="2000"/>
      <c r="F752" s="2000"/>
      <c r="G752" s="2000"/>
      <c r="H752" s="2000"/>
      <c r="I752" s="1968"/>
      <c r="J752" s="1968"/>
      <c r="K752" s="2000"/>
      <c r="L752" s="2000"/>
      <c r="M752" s="1968"/>
      <c r="N752" s="1968"/>
      <c r="O752" s="1968"/>
      <c r="P752" s="1968"/>
      <c r="Q752" s="1968"/>
      <c r="R752" s="1968"/>
      <c r="S752" s="1968"/>
      <c r="T752" s="1968"/>
    </row>
    <row r="753" spans="1:20" x14ac:dyDescent="0.2">
      <c r="A753" s="2031"/>
      <c r="B753" s="1968"/>
      <c r="C753" s="2032"/>
      <c r="D753" s="2033"/>
      <c r="E753" s="2000"/>
      <c r="F753" s="2000"/>
      <c r="G753" s="2000"/>
      <c r="H753" s="2000"/>
      <c r="I753" s="1968"/>
      <c r="J753" s="1968"/>
      <c r="K753" s="2000"/>
      <c r="L753" s="2000"/>
      <c r="M753" s="1968"/>
      <c r="N753" s="1968"/>
      <c r="O753" s="1968"/>
      <c r="P753" s="1968"/>
      <c r="Q753" s="1968"/>
      <c r="R753" s="1968"/>
      <c r="S753" s="1968"/>
      <c r="T753" s="1968"/>
    </row>
    <row r="754" spans="1:20" x14ac:dyDescent="0.2">
      <c r="A754" s="2031"/>
      <c r="B754" s="1968"/>
      <c r="C754" s="2032"/>
      <c r="D754" s="2033"/>
      <c r="E754" s="2000"/>
      <c r="F754" s="2000"/>
      <c r="G754" s="2000"/>
      <c r="H754" s="2000"/>
      <c r="I754" s="1968"/>
      <c r="J754" s="1968"/>
      <c r="K754" s="2000"/>
      <c r="L754" s="2000"/>
      <c r="M754" s="1968"/>
      <c r="N754" s="1968"/>
      <c r="O754" s="1968"/>
      <c r="P754" s="1968"/>
      <c r="Q754" s="1968"/>
      <c r="R754" s="1968"/>
      <c r="S754" s="1968"/>
      <c r="T754" s="1968"/>
    </row>
    <row r="755" spans="1:20" x14ac:dyDescent="0.2">
      <c r="A755" s="2031"/>
      <c r="B755" s="1968"/>
      <c r="C755" s="2032"/>
      <c r="D755" s="2033"/>
      <c r="E755" s="2000"/>
      <c r="F755" s="2000"/>
      <c r="G755" s="2000"/>
      <c r="H755" s="2000"/>
      <c r="I755" s="1968"/>
      <c r="J755" s="1968"/>
      <c r="K755" s="2000"/>
      <c r="L755" s="2000"/>
      <c r="M755" s="1968"/>
      <c r="N755" s="1968"/>
      <c r="O755" s="1968"/>
      <c r="P755" s="1968"/>
      <c r="Q755" s="1968"/>
      <c r="R755" s="1968"/>
      <c r="S755" s="1968"/>
      <c r="T755" s="1968"/>
    </row>
    <row r="756" spans="1:20" x14ac:dyDescent="0.2">
      <c r="A756" s="2031"/>
      <c r="B756" s="1968"/>
      <c r="C756" s="2032"/>
      <c r="D756" s="2033"/>
      <c r="E756" s="2000"/>
      <c r="F756" s="2000"/>
      <c r="G756" s="2000"/>
      <c r="H756" s="2000"/>
      <c r="I756" s="1968"/>
      <c r="J756" s="1968"/>
      <c r="K756" s="2000"/>
      <c r="L756" s="2000"/>
      <c r="M756" s="1968"/>
      <c r="N756" s="1968"/>
      <c r="O756" s="1968"/>
      <c r="P756" s="1968"/>
      <c r="Q756" s="1968"/>
      <c r="R756" s="1968"/>
      <c r="S756" s="1968"/>
      <c r="T756" s="1968"/>
    </row>
    <row r="757" spans="1:20" x14ac:dyDescent="0.2">
      <c r="A757" s="2031"/>
      <c r="B757" s="1968"/>
      <c r="C757" s="2032"/>
      <c r="D757" s="2033"/>
      <c r="E757" s="2000"/>
      <c r="F757" s="2000"/>
      <c r="G757" s="2000"/>
      <c r="H757" s="2000"/>
      <c r="I757" s="1968"/>
      <c r="J757" s="1968"/>
      <c r="K757" s="2000"/>
      <c r="L757" s="2000"/>
      <c r="M757" s="1968"/>
      <c r="N757" s="1968"/>
      <c r="O757" s="1968"/>
      <c r="P757" s="1968"/>
      <c r="Q757" s="1968"/>
      <c r="R757" s="1968"/>
      <c r="S757" s="1968"/>
      <c r="T757" s="1968"/>
    </row>
    <row r="758" spans="1:20" x14ac:dyDescent="0.2">
      <c r="A758" s="2031"/>
      <c r="B758" s="1968"/>
      <c r="C758" s="2032"/>
      <c r="D758" s="2033"/>
      <c r="E758" s="2000"/>
      <c r="F758" s="2000"/>
      <c r="G758" s="2000"/>
      <c r="H758" s="2000"/>
      <c r="I758" s="1968"/>
      <c r="J758" s="1968"/>
      <c r="K758" s="2000"/>
      <c r="L758" s="2000"/>
      <c r="M758" s="1968"/>
      <c r="N758" s="1968"/>
      <c r="O758" s="1968"/>
      <c r="P758" s="1968"/>
      <c r="Q758" s="1968"/>
      <c r="R758" s="1968"/>
      <c r="S758" s="1968"/>
      <c r="T758" s="1968"/>
    </row>
    <row r="759" spans="1:20" x14ac:dyDescent="0.2">
      <c r="A759" s="2031"/>
      <c r="B759" s="1968"/>
      <c r="C759" s="2032"/>
      <c r="D759" s="2033"/>
      <c r="E759" s="2000"/>
      <c r="F759" s="2000"/>
      <c r="G759" s="2000"/>
      <c r="H759" s="2000"/>
      <c r="I759" s="1968"/>
      <c r="J759" s="1968"/>
      <c r="K759" s="2000"/>
      <c r="L759" s="2000"/>
      <c r="M759" s="1968"/>
      <c r="N759" s="1968"/>
      <c r="O759" s="1968"/>
      <c r="P759" s="1968"/>
      <c r="Q759" s="1968"/>
      <c r="R759" s="1968"/>
      <c r="S759" s="1968"/>
      <c r="T759" s="1968"/>
    </row>
    <row r="760" spans="1:20" x14ac:dyDescent="0.2">
      <c r="A760" s="2031"/>
      <c r="B760" s="1968"/>
      <c r="C760" s="2032"/>
      <c r="D760" s="2033"/>
      <c r="E760" s="2000"/>
      <c r="F760" s="2000"/>
      <c r="G760" s="2000"/>
      <c r="H760" s="2000"/>
      <c r="I760" s="1968"/>
      <c r="J760" s="1968"/>
      <c r="K760" s="2000"/>
      <c r="L760" s="2000"/>
      <c r="M760" s="1968"/>
      <c r="N760" s="1968"/>
      <c r="O760" s="1968"/>
      <c r="P760" s="1968"/>
      <c r="Q760" s="1968"/>
      <c r="R760" s="1968"/>
      <c r="S760" s="1968"/>
      <c r="T760" s="1968"/>
    </row>
    <row r="761" spans="1:20" x14ac:dyDescent="0.2">
      <c r="A761" s="2031"/>
      <c r="B761" s="1968"/>
      <c r="C761" s="2032"/>
      <c r="D761" s="2033"/>
      <c r="E761" s="2000"/>
      <c r="F761" s="2000"/>
      <c r="G761" s="2000"/>
      <c r="H761" s="2000"/>
      <c r="I761" s="1968"/>
      <c r="J761" s="1968"/>
      <c r="K761" s="2000"/>
      <c r="L761" s="2000"/>
      <c r="M761" s="1968"/>
      <c r="N761" s="1968"/>
      <c r="O761" s="1968"/>
      <c r="P761" s="1968"/>
      <c r="Q761" s="1968"/>
      <c r="R761" s="1968"/>
      <c r="S761" s="1968"/>
      <c r="T761" s="1968"/>
    </row>
    <row r="762" spans="1:20" x14ac:dyDescent="0.2">
      <c r="A762" s="2031"/>
      <c r="B762" s="1968"/>
      <c r="C762" s="2032"/>
      <c r="D762" s="2033"/>
      <c r="E762" s="2000"/>
      <c r="F762" s="2000"/>
      <c r="G762" s="2000"/>
      <c r="H762" s="2000"/>
      <c r="I762" s="1968"/>
      <c r="J762" s="1968"/>
      <c r="K762" s="2000"/>
      <c r="L762" s="2000"/>
      <c r="M762" s="1968"/>
      <c r="N762" s="1968"/>
      <c r="O762" s="1968"/>
      <c r="P762" s="1968"/>
      <c r="Q762" s="1968"/>
      <c r="R762" s="1968"/>
      <c r="S762" s="1968"/>
      <c r="T762" s="1968"/>
    </row>
    <row r="763" spans="1:20" x14ac:dyDescent="0.2">
      <c r="A763" s="2031"/>
      <c r="B763" s="1968"/>
      <c r="C763" s="2032"/>
      <c r="D763" s="2033"/>
      <c r="E763" s="2000"/>
      <c r="F763" s="2000"/>
      <c r="G763" s="2000"/>
      <c r="H763" s="2000"/>
      <c r="I763" s="1968"/>
      <c r="J763" s="1968"/>
      <c r="K763" s="2000"/>
      <c r="L763" s="2000"/>
      <c r="M763" s="1968"/>
      <c r="N763" s="1968"/>
      <c r="O763" s="1968"/>
      <c r="P763" s="1968"/>
      <c r="Q763" s="1968"/>
      <c r="R763" s="1968"/>
      <c r="S763" s="1968"/>
      <c r="T763" s="1968"/>
    </row>
    <row r="764" spans="1:20" x14ac:dyDescent="0.2">
      <c r="A764" s="2031"/>
      <c r="B764" s="1968"/>
      <c r="C764" s="2032"/>
      <c r="D764" s="2033"/>
      <c r="E764" s="2000"/>
      <c r="F764" s="2000"/>
      <c r="G764" s="2000"/>
      <c r="H764" s="2000"/>
      <c r="I764" s="1968"/>
      <c r="J764" s="1968"/>
      <c r="K764" s="2000"/>
      <c r="L764" s="2000"/>
      <c r="M764" s="1968"/>
      <c r="N764" s="1968"/>
      <c r="O764" s="1968"/>
      <c r="P764" s="1968"/>
      <c r="Q764" s="1968"/>
      <c r="R764" s="1968"/>
      <c r="S764" s="1968"/>
      <c r="T764" s="1968"/>
    </row>
    <row r="765" spans="1:20" x14ac:dyDescent="0.2">
      <c r="A765" s="2031"/>
      <c r="B765" s="1968"/>
      <c r="C765" s="2032"/>
      <c r="D765" s="2033"/>
      <c r="E765" s="2000"/>
      <c r="F765" s="2000"/>
      <c r="G765" s="2000"/>
      <c r="H765" s="2000"/>
      <c r="I765" s="1968"/>
      <c r="J765" s="1968"/>
      <c r="K765" s="2000"/>
      <c r="L765" s="2000"/>
      <c r="M765" s="1968"/>
      <c r="N765" s="1968"/>
      <c r="O765" s="1968"/>
      <c r="P765" s="1968"/>
      <c r="Q765" s="1968"/>
      <c r="R765" s="1968"/>
      <c r="S765" s="1968"/>
      <c r="T765" s="1968"/>
    </row>
    <row r="766" spans="1:20" x14ac:dyDescent="0.2">
      <c r="A766" s="2031"/>
      <c r="B766" s="1968"/>
      <c r="C766" s="2032"/>
      <c r="D766" s="2033"/>
      <c r="E766" s="2000"/>
      <c r="F766" s="2000"/>
      <c r="G766" s="2000"/>
      <c r="H766" s="2000"/>
      <c r="I766" s="1968"/>
      <c r="J766" s="1968"/>
      <c r="K766" s="2000"/>
      <c r="L766" s="2000"/>
      <c r="M766" s="1968"/>
      <c r="N766" s="1968"/>
      <c r="O766" s="1968"/>
      <c r="P766" s="1968"/>
      <c r="Q766" s="1968"/>
      <c r="R766" s="1968"/>
      <c r="S766" s="1968"/>
      <c r="T766" s="1968"/>
    </row>
    <row r="767" spans="1:20" x14ac:dyDescent="0.2">
      <c r="A767" s="2031"/>
      <c r="B767" s="1968"/>
      <c r="C767" s="2032"/>
      <c r="D767" s="2033"/>
      <c r="E767" s="2000"/>
      <c r="F767" s="2000"/>
      <c r="G767" s="2000"/>
      <c r="H767" s="2000"/>
      <c r="I767" s="1968"/>
      <c r="J767" s="1968"/>
      <c r="K767" s="2000"/>
      <c r="L767" s="2000"/>
      <c r="M767" s="1968"/>
      <c r="N767" s="1968"/>
      <c r="O767" s="1968"/>
      <c r="P767" s="1968"/>
      <c r="Q767" s="1968"/>
      <c r="R767" s="1968"/>
      <c r="S767" s="1968"/>
      <c r="T767" s="1968"/>
    </row>
    <row r="768" spans="1:20" x14ac:dyDescent="0.2">
      <c r="A768" s="2031"/>
      <c r="B768" s="1968"/>
      <c r="C768" s="2032"/>
      <c r="D768" s="2033"/>
      <c r="E768" s="2000"/>
      <c r="F768" s="2000"/>
      <c r="G768" s="2000"/>
      <c r="H768" s="2000"/>
      <c r="I768" s="1968"/>
      <c r="J768" s="1968"/>
      <c r="K768" s="2000"/>
      <c r="L768" s="2000"/>
      <c r="M768" s="1968"/>
      <c r="N768" s="1968"/>
      <c r="O768" s="1968"/>
      <c r="P768" s="1968"/>
      <c r="Q768" s="1968"/>
      <c r="R768" s="1968"/>
      <c r="S768" s="1968"/>
      <c r="T768" s="1968"/>
    </row>
    <row r="769" spans="1:20" x14ac:dyDescent="0.2">
      <c r="A769" s="2031"/>
      <c r="B769" s="1968"/>
      <c r="C769" s="2032"/>
      <c r="D769" s="2033"/>
      <c r="E769" s="2000"/>
      <c r="F769" s="2000"/>
      <c r="G769" s="2000"/>
      <c r="H769" s="2000"/>
      <c r="I769" s="1968"/>
      <c r="J769" s="1968"/>
      <c r="K769" s="2000"/>
      <c r="L769" s="2000"/>
      <c r="M769" s="1968"/>
      <c r="N769" s="1968"/>
      <c r="O769" s="1968"/>
      <c r="P769" s="1968"/>
      <c r="Q769" s="1968"/>
      <c r="R769" s="1968"/>
      <c r="S769" s="1968"/>
      <c r="T769" s="1968"/>
    </row>
    <row r="770" spans="1:20" x14ac:dyDescent="0.2">
      <c r="A770" s="2031"/>
      <c r="B770" s="1968"/>
      <c r="C770" s="2032"/>
      <c r="D770" s="2033"/>
      <c r="E770" s="2000"/>
      <c r="F770" s="2000"/>
      <c r="G770" s="2000"/>
      <c r="H770" s="2000"/>
      <c r="I770" s="1968"/>
      <c r="J770" s="1968"/>
      <c r="K770" s="2000"/>
      <c r="L770" s="2000"/>
      <c r="M770" s="1968"/>
      <c r="N770" s="1968"/>
      <c r="O770" s="1968"/>
      <c r="P770" s="1968"/>
      <c r="Q770" s="1968"/>
      <c r="R770" s="1968"/>
      <c r="S770" s="1968"/>
      <c r="T770" s="1968"/>
    </row>
    <row r="771" spans="1:20" x14ac:dyDescent="0.2">
      <c r="A771" s="2031"/>
      <c r="B771" s="1968"/>
      <c r="C771" s="2032"/>
      <c r="D771" s="2033"/>
      <c r="E771" s="2000"/>
      <c r="F771" s="2000"/>
      <c r="G771" s="2000"/>
      <c r="H771" s="2000"/>
      <c r="I771" s="1968"/>
      <c r="J771" s="1968"/>
      <c r="K771" s="2000"/>
      <c r="L771" s="2000"/>
      <c r="M771" s="1968"/>
      <c r="N771" s="1968"/>
      <c r="O771" s="1968"/>
      <c r="P771" s="1968"/>
      <c r="Q771" s="1968"/>
      <c r="R771" s="1968"/>
      <c r="S771" s="1968"/>
      <c r="T771" s="1968"/>
    </row>
    <row r="772" spans="1:20" x14ac:dyDescent="0.2">
      <c r="A772" s="2031"/>
      <c r="B772" s="1968"/>
      <c r="C772" s="2032"/>
      <c r="D772" s="2033"/>
      <c r="E772" s="2000"/>
      <c r="F772" s="2000"/>
      <c r="G772" s="2000"/>
      <c r="H772" s="2000"/>
      <c r="I772" s="1968"/>
      <c r="J772" s="1968"/>
      <c r="K772" s="2000"/>
      <c r="L772" s="2000"/>
      <c r="M772" s="1968"/>
      <c r="N772" s="1968"/>
      <c r="O772" s="1968"/>
      <c r="P772" s="1968"/>
      <c r="Q772" s="1968"/>
      <c r="R772" s="1968"/>
      <c r="S772" s="1968"/>
      <c r="T772" s="1968"/>
    </row>
    <row r="773" spans="1:20" x14ac:dyDescent="0.2">
      <c r="A773" s="2031"/>
      <c r="B773" s="1968"/>
      <c r="C773" s="2032"/>
      <c r="D773" s="2033"/>
      <c r="E773" s="2000"/>
      <c r="F773" s="2000"/>
      <c r="G773" s="2000"/>
      <c r="H773" s="2000"/>
      <c r="I773" s="1968"/>
      <c r="J773" s="1968"/>
      <c r="K773" s="2000"/>
      <c r="L773" s="2000"/>
      <c r="M773" s="1968"/>
      <c r="N773" s="1968"/>
      <c r="O773" s="1968"/>
      <c r="P773" s="1968"/>
      <c r="Q773" s="1968"/>
      <c r="R773" s="1968"/>
      <c r="S773" s="1968"/>
      <c r="T773" s="1968"/>
    </row>
    <row r="774" spans="1:20" x14ac:dyDescent="0.2">
      <c r="A774" s="2031"/>
      <c r="B774" s="1968"/>
      <c r="C774" s="2032"/>
      <c r="D774" s="2033"/>
      <c r="E774" s="2000"/>
      <c r="F774" s="2000"/>
      <c r="G774" s="2000"/>
      <c r="H774" s="2000"/>
      <c r="I774" s="1968"/>
      <c r="J774" s="1968"/>
      <c r="K774" s="2000"/>
      <c r="L774" s="2000"/>
      <c r="M774" s="1968"/>
      <c r="N774" s="1968"/>
      <c r="O774" s="1968"/>
      <c r="P774" s="1968"/>
      <c r="Q774" s="1968"/>
      <c r="R774" s="1968"/>
      <c r="S774" s="1968"/>
      <c r="T774" s="1968"/>
    </row>
    <row r="775" spans="1:20" x14ac:dyDescent="0.2">
      <c r="A775" s="2031"/>
      <c r="B775" s="1968"/>
      <c r="C775" s="2032"/>
      <c r="D775" s="2033"/>
      <c r="E775" s="2000"/>
      <c r="F775" s="2000"/>
      <c r="G775" s="2000"/>
      <c r="H775" s="2000"/>
      <c r="I775" s="1968"/>
      <c r="J775" s="1968"/>
      <c r="K775" s="2000"/>
      <c r="L775" s="2000"/>
      <c r="M775" s="1968"/>
      <c r="N775" s="1968"/>
      <c r="O775" s="1968"/>
      <c r="P775" s="1968"/>
      <c r="Q775" s="1968"/>
      <c r="R775" s="1968"/>
      <c r="S775" s="1968"/>
      <c r="T775" s="1968"/>
    </row>
    <row r="776" spans="1:20" x14ac:dyDescent="0.2">
      <c r="A776" s="2031"/>
      <c r="B776" s="1968"/>
      <c r="C776" s="2032"/>
      <c r="D776" s="2033"/>
      <c r="E776" s="2000"/>
      <c r="F776" s="2000"/>
      <c r="G776" s="2000"/>
      <c r="H776" s="2000"/>
      <c r="I776" s="1968"/>
      <c r="J776" s="1968"/>
      <c r="K776" s="2000"/>
      <c r="L776" s="2000"/>
      <c r="M776" s="1968"/>
      <c r="N776" s="1968"/>
      <c r="O776" s="1968"/>
      <c r="P776" s="1968"/>
      <c r="Q776" s="1968"/>
      <c r="R776" s="1968"/>
      <c r="S776" s="1968"/>
      <c r="T776" s="1968"/>
    </row>
    <row r="777" spans="1:20" x14ac:dyDescent="0.2">
      <c r="A777" s="2031"/>
      <c r="B777" s="1968"/>
      <c r="C777" s="2032"/>
      <c r="D777" s="2033"/>
      <c r="E777" s="2000"/>
      <c r="F777" s="2000"/>
      <c r="G777" s="2000"/>
      <c r="H777" s="2000"/>
      <c r="I777" s="1968"/>
      <c r="J777" s="1968"/>
      <c r="K777" s="2000"/>
      <c r="L777" s="2000"/>
      <c r="M777" s="1968"/>
      <c r="N777" s="1968"/>
      <c r="O777" s="1968"/>
      <c r="P777" s="1968"/>
      <c r="Q777" s="1968"/>
      <c r="R777" s="1968"/>
      <c r="S777" s="1968"/>
      <c r="T777" s="1968"/>
    </row>
    <row r="778" spans="1:20" x14ac:dyDescent="0.2">
      <c r="A778" s="2031"/>
      <c r="B778" s="1968"/>
      <c r="C778" s="2032"/>
      <c r="D778" s="2033"/>
      <c r="E778" s="2000"/>
      <c r="F778" s="2000"/>
      <c r="G778" s="2000"/>
      <c r="H778" s="2000"/>
      <c r="I778" s="1968"/>
      <c r="J778" s="1968"/>
      <c r="K778" s="2000"/>
      <c r="L778" s="2000"/>
      <c r="M778" s="1968"/>
      <c r="N778" s="1968"/>
      <c r="O778" s="1968"/>
      <c r="P778" s="1968"/>
      <c r="Q778" s="1968"/>
      <c r="R778" s="1968"/>
      <c r="S778" s="1968"/>
      <c r="T778" s="1968"/>
    </row>
    <row r="779" spans="1:20" x14ac:dyDescent="0.2">
      <c r="A779" s="2031"/>
      <c r="B779" s="1968"/>
      <c r="C779" s="2032"/>
      <c r="D779" s="2033"/>
      <c r="E779" s="2000"/>
      <c r="F779" s="2000"/>
      <c r="G779" s="2000"/>
      <c r="H779" s="2000"/>
      <c r="I779" s="1968"/>
      <c r="J779" s="1968"/>
      <c r="K779" s="2000"/>
      <c r="L779" s="2000"/>
      <c r="M779" s="1968"/>
      <c r="N779" s="1968"/>
      <c r="O779" s="1968"/>
      <c r="P779" s="1968"/>
      <c r="Q779" s="1968"/>
      <c r="R779" s="1968"/>
      <c r="S779" s="1968"/>
      <c r="T779" s="1968"/>
    </row>
    <row r="780" spans="1:20" x14ac:dyDescent="0.2">
      <c r="A780" s="2031"/>
      <c r="B780" s="1968"/>
      <c r="C780" s="2032"/>
      <c r="D780" s="2033"/>
      <c r="E780" s="2000"/>
      <c r="F780" s="2000"/>
      <c r="G780" s="2000"/>
      <c r="H780" s="2000"/>
      <c r="I780" s="1968"/>
      <c r="J780" s="1968"/>
      <c r="K780" s="2000"/>
      <c r="L780" s="2000"/>
      <c r="M780" s="1968"/>
      <c r="N780" s="1968"/>
      <c r="O780" s="1968"/>
      <c r="P780" s="1968"/>
      <c r="Q780" s="1968"/>
      <c r="R780" s="1968"/>
      <c r="S780" s="1968"/>
      <c r="T780" s="1968"/>
    </row>
    <row r="781" spans="1:20" x14ac:dyDescent="0.2">
      <c r="A781" s="2031"/>
      <c r="B781" s="1968"/>
      <c r="C781" s="2032"/>
      <c r="D781" s="2033"/>
      <c r="E781" s="2000"/>
      <c r="F781" s="2000"/>
      <c r="G781" s="2000"/>
      <c r="H781" s="2000"/>
      <c r="I781" s="1968"/>
      <c r="J781" s="1968"/>
      <c r="K781" s="2000"/>
      <c r="L781" s="2000"/>
      <c r="M781" s="1968"/>
      <c r="N781" s="1968"/>
      <c r="O781" s="1968"/>
      <c r="P781" s="1968"/>
      <c r="Q781" s="1968"/>
      <c r="R781" s="1968"/>
      <c r="S781" s="1968"/>
      <c r="T781" s="1968"/>
    </row>
    <row r="782" spans="1:20" x14ac:dyDescent="0.2">
      <c r="A782" s="2031"/>
      <c r="B782" s="1968"/>
      <c r="C782" s="2032"/>
      <c r="D782" s="2033"/>
      <c r="E782" s="2000"/>
      <c r="F782" s="2000"/>
      <c r="G782" s="2000"/>
      <c r="H782" s="2000"/>
      <c r="I782" s="1968"/>
      <c r="J782" s="1968"/>
      <c r="K782" s="2000"/>
      <c r="L782" s="2000"/>
      <c r="M782" s="1968"/>
      <c r="N782" s="1968"/>
      <c r="O782" s="1968"/>
      <c r="P782" s="1968"/>
      <c r="Q782" s="1968"/>
      <c r="R782" s="1968"/>
      <c r="S782" s="1968"/>
      <c r="T782" s="1968"/>
    </row>
    <row r="783" spans="1:20" x14ac:dyDescent="0.2">
      <c r="A783" s="2031"/>
      <c r="B783" s="1968"/>
      <c r="C783" s="2032"/>
      <c r="D783" s="2033"/>
      <c r="E783" s="2000"/>
      <c r="F783" s="2000"/>
      <c r="G783" s="2000"/>
      <c r="H783" s="2000"/>
      <c r="I783" s="1968"/>
      <c r="J783" s="1968"/>
      <c r="K783" s="2000"/>
      <c r="L783" s="2000"/>
      <c r="M783" s="1968"/>
      <c r="N783" s="1968"/>
      <c r="O783" s="1968"/>
      <c r="P783" s="1968"/>
      <c r="Q783" s="1968"/>
      <c r="R783" s="1968"/>
      <c r="S783" s="1968"/>
      <c r="T783" s="1968"/>
    </row>
    <row r="784" spans="1:20" x14ac:dyDescent="0.2">
      <c r="A784" s="2031"/>
      <c r="B784" s="1968"/>
      <c r="C784" s="2032"/>
      <c r="D784" s="2033"/>
      <c r="E784" s="2000"/>
      <c r="F784" s="2000"/>
      <c r="G784" s="2000"/>
      <c r="H784" s="2000"/>
      <c r="I784" s="1968"/>
      <c r="J784" s="1968"/>
      <c r="K784" s="2000"/>
      <c r="L784" s="2000"/>
      <c r="M784" s="1968"/>
      <c r="N784" s="1968"/>
      <c r="O784" s="1968"/>
      <c r="P784" s="1968"/>
      <c r="Q784" s="1968"/>
      <c r="R784" s="1968"/>
      <c r="S784" s="1968"/>
      <c r="T784" s="1968"/>
    </row>
    <row r="785" spans="1:20" x14ac:dyDescent="0.2">
      <c r="A785" s="2031"/>
      <c r="B785" s="1968"/>
      <c r="C785" s="2032"/>
      <c r="D785" s="2033"/>
      <c r="E785" s="2000"/>
      <c r="F785" s="2000"/>
      <c r="G785" s="2000"/>
      <c r="H785" s="2000"/>
      <c r="I785" s="1968"/>
      <c r="J785" s="1968"/>
      <c r="K785" s="2000"/>
      <c r="L785" s="2000"/>
      <c r="M785" s="1968"/>
      <c r="N785" s="1968"/>
      <c r="O785" s="1968"/>
      <c r="P785" s="1968"/>
      <c r="Q785" s="1968"/>
      <c r="R785" s="1968"/>
      <c r="S785" s="1968"/>
      <c r="T785" s="1968"/>
    </row>
    <row r="786" spans="1:20" x14ac:dyDescent="0.2">
      <c r="A786" s="2031"/>
      <c r="B786" s="1968"/>
      <c r="C786" s="2032"/>
      <c r="D786" s="2033"/>
      <c r="E786" s="2000"/>
      <c r="F786" s="2000"/>
      <c r="G786" s="2000"/>
      <c r="H786" s="2000"/>
      <c r="I786" s="1968"/>
      <c r="J786" s="1968"/>
      <c r="K786" s="2000"/>
      <c r="L786" s="2000"/>
      <c r="M786" s="1968"/>
      <c r="N786" s="1968"/>
      <c r="O786" s="1968"/>
      <c r="P786" s="1968"/>
      <c r="Q786" s="1968"/>
      <c r="R786" s="1968"/>
      <c r="S786" s="1968"/>
      <c r="T786" s="1968"/>
    </row>
    <row r="787" spans="1:20" x14ac:dyDescent="0.2">
      <c r="A787" s="2031"/>
      <c r="B787" s="1968"/>
      <c r="C787" s="2032"/>
      <c r="D787" s="2033"/>
      <c r="E787" s="2000"/>
      <c r="F787" s="2000"/>
      <c r="G787" s="2000"/>
      <c r="H787" s="2000"/>
      <c r="I787" s="1968"/>
      <c r="J787" s="1968"/>
      <c r="K787" s="2000"/>
      <c r="L787" s="2000"/>
      <c r="M787" s="1968"/>
      <c r="N787" s="1968"/>
      <c r="O787" s="1968"/>
      <c r="P787" s="1968"/>
      <c r="Q787" s="1968"/>
      <c r="R787" s="1968"/>
      <c r="S787" s="1968"/>
      <c r="T787" s="1968"/>
    </row>
    <row r="788" spans="1:20" x14ac:dyDescent="0.2">
      <c r="A788" s="2031"/>
      <c r="B788" s="1968"/>
      <c r="C788" s="2032"/>
      <c r="D788" s="2033"/>
      <c r="E788" s="2000"/>
      <c r="F788" s="2000"/>
      <c r="G788" s="2000"/>
      <c r="H788" s="2000"/>
      <c r="I788" s="1968"/>
      <c r="J788" s="1968"/>
      <c r="K788" s="2000"/>
      <c r="L788" s="2000"/>
      <c r="M788" s="1968"/>
      <c r="N788" s="1968"/>
      <c r="O788" s="1968"/>
      <c r="P788" s="1968"/>
      <c r="Q788" s="1968"/>
      <c r="R788" s="1968"/>
      <c r="S788" s="1968"/>
      <c r="T788" s="1968"/>
    </row>
    <row r="789" spans="1:20" x14ac:dyDescent="0.2">
      <c r="A789" s="2031"/>
      <c r="B789" s="1968"/>
      <c r="C789" s="2032"/>
      <c r="D789" s="2033"/>
      <c r="E789" s="2000"/>
      <c r="F789" s="2000"/>
      <c r="G789" s="2000"/>
      <c r="H789" s="2000"/>
      <c r="I789" s="1968"/>
      <c r="J789" s="1968"/>
      <c r="K789" s="2000"/>
      <c r="L789" s="2000"/>
      <c r="M789" s="1968"/>
      <c r="N789" s="1968"/>
      <c r="O789" s="1968"/>
      <c r="P789" s="1968"/>
      <c r="Q789" s="1968"/>
      <c r="R789" s="1968"/>
      <c r="S789" s="1968"/>
      <c r="T789" s="1968"/>
    </row>
    <row r="790" spans="1:20" x14ac:dyDescent="0.2">
      <c r="A790" s="2031"/>
      <c r="B790" s="1968"/>
      <c r="C790" s="2032"/>
      <c r="D790" s="2033"/>
      <c r="E790" s="2000"/>
      <c r="F790" s="2000"/>
      <c r="G790" s="2000"/>
      <c r="H790" s="2000"/>
      <c r="I790" s="1968"/>
      <c r="J790" s="1968"/>
      <c r="K790" s="2000"/>
      <c r="L790" s="2000"/>
      <c r="M790" s="1968"/>
      <c r="N790" s="1968"/>
      <c r="O790" s="1968"/>
      <c r="P790" s="1968"/>
      <c r="Q790" s="1968"/>
      <c r="R790" s="1968"/>
      <c r="S790" s="1968"/>
      <c r="T790" s="1968"/>
    </row>
    <row r="791" spans="1:20" x14ac:dyDescent="0.2">
      <c r="A791" s="2031"/>
      <c r="B791" s="1968"/>
      <c r="C791" s="2032"/>
      <c r="D791" s="2033"/>
      <c r="E791" s="2000"/>
      <c r="F791" s="2000"/>
      <c r="G791" s="2000"/>
      <c r="H791" s="2000"/>
      <c r="I791" s="1968"/>
      <c r="J791" s="1968"/>
      <c r="K791" s="2000"/>
      <c r="L791" s="2000"/>
      <c r="M791" s="1968"/>
      <c r="N791" s="1968"/>
      <c r="O791" s="1968"/>
      <c r="P791" s="1968"/>
      <c r="Q791" s="1968"/>
      <c r="R791" s="1968"/>
      <c r="S791" s="1968"/>
      <c r="T791" s="1968"/>
    </row>
    <row r="792" spans="1:20" x14ac:dyDescent="0.2">
      <c r="A792" s="2031"/>
      <c r="B792" s="1968"/>
      <c r="C792" s="2032"/>
      <c r="D792" s="2033"/>
      <c r="E792" s="2000"/>
      <c r="F792" s="2000"/>
      <c r="G792" s="2000"/>
      <c r="H792" s="2000"/>
      <c r="I792" s="1968"/>
      <c r="J792" s="1968"/>
      <c r="K792" s="2000"/>
      <c r="L792" s="2000"/>
      <c r="M792" s="1968"/>
      <c r="N792" s="1968"/>
      <c r="O792" s="1968"/>
      <c r="P792" s="1968"/>
      <c r="Q792" s="1968"/>
      <c r="R792" s="1968"/>
      <c r="S792" s="1968"/>
      <c r="T792" s="1968"/>
    </row>
    <row r="793" spans="1:20" x14ac:dyDescent="0.2">
      <c r="A793" s="2031"/>
      <c r="B793" s="1968"/>
      <c r="C793" s="2032"/>
      <c r="D793" s="2033"/>
      <c r="E793" s="2000"/>
      <c r="F793" s="2000"/>
      <c r="G793" s="2000"/>
      <c r="H793" s="2000"/>
      <c r="I793" s="1968"/>
      <c r="J793" s="1968"/>
      <c r="K793" s="2000"/>
      <c r="L793" s="2000"/>
      <c r="M793" s="1968"/>
      <c r="N793" s="1968"/>
      <c r="O793" s="1968"/>
      <c r="P793" s="1968"/>
      <c r="Q793" s="1968"/>
      <c r="R793" s="1968"/>
      <c r="S793" s="1968"/>
      <c r="T793" s="1968"/>
    </row>
    <row r="794" spans="1:20" x14ac:dyDescent="0.2">
      <c r="A794" s="2031"/>
      <c r="B794" s="1968"/>
      <c r="C794" s="2032"/>
      <c r="D794" s="2033"/>
      <c r="E794" s="2000"/>
      <c r="F794" s="2000"/>
      <c r="G794" s="2000"/>
      <c r="H794" s="2000"/>
      <c r="I794" s="1968"/>
      <c r="J794" s="1968"/>
      <c r="K794" s="2000"/>
      <c r="L794" s="2000"/>
      <c r="M794" s="1968"/>
      <c r="N794" s="1968"/>
      <c r="O794" s="1968"/>
      <c r="P794" s="1968"/>
      <c r="Q794" s="1968"/>
      <c r="R794" s="1968"/>
      <c r="S794" s="1968"/>
      <c r="T794" s="1968"/>
    </row>
    <row r="795" spans="1:20" x14ac:dyDescent="0.2">
      <c r="A795" s="2031"/>
      <c r="B795" s="1968"/>
      <c r="C795" s="2032"/>
      <c r="D795" s="2033"/>
      <c r="E795" s="2000"/>
      <c r="F795" s="2000"/>
      <c r="G795" s="2000"/>
      <c r="H795" s="2000"/>
      <c r="I795" s="1968"/>
      <c r="J795" s="1968"/>
      <c r="K795" s="2000"/>
      <c r="L795" s="2000"/>
      <c r="M795" s="1968"/>
      <c r="N795" s="1968"/>
      <c r="O795" s="1968"/>
      <c r="P795" s="1968"/>
      <c r="Q795" s="1968"/>
      <c r="R795" s="1968"/>
      <c r="S795" s="1968"/>
      <c r="T795" s="1968"/>
    </row>
    <row r="796" spans="1:20" x14ac:dyDescent="0.2">
      <c r="A796" s="2031"/>
      <c r="B796" s="1968"/>
      <c r="C796" s="2032"/>
      <c r="D796" s="2033"/>
      <c r="E796" s="2000"/>
      <c r="F796" s="2000"/>
      <c r="G796" s="2000"/>
      <c r="H796" s="2000"/>
      <c r="I796" s="1968"/>
      <c r="J796" s="1968"/>
      <c r="K796" s="2000"/>
      <c r="L796" s="2000"/>
      <c r="M796" s="1968"/>
      <c r="N796" s="1968"/>
      <c r="O796" s="1968"/>
      <c r="P796" s="1968"/>
      <c r="Q796" s="1968"/>
      <c r="R796" s="1968"/>
      <c r="S796" s="1968"/>
      <c r="T796" s="1968"/>
    </row>
    <row r="797" spans="1:20" x14ac:dyDescent="0.2">
      <c r="A797" s="2031"/>
      <c r="B797" s="1968"/>
      <c r="C797" s="2032"/>
      <c r="D797" s="2033"/>
      <c r="E797" s="2000"/>
      <c r="F797" s="2000"/>
      <c r="G797" s="2000"/>
      <c r="H797" s="2000"/>
      <c r="I797" s="1968"/>
      <c r="J797" s="1968"/>
      <c r="K797" s="2000"/>
      <c r="L797" s="2000"/>
      <c r="M797" s="1968"/>
      <c r="N797" s="1968"/>
      <c r="O797" s="1968"/>
      <c r="P797" s="1968"/>
      <c r="Q797" s="1968"/>
      <c r="R797" s="1968"/>
      <c r="S797" s="1968"/>
      <c r="T797" s="1968"/>
    </row>
    <row r="798" spans="1:20" x14ac:dyDescent="0.2">
      <c r="A798" s="2031"/>
      <c r="B798" s="1968"/>
      <c r="C798" s="2032"/>
      <c r="D798" s="2033"/>
      <c r="E798" s="2000"/>
      <c r="F798" s="2000"/>
      <c r="G798" s="2000"/>
      <c r="H798" s="2000"/>
      <c r="I798" s="1968"/>
      <c r="J798" s="1968"/>
      <c r="K798" s="2000"/>
      <c r="L798" s="2000"/>
      <c r="M798" s="1968"/>
      <c r="N798" s="1968"/>
      <c r="O798" s="1968"/>
      <c r="P798" s="1968"/>
      <c r="Q798" s="1968"/>
      <c r="R798" s="1968"/>
      <c r="S798" s="1968"/>
      <c r="T798" s="1968"/>
    </row>
    <row r="799" spans="1:20" x14ac:dyDescent="0.2">
      <c r="A799" s="2031"/>
      <c r="B799" s="1968"/>
      <c r="C799" s="2032"/>
      <c r="D799" s="2033"/>
      <c r="E799" s="2000"/>
      <c r="F799" s="2000"/>
      <c r="G799" s="2000"/>
      <c r="H799" s="2000"/>
      <c r="I799" s="1968"/>
      <c r="J799" s="1968"/>
      <c r="K799" s="2000"/>
      <c r="L799" s="2000"/>
      <c r="M799" s="1968"/>
      <c r="N799" s="1968"/>
      <c r="O799" s="1968"/>
      <c r="P799" s="1968"/>
      <c r="Q799" s="1968"/>
      <c r="R799" s="1968"/>
      <c r="S799" s="1968"/>
      <c r="T799" s="1968"/>
    </row>
    <row r="800" spans="1:20" x14ac:dyDescent="0.2">
      <c r="A800" s="2031"/>
      <c r="B800" s="1968"/>
      <c r="C800" s="2032"/>
      <c r="D800" s="2033"/>
      <c r="E800" s="2000"/>
      <c r="F800" s="2000"/>
      <c r="G800" s="2000"/>
      <c r="H800" s="2000"/>
      <c r="I800" s="1968"/>
      <c r="J800" s="1968"/>
      <c r="K800" s="2000"/>
      <c r="L800" s="2000"/>
      <c r="M800" s="1968"/>
      <c r="N800" s="1968"/>
      <c r="O800" s="1968"/>
      <c r="P800" s="1968"/>
      <c r="Q800" s="1968"/>
      <c r="R800" s="1968"/>
      <c r="S800" s="1968"/>
      <c r="T800" s="1968"/>
    </row>
    <row r="801" spans="1:20" x14ac:dyDescent="0.2">
      <c r="A801" s="2031"/>
      <c r="B801" s="1968"/>
      <c r="C801" s="2032"/>
      <c r="D801" s="2033"/>
      <c r="E801" s="2000"/>
      <c r="F801" s="2000"/>
      <c r="G801" s="2000"/>
      <c r="H801" s="2000"/>
      <c r="I801" s="1968"/>
      <c r="J801" s="1968"/>
      <c r="K801" s="2000"/>
      <c r="L801" s="2000"/>
      <c r="M801" s="1968"/>
      <c r="N801" s="1968"/>
      <c r="O801" s="1968"/>
      <c r="P801" s="1968"/>
      <c r="Q801" s="1968"/>
      <c r="R801" s="1968"/>
      <c r="S801" s="1968"/>
      <c r="T801" s="1968"/>
    </row>
    <row r="802" spans="1:20" x14ac:dyDescent="0.2">
      <c r="A802" s="2031"/>
      <c r="B802" s="1968"/>
      <c r="C802" s="2032"/>
      <c r="D802" s="2033"/>
      <c r="E802" s="2000"/>
      <c r="F802" s="2000"/>
      <c r="G802" s="2000"/>
      <c r="H802" s="2000"/>
      <c r="I802" s="1968"/>
      <c r="J802" s="1968"/>
      <c r="K802" s="2000"/>
      <c r="L802" s="2000"/>
      <c r="M802" s="1968"/>
      <c r="N802" s="1968"/>
      <c r="O802" s="1968"/>
      <c r="P802" s="1968"/>
      <c r="Q802" s="1968"/>
      <c r="R802" s="1968"/>
      <c r="S802" s="1968"/>
      <c r="T802" s="1968"/>
    </row>
    <row r="803" spans="1:20" x14ac:dyDescent="0.2">
      <c r="A803" s="2031"/>
      <c r="B803" s="1968"/>
      <c r="C803" s="2032"/>
      <c r="D803" s="2033"/>
      <c r="E803" s="2000"/>
      <c r="F803" s="2000"/>
      <c r="G803" s="2000"/>
      <c r="H803" s="2000"/>
      <c r="I803" s="1968"/>
      <c r="J803" s="1968"/>
      <c r="K803" s="2000"/>
      <c r="L803" s="2000"/>
      <c r="M803" s="1968"/>
      <c r="N803" s="1968"/>
      <c r="O803" s="1968"/>
      <c r="P803" s="1968"/>
      <c r="Q803" s="1968"/>
      <c r="R803" s="1968"/>
      <c r="S803" s="1968"/>
      <c r="T803" s="1968"/>
    </row>
    <row r="804" spans="1:20" x14ac:dyDescent="0.2">
      <c r="A804" s="2031"/>
      <c r="B804" s="1968"/>
      <c r="C804" s="2032"/>
      <c r="D804" s="2033"/>
      <c r="E804" s="2000"/>
      <c r="F804" s="2000"/>
      <c r="G804" s="2000"/>
      <c r="H804" s="2000"/>
      <c r="I804" s="1968"/>
      <c r="J804" s="1968"/>
      <c r="K804" s="2000"/>
      <c r="L804" s="2000"/>
      <c r="M804" s="1968"/>
      <c r="N804" s="1968"/>
      <c r="O804" s="1968"/>
      <c r="P804" s="1968"/>
      <c r="Q804" s="1968"/>
      <c r="R804" s="1968"/>
      <c r="S804" s="1968"/>
      <c r="T804" s="1968"/>
    </row>
    <row r="805" spans="1:20" x14ac:dyDescent="0.2">
      <c r="A805" s="2031"/>
      <c r="B805" s="1968"/>
      <c r="C805" s="2032"/>
      <c r="D805" s="2033"/>
      <c r="E805" s="2000"/>
      <c r="F805" s="2000"/>
      <c r="G805" s="2000"/>
      <c r="H805" s="2000"/>
      <c r="I805" s="1968"/>
      <c r="J805" s="1968"/>
      <c r="K805" s="2000"/>
      <c r="L805" s="2000"/>
      <c r="M805" s="1968"/>
      <c r="N805" s="1968"/>
      <c r="O805" s="1968"/>
      <c r="P805" s="1968"/>
      <c r="Q805" s="1968"/>
      <c r="R805" s="1968"/>
      <c r="S805" s="1968"/>
      <c r="T805" s="1968"/>
    </row>
    <row r="806" spans="1:20" x14ac:dyDescent="0.2">
      <c r="A806" s="2031"/>
      <c r="B806" s="1968"/>
      <c r="C806" s="2032"/>
      <c r="D806" s="2033"/>
      <c r="E806" s="2000"/>
      <c r="F806" s="2000"/>
      <c r="G806" s="2000"/>
      <c r="H806" s="2000"/>
      <c r="I806" s="1968"/>
      <c r="J806" s="1968"/>
      <c r="K806" s="2000"/>
      <c r="L806" s="2000"/>
      <c r="M806" s="1968"/>
      <c r="N806" s="1968"/>
      <c r="O806" s="1968"/>
      <c r="P806" s="1968"/>
      <c r="Q806" s="1968"/>
      <c r="R806" s="1968"/>
      <c r="S806" s="1968"/>
      <c r="T806" s="1968"/>
    </row>
    <row r="807" spans="1:20" x14ac:dyDescent="0.2">
      <c r="A807" s="2031"/>
      <c r="B807" s="1968"/>
      <c r="C807" s="2032"/>
      <c r="D807" s="2033"/>
      <c r="E807" s="2000"/>
      <c r="F807" s="2000"/>
      <c r="G807" s="2000"/>
      <c r="H807" s="2000"/>
      <c r="I807" s="1968"/>
      <c r="J807" s="1968"/>
      <c r="K807" s="2000"/>
      <c r="L807" s="2000"/>
      <c r="M807" s="1968"/>
      <c r="N807" s="1968"/>
      <c r="O807" s="1968"/>
      <c r="P807" s="1968"/>
      <c r="Q807" s="1968"/>
      <c r="R807" s="1968"/>
      <c r="S807" s="1968"/>
      <c r="T807" s="1968"/>
    </row>
    <row r="808" spans="1:20" x14ac:dyDescent="0.2">
      <c r="A808" s="2031"/>
      <c r="B808" s="1968"/>
      <c r="C808" s="2032"/>
      <c r="D808" s="2033"/>
      <c r="E808" s="2000"/>
      <c r="F808" s="2000"/>
      <c r="G808" s="2000"/>
      <c r="H808" s="2000"/>
      <c r="I808" s="1968"/>
      <c r="J808" s="1968"/>
      <c r="K808" s="2000"/>
      <c r="L808" s="2000"/>
      <c r="M808" s="1968"/>
      <c r="N808" s="1968"/>
      <c r="O808" s="1968"/>
      <c r="P808" s="1968"/>
      <c r="Q808" s="1968"/>
      <c r="R808" s="1968"/>
      <c r="S808" s="1968"/>
      <c r="T808" s="1968"/>
    </row>
    <row r="809" spans="1:20" x14ac:dyDescent="0.2">
      <c r="A809" s="2031"/>
      <c r="B809" s="1968"/>
      <c r="C809" s="2032"/>
      <c r="D809" s="2033"/>
      <c r="E809" s="2000"/>
      <c r="F809" s="2000"/>
      <c r="G809" s="2000"/>
      <c r="H809" s="2000"/>
      <c r="I809" s="1968"/>
      <c r="J809" s="1968"/>
      <c r="K809" s="2000"/>
      <c r="L809" s="2000"/>
      <c r="M809" s="1968"/>
      <c r="N809" s="1968"/>
      <c r="O809" s="1968"/>
      <c r="P809" s="1968"/>
      <c r="Q809" s="1968"/>
      <c r="R809" s="1968"/>
      <c r="S809" s="1968"/>
      <c r="T809" s="1968"/>
    </row>
    <row r="810" spans="1:20" x14ac:dyDescent="0.2">
      <c r="A810" s="2031"/>
      <c r="B810" s="1968"/>
      <c r="C810" s="2032"/>
      <c r="D810" s="2033"/>
      <c r="E810" s="2000"/>
      <c r="F810" s="2000"/>
      <c r="G810" s="2000"/>
      <c r="H810" s="2000"/>
      <c r="I810" s="1968"/>
      <c r="J810" s="1968"/>
      <c r="K810" s="2000"/>
      <c r="L810" s="2000"/>
      <c r="M810" s="1968"/>
      <c r="N810" s="1968"/>
      <c r="O810" s="1968"/>
      <c r="P810" s="1968"/>
      <c r="Q810" s="1968"/>
      <c r="R810" s="1968"/>
      <c r="S810" s="1968"/>
      <c r="T810" s="1968"/>
    </row>
    <row r="811" spans="1:20" x14ac:dyDescent="0.2">
      <c r="A811" s="2031"/>
      <c r="B811" s="1968"/>
      <c r="C811" s="2032"/>
      <c r="D811" s="2033"/>
      <c r="E811" s="2000"/>
      <c r="F811" s="2000"/>
      <c r="G811" s="2000"/>
      <c r="H811" s="2000"/>
      <c r="I811" s="1968"/>
      <c r="J811" s="1968"/>
      <c r="K811" s="2000"/>
      <c r="L811" s="2000"/>
      <c r="M811" s="1968"/>
      <c r="N811" s="1968"/>
      <c r="O811" s="1968"/>
      <c r="P811" s="1968"/>
      <c r="Q811" s="1968"/>
      <c r="R811" s="1968"/>
      <c r="S811" s="1968"/>
      <c r="T811" s="1968"/>
    </row>
    <row r="812" spans="1:20" x14ac:dyDescent="0.2">
      <c r="A812" s="2031"/>
      <c r="B812" s="1968"/>
      <c r="C812" s="2032"/>
      <c r="D812" s="2033"/>
      <c r="E812" s="2000"/>
      <c r="F812" s="2000"/>
      <c r="G812" s="2000"/>
      <c r="H812" s="2000"/>
      <c r="I812" s="1968"/>
      <c r="J812" s="1968"/>
      <c r="K812" s="2000"/>
      <c r="L812" s="2000"/>
      <c r="M812" s="1968"/>
      <c r="N812" s="1968"/>
      <c r="O812" s="1968"/>
      <c r="P812" s="1968"/>
      <c r="Q812" s="1968"/>
      <c r="R812" s="1968"/>
      <c r="S812" s="1968"/>
      <c r="T812" s="1968"/>
    </row>
    <row r="813" spans="1:20" x14ac:dyDescent="0.2">
      <c r="A813" s="2031"/>
      <c r="B813" s="1968"/>
      <c r="C813" s="2032"/>
      <c r="D813" s="2033"/>
      <c r="E813" s="2000"/>
      <c r="F813" s="2000"/>
      <c r="G813" s="2000"/>
      <c r="H813" s="2000"/>
      <c r="I813" s="1968"/>
      <c r="J813" s="1968"/>
      <c r="K813" s="2000"/>
      <c r="L813" s="2000"/>
      <c r="M813" s="1968"/>
      <c r="N813" s="1968"/>
      <c r="O813" s="1968"/>
      <c r="P813" s="1968"/>
      <c r="Q813" s="1968"/>
      <c r="R813" s="1968"/>
      <c r="S813" s="1968"/>
      <c r="T813" s="1968"/>
    </row>
    <row r="814" spans="1:20" x14ac:dyDescent="0.2">
      <c r="A814" s="2031"/>
      <c r="B814" s="1968"/>
      <c r="C814" s="2032"/>
      <c r="D814" s="2033"/>
      <c r="E814" s="2000"/>
      <c r="F814" s="2000"/>
      <c r="G814" s="2000"/>
      <c r="H814" s="2000"/>
      <c r="I814" s="1968"/>
      <c r="J814" s="1968"/>
      <c r="K814" s="2000"/>
      <c r="L814" s="2000"/>
      <c r="M814" s="1968"/>
      <c r="N814" s="1968"/>
      <c r="O814" s="1968"/>
      <c r="P814" s="1968"/>
      <c r="Q814" s="1968"/>
      <c r="R814" s="1968"/>
      <c r="S814" s="1968"/>
      <c r="T814" s="1968"/>
    </row>
    <row r="815" spans="1:20" x14ac:dyDescent="0.2">
      <c r="A815" s="2031"/>
      <c r="B815" s="1968"/>
      <c r="C815" s="2032"/>
      <c r="D815" s="2033"/>
      <c r="E815" s="2000"/>
      <c r="F815" s="2000"/>
      <c r="G815" s="2000"/>
      <c r="H815" s="2000"/>
      <c r="I815" s="1968"/>
      <c r="J815" s="1968"/>
      <c r="K815" s="2000"/>
      <c r="L815" s="2000"/>
      <c r="M815" s="1968"/>
      <c r="N815" s="1968"/>
      <c r="O815" s="1968"/>
      <c r="P815" s="1968"/>
      <c r="Q815" s="1968"/>
      <c r="R815" s="1968"/>
      <c r="S815" s="1968"/>
      <c r="T815" s="1968"/>
    </row>
    <row r="816" spans="1:20" x14ac:dyDescent="0.2">
      <c r="A816" s="2031"/>
      <c r="B816" s="1968"/>
      <c r="C816" s="2032"/>
      <c r="D816" s="2033"/>
      <c r="E816" s="2000"/>
      <c r="F816" s="2000"/>
      <c r="G816" s="2000"/>
      <c r="H816" s="2000"/>
      <c r="I816" s="1968"/>
      <c r="J816" s="1968"/>
      <c r="K816" s="2000"/>
      <c r="L816" s="2000"/>
      <c r="M816" s="1968"/>
      <c r="N816" s="1968"/>
      <c r="O816" s="1968"/>
      <c r="P816" s="1968"/>
      <c r="Q816" s="1968"/>
      <c r="R816" s="1968"/>
      <c r="S816" s="1968"/>
      <c r="T816" s="1968"/>
    </row>
    <row r="817" spans="1:20" x14ac:dyDescent="0.2">
      <c r="A817" s="2031"/>
      <c r="B817" s="1968"/>
      <c r="C817" s="2032"/>
      <c r="D817" s="2033"/>
      <c r="E817" s="2000"/>
      <c r="F817" s="2000"/>
      <c r="G817" s="2000"/>
      <c r="H817" s="2000"/>
      <c r="I817" s="1968"/>
      <c r="J817" s="1968"/>
      <c r="K817" s="2000"/>
      <c r="L817" s="2000"/>
      <c r="M817" s="1968"/>
      <c r="N817" s="1968"/>
      <c r="O817" s="1968"/>
      <c r="P817" s="1968"/>
      <c r="Q817" s="1968"/>
      <c r="R817" s="1968"/>
      <c r="S817" s="1968"/>
      <c r="T817" s="1968"/>
    </row>
    <row r="818" spans="1:20" x14ac:dyDescent="0.2">
      <c r="A818" s="2031"/>
      <c r="B818" s="1968"/>
      <c r="C818" s="2032"/>
      <c r="D818" s="2033"/>
      <c r="E818" s="2000"/>
      <c r="F818" s="2000"/>
      <c r="G818" s="2000"/>
      <c r="H818" s="2000"/>
      <c r="I818" s="1968"/>
      <c r="J818" s="1968"/>
      <c r="K818" s="2000"/>
      <c r="L818" s="2000"/>
      <c r="M818" s="1968"/>
      <c r="N818" s="1968"/>
      <c r="O818" s="1968"/>
      <c r="P818" s="1968"/>
      <c r="Q818" s="1968"/>
      <c r="R818" s="1968"/>
      <c r="S818" s="1968"/>
      <c r="T818" s="1968"/>
    </row>
    <row r="819" spans="1:20" x14ac:dyDescent="0.2">
      <c r="A819" s="2031"/>
      <c r="B819" s="1968"/>
      <c r="C819" s="2032"/>
      <c r="D819" s="2033"/>
      <c r="E819" s="2000"/>
      <c r="F819" s="2000"/>
      <c r="G819" s="2000"/>
      <c r="H819" s="2000"/>
      <c r="I819" s="1968"/>
      <c r="J819" s="1968"/>
      <c r="K819" s="2000"/>
      <c r="L819" s="2000"/>
      <c r="M819" s="1968"/>
      <c r="N819" s="1968"/>
      <c r="O819" s="1968"/>
      <c r="P819" s="1968"/>
      <c r="Q819" s="1968"/>
      <c r="R819" s="1968"/>
      <c r="S819" s="1968"/>
      <c r="T819" s="1968"/>
    </row>
    <row r="820" spans="1:20" x14ac:dyDescent="0.2">
      <c r="A820" s="2031"/>
      <c r="B820" s="1968"/>
      <c r="C820" s="2032"/>
      <c r="D820" s="2033"/>
      <c r="E820" s="2000"/>
      <c r="F820" s="2000"/>
      <c r="G820" s="2000"/>
      <c r="H820" s="2000"/>
      <c r="I820" s="1968"/>
      <c r="J820" s="1968"/>
      <c r="K820" s="2000"/>
      <c r="L820" s="2000"/>
      <c r="M820" s="1968"/>
      <c r="N820" s="1968"/>
      <c r="O820" s="1968"/>
      <c r="P820" s="1968"/>
      <c r="Q820" s="1968"/>
      <c r="R820" s="1968"/>
      <c r="S820" s="1968"/>
      <c r="T820" s="1968"/>
    </row>
    <row r="821" spans="1:20" x14ac:dyDescent="0.2">
      <c r="A821" s="2031"/>
      <c r="B821" s="1968"/>
      <c r="C821" s="2032"/>
      <c r="D821" s="2033"/>
      <c r="E821" s="2000"/>
      <c r="F821" s="2000"/>
      <c r="G821" s="2000"/>
      <c r="H821" s="2000"/>
      <c r="I821" s="1968"/>
      <c r="J821" s="1968"/>
      <c r="K821" s="2000"/>
      <c r="L821" s="2000"/>
      <c r="M821" s="1968"/>
      <c r="N821" s="1968"/>
      <c r="O821" s="1968"/>
      <c r="P821" s="1968"/>
      <c r="Q821" s="1968"/>
      <c r="R821" s="1968"/>
      <c r="S821" s="1968"/>
      <c r="T821" s="1968"/>
    </row>
    <row r="822" spans="1:20" x14ac:dyDescent="0.2">
      <c r="A822" s="2031"/>
      <c r="B822" s="1968"/>
      <c r="C822" s="2032"/>
      <c r="D822" s="2033"/>
      <c r="E822" s="2000"/>
      <c r="F822" s="2000"/>
      <c r="G822" s="2000"/>
      <c r="H822" s="2000"/>
      <c r="I822" s="1968"/>
      <c r="J822" s="1968"/>
      <c r="K822" s="2000"/>
      <c r="L822" s="2000"/>
      <c r="M822" s="1968"/>
      <c r="N822" s="1968"/>
      <c r="O822" s="1968"/>
      <c r="P822" s="1968"/>
      <c r="Q822" s="1968"/>
      <c r="R822" s="1968"/>
      <c r="S822" s="1968"/>
      <c r="T822" s="1968"/>
    </row>
    <row r="823" spans="1:20" x14ac:dyDescent="0.2">
      <c r="A823" s="2031"/>
      <c r="B823" s="1968"/>
      <c r="C823" s="2032"/>
      <c r="D823" s="2033"/>
      <c r="E823" s="2000"/>
      <c r="F823" s="2000"/>
      <c r="G823" s="2000"/>
      <c r="H823" s="2000"/>
      <c r="I823" s="1968"/>
      <c r="J823" s="1968"/>
      <c r="K823" s="2000"/>
      <c r="L823" s="2000"/>
      <c r="M823" s="1968"/>
      <c r="N823" s="1968"/>
      <c r="O823" s="1968"/>
      <c r="P823" s="1968"/>
      <c r="Q823" s="1968"/>
      <c r="R823" s="1968"/>
      <c r="S823" s="1968"/>
      <c r="T823" s="1968"/>
    </row>
    <row r="824" spans="1:20" x14ac:dyDescent="0.2">
      <c r="A824" s="2031"/>
      <c r="B824" s="1968"/>
      <c r="C824" s="2032"/>
      <c r="D824" s="2033"/>
      <c r="E824" s="2000"/>
      <c r="F824" s="2000"/>
      <c r="G824" s="2000"/>
      <c r="H824" s="2000"/>
      <c r="I824" s="1968"/>
      <c r="J824" s="1968"/>
      <c r="K824" s="2000"/>
      <c r="L824" s="2000"/>
      <c r="M824" s="1968"/>
      <c r="N824" s="1968"/>
      <c r="O824" s="1968"/>
      <c r="P824" s="1968"/>
      <c r="Q824" s="1968"/>
      <c r="R824" s="1968"/>
      <c r="S824" s="1968"/>
      <c r="T824" s="1968"/>
    </row>
    <row r="825" spans="1:20" x14ac:dyDescent="0.2">
      <c r="A825" s="2031"/>
      <c r="B825" s="1968"/>
      <c r="C825" s="2032"/>
      <c r="D825" s="2033"/>
      <c r="E825" s="2000"/>
      <c r="F825" s="2000"/>
      <c r="G825" s="2000"/>
      <c r="H825" s="2000"/>
      <c r="I825" s="1968"/>
      <c r="J825" s="1968"/>
      <c r="K825" s="2000"/>
      <c r="L825" s="2000"/>
      <c r="M825" s="1968"/>
      <c r="N825" s="1968"/>
      <c r="O825" s="1968"/>
      <c r="P825" s="1968"/>
      <c r="Q825" s="1968"/>
      <c r="R825" s="1968"/>
      <c r="S825" s="1968"/>
      <c r="T825" s="1968"/>
    </row>
    <row r="826" spans="1:20" x14ac:dyDescent="0.2">
      <c r="A826" s="2031"/>
      <c r="B826" s="1968"/>
      <c r="C826" s="2032"/>
      <c r="D826" s="2033"/>
      <c r="E826" s="2000"/>
      <c r="F826" s="2000"/>
      <c r="G826" s="2000"/>
      <c r="H826" s="2000"/>
      <c r="I826" s="1968"/>
      <c r="J826" s="1968"/>
      <c r="K826" s="2000"/>
      <c r="L826" s="2000"/>
      <c r="M826" s="1968"/>
      <c r="N826" s="1968"/>
      <c r="O826" s="1968"/>
      <c r="P826" s="1968"/>
      <c r="Q826" s="1968"/>
      <c r="R826" s="1968"/>
      <c r="S826" s="1968"/>
      <c r="T826" s="1968"/>
    </row>
    <row r="827" spans="1:20" x14ac:dyDescent="0.2">
      <c r="A827" s="2031"/>
      <c r="B827" s="1968"/>
      <c r="C827" s="2032"/>
      <c r="D827" s="2033"/>
      <c r="E827" s="2000"/>
      <c r="F827" s="2000"/>
      <c r="G827" s="2000"/>
      <c r="H827" s="2000"/>
      <c r="I827" s="1968"/>
      <c r="J827" s="1968"/>
      <c r="K827" s="2000"/>
      <c r="L827" s="2000"/>
      <c r="M827" s="1968"/>
      <c r="N827" s="1968"/>
      <c r="O827" s="1968"/>
      <c r="P827" s="1968"/>
      <c r="Q827" s="1968"/>
      <c r="R827" s="1968"/>
      <c r="S827" s="1968"/>
      <c r="T827" s="1968"/>
    </row>
    <row r="828" spans="1:20" x14ac:dyDescent="0.2">
      <c r="A828" s="2031"/>
      <c r="B828" s="1968"/>
      <c r="C828" s="2032"/>
      <c r="D828" s="2033"/>
      <c r="E828" s="2000"/>
      <c r="F828" s="2000"/>
      <c r="G828" s="2000"/>
      <c r="H828" s="2000"/>
      <c r="I828" s="1968"/>
      <c r="J828" s="1968"/>
      <c r="K828" s="2000"/>
      <c r="L828" s="2000"/>
      <c r="M828" s="1968"/>
      <c r="N828" s="1968"/>
      <c r="O828" s="1968"/>
      <c r="P828" s="1968"/>
      <c r="Q828" s="1968"/>
      <c r="R828" s="1968"/>
      <c r="S828" s="1968"/>
      <c r="T828" s="1968"/>
    </row>
    <row r="829" spans="1:20" x14ac:dyDescent="0.2">
      <c r="A829" s="2031"/>
      <c r="B829" s="1968"/>
      <c r="C829" s="2032"/>
      <c r="D829" s="2033"/>
      <c r="E829" s="2000"/>
      <c r="F829" s="2000"/>
      <c r="G829" s="2000"/>
      <c r="H829" s="2000"/>
      <c r="I829" s="1968"/>
      <c r="J829" s="1968"/>
      <c r="K829" s="2000"/>
      <c r="L829" s="2000"/>
      <c r="M829" s="1968"/>
      <c r="N829" s="1968"/>
      <c r="O829" s="1968"/>
      <c r="P829" s="1968"/>
      <c r="Q829" s="1968"/>
      <c r="R829" s="1968"/>
      <c r="S829" s="1968"/>
      <c r="T829" s="1968"/>
    </row>
    <row r="830" spans="1:20" x14ac:dyDescent="0.2">
      <c r="A830" s="2031"/>
      <c r="B830" s="1968"/>
      <c r="C830" s="2032"/>
      <c r="D830" s="2033"/>
      <c r="E830" s="2000"/>
      <c r="F830" s="2000"/>
      <c r="G830" s="2000"/>
      <c r="H830" s="2000"/>
      <c r="I830" s="1968"/>
      <c r="J830" s="1968"/>
      <c r="K830" s="2000"/>
      <c r="L830" s="2000"/>
      <c r="M830" s="1968"/>
      <c r="N830" s="1968"/>
      <c r="O830" s="1968"/>
      <c r="P830" s="1968"/>
      <c r="Q830" s="1968"/>
      <c r="R830" s="1968"/>
      <c r="S830" s="1968"/>
      <c r="T830" s="1968"/>
    </row>
    <row r="831" spans="1:20" x14ac:dyDescent="0.2">
      <c r="A831" s="2031"/>
      <c r="B831" s="1968"/>
      <c r="C831" s="2032"/>
      <c r="D831" s="2033"/>
      <c r="E831" s="2000"/>
      <c r="F831" s="2000"/>
      <c r="G831" s="2000"/>
      <c r="H831" s="2000"/>
      <c r="I831" s="1968"/>
      <c r="J831" s="1968"/>
      <c r="K831" s="2000"/>
      <c r="L831" s="2000"/>
      <c r="M831" s="1968"/>
      <c r="N831" s="1968"/>
      <c r="O831" s="1968"/>
      <c r="P831" s="1968"/>
      <c r="Q831" s="1968"/>
      <c r="R831" s="1968"/>
      <c r="S831" s="1968"/>
      <c r="T831" s="1968"/>
    </row>
    <row r="832" spans="1:20" x14ac:dyDescent="0.2">
      <c r="A832" s="2031"/>
      <c r="B832" s="1968"/>
      <c r="C832" s="2032"/>
      <c r="D832" s="2033"/>
      <c r="E832" s="2000"/>
      <c r="F832" s="2000"/>
      <c r="G832" s="2000"/>
      <c r="H832" s="2000"/>
      <c r="I832" s="1968"/>
      <c r="J832" s="1968"/>
      <c r="K832" s="2000"/>
      <c r="L832" s="2000"/>
      <c r="M832" s="1968"/>
      <c r="N832" s="1968"/>
      <c r="O832" s="1968"/>
      <c r="P832" s="1968"/>
      <c r="Q832" s="1968"/>
      <c r="R832" s="1968"/>
      <c r="S832" s="1968"/>
      <c r="T832" s="1968"/>
    </row>
    <row r="833" spans="1:20" x14ac:dyDescent="0.2">
      <c r="A833" s="2031"/>
      <c r="B833" s="1968"/>
      <c r="C833" s="2032"/>
      <c r="D833" s="2033"/>
      <c r="E833" s="2000"/>
      <c r="F833" s="2000"/>
      <c r="G833" s="2000"/>
      <c r="H833" s="2000"/>
      <c r="I833" s="1968"/>
      <c r="J833" s="1968"/>
      <c r="K833" s="2000"/>
      <c r="L833" s="2000"/>
      <c r="M833" s="1968"/>
      <c r="N833" s="1968"/>
      <c r="O833" s="1968"/>
      <c r="P833" s="1968"/>
      <c r="Q833" s="1968"/>
      <c r="R833" s="1968"/>
      <c r="S833" s="1968"/>
      <c r="T833" s="1968"/>
    </row>
    <row r="834" spans="1:20" x14ac:dyDescent="0.2">
      <c r="A834" s="2031"/>
      <c r="B834" s="1968"/>
      <c r="C834" s="2032"/>
      <c r="D834" s="2033"/>
      <c r="E834" s="2000"/>
      <c r="F834" s="2000"/>
      <c r="G834" s="2000"/>
      <c r="H834" s="2000"/>
      <c r="I834" s="1968"/>
      <c r="J834" s="1968"/>
      <c r="K834" s="2000"/>
      <c r="L834" s="2000"/>
      <c r="M834" s="1968"/>
      <c r="N834" s="1968"/>
      <c r="O834" s="1968"/>
      <c r="P834" s="1968"/>
      <c r="Q834" s="1968"/>
      <c r="R834" s="1968"/>
      <c r="S834" s="1968"/>
      <c r="T834" s="1968"/>
    </row>
    <row r="835" spans="1:20" x14ac:dyDescent="0.2">
      <c r="A835" s="2031"/>
      <c r="B835" s="1968"/>
      <c r="C835" s="2032"/>
      <c r="D835" s="2033"/>
      <c r="E835" s="2000"/>
      <c r="F835" s="2000"/>
      <c r="G835" s="2000"/>
      <c r="H835" s="2000"/>
      <c r="I835" s="1968"/>
      <c r="J835" s="1968"/>
      <c r="K835" s="2000"/>
      <c r="L835" s="2000"/>
      <c r="M835" s="1968"/>
      <c r="N835" s="1968"/>
      <c r="O835" s="1968"/>
      <c r="P835" s="1968"/>
      <c r="Q835" s="1968"/>
      <c r="R835" s="1968"/>
      <c r="S835" s="1968"/>
      <c r="T835" s="1968"/>
    </row>
    <row r="836" spans="1:20" x14ac:dyDescent="0.2">
      <c r="A836" s="2031"/>
      <c r="B836" s="1968"/>
      <c r="C836" s="2032"/>
      <c r="D836" s="2033"/>
      <c r="E836" s="2000"/>
      <c r="F836" s="2000"/>
      <c r="G836" s="2000"/>
      <c r="H836" s="2000"/>
      <c r="I836" s="1968"/>
      <c r="J836" s="1968"/>
      <c r="K836" s="2000"/>
      <c r="L836" s="2000"/>
      <c r="M836" s="1968"/>
      <c r="N836" s="1968"/>
      <c r="O836" s="1968"/>
      <c r="P836" s="1968"/>
      <c r="Q836" s="1968"/>
      <c r="R836" s="1968"/>
      <c r="S836" s="1968"/>
      <c r="T836" s="1968"/>
    </row>
    <row r="837" spans="1:20" x14ac:dyDescent="0.2">
      <c r="A837" s="2031"/>
      <c r="B837" s="1968"/>
      <c r="C837" s="2032"/>
      <c r="D837" s="2033"/>
      <c r="E837" s="2000"/>
      <c r="F837" s="2000"/>
      <c r="G837" s="2000"/>
      <c r="H837" s="2000"/>
      <c r="I837" s="1968"/>
      <c r="J837" s="1968"/>
      <c r="K837" s="2000"/>
      <c r="L837" s="2000"/>
      <c r="M837" s="1968"/>
      <c r="N837" s="1968"/>
      <c r="O837" s="1968"/>
      <c r="P837" s="1968"/>
      <c r="Q837" s="1968"/>
      <c r="R837" s="1968"/>
      <c r="S837" s="1968"/>
      <c r="T837" s="1968"/>
    </row>
    <row r="838" spans="1:20" x14ac:dyDescent="0.2">
      <c r="A838" s="2031"/>
      <c r="B838" s="1968"/>
      <c r="C838" s="2032"/>
      <c r="D838" s="2033"/>
      <c r="E838" s="2000"/>
      <c r="F838" s="2000"/>
      <c r="G838" s="2000"/>
      <c r="H838" s="2000"/>
      <c r="I838" s="1968"/>
      <c r="J838" s="1968"/>
      <c r="K838" s="2000"/>
      <c r="L838" s="2000"/>
      <c r="M838" s="1968"/>
      <c r="N838" s="1968"/>
      <c r="O838" s="1968"/>
      <c r="P838" s="1968"/>
      <c r="Q838" s="1968"/>
      <c r="R838" s="1968"/>
      <c r="S838" s="1968"/>
      <c r="T838" s="1968"/>
    </row>
    <row r="839" spans="1:20" x14ac:dyDescent="0.2">
      <c r="A839" s="2031"/>
      <c r="B839" s="1968"/>
      <c r="C839" s="2032"/>
      <c r="D839" s="2033"/>
      <c r="E839" s="2000"/>
      <c r="F839" s="2000"/>
      <c r="G839" s="2000"/>
      <c r="H839" s="2000"/>
      <c r="I839" s="1968"/>
      <c r="J839" s="1968"/>
      <c r="K839" s="2000"/>
      <c r="L839" s="2000"/>
      <c r="M839" s="1968"/>
      <c r="N839" s="1968"/>
      <c r="O839" s="1968"/>
      <c r="P839" s="1968"/>
      <c r="Q839" s="1968"/>
      <c r="R839" s="1968"/>
      <c r="S839" s="1968"/>
      <c r="T839" s="1968"/>
    </row>
    <row r="840" spans="1:20" x14ac:dyDescent="0.2">
      <c r="A840" s="2031"/>
      <c r="B840" s="1968"/>
      <c r="C840" s="2032"/>
      <c r="D840" s="2033"/>
      <c r="E840" s="2000"/>
      <c r="F840" s="2000"/>
      <c r="G840" s="2000"/>
      <c r="H840" s="2000"/>
      <c r="I840" s="1968"/>
      <c r="J840" s="1968"/>
      <c r="K840" s="2000"/>
      <c r="L840" s="2000"/>
      <c r="M840" s="1968"/>
      <c r="N840" s="1968"/>
      <c r="O840" s="1968"/>
      <c r="P840" s="1968"/>
      <c r="Q840" s="1968"/>
      <c r="R840" s="1968"/>
      <c r="S840" s="1968"/>
      <c r="T840" s="1968"/>
    </row>
    <row r="841" spans="1:20" x14ac:dyDescent="0.2">
      <c r="A841" s="2031"/>
      <c r="B841" s="1968"/>
      <c r="C841" s="2032"/>
      <c r="D841" s="2033"/>
      <c r="E841" s="2000"/>
      <c r="F841" s="2000"/>
      <c r="G841" s="2000"/>
      <c r="H841" s="2000"/>
      <c r="I841" s="1968"/>
      <c r="J841" s="1968"/>
      <c r="K841" s="2000"/>
      <c r="L841" s="2000"/>
      <c r="M841" s="1968"/>
      <c r="N841" s="1968"/>
      <c r="O841" s="1968"/>
      <c r="P841" s="1968"/>
      <c r="Q841" s="1968"/>
      <c r="R841" s="1968"/>
      <c r="S841" s="1968"/>
      <c r="T841" s="1968"/>
    </row>
    <row r="842" spans="1:20" x14ac:dyDescent="0.2">
      <c r="A842" s="2031"/>
      <c r="B842" s="1968"/>
      <c r="C842" s="2032"/>
      <c r="D842" s="2033"/>
      <c r="E842" s="2000"/>
      <c r="F842" s="2000"/>
      <c r="G842" s="2000"/>
      <c r="H842" s="2000"/>
      <c r="I842" s="1968"/>
      <c r="J842" s="1968"/>
      <c r="K842" s="2000"/>
      <c r="L842" s="2000"/>
      <c r="M842" s="1968"/>
      <c r="N842" s="1968"/>
      <c r="O842" s="1968"/>
      <c r="P842" s="1968"/>
      <c r="Q842" s="1968"/>
      <c r="R842" s="1968"/>
      <c r="S842" s="1968"/>
      <c r="T842" s="1968"/>
    </row>
    <row r="843" spans="1:20" x14ac:dyDescent="0.2">
      <c r="A843" s="2031"/>
      <c r="B843" s="1968"/>
      <c r="C843" s="2032"/>
      <c r="D843" s="2033"/>
      <c r="E843" s="2000"/>
      <c r="F843" s="2000"/>
      <c r="G843" s="2000"/>
      <c r="H843" s="2000"/>
      <c r="I843" s="1968"/>
      <c r="J843" s="1968"/>
      <c r="K843" s="2000"/>
      <c r="L843" s="2000"/>
      <c r="M843" s="1968"/>
      <c r="N843" s="1968"/>
      <c r="O843" s="1968"/>
      <c r="P843" s="1968"/>
      <c r="Q843" s="1968"/>
      <c r="R843" s="1968"/>
      <c r="S843" s="1968"/>
      <c r="T843" s="1968"/>
    </row>
    <row r="844" spans="1:20" x14ac:dyDescent="0.2">
      <c r="A844" s="2031"/>
      <c r="B844" s="1968"/>
      <c r="C844" s="2032"/>
      <c r="D844" s="2033"/>
      <c r="E844" s="2000"/>
      <c r="F844" s="2000"/>
      <c r="G844" s="2000"/>
      <c r="H844" s="2000"/>
      <c r="I844" s="1968"/>
      <c r="J844" s="1968"/>
      <c r="K844" s="2000"/>
      <c r="L844" s="2000"/>
      <c r="M844" s="1968"/>
      <c r="N844" s="1968"/>
      <c r="O844" s="1968"/>
      <c r="P844" s="1968"/>
      <c r="Q844" s="1968"/>
      <c r="R844" s="1968"/>
      <c r="S844" s="1968"/>
      <c r="T844" s="1968"/>
    </row>
    <row r="845" spans="1:20" x14ac:dyDescent="0.2">
      <c r="A845" s="2031"/>
      <c r="B845" s="1968"/>
      <c r="C845" s="2032"/>
      <c r="D845" s="2033"/>
      <c r="E845" s="2000"/>
      <c r="F845" s="2000"/>
      <c r="G845" s="2000"/>
      <c r="H845" s="2000"/>
      <c r="I845" s="1968"/>
      <c r="J845" s="1968"/>
      <c r="K845" s="2000"/>
      <c r="L845" s="2000"/>
      <c r="M845" s="1968"/>
      <c r="N845" s="1968"/>
      <c r="O845" s="1968"/>
      <c r="P845" s="1968"/>
      <c r="Q845" s="1968"/>
      <c r="R845" s="1968"/>
      <c r="S845" s="1968"/>
      <c r="T845" s="1968"/>
    </row>
    <row r="846" spans="1:20" x14ac:dyDescent="0.2">
      <c r="A846" s="2031"/>
      <c r="B846" s="1968"/>
      <c r="C846" s="2032"/>
      <c r="D846" s="2033"/>
      <c r="E846" s="2000"/>
      <c r="F846" s="2000"/>
      <c r="G846" s="2000"/>
      <c r="H846" s="2000"/>
      <c r="I846" s="1968"/>
      <c r="J846" s="1968"/>
      <c r="K846" s="2000"/>
      <c r="L846" s="2000"/>
      <c r="M846" s="1968"/>
      <c r="N846" s="1968"/>
      <c r="O846" s="1968"/>
      <c r="P846" s="1968"/>
      <c r="Q846" s="1968"/>
      <c r="R846" s="1968"/>
      <c r="S846" s="1968"/>
      <c r="T846" s="1968"/>
    </row>
    <row r="847" spans="1:20" x14ac:dyDescent="0.2">
      <c r="A847" s="2031"/>
      <c r="B847" s="1968"/>
      <c r="C847" s="2032"/>
      <c r="D847" s="2033"/>
      <c r="E847" s="2000"/>
      <c r="F847" s="2000"/>
      <c r="G847" s="2000"/>
      <c r="H847" s="2000"/>
      <c r="I847" s="1968"/>
      <c r="J847" s="1968"/>
      <c r="K847" s="2000"/>
      <c r="L847" s="2000"/>
      <c r="M847" s="1968"/>
      <c r="N847" s="1968"/>
      <c r="O847" s="1968"/>
      <c r="P847" s="1968"/>
      <c r="Q847" s="1968"/>
      <c r="R847" s="1968"/>
      <c r="S847" s="1968"/>
      <c r="T847" s="1968"/>
    </row>
    <row r="848" spans="1:20" x14ac:dyDescent="0.2">
      <c r="A848" s="2031"/>
      <c r="B848" s="1968"/>
      <c r="C848" s="2032"/>
      <c r="D848" s="2033"/>
      <c r="E848" s="2000"/>
      <c r="F848" s="2000"/>
      <c r="G848" s="2000"/>
      <c r="H848" s="2000"/>
      <c r="I848" s="1968"/>
      <c r="J848" s="1968"/>
      <c r="K848" s="2000"/>
      <c r="L848" s="2000"/>
      <c r="M848" s="1968"/>
      <c r="N848" s="1968"/>
      <c r="O848" s="1968"/>
      <c r="P848" s="1968"/>
      <c r="Q848" s="1968"/>
      <c r="R848" s="1968"/>
      <c r="S848" s="1968"/>
      <c r="T848" s="1968"/>
    </row>
    <row r="849" spans="1:20" x14ac:dyDescent="0.2">
      <c r="A849" s="2031"/>
      <c r="B849" s="1968"/>
      <c r="C849" s="2032"/>
      <c r="D849" s="2033"/>
      <c r="E849" s="2000"/>
      <c r="F849" s="2000"/>
      <c r="G849" s="2000"/>
      <c r="H849" s="2000"/>
      <c r="I849" s="1968"/>
      <c r="J849" s="1968"/>
      <c r="K849" s="2000"/>
      <c r="L849" s="2000"/>
      <c r="M849" s="1968"/>
      <c r="N849" s="1968"/>
      <c r="O849" s="1968"/>
      <c r="P849" s="1968"/>
      <c r="Q849" s="1968"/>
      <c r="R849" s="1968"/>
      <c r="S849" s="1968"/>
      <c r="T849" s="1968"/>
    </row>
    <row r="850" spans="1:20" x14ac:dyDescent="0.2">
      <c r="A850" s="2031"/>
      <c r="B850" s="1968"/>
      <c r="C850" s="2032"/>
      <c r="D850" s="2033"/>
      <c r="E850" s="2000"/>
      <c r="F850" s="2000"/>
      <c r="G850" s="2000"/>
      <c r="H850" s="2000"/>
      <c r="I850" s="1968"/>
      <c r="J850" s="1968"/>
      <c r="K850" s="2000"/>
      <c r="L850" s="2000"/>
      <c r="M850" s="1968"/>
      <c r="N850" s="1968"/>
      <c r="O850" s="1968"/>
      <c r="P850" s="1968"/>
      <c r="Q850" s="1968"/>
      <c r="R850" s="1968"/>
      <c r="S850" s="1968"/>
      <c r="T850" s="1968"/>
    </row>
    <row r="851" spans="1:20" x14ac:dyDescent="0.2">
      <c r="A851" s="2031"/>
      <c r="B851" s="1968"/>
      <c r="C851" s="2032"/>
      <c r="D851" s="2033"/>
      <c r="E851" s="2000"/>
      <c r="F851" s="2000"/>
      <c r="G851" s="2000"/>
      <c r="H851" s="2000"/>
      <c r="I851" s="1968"/>
      <c r="J851" s="1968"/>
      <c r="K851" s="2000"/>
      <c r="L851" s="2000"/>
      <c r="M851" s="1968"/>
      <c r="N851" s="1968"/>
      <c r="O851" s="1968"/>
      <c r="P851" s="1968"/>
      <c r="Q851" s="1968"/>
      <c r="R851" s="1968"/>
      <c r="S851" s="1968"/>
      <c r="T851" s="1968"/>
    </row>
    <row r="852" spans="1:20" x14ac:dyDescent="0.2">
      <c r="A852" s="2031"/>
      <c r="B852" s="1968"/>
      <c r="C852" s="2032"/>
      <c r="D852" s="2033"/>
      <c r="E852" s="2000"/>
      <c r="F852" s="2000"/>
      <c r="G852" s="2000"/>
      <c r="H852" s="2000"/>
      <c r="I852" s="1968"/>
      <c r="J852" s="1968"/>
      <c r="K852" s="2000"/>
      <c r="L852" s="2000"/>
      <c r="M852" s="1968"/>
      <c r="N852" s="1968"/>
      <c r="O852" s="1968"/>
      <c r="P852" s="1968"/>
      <c r="Q852" s="1968"/>
      <c r="R852" s="1968"/>
      <c r="S852" s="1968"/>
      <c r="T852" s="1968"/>
    </row>
    <row r="853" spans="1:20" x14ac:dyDescent="0.2">
      <c r="A853" s="2031"/>
      <c r="B853" s="1968"/>
      <c r="C853" s="2032"/>
      <c r="D853" s="2033"/>
      <c r="E853" s="2000"/>
      <c r="F853" s="2000"/>
      <c r="G853" s="2000"/>
      <c r="H853" s="2000"/>
      <c r="I853" s="1968"/>
      <c r="J853" s="1968"/>
      <c r="K853" s="2000"/>
      <c r="L853" s="2000"/>
      <c r="M853" s="1968"/>
      <c r="N853" s="1968"/>
      <c r="O853" s="1968"/>
      <c r="P853" s="1968"/>
      <c r="Q853" s="1968"/>
      <c r="R853" s="1968"/>
      <c r="S853" s="1968"/>
      <c r="T853" s="1968"/>
    </row>
    <row r="854" spans="1:20" x14ac:dyDescent="0.2">
      <c r="A854" s="2031"/>
      <c r="B854" s="1968"/>
      <c r="C854" s="2032"/>
      <c r="D854" s="2033"/>
      <c r="E854" s="2000"/>
      <c r="F854" s="2000"/>
      <c r="G854" s="2000"/>
      <c r="H854" s="2000"/>
      <c r="I854" s="1968"/>
      <c r="J854" s="1968"/>
      <c r="K854" s="2000"/>
      <c r="L854" s="2000"/>
      <c r="M854" s="1968"/>
      <c r="N854" s="1968"/>
      <c r="O854" s="1968"/>
      <c r="P854" s="1968"/>
      <c r="Q854" s="1968"/>
      <c r="R854" s="1968"/>
      <c r="S854" s="1968"/>
      <c r="T854" s="1968"/>
    </row>
    <row r="855" spans="1:20" x14ac:dyDescent="0.2">
      <c r="A855" s="2031"/>
      <c r="B855" s="1968"/>
      <c r="C855" s="2032"/>
      <c r="D855" s="2033"/>
      <c r="E855" s="2000"/>
      <c r="F855" s="2000"/>
      <c r="G855" s="2000"/>
      <c r="H855" s="2000"/>
      <c r="I855" s="1968"/>
      <c r="J855" s="1968"/>
      <c r="K855" s="2000"/>
      <c r="L855" s="2000"/>
      <c r="M855" s="1968"/>
      <c r="N855" s="1968"/>
      <c r="O855" s="1968"/>
      <c r="P855" s="1968"/>
      <c r="Q855" s="1968"/>
      <c r="R855" s="1968"/>
      <c r="S855" s="1968"/>
      <c r="T855" s="1968"/>
    </row>
    <row r="856" spans="1:20" x14ac:dyDescent="0.2">
      <c r="A856" s="2031"/>
      <c r="B856" s="1968"/>
      <c r="C856" s="2032"/>
      <c r="D856" s="2033"/>
      <c r="E856" s="2000"/>
      <c r="F856" s="2000"/>
      <c r="G856" s="2000"/>
      <c r="H856" s="2000"/>
      <c r="I856" s="1968"/>
      <c r="J856" s="1968"/>
      <c r="K856" s="2000"/>
      <c r="L856" s="2000"/>
      <c r="M856" s="1968"/>
      <c r="N856" s="1968"/>
      <c r="O856" s="1968"/>
      <c r="P856" s="1968"/>
      <c r="Q856" s="1968"/>
      <c r="R856" s="1968"/>
      <c r="S856" s="1968"/>
      <c r="T856" s="1968"/>
    </row>
    <row r="857" spans="1:20" x14ac:dyDescent="0.2">
      <c r="A857" s="2031"/>
      <c r="B857" s="1968"/>
      <c r="C857" s="2032"/>
      <c r="D857" s="2033"/>
      <c r="E857" s="2000"/>
      <c r="F857" s="2000"/>
      <c r="G857" s="2000"/>
      <c r="H857" s="2000"/>
      <c r="I857" s="1968"/>
      <c r="J857" s="1968"/>
      <c r="K857" s="2000"/>
      <c r="L857" s="2000"/>
      <c r="M857" s="1968"/>
      <c r="N857" s="1968"/>
      <c r="O857" s="1968"/>
      <c r="P857" s="1968"/>
      <c r="Q857" s="1968"/>
      <c r="R857" s="1968"/>
      <c r="S857" s="1968"/>
      <c r="T857" s="1968"/>
    </row>
    <row r="858" spans="1:20" x14ac:dyDescent="0.2">
      <c r="A858" s="2031"/>
      <c r="B858" s="1968"/>
      <c r="C858" s="2032"/>
      <c r="D858" s="2033"/>
      <c r="E858" s="2000"/>
      <c r="F858" s="2000"/>
      <c r="G858" s="2000"/>
      <c r="H858" s="2000"/>
      <c r="I858" s="1968"/>
      <c r="J858" s="1968"/>
      <c r="K858" s="2000"/>
      <c r="L858" s="2000"/>
      <c r="M858" s="1968"/>
      <c r="N858" s="1968"/>
      <c r="O858" s="1968"/>
      <c r="P858" s="1968"/>
      <c r="Q858" s="1968"/>
      <c r="R858" s="1968"/>
      <c r="S858" s="1968"/>
      <c r="T858" s="1968"/>
    </row>
    <row r="859" spans="1:20" x14ac:dyDescent="0.2">
      <c r="A859" s="2031"/>
      <c r="B859" s="1968"/>
      <c r="C859" s="2032"/>
      <c r="D859" s="2033"/>
      <c r="E859" s="2000"/>
      <c r="F859" s="2000"/>
      <c r="G859" s="2000"/>
      <c r="H859" s="2000"/>
      <c r="I859" s="1968"/>
      <c r="J859" s="1968"/>
      <c r="K859" s="2000"/>
      <c r="L859" s="2000"/>
      <c r="M859" s="1968"/>
      <c r="N859" s="1968"/>
      <c r="O859" s="1968"/>
      <c r="P859" s="1968"/>
      <c r="Q859" s="1968"/>
      <c r="R859" s="1968"/>
      <c r="S859" s="1968"/>
      <c r="T859" s="1968"/>
    </row>
    <row r="860" spans="1:20" x14ac:dyDescent="0.2">
      <c r="A860" s="2031"/>
      <c r="B860" s="1968"/>
      <c r="C860" s="2032"/>
      <c r="D860" s="2033"/>
      <c r="E860" s="2000"/>
      <c r="F860" s="2000"/>
      <c r="G860" s="2000"/>
      <c r="H860" s="2000"/>
      <c r="I860" s="1968"/>
      <c r="J860" s="1968"/>
      <c r="K860" s="2000"/>
      <c r="L860" s="2000"/>
      <c r="M860" s="1968"/>
      <c r="N860" s="1968"/>
      <c r="O860" s="1968"/>
      <c r="P860" s="1968"/>
      <c r="Q860" s="1968"/>
      <c r="R860" s="1968"/>
      <c r="S860" s="1968"/>
      <c r="T860" s="1968"/>
    </row>
    <row r="861" spans="1:20" x14ac:dyDescent="0.2">
      <c r="A861" s="2031"/>
      <c r="B861" s="1968"/>
      <c r="C861" s="2032"/>
      <c r="D861" s="2033"/>
      <c r="E861" s="2000"/>
      <c r="F861" s="2000"/>
      <c r="G861" s="2000"/>
      <c r="H861" s="2000"/>
      <c r="I861" s="1968"/>
      <c r="J861" s="1968"/>
      <c r="K861" s="2000"/>
      <c r="L861" s="2000"/>
      <c r="M861" s="1968"/>
      <c r="N861" s="1968"/>
      <c r="O861" s="1968"/>
      <c r="P861" s="1968"/>
      <c r="Q861" s="1968"/>
      <c r="R861" s="1968"/>
      <c r="S861" s="1968"/>
      <c r="T861" s="1968"/>
    </row>
    <row r="862" spans="1:20" x14ac:dyDescent="0.2">
      <c r="A862" s="2031"/>
      <c r="B862" s="1968"/>
      <c r="C862" s="2032"/>
      <c r="D862" s="2033"/>
      <c r="E862" s="2000"/>
      <c r="F862" s="2000"/>
      <c r="G862" s="2000"/>
      <c r="H862" s="2000"/>
      <c r="I862" s="1968"/>
      <c r="J862" s="1968"/>
      <c r="K862" s="2000"/>
      <c r="L862" s="2000"/>
      <c r="M862" s="1968"/>
      <c r="N862" s="1968"/>
      <c r="O862" s="1968"/>
      <c r="P862" s="1968"/>
      <c r="Q862" s="1968"/>
      <c r="R862" s="1968"/>
      <c r="S862" s="1968"/>
      <c r="T862" s="1968"/>
    </row>
    <row r="863" spans="1:20" x14ac:dyDescent="0.2">
      <c r="A863" s="2031"/>
      <c r="B863" s="1968"/>
      <c r="C863" s="2032"/>
      <c r="D863" s="2033"/>
      <c r="E863" s="2000"/>
      <c r="F863" s="2000"/>
      <c r="G863" s="2000"/>
      <c r="H863" s="2000"/>
      <c r="I863" s="1968"/>
      <c r="J863" s="1968"/>
      <c r="K863" s="2000"/>
      <c r="L863" s="2000"/>
      <c r="M863" s="1968"/>
      <c r="N863" s="1968"/>
      <c r="O863" s="1968"/>
      <c r="P863" s="1968"/>
      <c r="Q863" s="1968"/>
      <c r="R863" s="1968"/>
      <c r="S863" s="1968"/>
      <c r="T863" s="1968"/>
    </row>
    <row r="864" spans="1:20" x14ac:dyDescent="0.2">
      <c r="A864" s="2031"/>
      <c r="B864" s="1968"/>
      <c r="C864" s="2032"/>
      <c r="D864" s="2033"/>
      <c r="E864" s="2000"/>
      <c r="F864" s="2000"/>
      <c r="G864" s="2000"/>
      <c r="H864" s="2000"/>
      <c r="I864" s="1968"/>
      <c r="J864" s="1968"/>
      <c r="K864" s="2000"/>
      <c r="L864" s="2000"/>
      <c r="M864" s="1968"/>
      <c r="N864" s="1968"/>
      <c r="O864" s="1968"/>
      <c r="P864" s="1968"/>
      <c r="Q864" s="1968"/>
      <c r="R864" s="1968"/>
      <c r="S864" s="1968"/>
      <c r="T864" s="1968"/>
    </row>
    <row r="865" spans="1:20" x14ac:dyDescent="0.2">
      <c r="A865" s="2031"/>
      <c r="B865" s="1968"/>
      <c r="C865" s="2032"/>
      <c r="D865" s="2033"/>
      <c r="E865" s="2000"/>
      <c r="F865" s="2000"/>
      <c r="G865" s="2000"/>
      <c r="H865" s="2000"/>
      <c r="I865" s="1968"/>
      <c r="J865" s="1968"/>
      <c r="K865" s="2000"/>
      <c r="L865" s="2000"/>
      <c r="M865" s="1968"/>
      <c r="N865" s="1968"/>
      <c r="O865" s="1968"/>
      <c r="P865" s="1968"/>
      <c r="Q865" s="1968"/>
      <c r="R865" s="1968"/>
      <c r="S865" s="1968"/>
      <c r="T865" s="1968"/>
    </row>
    <row r="866" spans="1:20" x14ac:dyDescent="0.2">
      <c r="A866" s="2031"/>
      <c r="B866" s="1968"/>
      <c r="C866" s="2032"/>
      <c r="D866" s="2033"/>
      <c r="E866" s="2000"/>
      <c r="F866" s="2000"/>
      <c r="G866" s="2000"/>
      <c r="H866" s="2000"/>
      <c r="I866" s="1968"/>
      <c r="J866" s="1968"/>
      <c r="K866" s="2000"/>
      <c r="L866" s="2000"/>
      <c r="M866" s="1968"/>
      <c r="N866" s="1968"/>
      <c r="O866" s="1968"/>
      <c r="P866" s="1968"/>
      <c r="Q866" s="1968"/>
      <c r="R866" s="1968"/>
      <c r="S866" s="1968"/>
      <c r="T866" s="1968"/>
    </row>
    <row r="867" spans="1:20" x14ac:dyDescent="0.2">
      <c r="A867" s="2031"/>
      <c r="B867" s="1968"/>
      <c r="C867" s="2032"/>
      <c r="D867" s="2033"/>
      <c r="E867" s="2000"/>
      <c r="F867" s="2000"/>
      <c r="G867" s="2000"/>
      <c r="H867" s="2000"/>
      <c r="I867" s="1968"/>
      <c r="J867" s="1968"/>
      <c r="K867" s="2000"/>
      <c r="L867" s="2000"/>
      <c r="M867" s="1968"/>
      <c r="N867" s="1968"/>
      <c r="O867" s="1968"/>
      <c r="P867" s="1968"/>
      <c r="Q867" s="1968"/>
      <c r="R867" s="1968"/>
      <c r="S867" s="1968"/>
      <c r="T867" s="1968"/>
    </row>
    <row r="868" spans="1:20" x14ac:dyDescent="0.2">
      <c r="A868" s="2031"/>
      <c r="B868" s="1968"/>
      <c r="C868" s="2032"/>
      <c r="D868" s="2033"/>
      <c r="E868" s="2000"/>
      <c r="F868" s="2000"/>
      <c r="G868" s="2000"/>
      <c r="H868" s="2000"/>
      <c r="I868" s="1968"/>
      <c r="J868" s="1968"/>
      <c r="K868" s="2000"/>
      <c r="L868" s="2000"/>
      <c r="M868" s="1968"/>
      <c r="N868" s="1968"/>
      <c r="O868" s="1968"/>
      <c r="P868" s="1968"/>
      <c r="Q868" s="1968"/>
      <c r="R868" s="1968"/>
      <c r="S868" s="1968"/>
      <c r="T868" s="1968"/>
    </row>
    <row r="869" spans="1:20" x14ac:dyDescent="0.2">
      <c r="A869" s="2031"/>
      <c r="B869" s="1968"/>
      <c r="C869" s="2032"/>
      <c r="D869" s="2033"/>
      <c r="E869" s="2000"/>
      <c r="F869" s="2000"/>
      <c r="G869" s="2000"/>
      <c r="H869" s="2000"/>
      <c r="I869" s="1968"/>
      <c r="J869" s="1968"/>
      <c r="K869" s="2000"/>
      <c r="L869" s="2000"/>
      <c r="M869" s="1968"/>
      <c r="N869" s="1968"/>
      <c r="O869" s="1968"/>
      <c r="P869" s="1968"/>
      <c r="Q869" s="1968"/>
      <c r="R869" s="1968"/>
      <c r="S869" s="1968"/>
      <c r="T869" s="1968"/>
    </row>
    <row r="870" spans="1:20" x14ac:dyDescent="0.2">
      <c r="A870" s="2031"/>
      <c r="B870" s="1968"/>
      <c r="C870" s="2032"/>
      <c r="D870" s="2033"/>
      <c r="E870" s="2000"/>
      <c r="F870" s="2000"/>
      <c r="G870" s="2000"/>
      <c r="H870" s="2000"/>
      <c r="I870" s="1968"/>
      <c r="J870" s="1968"/>
      <c r="K870" s="2000"/>
      <c r="L870" s="2000"/>
      <c r="M870" s="1968"/>
      <c r="N870" s="1968"/>
      <c r="O870" s="1968"/>
      <c r="P870" s="1968"/>
      <c r="Q870" s="1968"/>
      <c r="R870" s="1968"/>
      <c r="S870" s="1968"/>
      <c r="T870" s="1968"/>
    </row>
    <row r="871" spans="1:20" x14ac:dyDescent="0.2">
      <c r="A871" s="2031"/>
      <c r="B871" s="1968"/>
      <c r="C871" s="2032"/>
      <c r="D871" s="2033"/>
      <c r="E871" s="2000"/>
      <c r="F871" s="2000"/>
      <c r="G871" s="2000"/>
      <c r="H871" s="2000"/>
      <c r="I871" s="1968"/>
      <c r="J871" s="1968"/>
      <c r="K871" s="2000"/>
      <c r="L871" s="2000"/>
      <c r="M871" s="1968"/>
      <c r="N871" s="1968"/>
      <c r="O871" s="1968"/>
      <c r="P871" s="1968"/>
      <c r="Q871" s="1968"/>
      <c r="R871" s="1968"/>
      <c r="S871" s="1968"/>
      <c r="T871" s="1968"/>
    </row>
    <row r="872" spans="1:20" x14ac:dyDescent="0.2">
      <c r="A872" s="2031"/>
      <c r="B872" s="1968"/>
      <c r="C872" s="2032"/>
      <c r="D872" s="2033"/>
      <c r="E872" s="2000"/>
      <c r="F872" s="2000"/>
      <c r="G872" s="2000"/>
      <c r="H872" s="2000"/>
      <c r="I872" s="1968"/>
      <c r="J872" s="1968"/>
      <c r="K872" s="2000"/>
      <c r="L872" s="2000"/>
      <c r="M872" s="1968"/>
      <c r="N872" s="1968"/>
      <c r="O872" s="1968"/>
      <c r="P872" s="1968"/>
      <c r="Q872" s="1968"/>
      <c r="R872" s="1968"/>
      <c r="S872" s="1968"/>
      <c r="T872" s="1968"/>
    </row>
    <row r="873" spans="1:20" x14ac:dyDescent="0.2">
      <c r="A873" s="2031"/>
      <c r="B873" s="1968"/>
      <c r="C873" s="2032"/>
      <c r="D873" s="2033"/>
      <c r="E873" s="2000"/>
      <c r="F873" s="2000"/>
      <c r="G873" s="2000"/>
      <c r="H873" s="2000"/>
      <c r="I873" s="1968"/>
      <c r="J873" s="1968"/>
      <c r="K873" s="2000"/>
      <c r="L873" s="2000"/>
      <c r="M873" s="1968"/>
      <c r="N873" s="1968"/>
      <c r="O873" s="1968"/>
      <c r="P873" s="1968"/>
      <c r="Q873" s="1968"/>
      <c r="R873" s="1968"/>
      <c r="S873" s="1968"/>
      <c r="T873" s="1968"/>
    </row>
    <row r="874" spans="1:20" x14ac:dyDescent="0.2">
      <c r="A874" s="2031"/>
      <c r="B874" s="1968"/>
      <c r="C874" s="2032"/>
      <c r="D874" s="2033"/>
      <c r="E874" s="2000"/>
      <c r="F874" s="2000"/>
      <c r="G874" s="2000"/>
      <c r="H874" s="2000"/>
      <c r="I874" s="1968"/>
      <c r="J874" s="1968"/>
      <c r="K874" s="2000"/>
      <c r="L874" s="2000"/>
      <c r="M874" s="1968"/>
      <c r="N874" s="1968"/>
      <c r="O874" s="1968"/>
      <c r="P874" s="1968"/>
      <c r="Q874" s="1968"/>
      <c r="R874" s="1968"/>
      <c r="S874" s="1968"/>
      <c r="T874" s="1968"/>
    </row>
    <row r="875" spans="1:20" x14ac:dyDescent="0.2">
      <c r="A875" s="2031"/>
      <c r="B875" s="1968"/>
      <c r="C875" s="2032"/>
      <c r="D875" s="2033"/>
      <c r="E875" s="2000"/>
      <c r="F875" s="2000"/>
      <c r="G875" s="2000"/>
      <c r="H875" s="2000"/>
      <c r="I875" s="1968"/>
      <c r="J875" s="1968"/>
      <c r="K875" s="2000"/>
      <c r="L875" s="2000"/>
      <c r="M875" s="1968"/>
      <c r="N875" s="1968"/>
      <c r="O875" s="1968"/>
      <c r="P875" s="1968"/>
      <c r="Q875" s="1968"/>
      <c r="R875" s="1968"/>
      <c r="S875" s="1968"/>
      <c r="T875" s="1968"/>
    </row>
    <row r="876" spans="1:20" x14ac:dyDescent="0.2">
      <c r="A876" s="2031"/>
      <c r="B876" s="1968"/>
      <c r="C876" s="2032"/>
      <c r="D876" s="2033"/>
      <c r="E876" s="2000"/>
      <c r="F876" s="2000"/>
      <c r="G876" s="2000"/>
      <c r="H876" s="2000"/>
      <c r="I876" s="1968"/>
      <c r="J876" s="1968"/>
      <c r="K876" s="2000"/>
      <c r="L876" s="2000"/>
      <c r="M876" s="1968"/>
      <c r="N876" s="1968"/>
      <c r="O876" s="1968"/>
      <c r="P876" s="1968"/>
      <c r="Q876" s="1968"/>
      <c r="R876" s="1968"/>
      <c r="S876" s="1968"/>
      <c r="T876" s="1968"/>
    </row>
    <row r="877" spans="1:20" x14ac:dyDescent="0.2">
      <c r="A877" s="2031"/>
      <c r="B877" s="1968"/>
      <c r="C877" s="2032"/>
      <c r="D877" s="2033"/>
      <c r="E877" s="2000"/>
      <c r="F877" s="2000"/>
      <c r="G877" s="2000"/>
      <c r="H877" s="2000"/>
      <c r="I877" s="1968"/>
      <c r="J877" s="1968"/>
      <c r="K877" s="2000"/>
      <c r="L877" s="2000"/>
      <c r="M877" s="1968"/>
      <c r="N877" s="1968"/>
      <c r="O877" s="1968"/>
      <c r="P877" s="1968"/>
      <c r="Q877" s="1968"/>
      <c r="R877" s="1968"/>
      <c r="S877" s="1968"/>
      <c r="T877" s="1968"/>
    </row>
    <row r="878" spans="1:20" x14ac:dyDescent="0.2">
      <c r="A878" s="2031"/>
      <c r="B878" s="1968"/>
      <c r="C878" s="2032"/>
      <c r="D878" s="2033"/>
      <c r="E878" s="2000"/>
      <c r="F878" s="2000"/>
      <c r="G878" s="2000"/>
      <c r="H878" s="2000"/>
      <c r="I878" s="1968"/>
      <c r="J878" s="1968"/>
      <c r="K878" s="2000"/>
      <c r="L878" s="2000"/>
      <c r="M878" s="1968"/>
      <c r="N878" s="1968"/>
      <c r="O878" s="1968"/>
      <c r="P878" s="1968"/>
      <c r="Q878" s="1968"/>
      <c r="R878" s="1968"/>
      <c r="S878" s="1968"/>
      <c r="T878" s="1968"/>
    </row>
    <row r="879" spans="1:20" x14ac:dyDescent="0.2">
      <c r="A879" s="2031"/>
      <c r="B879" s="1968"/>
      <c r="C879" s="2032"/>
      <c r="D879" s="2033"/>
      <c r="E879" s="2000"/>
      <c r="F879" s="2000"/>
      <c r="G879" s="2000"/>
      <c r="H879" s="2000"/>
      <c r="I879" s="1968"/>
      <c r="J879" s="1968"/>
      <c r="K879" s="2000"/>
      <c r="L879" s="2000"/>
      <c r="M879" s="1968"/>
      <c r="N879" s="1968"/>
      <c r="O879" s="1968"/>
      <c r="P879" s="1968"/>
      <c r="Q879" s="1968"/>
      <c r="R879" s="1968"/>
      <c r="S879" s="1968"/>
      <c r="T879" s="1968"/>
    </row>
    <row r="880" spans="1:20" x14ac:dyDescent="0.2">
      <c r="A880" s="2031"/>
      <c r="B880" s="1968"/>
      <c r="C880" s="2032"/>
      <c r="D880" s="2033"/>
      <c r="E880" s="2000"/>
      <c r="F880" s="2000"/>
      <c r="G880" s="2000"/>
      <c r="H880" s="2000"/>
      <c r="I880" s="1968"/>
      <c r="J880" s="1968"/>
      <c r="K880" s="2000"/>
      <c r="L880" s="2000"/>
      <c r="M880" s="1968"/>
      <c r="N880" s="1968"/>
      <c r="O880" s="1968"/>
      <c r="P880" s="1968"/>
      <c r="Q880" s="1968"/>
      <c r="R880" s="1968"/>
      <c r="S880" s="1968"/>
      <c r="T880" s="1968"/>
    </row>
    <row r="881" spans="1:20" x14ac:dyDescent="0.2">
      <c r="A881" s="2031"/>
      <c r="B881" s="1968"/>
      <c r="C881" s="2032"/>
      <c r="D881" s="2033"/>
      <c r="E881" s="2000"/>
      <c r="F881" s="2000"/>
      <c r="G881" s="2000"/>
      <c r="H881" s="2000"/>
      <c r="I881" s="1968"/>
      <c r="J881" s="1968"/>
      <c r="K881" s="2000"/>
      <c r="L881" s="2000"/>
      <c r="M881" s="1968"/>
      <c r="N881" s="1968"/>
      <c r="O881" s="1968"/>
      <c r="P881" s="1968"/>
      <c r="Q881" s="1968"/>
      <c r="R881" s="1968"/>
      <c r="S881" s="1968"/>
      <c r="T881" s="1968"/>
    </row>
    <row r="882" spans="1:20" x14ac:dyDescent="0.2">
      <c r="A882" s="2031"/>
      <c r="B882" s="1968"/>
      <c r="C882" s="2032"/>
      <c r="D882" s="2033"/>
      <c r="E882" s="2000"/>
      <c r="F882" s="2000"/>
      <c r="G882" s="2000"/>
      <c r="H882" s="2000"/>
      <c r="I882" s="1968"/>
      <c r="J882" s="1968"/>
      <c r="K882" s="2000"/>
      <c r="L882" s="2000"/>
      <c r="M882" s="1968"/>
      <c r="N882" s="1968"/>
      <c r="O882" s="1968"/>
      <c r="P882" s="1968"/>
      <c r="Q882" s="1968"/>
      <c r="R882" s="1968"/>
      <c r="S882" s="1968"/>
      <c r="T882" s="1968"/>
    </row>
    <row r="883" spans="1:20" x14ac:dyDescent="0.2">
      <c r="A883" s="2031"/>
      <c r="B883" s="1968"/>
      <c r="C883" s="2032"/>
      <c r="D883" s="2033"/>
      <c r="E883" s="2000"/>
      <c r="F883" s="2000"/>
      <c r="G883" s="2000"/>
      <c r="H883" s="2000"/>
      <c r="I883" s="1968"/>
      <c r="J883" s="1968"/>
      <c r="K883" s="2000"/>
      <c r="L883" s="2000"/>
      <c r="M883" s="1968"/>
      <c r="N883" s="1968"/>
      <c r="O883" s="1968"/>
      <c r="P883" s="1968"/>
      <c r="Q883" s="1968"/>
      <c r="R883" s="1968"/>
      <c r="S883" s="1968"/>
      <c r="T883" s="1968"/>
    </row>
    <row r="884" spans="1:20" x14ac:dyDescent="0.2">
      <c r="A884" s="2031"/>
      <c r="B884" s="1968"/>
      <c r="C884" s="2032"/>
      <c r="D884" s="2033"/>
      <c r="E884" s="2000"/>
      <c r="F884" s="2000"/>
      <c r="G884" s="2000"/>
      <c r="H884" s="2000"/>
      <c r="I884" s="1968"/>
      <c r="J884" s="1968"/>
      <c r="K884" s="2000"/>
      <c r="L884" s="2000"/>
      <c r="M884" s="1968"/>
      <c r="N884" s="1968"/>
      <c r="O884" s="1968"/>
      <c r="P884" s="1968"/>
      <c r="Q884" s="1968"/>
      <c r="R884" s="1968"/>
      <c r="S884" s="1968"/>
      <c r="T884" s="1968"/>
    </row>
    <row r="885" spans="1:20" x14ac:dyDescent="0.2">
      <c r="A885" s="2031"/>
      <c r="B885" s="1968"/>
      <c r="C885" s="2032"/>
      <c r="D885" s="2033"/>
      <c r="E885" s="2000"/>
      <c r="F885" s="2000"/>
      <c r="G885" s="2000"/>
      <c r="H885" s="2000"/>
      <c r="I885" s="1968"/>
      <c r="J885" s="1968"/>
      <c r="K885" s="2000"/>
      <c r="L885" s="2000"/>
      <c r="M885" s="1968"/>
      <c r="N885" s="1968"/>
      <c r="O885" s="1968"/>
      <c r="P885" s="1968"/>
      <c r="Q885" s="1968"/>
      <c r="R885" s="1968"/>
      <c r="S885" s="1968"/>
      <c r="T885" s="1968"/>
    </row>
    <row r="886" spans="1:20" x14ac:dyDescent="0.2">
      <c r="A886" s="2031"/>
      <c r="B886" s="1968"/>
      <c r="C886" s="2032"/>
      <c r="D886" s="2033"/>
      <c r="E886" s="2000"/>
      <c r="F886" s="2000"/>
      <c r="G886" s="2000"/>
      <c r="H886" s="2000"/>
      <c r="I886" s="1968"/>
      <c r="J886" s="1968"/>
      <c r="K886" s="2000"/>
      <c r="L886" s="2000"/>
      <c r="M886" s="1968"/>
      <c r="N886" s="1968"/>
      <c r="O886" s="1968"/>
      <c r="P886" s="1968"/>
      <c r="Q886" s="1968"/>
      <c r="R886" s="1968"/>
      <c r="S886" s="1968"/>
      <c r="T886" s="1968"/>
    </row>
    <row r="887" spans="1:20" x14ac:dyDescent="0.2">
      <c r="A887" s="2031"/>
      <c r="B887" s="1968"/>
      <c r="C887" s="2032"/>
      <c r="D887" s="2033"/>
      <c r="E887" s="2000"/>
      <c r="F887" s="2000"/>
      <c r="G887" s="2000"/>
      <c r="H887" s="2000"/>
      <c r="I887" s="1968"/>
      <c r="J887" s="1968"/>
      <c r="K887" s="2000"/>
      <c r="L887" s="2000"/>
      <c r="M887" s="1968"/>
      <c r="N887" s="1968"/>
      <c r="O887" s="1968"/>
      <c r="P887" s="1968"/>
      <c r="Q887" s="1968"/>
      <c r="R887" s="1968"/>
      <c r="S887" s="1968"/>
      <c r="T887" s="1968"/>
    </row>
    <row r="888" spans="1:20" x14ac:dyDescent="0.2">
      <c r="A888" s="2031"/>
      <c r="B888" s="1968"/>
      <c r="C888" s="2032"/>
      <c r="D888" s="2033"/>
      <c r="E888" s="2000"/>
      <c r="F888" s="2000"/>
      <c r="G888" s="2000"/>
      <c r="H888" s="2000"/>
      <c r="I888" s="1968"/>
      <c r="J888" s="1968"/>
      <c r="K888" s="2000"/>
      <c r="L888" s="2000"/>
      <c r="M888" s="1968"/>
      <c r="N888" s="1968"/>
      <c r="O888" s="1968"/>
      <c r="P888" s="1968"/>
      <c r="Q888" s="1968"/>
      <c r="R888" s="1968"/>
      <c r="S888" s="1968"/>
      <c r="T888" s="1968"/>
    </row>
    <row r="889" spans="1:20" x14ac:dyDescent="0.2">
      <c r="A889" s="2031"/>
      <c r="B889" s="1968"/>
      <c r="C889" s="2032"/>
      <c r="D889" s="2033"/>
      <c r="E889" s="2000"/>
      <c r="F889" s="2000"/>
      <c r="G889" s="2000"/>
      <c r="H889" s="2000"/>
      <c r="I889" s="1968"/>
      <c r="J889" s="1968"/>
      <c r="K889" s="2000"/>
      <c r="L889" s="2000"/>
      <c r="M889" s="1968"/>
      <c r="N889" s="1968"/>
      <c r="O889" s="1968"/>
      <c r="P889" s="1968"/>
      <c r="Q889" s="1968"/>
      <c r="R889" s="1968"/>
      <c r="S889" s="1968"/>
      <c r="T889" s="1968"/>
    </row>
    <row r="890" spans="1:20" x14ac:dyDescent="0.2">
      <c r="A890" s="2031"/>
      <c r="B890" s="1968"/>
      <c r="C890" s="2032"/>
      <c r="D890" s="2033"/>
      <c r="E890" s="2000"/>
      <c r="F890" s="2000"/>
      <c r="G890" s="2000"/>
      <c r="H890" s="2000"/>
      <c r="I890" s="1968"/>
      <c r="J890" s="1968"/>
      <c r="K890" s="2000"/>
      <c r="L890" s="2000"/>
      <c r="M890" s="1968"/>
      <c r="N890" s="1968"/>
      <c r="O890" s="1968"/>
      <c r="P890" s="1968"/>
      <c r="Q890" s="1968"/>
      <c r="R890" s="1968"/>
      <c r="S890" s="1968"/>
      <c r="T890" s="1968"/>
    </row>
    <row r="891" spans="1:20" x14ac:dyDescent="0.2">
      <c r="A891" s="2031"/>
      <c r="B891" s="1968"/>
      <c r="C891" s="2032"/>
      <c r="D891" s="2033"/>
      <c r="E891" s="2000"/>
      <c r="F891" s="2000"/>
      <c r="G891" s="2000"/>
      <c r="H891" s="2000"/>
      <c r="I891" s="1968"/>
      <c r="J891" s="1968"/>
      <c r="K891" s="2000"/>
      <c r="L891" s="2000"/>
      <c r="M891" s="1968"/>
      <c r="N891" s="1968"/>
      <c r="O891" s="1968"/>
      <c r="P891" s="1968"/>
      <c r="Q891" s="1968"/>
      <c r="R891" s="1968"/>
      <c r="S891" s="1968"/>
      <c r="T891" s="1968"/>
    </row>
    <row r="892" spans="1:20" x14ac:dyDescent="0.2">
      <c r="A892" s="2031"/>
      <c r="B892" s="1968"/>
      <c r="C892" s="2032"/>
      <c r="D892" s="2033"/>
      <c r="E892" s="2000"/>
      <c r="F892" s="2000"/>
      <c r="G892" s="2000"/>
      <c r="H892" s="2000"/>
      <c r="I892" s="1968"/>
      <c r="J892" s="1968"/>
      <c r="K892" s="2000"/>
      <c r="L892" s="2000"/>
      <c r="M892" s="1968"/>
      <c r="N892" s="1968"/>
      <c r="O892" s="1968"/>
      <c r="P892" s="1968"/>
      <c r="Q892" s="1968"/>
      <c r="R892" s="1968"/>
      <c r="S892" s="1968"/>
      <c r="T892" s="1968"/>
    </row>
    <row r="893" spans="1:20" x14ac:dyDescent="0.2">
      <c r="A893" s="2031"/>
      <c r="B893" s="1968"/>
      <c r="C893" s="2032"/>
      <c r="D893" s="2033"/>
      <c r="E893" s="2000"/>
      <c r="F893" s="2000"/>
      <c r="G893" s="2000"/>
      <c r="H893" s="2000"/>
      <c r="I893" s="1968"/>
      <c r="J893" s="1968"/>
      <c r="K893" s="2000"/>
      <c r="L893" s="2000"/>
      <c r="M893" s="1968"/>
      <c r="N893" s="1968"/>
      <c r="O893" s="1968"/>
      <c r="P893" s="1968"/>
      <c r="Q893" s="1968"/>
      <c r="R893" s="1968"/>
      <c r="S893" s="1968"/>
      <c r="T893" s="1968"/>
    </row>
    <row r="894" spans="1:20" x14ac:dyDescent="0.2">
      <c r="A894" s="2031"/>
      <c r="B894" s="1968"/>
      <c r="C894" s="2032"/>
      <c r="D894" s="2033"/>
      <c r="E894" s="2000"/>
      <c r="F894" s="2000"/>
      <c r="G894" s="2000"/>
      <c r="H894" s="2000"/>
      <c r="I894" s="1968"/>
      <c r="J894" s="1968"/>
      <c r="K894" s="2000"/>
      <c r="L894" s="2000"/>
      <c r="M894" s="1968"/>
      <c r="N894" s="1968"/>
      <c r="O894" s="1968"/>
      <c r="P894" s="1968"/>
      <c r="Q894" s="1968"/>
      <c r="R894" s="1968"/>
      <c r="S894" s="1968"/>
      <c r="T894" s="1968"/>
    </row>
    <row r="895" spans="1:20" x14ac:dyDescent="0.2">
      <c r="A895" s="2031"/>
      <c r="B895" s="1968"/>
      <c r="C895" s="2032"/>
      <c r="D895" s="2033"/>
      <c r="E895" s="2000"/>
      <c r="F895" s="2000"/>
      <c r="G895" s="2000"/>
      <c r="H895" s="2000"/>
      <c r="I895" s="1968"/>
      <c r="J895" s="1968"/>
      <c r="K895" s="2000"/>
      <c r="L895" s="2000"/>
      <c r="M895" s="1968"/>
      <c r="N895" s="1968"/>
      <c r="O895" s="1968"/>
      <c r="P895" s="1968"/>
      <c r="Q895" s="1968"/>
      <c r="R895" s="1968"/>
      <c r="S895" s="1968"/>
      <c r="T895" s="1968"/>
    </row>
    <row r="896" spans="1:20" x14ac:dyDescent="0.2">
      <c r="A896" s="2031"/>
      <c r="B896" s="1968"/>
      <c r="C896" s="2032"/>
      <c r="D896" s="2033"/>
      <c r="E896" s="2000"/>
      <c r="F896" s="2000"/>
      <c r="G896" s="2000"/>
      <c r="H896" s="2000"/>
      <c r="I896" s="1968"/>
      <c r="J896" s="1968"/>
      <c r="K896" s="2000"/>
      <c r="L896" s="2000"/>
      <c r="M896" s="1968"/>
      <c r="N896" s="1968"/>
      <c r="O896" s="1968"/>
      <c r="P896" s="1968"/>
      <c r="Q896" s="1968"/>
      <c r="R896" s="1968"/>
      <c r="S896" s="1968"/>
      <c r="T896" s="1968"/>
    </row>
    <row r="897" spans="1:20" x14ac:dyDescent="0.2">
      <c r="A897" s="2031"/>
      <c r="B897" s="1968"/>
      <c r="C897" s="2032"/>
      <c r="D897" s="2033"/>
      <c r="E897" s="2000"/>
      <c r="F897" s="2000"/>
      <c r="G897" s="2000"/>
      <c r="H897" s="2000"/>
      <c r="I897" s="1968"/>
      <c r="J897" s="1968"/>
      <c r="K897" s="2000"/>
      <c r="L897" s="2000"/>
      <c r="M897" s="1968"/>
      <c r="N897" s="1968"/>
      <c r="O897" s="1968"/>
      <c r="P897" s="1968"/>
      <c r="Q897" s="1968"/>
      <c r="R897" s="1968"/>
      <c r="S897" s="1968"/>
      <c r="T897" s="1968"/>
    </row>
    <row r="898" spans="1:20" x14ac:dyDescent="0.2">
      <c r="A898" s="2031"/>
      <c r="B898" s="1968"/>
      <c r="C898" s="2032"/>
      <c r="D898" s="2033"/>
      <c r="E898" s="2000"/>
      <c r="F898" s="2000"/>
      <c r="G898" s="2000"/>
      <c r="H898" s="2000"/>
      <c r="I898" s="1968"/>
      <c r="J898" s="1968"/>
      <c r="K898" s="2000"/>
      <c r="L898" s="2000"/>
      <c r="M898" s="1968"/>
      <c r="N898" s="1968"/>
      <c r="O898" s="1968"/>
      <c r="P898" s="1968"/>
      <c r="Q898" s="1968"/>
      <c r="R898" s="1968"/>
      <c r="S898" s="1968"/>
      <c r="T898" s="1968"/>
    </row>
    <row r="899" spans="1:20" x14ac:dyDescent="0.2">
      <c r="A899" s="2031"/>
      <c r="B899" s="1968"/>
      <c r="C899" s="2032"/>
      <c r="D899" s="2033"/>
      <c r="E899" s="2000"/>
      <c r="F899" s="2000"/>
      <c r="G899" s="2000"/>
      <c r="H899" s="2000"/>
      <c r="I899" s="1968"/>
      <c r="J899" s="1968"/>
      <c r="K899" s="2000"/>
      <c r="L899" s="2000"/>
      <c r="M899" s="1968"/>
      <c r="N899" s="1968"/>
      <c r="O899" s="1968"/>
      <c r="P899" s="1968"/>
      <c r="Q899" s="1968"/>
      <c r="R899" s="1968"/>
      <c r="S899" s="1968"/>
      <c r="T899" s="1968"/>
    </row>
    <row r="900" spans="1:20" x14ac:dyDescent="0.2">
      <c r="A900" s="2031"/>
      <c r="B900" s="1968"/>
      <c r="C900" s="2032"/>
      <c r="D900" s="2033"/>
      <c r="E900" s="2000"/>
      <c r="F900" s="2000"/>
      <c r="G900" s="2000"/>
      <c r="H900" s="2000"/>
      <c r="I900" s="1968"/>
      <c r="J900" s="1968"/>
      <c r="K900" s="2000"/>
      <c r="L900" s="2000"/>
      <c r="M900" s="1968"/>
      <c r="N900" s="1968"/>
      <c r="O900" s="1968"/>
      <c r="P900" s="1968"/>
      <c r="Q900" s="1968"/>
      <c r="R900" s="1968"/>
      <c r="S900" s="1968"/>
      <c r="T900" s="1968"/>
    </row>
    <row r="901" spans="1:20" x14ac:dyDescent="0.2">
      <c r="A901" s="2031"/>
      <c r="B901" s="1968"/>
      <c r="C901" s="2032"/>
      <c r="D901" s="2033"/>
      <c r="E901" s="2000"/>
      <c r="F901" s="2000"/>
      <c r="G901" s="2000"/>
      <c r="H901" s="2000"/>
      <c r="I901" s="1968"/>
      <c r="J901" s="1968"/>
      <c r="K901" s="2000"/>
      <c r="L901" s="2000"/>
      <c r="M901" s="1968"/>
      <c r="N901" s="1968"/>
      <c r="O901" s="1968"/>
      <c r="P901" s="1968"/>
      <c r="Q901" s="1968"/>
      <c r="R901" s="1968"/>
      <c r="S901" s="1968"/>
      <c r="T901" s="1968"/>
    </row>
    <row r="902" spans="1:20" x14ac:dyDescent="0.2">
      <c r="A902" s="2031"/>
      <c r="B902" s="1968"/>
      <c r="C902" s="2032"/>
      <c r="D902" s="2033"/>
      <c r="E902" s="2000"/>
      <c r="F902" s="2000"/>
      <c r="G902" s="2000"/>
      <c r="H902" s="2000"/>
      <c r="I902" s="1968"/>
      <c r="J902" s="1968"/>
      <c r="K902" s="2000"/>
      <c r="L902" s="2000"/>
      <c r="M902" s="1968"/>
      <c r="N902" s="1968"/>
      <c r="O902" s="1968"/>
      <c r="P902" s="1968"/>
      <c r="Q902" s="1968"/>
      <c r="R902" s="1968"/>
      <c r="S902" s="1968"/>
      <c r="T902" s="1968"/>
    </row>
    <row r="903" spans="1:20" x14ac:dyDescent="0.2">
      <c r="A903" s="2031"/>
      <c r="B903" s="1968"/>
      <c r="C903" s="2032"/>
      <c r="D903" s="2033"/>
      <c r="E903" s="2000"/>
      <c r="F903" s="2000"/>
      <c r="G903" s="2000"/>
      <c r="H903" s="2000"/>
      <c r="I903" s="1968"/>
      <c r="J903" s="1968"/>
      <c r="K903" s="2000"/>
      <c r="L903" s="2000"/>
      <c r="M903" s="1968"/>
      <c r="N903" s="1968"/>
      <c r="O903" s="1968"/>
      <c r="P903" s="1968"/>
      <c r="Q903" s="1968"/>
      <c r="R903" s="1968"/>
      <c r="S903" s="1968"/>
      <c r="T903" s="1968"/>
    </row>
    <row r="904" spans="1:20" x14ac:dyDescent="0.2">
      <c r="A904" s="2031"/>
      <c r="B904" s="1968"/>
      <c r="C904" s="2032"/>
      <c r="D904" s="2033"/>
      <c r="E904" s="2000"/>
      <c r="F904" s="2000"/>
      <c r="G904" s="2000"/>
      <c r="H904" s="2000"/>
      <c r="I904" s="1968"/>
      <c r="J904" s="1968"/>
      <c r="K904" s="2000"/>
      <c r="L904" s="2000"/>
      <c r="M904" s="1968"/>
      <c r="N904" s="1968"/>
      <c r="O904" s="1968"/>
      <c r="P904" s="1968"/>
      <c r="Q904" s="1968"/>
      <c r="R904" s="1968"/>
      <c r="S904" s="1968"/>
      <c r="T904" s="1968"/>
    </row>
    <row r="905" spans="1:20" x14ac:dyDescent="0.2">
      <c r="A905" s="2031"/>
      <c r="B905" s="1968"/>
      <c r="C905" s="2032"/>
      <c r="D905" s="2033"/>
      <c r="E905" s="2000"/>
      <c r="F905" s="2000"/>
      <c r="G905" s="2000"/>
      <c r="H905" s="2000"/>
      <c r="I905" s="1968"/>
      <c r="J905" s="1968"/>
      <c r="K905" s="2000"/>
      <c r="L905" s="2000"/>
      <c r="M905" s="1968"/>
      <c r="N905" s="1968"/>
      <c r="O905" s="1968"/>
      <c r="P905" s="1968"/>
      <c r="Q905" s="1968"/>
      <c r="R905" s="1968"/>
      <c r="S905" s="1968"/>
      <c r="T905" s="1968"/>
    </row>
    <row r="906" spans="1:20" x14ac:dyDescent="0.2">
      <c r="A906" s="2031"/>
      <c r="B906" s="1968"/>
      <c r="C906" s="2032"/>
      <c r="D906" s="2033"/>
      <c r="E906" s="2000"/>
      <c r="F906" s="2000"/>
      <c r="G906" s="2000"/>
      <c r="H906" s="2000"/>
      <c r="I906" s="1968"/>
      <c r="J906" s="1968"/>
      <c r="K906" s="2000"/>
      <c r="L906" s="2000"/>
      <c r="M906" s="1968"/>
      <c r="N906" s="1968"/>
      <c r="O906" s="1968"/>
      <c r="P906" s="1968"/>
      <c r="Q906" s="1968"/>
      <c r="R906" s="1968"/>
      <c r="S906" s="1968"/>
      <c r="T906" s="1968"/>
    </row>
    <row r="907" spans="1:20" x14ac:dyDescent="0.2">
      <c r="A907" s="2031"/>
      <c r="B907" s="1968"/>
      <c r="C907" s="2032"/>
      <c r="D907" s="2033"/>
      <c r="E907" s="2000"/>
      <c r="F907" s="2000"/>
      <c r="G907" s="2000"/>
      <c r="H907" s="2000"/>
      <c r="I907" s="1968"/>
      <c r="J907" s="1968"/>
      <c r="K907" s="2000"/>
      <c r="L907" s="2000"/>
      <c r="M907" s="1968"/>
      <c r="N907" s="1968"/>
      <c r="O907" s="1968"/>
      <c r="P907" s="1968"/>
      <c r="Q907" s="1968"/>
      <c r="R907" s="1968"/>
      <c r="S907" s="1968"/>
      <c r="T907" s="1968"/>
    </row>
    <row r="908" spans="1:20" x14ac:dyDescent="0.2">
      <c r="A908" s="2031"/>
      <c r="B908" s="1968"/>
      <c r="C908" s="2032"/>
      <c r="D908" s="2033"/>
      <c r="E908" s="2000"/>
      <c r="F908" s="2000"/>
      <c r="G908" s="2000"/>
      <c r="H908" s="2000"/>
      <c r="I908" s="1968"/>
      <c r="J908" s="1968"/>
      <c r="K908" s="2000"/>
      <c r="L908" s="2000"/>
      <c r="M908" s="1968"/>
      <c r="N908" s="1968"/>
      <c r="O908" s="1968"/>
      <c r="P908" s="1968"/>
      <c r="Q908" s="1968"/>
      <c r="R908" s="1968"/>
      <c r="S908" s="1968"/>
      <c r="T908" s="1968"/>
    </row>
    <row r="909" spans="1:20" x14ac:dyDescent="0.2">
      <c r="A909" s="2031"/>
      <c r="B909" s="1968"/>
      <c r="C909" s="2032"/>
      <c r="D909" s="2033"/>
      <c r="E909" s="2000"/>
      <c r="F909" s="2000"/>
      <c r="G909" s="2000"/>
      <c r="H909" s="2000"/>
      <c r="I909" s="1968"/>
      <c r="J909" s="1968"/>
      <c r="K909" s="2000"/>
      <c r="L909" s="2000"/>
      <c r="M909" s="1968"/>
      <c r="N909" s="1968"/>
      <c r="O909" s="1968"/>
      <c r="P909" s="1968"/>
      <c r="Q909" s="1968"/>
      <c r="R909" s="1968"/>
      <c r="S909" s="1968"/>
      <c r="T909" s="1968"/>
    </row>
    <row r="910" spans="1:20" x14ac:dyDescent="0.2">
      <c r="A910" s="2031"/>
      <c r="B910" s="1968"/>
      <c r="C910" s="2032"/>
      <c r="D910" s="2033"/>
      <c r="E910" s="2000"/>
      <c r="F910" s="2000"/>
      <c r="G910" s="2000"/>
      <c r="H910" s="2000"/>
      <c r="I910" s="1968"/>
      <c r="J910" s="1968"/>
      <c r="K910" s="2000"/>
      <c r="L910" s="2000"/>
      <c r="M910" s="1968"/>
      <c r="N910" s="1968"/>
      <c r="O910" s="1968"/>
      <c r="P910" s="1968"/>
      <c r="Q910" s="1968"/>
      <c r="R910" s="1968"/>
      <c r="S910" s="1968"/>
      <c r="T910" s="1968"/>
    </row>
    <row r="911" spans="1:20" x14ac:dyDescent="0.2">
      <c r="A911" s="2031"/>
      <c r="B911" s="1968"/>
      <c r="C911" s="2032"/>
      <c r="D911" s="2033"/>
      <c r="E911" s="2000"/>
      <c r="F911" s="2000"/>
      <c r="G911" s="2000"/>
      <c r="H911" s="2000"/>
      <c r="I911" s="1968"/>
      <c r="J911" s="1968"/>
      <c r="K911" s="2000"/>
      <c r="L911" s="2000"/>
      <c r="M911" s="1968"/>
      <c r="N911" s="1968"/>
      <c r="O911" s="1968"/>
      <c r="P911" s="1968"/>
      <c r="Q911" s="1968"/>
      <c r="R911" s="1968"/>
      <c r="S911" s="1968"/>
      <c r="T911" s="1968"/>
    </row>
    <row r="912" spans="1:20" x14ac:dyDescent="0.2">
      <c r="A912" s="2031"/>
      <c r="B912" s="1968"/>
      <c r="C912" s="2032"/>
      <c r="D912" s="2033"/>
      <c r="E912" s="2000"/>
      <c r="F912" s="2000"/>
      <c r="G912" s="2000"/>
      <c r="H912" s="2000"/>
      <c r="I912" s="1968"/>
      <c r="J912" s="1968"/>
      <c r="K912" s="2000"/>
      <c r="L912" s="2000"/>
      <c r="M912" s="1968"/>
      <c r="N912" s="1968"/>
      <c r="O912" s="1968"/>
      <c r="P912" s="1968"/>
      <c r="Q912" s="1968"/>
      <c r="R912" s="1968"/>
      <c r="S912" s="1968"/>
      <c r="T912" s="1968"/>
    </row>
    <row r="913" spans="1:20" x14ac:dyDescent="0.2">
      <c r="A913" s="2031"/>
      <c r="B913" s="1968"/>
      <c r="C913" s="2032"/>
      <c r="D913" s="2033"/>
      <c r="E913" s="2000"/>
      <c r="F913" s="2000"/>
      <c r="G913" s="2000"/>
      <c r="H913" s="2000"/>
      <c r="I913" s="1968"/>
      <c r="J913" s="1968"/>
      <c r="K913" s="2000"/>
      <c r="L913" s="2000"/>
      <c r="M913" s="1968"/>
      <c r="N913" s="1968"/>
      <c r="O913" s="1968"/>
      <c r="P913" s="1968"/>
      <c r="Q913" s="1968"/>
      <c r="R913" s="1968"/>
      <c r="S913" s="1968"/>
      <c r="T913" s="1968"/>
    </row>
    <row r="914" spans="1:20" x14ac:dyDescent="0.2">
      <c r="A914" s="2031"/>
      <c r="B914" s="1968"/>
      <c r="C914" s="2032"/>
      <c r="D914" s="2033"/>
      <c r="E914" s="2000"/>
      <c r="F914" s="2000"/>
      <c r="G914" s="2000"/>
      <c r="H914" s="2000"/>
      <c r="I914" s="1968"/>
      <c r="J914" s="1968"/>
      <c r="K914" s="2000"/>
      <c r="L914" s="2000"/>
      <c r="M914" s="1968"/>
      <c r="N914" s="1968"/>
      <c r="O914" s="1968"/>
      <c r="P914" s="1968"/>
      <c r="Q914" s="1968"/>
      <c r="R914" s="1968"/>
      <c r="S914" s="1968"/>
      <c r="T914" s="1968"/>
    </row>
    <row r="915" spans="1:20" x14ac:dyDescent="0.2">
      <c r="A915" s="2031"/>
      <c r="B915" s="1968"/>
      <c r="C915" s="2032"/>
      <c r="D915" s="2033"/>
      <c r="E915" s="2000"/>
      <c r="F915" s="2000"/>
      <c r="G915" s="2000"/>
      <c r="H915" s="2000"/>
      <c r="I915" s="1968"/>
      <c r="J915" s="1968"/>
      <c r="K915" s="2000"/>
      <c r="L915" s="2000"/>
      <c r="M915" s="1968"/>
      <c r="N915" s="1968"/>
      <c r="O915" s="1968"/>
      <c r="P915" s="1968"/>
      <c r="Q915" s="1968"/>
      <c r="R915" s="1968"/>
      <c r="S915" s="1968"/>
      <c r="T915" s="1968"/>
    </row>
    <row r="916" spans="1:20" x14ac:dyDescent="0.2">
      <c r="A916" s="2031"/>
      <c r="B916" s="1968"/>
      <c r="C916" s="2032"/>
      <c r="D916" s="2033"/>
      <c r="E916" s="2000"/>
      <c r="F916" s="2000"/>
      <c r="G916" s="2000"/>
      <c r="H916" s="2000"/>
      <c r="I916" s="1968"/>
      <c r="J916" s="1968"/>
      <c r="K916" s="2000"/>
      <c r="L916" s="2000"/>
      <c r="M916" s="1968"/>
      <c r="N916" s="1968"/>
      <c r="O916" s="1968"/>
      <c r="P916" s="1968"/>
      <c r="Q916" s="1968"/>
      <c r="R916" s="1968"/>
      <c r="S916" s="1968"/>
      <c r="T916" s="1968"/>
    </row>
    <row r="917" spans="1:20" x14ac:dyDescent="0.2">
      <c r="A917" s="2031"/>
      <c r="B917" s="1968"/>
      <c r="C917" s="2032"/>
      <c r="D917" s="2033"/>
      <c r="E917" s="2000"/>
      <c r="F917" s="2000"/>
      <c r="G917" s="2000"/>
      <c r="H917" s="2000"/>
      <c r="I917" s="1968"/>
      <c r="J917" s="1968"/>
      <c r="K917" s="2000"/>
      <c r="L917" s="2000"/>
      <c r="M917" s="1968"/>
      <c r="N917" s="1968"/>
      <c r="O917" s="1968"/>
      <c r="P917" s="1968"/>
      <c r="Q917" s="1968"/>
      <c r="R917" s="1968"/>
      <c r="S917" s="1968"/>
      <c r="T917" s="1968"/>
    </row>
    <row r="918" spans="1:20" x14ac:dyDescent="0.2">
      <c r="A918" s="2031"/>
      <c r="B918" s="1968"/>
      <c r="C918" s="2032"/>
      <c r="D918" s="2033"/>
      <c r="E918" s="2000"/>
      <c r="F918" s="2000"/>
      <c r="G918" s="2000"/>
      <c r="H918" s="2000"/>
      <c r="I918" s="1968"/>
      <c r="J918" s="1968"/>
      <c r="K918" s="2000"/>
      <c r="L918" s="2000"/>
      <c r="M918" s="1968"/>
      <c r="N918" s="1968"/>
      <c r="O918" s="1968"/>
      <c r="P918" s="1968"/>
      <c r="Q918" s="1968"/>
      <c r="R918" s="1968"/>
      <c r="S918" s="1968"/>
      <c r="T918" s="1968"/>
    </row>
    <row r="919" spans="1:20" x14ac:dyDescent="0.2">
      <c r="A919" s="2031"/>
      <c r="B919" s="1968"/>
      <c r="C919" s="2032"/>
      <c r="D919" s="2033"/>
      <c r="E919" s="2000"/>
      <c r="F919" s="2000"/>
      <c r="G919" s="2000"/>
      <c r="H919" s="2000"/>
      <c r="I919" s="1968"/>
      <c r="J919" s="1968"/>
      <c r="K919" s="2000"/>
      <c r="L919" s="2000"/>
      <c r="M919" s="1968"/>
      <c r="N919" s="1968"/>
      <c r="O919" s="1968"/>
      <c r="P919" s="1968"/>
      <c r="Q919" s="1968"/>
      <c r="R919" s="1968"/>
      <c r="S919" s="1968"/>
      <c r="T919" s="1968"/>
    </row>
    <row r="920" spans="1:20" x14ac:dyDescent="0.2">
      <c r="A920" s="2031"/>
      <c r="B920" s="1968"/>
      <c r="C920" s="2032"/>
      <c r="D920" s="2033"/>
      <c r="E920" s="2000"/>
      <c r="F920" s="2000"/>
      <c r="G920" s="2000"/>
      <c r="H920" s="2000"/>
      <c r="I920" s="1968"/>
      <c r="J920" s="1968"/>
      <c r="K920" s="2000"/>
      <c r="L920" s="2000"/>
      <c r="M920" s="1968"/>
      <c r="N920" s="1968"/>
      <c r="O920" s="1968"/>
      <c r="P920" s="1968"/>
      <c r="Q920" s="1968"/>
      <c r="R920" s="1968"/>
      <c r="S920" s="1968"/>
      <c r="T920" s="1968"/>
    </row>
    <row r="921" spans="1:20" x14ac:dyDescent="0.2">
      <c r="A921" s="2031"/>
      <c r="B921" s="1968"/>
      <c r="C921" s="2032"/>
      <c r="D921" s="2033"/>
      <c r="E921" s="2000"/>
      <c r="F921" s="2000"/>
      <c r="G921" s="2000"/>
      <c r="H921" s="2000"/>
      <c r="I921" s="1968"/>
      <c r="J921" s="1968"/>
      <c r="K921" s="2000"/>
      <c r="L921" s="2000"/>
      <c r="M921" s="1968"/>
      <c r="N921" s="1968"/>
      <c r="O921" s="1968"/>
      <c r="P921" s="1968"/>
      <c r="Q921" s="1968"/>
      <c r="R921" s="1968"/>
      <c r="S921" s="1968"/>
      <c r="T921" s="1968"/>
    </row>
    <row r="922" spans="1:20" x14ac:dyDescent="0.2">
      <c r="A922" s="2031"/>
      <c r="B922" s="1968"/>
      <c r="C922" s="2032"/>
      <c r="D922" s="2033"/>
      <c r="E922" s="2000"/>
      <c r="F922" s="2000"/>
      <c r="G922" s="2000"/>
      <c r="H922" s="2000"/>
      <c r="I922" s="1968"/>
      <c r="J922" s="1968"/>
      <c r="K922" s="2000"/>
      <c r="L922" s="2000"/>
      <c r="M922" s="1968"/>
      <c r="N922" s="1968"/>
      <c r="O922" s="1968"/>
      <c r="P922" s="1968"/>
      <c r="Q922" s="1968"/>
      <c r="R922" s="1968"/>
      <c r="S922" s="1968"/>
      <c r="T922" s="1968"/>
    </row>
    <row r="923" spans="1:20" x14ac:dyDescent="0.2">
      <c r="A923" s="2031"/>
      <c r="B923" s="1968"/>
      <c r="C923" s="2032"/>
      <c r="D923" s="2033"/>
      <c r="E923" s="2000"/>
      <c r="F923" s="2000"/>
      <c r="G923" s="2000"/>
      <c r="H923" s="2000"/>
      <c r="I923" s="1968"/>
      <c r="J923" s="1968"/>
      <c r="K923" s="2000"/>
      <c r="L923" s="2000"/>
      <c r="M923" s="1968"/>
      <c r="N923" s="1968"/>
      <c r="O923" s="1968"/>
      <c r="P923" s="1968"/>
      <c r="Q923" s="1968"/>
      <c r="R923" s="1968"/>
      <c r="S923" s="1968"/>
      <c r="T923" s="1968"/>
    </row>
    <row r="924" spans="1:20" x14ac:dyDescent="0.2">
      <c r="A924" s="2031"/>
      <c r="B924" s="1968"/>
      <c r="C924" s="2032"/>
      <c r="D924" s="2033"/>
      <c r="E924" s="2000"/>
      <c r="F924" s="2000"/>
      <c r="G924" s="2000"/>
      <c r="H924" s="2000"/>
      <c r="I924" s="1968"/>
      <c r="J924" s="1968"/>
      <c r="K924" s="2000"/>
      <c r="L924" s="2000"/>
      <c r="M924" s="1968"/>
      <c r="N924" s="1968"/>
      <c r="O924" s="1968"/>
      <c r="P924" s="1968"/>
      <c r="Q924" s="1968"/>
      <c r="R924" s="1968"/>
      <c r="S924" s="1968"/>
      <c r="T924" s="1968"/>
    </row>
    <row r="925" spans="1:20" x14ac:dyDescent="0.2">
      <c r="A925" s="2031"/>
      <c r="B925" s="1968"/>
      <c r="C925" s="2032"/>
      <c r="D925" s="2033"/>
      <c r="E925" s="2000"/>
      <c r="F925" s="2000"/>
      <c r="G925" s="2000"/>
      <c r="H925" s="2000"/>
      <c r="I925" s="1968"/>
      <c r="J925" s="1968"/>
      <c r="K925" s="2000"/>
      <c r="L925" s="2000"/>
      <c r="M925" s="1968"/>
      <c r="N925" s="1968"/>
      <c r="O925" s="1968"/>
      <c r="P925" s="1968"/>
      <c r="Q925" s="1968"/>
      <c r="R925" s="1968"/>
      <c r="S925" s="1968"/>
      <c r="T925" s="1968"/>
    </row>
    <row r="926" spans="1:20" x14ac:dyDescent="0.2">
      <c r="A926" s="2031"/>
      <c r="B926" s="1968"/>
      <c r="C926" s="2032"/>
      <c r="D926" s="2033"/>
      <c r="E926" s="2000"/>
      <c r="F926" s="2000"/>
      <c r="G926" s="2000"/>
      <c r="H926" s="2000"/>
      <c r="I926" s="1968"/>
      <c r="J926" s="1968"/>
      <c r="K926" s="2000"/>
      <c r="L926" s="2000"/>
      <c r="M926" s="1968"/>
      <c r="N926" s="1968"/>
      <c r="O926" s="1968"/>
      <c r="P926" s="1968"/>
      <c r="Q926" s="1968"/>
      <c r="R926" s="1968"/>
      <c r="S926" s="1968"/>
      <c r="T926" s="1968"/>
    </row>
    <row r="927" spans="1:20" x14ac:dyDescent="0.2">
      <c r="A927" s="2031"/>
      <c r="B927" s="1968"/>
      <c r="C927" s="2032"/>
      <c r="D927" s="2033"/>
      <c r="E927" s="2000"/>
      <c r="F927" s="2000"/>
      <c r="G927" s="2000"/>
      <c r="H927" s="2000"/>
      <c r="I927" s="1968"/>
      <c r="J927" s="1968"/>
      <c r="K927" s="2000"/>
      <c r="L927" s="2000"/>
      <c r="M927" s="1968"/>
      <c r="N927" s="1968"/>
      <c r="O927" s="1968"/>
      <c r="P927" s="1968"/>
      <c r="Q927" s="1968"/>
      <c r="R927" s="1968"/>
      <c r="S927" s="1968"/>
      <c r="T927" s="1968"/>
    </row>
    <row r="928" spans="1:20" x14ac:dyDescent="0.2">
      <c r="A928" s="2031"/>
      <c r="B928" s="1968"/>
      <c r="C928" s="2032"/>
      <c r="D928" s="2033"/>
      <c r="E928" s="2000"/>
      <c r="F928" s="2000"/>
      <c r="G928" s="2000"/>
      <c r="H928" s="2000"/>
      <c r="I928" s="1968"/>
      <c r="J928" s="1968"/>
      <c r="K928" s="2000"/>
      <c r="L928" s="2000"/>
      <c r="M928" s="1968"/>
      <c r="N928" s="1968"/>
      <c r="O928" s="1968"/>
      <c r="P928" s="1968"/>
      <c r="Q928" s="1968"/>
      <c r="R928" s="1968"/>
      <c r="S928" s="1968"/>
      <c r="T928" s="1968"/>
    </row>
    <row r="929" spans="1:20" x14ac:dyDescent="0.2">
      <c r="A929" s="2031"/>
      <c r="B929" s="1968"/>
      <c r="C929" s="2032"/>
      <c r="D929" s="2033"/>
      <c r="E929" s="2000"/>
      <c r="F929" s="2000"/>
      <c r="G929" s="2000"/>
      <c r="H929" s="2000"/>
      <c r="I929" s="1968"/>
      <c r="J929" s="1968"/>
      <c r="K929" s="2000"/>
      <c r="L929" s="2000"/>
      <c r="M929" s="1968"/>
      <c r="N929" s="1968"/>
      <c r="O929" s="1968"/>
      <c r="P929" s="1968"/>
      <c r="Q929" s="1968"/>
      <c r="R929" s="1968"/>
      <c r="S929" s="1968"/>
      <c r="T929" s="1968"/>
    </row>
    <row r="930" spans="1:20" x14ac:dyDescent="0.2">
      <c r="A930" s="2031"/>
      <c r="B930" s="1968"/>
      <c r="C930" s="2032"/>
      <c r="D930" s="2033"/>
      <c r="E930" s="2000"/>
      <c r="F930" s="2000"/>
      <c r="G930" s="2000"/>
      <c r="H930" s="2000"/>
      <c r="I930" s="1968"/>
      <c r="J930" s="1968"/>
      <c r="K930" s="2000"/>
      <c r="L930" s="2000"/>
      <c r="M930" s="1968"/>
      <c r="N930" s="1968"/>
      <c r="O930" s="1968"/>
      <c r="P930" s="1968"/>
      <c r="Q930" s="1968"/>
      <c r="R930" s="1968"/>
      <c r="S930" s="1968"/>
      <c r="T930" s="1968"/>
    </row>
    <row r="931" spans="1:20" x14ac:dyDescent="0.2">
      <c r="A931" s="2031"/>
      <c r="B931" s="1968"/>
      <c r="C931" s="2032"/>
      <c r="D931" s="2033"/>
      <c r="E931" s="2000"/>
      <c r="F931" s="2000"/>
      <c r="G931" s="2000"/>
      <c r="H931" s="2000"/>
      <c r="I931" s="1968"/>
      <c r="J931" s="1968"/>
      <c r="K931" s="2000"/>
      <c r="L931" s="2000"/>
      <c r="M931" s="1968"/>
      <c r="N931" s="1968"/>
      <c r="O931" s="1968"/>
      <c r="P931" s="1968"/>
      <c r="Q931" s="1968"/>
      <c r="R931" s="1968"/>
      <c r="S931" s="1968"/>
      <c r="T931" s="1968"/>
    </row>
    <row r="932" spans="1:20" x14ac:dyDescent="0.2">
      <c r="A932" s="2031"/>
      <c r="B932" s="1968"/>
      <c r="C932" s="2032"/>
      <c r="D932" s="2033"/>
      <c r="E932" s="2000"/>
      <c r="F932" s="2000"/>
      <c r="G932" s="2000"/>
      <c r="H932" s="2000"/>
      <c r="I932" s="1968"/>
      <c r="J932" s="1968"/>
      <c r="K932" s="2000"/>
      <c r="L932" s="2000"/>
      <c r="M932" s="1968"/>
      <c r="N932" s="1968"/>
      <c r="O932" s="1968"/>
      <c r="P932" s="1968"/>
      <c r="Q932" s="1968"/>
      <c r="R932" s="1968"/>
      <c r="S932" s="1968"/>
      <c r="T932" s="1968"/>
    </row>
    <row r="933" spans="1:20" x14ac:dyDescent="0.2">
      <c r="A933" s="2031"/>
      <c r="B933" s="1968"/>
      <c r="C933" s="2032"/>
      <c r="D933" s="2033"/>
      <c r="E933" s="2000"/>
      <c r="F933" s="2000"/>
      <c r="G933" s="2000"/>
      <c r="H933" s="2000"/>
      <c r="I933" s="1968"/>
      <c r="J933" s="1968"/>
      <c r="K933" s="2000"/>
      <c r="L933" s="2000"/>
      <c r="M933" s="1968"/>
      <c r="N933" s="1968"/>
      <c r="O933" s="1968"/>
      <c r="P933" s="1968"/>
      <c r="Q933" s="1968"/>
      <c r="R933" s="1968"/>
      <c r="S933" s="1968"/>
      <c r="T933" s="1968"/>
    </row>
    <row r="934" spans="1:20" x14ac:dyDescent="0.2">
      <c r="A934" s="2031"/>
      <c r="B934" s="1968"/>
      <c r="C934" s="2032"/>
      <c r="D934" s="2033"/>
      <c r="E934" s="2000"/>
      <c r="F934" s="2000"/>
      <c r="G934" s="2000"/>
      <c r="H934" s="2000"/>
      <c r="I934" s="1968"/>
      <c r="J934" s="1968"/>
      <c r="K934" s="2000"/>
      <c r="L934" s="2000"/>
      <c r="M934" s="1968"/>
      <c r="N934" s="1968"/>
      <c r="O934" s="1968"/>
      <c r="P934" s="1968"/>
      <c r="Q934" s="1968"/>
      <c r="R934" s="1968"/>
      <c r="S934" s="1968"/>
      <c r="T934" s="1968"/>
    </row>
    <row r="935" spans="1:20" x14ac:dyDescent="0.2">
      <c r="A935" s="2031"/>
      <c r="B935" s="1968"/>
      <c r="C935" s="2032"/>
      <c r="D935" s="2033"/>
      <c r="E935" s="2000"/>
      <c r="F935" s="2000"/>
      <c r="G935" s="2000"/>
      <c r="H935" s="2000"/>
      <c r="I935" s="1968"/>
      <c r="J935" s="1968"/>
      <c r="K935" s="2000"/>
      <c r="L935" s="2000"/>
      <c r="M935" s="1968"/>
      <c r="N935" s="1968"/>
      <c r="O935" s="1968"/>
      <c r="P935" s="1968"/>
      <c r="Q935" s="1968"/>
      <c r="R935" s="1968"/>
      <c r="S935" s="1968"/>
      <c r="T935" s="1968"/>
    </row>
    <row r="936" spans="1:20" x14ac:dyDescent="0.2">
      <c r="A936" s="2031"/>
      <c r="B936" s="1968"/>
      <c r="C936" s="2032"/>
      <c r="D936" s="2033"/>
      <c r="E936" s="2000"/>
      <c r="F936" s="2000"/>
      <c r="G936" s="2000"/>
      <c r="H936" s="2000"/>
      <c r="I936" s="1968"/>
      <c r="J936" s="1968"/>
      <c r="K936" s="2000"/>
      <c r="L936" s="2000"/>
      <c r="M936" s="1968"/>
      <c r="N936" s="1968"/>
      <c r="O936" s="1968"/>
      <c r="P936" s="1968"/>
      <c r="Q936" s="1968"/>
      <c r="R936" s="1968"/>
      <c r="S936" s="1968"/>
      <c r="T936" s="1968"/>
    </row>
    <row r="937" spans="1:20" x14ac:dyDescent="0.2">
      <c r="A937" s="2031"/>
      <c r="B937" s="1968"/>
      <c r="C937" s="2032"/>
      <c r="D937" s="2033"/>
      <c r="E937" s="2000"/>
      <c r="F937" s="2000"/>
      <c r="G937" s="2000"/>
      <c r="H937" s="2000"/>
      <c r="I937" s="1968"/>
      <c r="J937" s="1968"/>
      <c r="K937" s="2000"/>
      <c r="L937" s="2000"/>
      <c r="M937" s="1968"/>
      <c r="N937" s="1968"/>
      <c r="O937" s="1968"/>
      <c r="P937" s="1968"/>
      <c r="Q937" s="1968"/>
      <c r="R937" s="1968"/>
      <c r="S937" s="1968"/>
      <c r="T937" s="1968"/>
    </row>
    <row r="938" spans="1:20" x14ac:dyDescent="0.2">
      <c r="A938" s="2031"/>
      <c r="B938" s="1968"/>
      <c r="C938" s="2032"/>
      <c r="D938" s="2033"/>
      <c r="E938" s="2000"/>
      <c r="F938" s="2000"/>
      <c r="G938" s="2000"/>
      <c r="H938" s="2000"/>
      <c r="I938" s="1968"/>
      <c r="J938" s="1968"/>
      <c r="K938" s="2000"/>
      <c r="L938" s="2000"/>
      <c r="M938" s="1968"/>
      <c r="N938" s="1968"/>
      <c r="O938" s="1968"/>
      <c r="P938" s="1968"/>
      <c r="Q938" s="1968"/>
      <c r="R938" s="1968"/>
      <c r="S938" s="1968"/>
      <c r="T938" s="1968"/>
    </row>
    <row r="939" spans="1:20" x14ac:dyDescent="0.2">
      <c r="A939" s="2031"/>
      <c r="B939" s="1968"/>
      <c r="C939" s="2032"/>
      <c r="D939" s="2033"/>
      <c r="E939" s="2000"/>
      <c r="F939" s="2000"/>
      <c r="G939" s="2000"/>
      <c r="H939" s="2000"/>
      <c r="I939" s="1968"/>
      <c r="J939" s="1968"/>
      <c r="K939" s="2000"/>
      <c r="L939" s="2000"/>
      <c r="M939" s="1968"/>
      <c r="N939" s="1968"/>
      <c r="O939" s="1968"/>
      <c r="P939" s="1968"/>
      <c r="Q939" s="1968"/>
      <c r="R939" s="1968"/>
      <c r="S939" s="1968"/>
      <c r="T939" s="1968"/>
    </row>
    <row r="940" spans="1:20" x14ac:dyDescent="0.2">
      <c r="A940" s="2031"/>
      <c r="B940" s="1968"/>
      <c r="C940" s="2032"/>
      <c r="D940" s="2033"/>
      <c r="E940" s="2000"/>
      <c r="F940" s="2000"/>
      <c r="G940" s="2000"/>
      <c r="H940" s="2000"/>
      <c r="I940" s="1968"/>
      <c r="J940" s="1968"/>
      <c r="K940" s="2000"/>
      <c r="L940" s="2000"/>
      <c r="M940" s="1968"/>
      <c r="N940" s="1968"/>
      <c r="O940" s="1968"/>
      <c r="P940" s="1968"/>
      <c r="Q940" s="1968"/>
      <c r="R940" s="1968"/>
      <c r="S940" s="1968"/>
      <c r="T940" s="1968"/>
    </row>
    <row r="941" spans="1:20" x14ac:dyDescent="0.2">
      <c r="A941" s="2031"/>
      <c r="B941" s="1968"/>
      <c r="C941" s="2032"/>
      <c r="D941" s="2033"/>
      <c r="E941" s="2000"/>
      <c r="F941" s="2000"/>
      <c r="G941" s="2000"/>
      <c r="H941" s="2000"/>
      <c r="I941" s="1968"/>
      <c r="J941" s="1968"/>
      <c r="K941" s="2000"/>
      <c r="L941" s="2000"/>
      <c r="M941" s="1968"/>
      <c r="N941" s="1968"/>
      <c r="O941" s="1968"/>
      <c r="P941" s="1968"/>
      <c r="Q941" s="1968"/>
      <c r="R941" s="1968"/>
      <c r="S941" s="1968"/>
      <c r="T941" s="1968"/>
    </row>
    <row r="942" spans="1:20" x14ac:dyDescent="0.2">
      <c r="A942" s="2031"/>
      <c r="B942" s="1968"/>
      <c r="C942" s="2032"/>
      <c r="D942" s="2033"/>
      <c r="E942" s="2000"/>
      <c r="F942" s="2000"/>
      <c r="G942" s="2000"/>
      <c r="H942" s="2000"/>
      <c r="I942" s="1968"/>
      <c r="J942" s="1968"/>
      <c r="K942" s="2000"/>
      <c r="L942" s="2000"/>
      <c r="M942" s="1968"/>
      <c r="N942" s="1968"/>
      <c r="O942" s="1968"/>
      <c r="P942" s="1968"/>
      <c r="Q942" s="1968"/>
      <c r="R942" s="1968"/>
      <c r="S942" s="1968"/>
      <c r="T942" s="1968"/>
    </row>
    <row r="943" spans="1:20" x14ac:dyDescent="0.2">
      <c r="A943" s="2031"/>
      <c r="B943" s="1968"/>
      <c r="C943" s="2032"/>
      <c r="D943" s="2033"/>
      <c r="E943" s="2000"/>
      <c r="F943" s="2000"/>
      <c r="G943" s="2000"/>
      <c r="H943" s="2000"/>
      <c r="I943" s="1968"/>
      <c r="J943" s="1968"/>
      <c r="K943" s="2000"/>
      <c r="L943" s="2000"/>
      <c r="M943" s="1968"/>
      <c r="N943" s="1968"/>
      <c r="O943" s="1968"/>
      <c r="P943" s="1968"/>
      <c r="Q943" s="1968"/>
      <c r="R943" s="1968"/>
      <c r="S943" s="1968"/>
      <c r="T943" s="1968"/>
    </row>
    <row r="944" spans="1:20" x14ac:dyDescent="0.2">
      <c r="A944" s="2031"/>
      <c r="B944" s="1968"/>
      <c r="C944" s="2032"/>
      <c r="D944" s="2033"/>
      <c r="E944" s="2000"/>
      <c r="F944" s="2000"/>
      <c r="G944" s="2000"/>
      <c r="H944" s="2000"/>
      <c r="I944" s="1968"/>
      <c r="J944" s="1968"/>
      <c r="K944" s="2000"/>
      <c r="L944" s="2000"/>
      <c r="M944" s="1968"/>
      <c r="N944" s="1968"/>
      <c r="O944" s="1968"/>
      <c r="P944" s="1968"/>
      <c r="Q944" s="1968"/>
      <c r="R944" s="1968"/>
      <c r="S944" s="1968"/>
      <c r="T944" s="1968"/>
    </row>
    <row r="945" spans="1:20" x14ac:dyDescent="0.2">
      <c r="A945" s="2031"/>
      <c r="B945" s="1968"/>
      <c r="C945" s="2032"/>
      <c r="D945" s="2033"/>
      <c r="E945" s="2000"/>
      <c r="F945" s="2000"/>
      <c r="G945" s="2000"/>
      <c r="H945" s="2000"/>
      <c r="I945" s="1968"/>
      <c r="J945" s="1968"/>
      <c r="K945" s="2000"/>
      <c r="L945" s="2000"/>
      <c r="M945" s="1968"/>
      <c r="N945" s="1968"/>
      <c r="O945" s="1968"/>
      <c r="P945" s="1968"/>
      <c r="Q945" s="1968"/>
      <c r="R945" s="1968"/>
      <c r="S945" s="1968"/>
      <c r="T945" s="1968"/>
    </row>
    <row r="946" spans="1:20" x14ac:dyDescent="0.2">
      <c r="A946" s="2031"/>
      <c r="B946" s="1968"/>
      <c r="C946" s="2032"/>
      <c r="D946" s="2033"/>
      <c r="E946" s="2000"/>
      <c r="F946" s="2000"/>
      <c r="G946" s="2000"/>
      <c r="H946" s="2000"/>
      <c r="I946" s="1968"/>
      <c r="J946" s="1968"/>
      <c r="K946" s="2000"/>
      <c r="L946" s="2000"/>
      <c r="M946" s="1968"/>
      <c r="N946" s="1968"/>
      <c r="O946" s="1968"/>
      <c r="P946" s="1968"/>
      <c r="Q946" s="1968"/>
      <c r="R946" s="1968"/>
      <c r="S946" s="1968"/>
      <c r="T946" s="1968"/>
    </row>
    <row r="947" spans="1:20" x14ac:dyDescent="0.2">
      <c r="A947" s="2031"/>
      <c r="B947" s="1968"/>
      <c r="C947" s="2032"/>
      <c r="D947" s="2033"/>
      <c r="E947" s="2000"/>
      <c r="F947" s="2000"/>
      <c r="G947" s="2000"/>
      <c r="H947" s="2000"/>
      <c r="I947" s="1968"/>
      <c r="J947" s="1968"/>
      <c r="K947" s="2000"/>
      <c r="L947" s="2000"/>
      <c r="M947" s="1968"/>
      <c r="N947" s="1968"/>
      <c r="O947" s="1968"/>
      <c r="P947" s="1968"/>
      <c r="Q947" s="1968"/>
      <c r="R947" s="1968"/>
      <c r="S947" s="1968"/>
      <c r="T947" s="1968"/>
    </row>
    <row r="948" spans="1:20" x14ac:dyDescent="0.2">
      <c r="A948" s="2031"/>
      <c r="B948" s="1968"/>
      <c r="C948" s="2032"/>
      <c r="D948" s="2033"/>
      <c r="E948" s="2000"/>
      <c r="F948" s="2000"/>
      <c r="G948" s="2000"/>
      <c r="H948" s="2000"/>
      <c r="I948" s="1968"/>
      <c r="J948" s="1968"/>
      <c r="K948" s="2000"/>
      <c r="L948" s="2000"/>
      <c r="M948" s="1968"/>
      <c r="N948" s="1968"/>
      <c r="O948" s="1968"/>
      <c r="P948" s="1968"/>
      <c r="Q948" s="1968"/>
      <c r="R948" s="1968"/>
      <c r="S948" s="1968"/>
      <c r="T948" s="1968"/>
    </row>
    <row r="949" spans="1:20" x14ac:dyDescent="0.2">
      <c r="A949" s="2031"/>
      <c r="B949" s="1968"/>
      <c r="C949" s="2032"/>
      <c r="D949" s="2033"/>
      <c r="E949" s="2000"/>
      <c r="F949" s="2000"/>
      <c r="G949" s="2000"/>
      <c r="H949" s="2000"/>
      <c r="I949" s="1968"/>
      <c r="J949" s="1968"/>
      <c r="K949" s="2000"/>
      <c r="L949" s="2000"/>
      <c r="M949" s="1968"/>
      <c r="N949" s="1968"/>
      <c r="O949" s="1968"/>
      <c r="P949" s="1968"/>
      <c r="Q949" s="1968"/>
      <c r="R949" s="1968"/>
      <c r="S949" s="1968"/>
      <c r="T949" s="1968"/>
    </row>
    <row r="950" spans="1:20" x14ac:dyDescent="0.2">
      <c r="A950" s="2031"/>
      <c r="B950" s="1968"/>
      <c r="C950" s="2032"/>
      <c r="D950" s="2033"/>
      <c r="E950" s="2000"/>
      <c r="F950" s="2000"/>
      <c r="G950" s="2000"/>
      <c r="H950" s="2000"/>
      <c r="I950" s="1968"/>
      <c r="J950" s="1968"/>
      <c r="K950" s="2000"/>
      <c r="L950" s="2000"/>
      <c r="M950" s="1968"/>
      <c r="N950" s="1968"/>
      <c r="O950" s="1968"/>
      <c r="P950" s="1968"/>
      <c r="Q950" s="1968"/>
      <c r="R950" s="1968"/>
      <c r="S950" s="1968"/>
      <c r="T950" s="1968"/>
    </row>
    <row r="951" spans="1:20" x14ac:dyDescent="0.2">
      <c r="A951" s="2031"/>
      <c r="B951" s="1968"/>
      <c r="C951" s="2032"/>
      <c r="D951" s="2033"/>
      <c r="E951" s="2000"/>
      <c r="F951" s="2000"/>
      <c r="G951" s="2000"/>
      <c r="H951" s="2000"/>
      <c r="I951" s="1968"/>
      <c r="J951" s="1968"/>
      <c r="K951" s="2000"/>
      <c r="L951" s="2000"/>
      <c r="M951" s="1968"/>
      <c r="N951" s="1968"/>
      <c r="O951" s="1968"/>
      <c r="P951" s="1968"/>
      <c r="Q951" s="1968"/>
      <c r="R951" s="1968"/>
      <c r="S951" s="1968"/>
      <c r="T951" s="1968"/>
    </row>
    <row r="952" spans="1:20" x14ac:dyDescent="0.2">
      <c r="A952" s="2031"/>
      <c r="B952" s="1968"/>
      <c r="C952" s="2032"/>
      <c r="D952" s="2033"/>
      <c r="E952" s="2000"/>
      <c r="F952" s="2000"/>
      <c r="G952" s="2000"/>
      <c r="H952" s="2000"/>
      <c r="I952" s="1968"/>
      <c r="J952" s="1968"/>
      <c r="K952" s="2000"/>
      <c r="L952" s="2000"/>
      <c r="M952" s="1968"/>
      <c r="N952" s="1968"/>
      <c r="O952" s="1968"/>
      <c r="P952" s="1968"/>
      <c r="Q952" s="1968"/>
      <c r="R952" s="1968"/>
      <c r="S952" s="1968"/>
      <c r="T952" s="1968"/>
    </row>
    <row r="953" spans="1:20" x14ac:dyDescent="0.2">
      <c r="A953" s="2031"/>
      <c r="B953" s="1968"/>
      <c r="C953" s="2032"/>
      <c r="D953" s="2033"/>
      <c r="E953" s="2000"/>
      <c r="F953" s="2000"/>
      <c r="G953" s="2000"/>
      <c r="H953" s="2000"/>
      <c r="I953" s="1968"/>
      <c r="J953" s="1968"/>
      <c r="K953" s="2000"/>
      <c r="L953" s="2000"/>
      <c r="M953" s="1968"/>
      <c r="N953" s="1968"/>
      <c r="O953" s="1968"/>
      <c r="P953" s="1968"/>
      <c r="Q953" s="1968"/>
      <c r="R953" s="1968"/>
      <c r="S953" s="1968"/>
      <c r="T953" s="1968"/>
    </row>
    <row r="954" spans="1:20" x14ac:dyDescent="0.2">
      <c r="A954" s="2031"/>
      <c r="B954" s="1968"/>
      <c r="C954" s="2032"/>
      <c r="D954" s="2033"/>
      <c r="E954" s="2000"/>
      <c r="F954" s="2000"/>
      <c r="G954" s="2000"/>
      <c r="H954" s="2000"/>
      <c r="I954" s="1968"/>
      <c r="J954" s="1968"/>
      <c r="K954" s="2000"/>
      <c r="L954" s="2000"/>
      <c r="M954" s="1968"/>
      <c r="N954" s="1968"/>
      <c r="O954" s="1968"/>
      <c r="P954" s="1968"/>
      <c r="Q954" s="1968"/>
      <c r="R954" s="1968"/>
      <c r="S954" s="1968"/>
      <c r="T954" s="1968"/>
    </row>
    <row r="955" spans="1:20" x14ac:dyDescent="0.2">
      <c r="A955" s="2031"/>
      <c r="B955" s="1968"/>
      <c r="C955" s="2032"/>
      <c r="D955" s="2033"/>
      <c r="E955" s="2000"/>
      <c r="F955" s="2000"/>
      <c r="G955" s="2000"/>
      <c r="H955" s="2000"/>
      <c r="I955" s="1968"/>
      <c r="J955" s="1968"/>
      <c r="K955" s="2000"/>
      <c r="L955" s="2000"/>
      <c r="M955" s="1968"/>
      <c r="N955" s="1968"/>
      <c r="O955" s="1968"/>
      <c r="P955" s="1968"/>
      <c r="Q955" s="1968"/>
      <c r="R955" s="1968"/>
      <c r="S955" s="1968"/>
      <c r="T955" s="1968"/>
    </row>
    <row r="956" spans="1:20" x14ac:dyDescent="0.2">
      <c r="A956" s="2031"/>
      <c r="B956" s="1968"/>
      <c r="C956" s="2032"/>
      <c r="D956" s="2033"/>
      <c r="E956" s="2000"/>
      <c r="F956" s="2000"/>
      <c r="G956" s="2000"/>
      <c r="H956" s="2000"/>
      <c r="I956" s="1968"/>
      <c r="J956" s="1968"/>
      <c r="K956" s="2000"/>
      <c r="L956" s="2000"/>
      <c r="M956" s="1968"/>
      <c r="N956" s="1968"/>
      <c r="O956" s="1968"/>
      <c r="P956" s="1968"/>
      <c r="Q956" s="1968"/>
      <c r="R956" s="1968"/>
      <c r="S956" s="1968"/>
      <c r="T956" s="1968"/>
    </row>
    <row r="957" spans="1:20" x14ac:dyDescent="0.2">
      <c r="A957" s="2031"/>
      <c r="B957" s="1968"/>
      <c r="C957" s="2032"/>
      <c r="D957" s="2033"/>
      <c r="E957" s="2000"/>
      <c r="F957" s="2000"/>
      <c r="G957" s="2000"/>
      <c r="H957" s="2000"/>
      <c r="I957" s="1968"/>
      <c r="J957" s="1968"/>
      <c r="K957" s="2000"/>
      <c r="L957" s="2000"/>
      <c r="M957" s="1968"/>
      <c r="N957" s="1968"/>
      <c r="O957" s="1968"/>
      <c r="P957" s="1968"/>
      <c r="Q957" s="1968"/>
      <c r="R957" s="1968"/>
      <c r="S957" s="1968"/>
      <c r="T957" s="1968"/>
    </row>
    <row r="958" spans="1:20" x14ac:dyDescent="0.2">
      <c r="A958" s="2031"/>
      <c r="B958" s="1968"/>
      <c r="C958" s="2032"/>
      <c r="D958" s="2033"/>
      <c r="E958" s="2000"/>
      <c r="F958" s="2000"/>
      <c r="G958" s="2000"/>
      <c r="H958" s="2000"/>
      <c r="I958" s="1968"/>
      <c r="J958" s="1968"/>
      <c r="K958" s="2000"/>
      <c r="L958" s="2000"/>
      <c r="M958" s="1968"/>
      <c r="N958" s="1968"/>
      <c r="O958" s="1968"/>
      <c r="P958" s="1968"/>
      <c r="Q958" s="1968"/>
      <c r="R958" s="1968"/>
      <c r="S958" s="1968"/>
      <c r="T958" s="1968"/>
    </row>
    <row r="959" spans="1:20" x14ac:dyDescent="0.2">
      <c r="A959" s="2031"/>
      <c r="B959" s="1968"/>
      <c r="C959" s="2032"/>
      <c r="D959" s="2033"/>
      <c r="E959" s="2000"/>
      <c r="F959" s="2000"/>
      <c r="G959" s="2000"/>
      <c r="H959" s="2000"/>
      <c r="I959" s="1968"/>
      <c r="J959" s="1968"/>
      <c r="K959" s="2000"/>
      <c r="L959" s="2000"/>
      <c r="M959" s="1968"/>
      <c r="N959" s="1968"/>
      <c r="O959" s="1968"/>
      <c r="P959" s="1968"/>
      <c r="Q959" s="1968"/>
      <c r="R959" s="1968"/>
      <c r="S959" s="1968"/>
      <c r="T959" s="1968"/>
    </row>
    <row r="960" spans="1:20" x14ac:dyDescent="0.2">
      <c r="A960" s="2031"/>
      <c r="B960" s="1968"/>
      <c r="C960" s="2032"/>
      <c r="D960" s="2033"/>
      <c r="E960" s="2000"/>
      <c r="F960" s="2000"/>
      <c r="G960" s="2000"/>
      <c r="H960" s="2000"/>
      <c r="I960" s="1968"/>
      <c r="J960" s="1968"/>
      <c r="K960" s="2000"/>
      <c r="L960" s="2000"/>
      <c r="M960" s="1968"/>
      <c r="N960" s="1968"/>
      <c r="O960" s="1968"/>
      <c r="P960" s="1968"/>
      <c r="Q960" s="1968"/>
      <c r="R960" s="1968"/>
      <c r="S960" s="1968"/>
      <c r="T960" s="1968"/>
    </row>
    <row r="961" spans="1:20" x14ac:dyDescent="0.2">
      <c r="A961" s="2031"/>
      <c r="B961" s="1968"/>
      <c r="C961" s="2032"/>
      <c r="D961" s="2033"/>
      <c r="E961" s="2000"/>
      <c r="F961" s="2000"/>
      <c r="G961" s="2000"/>
      <c r="H961" s="2000"/>
      <c r="I961" s="1968"/>
      <c r="J961" s="1968"/>
      <c r="K961" s="2000"/>
      <c r="L961" s="2000"/>
      <c r="M961" s="1968"/>
      <c r="N961" s="1968"/>
      <c r="O961" s="1968"/>
      <c r="P961" s="1968"/>
      <c r="Q961" s="1968"/>
      <c r="R961" s="1968"/>
      <c r="S961" s="1968"/>
      <c r="T961" s="1968"/>
    </row>
    <row r="962" spans="1:20" x14ac:dyDescent="0.2">
      <c r="A962" s="2031"/>
      <c r="B962" s="1968"/>
      <c r="C962" s="2032"/>
      <c r="D962" s="2033"/>
      <c r="E962" s="2000"/>
      <c r="F962" s="2000"/>
      <c r="G962" s="2000"/>
      <c r="H962" s="2000"/>
      <c r="I962" s="1968"/>
      <c r="J962" s="1968"/>
      <c r="K962" s="2000"/>
      <c r="L962" s="2000"/>
      <c r="M962" s="1968"/>
      <c r="N962" s="1968"/>
      <c r="O962" s="1968"/>
      <c r="P962" s="1968"/>
      <c r="Q962" s="1968"/>
      <c r="R962" s="1968"/>
      <c r="S962" s="1968"/>
      <c r="T962" s="1968"/>
    </row>
    <row r="963" spans="1:20" x14ac:dyDescent="0.2">
      <c r="A963" s="2031"/>
      <c r="B963" s="1968"/>
      <c r="C963" s="2032"/>
      <c r="D963" s="2033"/>
      <c r="E963" s="2000"/>
      <c r="F963" s="2000"/>
      <c r="G963" s="2000"/>
      <c r="H963" s="2000"/>
      <c r="I963" s="1968"/>
      <c r="J963" s="1968"/>
      <c r="K963" s="2000"/>
      <c r="L963" s="2000"/>
      <c r="M963" s="1968"/>
      <c r="N963" s="1968"/>
      <c r="O963" s="1968"/>
      <c r="P963" s="1968"/>
      <c r="Q963" s="1968"/>
      <c r="R963" s="1968"/>
      <c r="S963" s="1968"/>
      <c r="T963" s="1968"/>
    </row>
    <row r="964" spans="1:20" x14ac:dyDescent="0.2">
      <c r="A964" s="2031"/>
      <c r="B964" s="1968"/>
      <c r="C964" s="2032"/>
      <c r="D964" s="2033"/>
      <c r="E964" s="2000"/>
      <c r="F964" s="2000"/>
      <c r="G964" s="2000"/>
      <c r="H964" s="2000"/>
      <c r="I964" s="1968"/>
      <c r="J964" s="1968"/>
      <c r="K964" s="2000"/>
      <c r="L964" s="2000"/>
      <c r="M964" s="1968"/>
      <c r="N964" s="1968"/>
      <c r="O964" s="1968"/>
      <c r="P964" s="1968"/>
      <c r="Q964" s="1968"/>
      <c r="R964" s="1968"/>
      <c r="S964" s="1968"/>
      <c r="T964" s="1968"/>
    </row>
    <row r="965" spans="1:20" x14ac:dyDescent="0.2">
      <c r="A965" s="2031"/>
      <c r="B965" s="1968"/>
      <c r="C965" s="2032"/>
      <c r="D965" s="2033"/>
      <c r="E965" s="2000"/>
      <c r="F965" s="2000"/>
      <c r="G965" s="2000"/>
      <c r="H965" s="2000"/>
      <c r="I965" s="1968"/>
      <c r="J965" s="1968"/>
      <c r="K965" s="2000"/>
      <c r="L965" s="2000"/>
      <c r="M965" s="1968"/>
      <c r="N965" s="1968"/>
      <c r="O965" s="1968"/>
      <c r="P965" s="1968"/>
      <c r="Q965" s="1968"/>
      <c r="R965" s="1968"/>
      <c r="S965" s="1968"/>
      <c r="T965" s="1968"/>
    </row>
    <row r="966" spans="1:20" x14ac:dyDescent="0.2">
      <c r="A966" s="2031"/>
      <c r="B966" s="1968"/>
      <c r="C966" s="2032"/>
      <c r="D966" s="2033"/>
      <c r="E966" s="2000"/>
      <c r="F966" s="2000"/>
      <c r="G966" s="2000"/>
      <c r="H966" s="2000"/>
      <c r="I966" s="1968"/>
      <c r="J966" s="1968"/>
      <c r="K966" s="2000"/>
      <c r="L966" s="2000"/>
      <c r="M966" s="1968"/>
      <c r="N966" s="1968"/>
      <c r="O966" s="1968"/>
      <c r="P966" s="1968"/>
      <c r="Q966" s="1968"/>
      <c r="R966" s="1968"/>
      <c r="S966" s="1968"/>
      <c r="T966" s="1968"/>
    </row>
    <row r="967" spans="1:20" x14ac:dyDescent="0.2">
      <c r="A967" s="2031"/>
      <c r="B967" s="1968"/>
      <c r="C967" s="2032"/>
      <c r="D967" s="2033"/>
      <c r="E967" s="2000"/>
      <c r="F967" s="2000"/>
      <c r="G967" s="2000"/>
      <c r="H967" s="2000"/>
      <c r="I967" s="1968"/>
      <c r="J967" s="1968"/>
      <c r="K967" s="2000"/>
      <c r="L967" s="2000"/>
      <c r="M967" s="1968"/>
      <c r="N967" s="1968"/>
      <c r="O967" s="1968"/>
      <c r="P967" s="1968"/>
      <c r="Q967" s="1968"/>
      <c r="R967" s="1968"/>
      <c r="S967" s="1968"/>
      <c r="T967" s="1968"/>
    </row>
    <row r="968" spans="1:20" x14ac:dyDescent="0.2">
      <c r="A968" s="2031"/>
      <c r="B968" s="1968"/>
      <c r="C968" s="2032"/>
      <c r="D968" s="2033"/>
      <c r="E968" s="2000"/>
      <c r="F968" s="2000"/>
      <c r="G968" s="2000"/>
      <c r="H968" s="2000"/>
      <c r="I968" s="1968"/>
      <c r="J968" s="1968"/>
      <c r="K968" s="2000"/>
      <c r="L968" s="2000"/>
      <c r="M968" s="1968"/>
      <c r="N968" s="1968"/>
      <c r="O968" s="1968"/>
      <c r="P968" s="1968"/>
      <c r="Q968" s="1968"/>
      <c r="R968" s="1968"/>
      <c r="S968" s="1968"/>
      <c r="T968" s="1968"/>
    </row>
    <row r="969" spans="1:20" x14ac:dyDescent="0.2">
      <c r="A969" s="2031"/>
      <c r="B969" s="1968"/>
      <c r="C969" s="2032"/>
      <c r="D969" s="2033"/>
      <c r="E969" s="2000"/>
      <c r="F969" s="2000"/>
      <c r="G969" s="2000"/>
      <c r="H969" s="2000"/>
      <c r="I969" s="1968"/>
      <c r="J969" s="1968"/>
      <c r="K969" s="2000"/>
      <c r="L969" s="2000"/>
      <c r="M969" s="1968"/>
      <c r="N969" s="1968"/>
      <c r="O969" s="1968"/>
      <c r="P969" s="1968"/>
      <c r="Q969" s="1968"/>
      <c r="R969" s="1968"/>
      <c r="S969" s="1968"/>
      <c r="T969" s="1968"/>
    </row>
    <row r="970" spans="1:20" x14ac:dyDescent="0.2">
      <c r="A970" s="2031"/>
      <c r="B970" s="1968"/>
      <c r="C970" s="2032"/>
      <c r="D970" s="2033"/>
      <c r="E970" s="2000"/>
      <c r="F970" s="2000"/>
      <c r="G970" s="2000"/>
      <c r="H970" s="2000"/>
      <c r="I970" s="1968"/>
      <c r="J970" s="1968"/>
      <c r="K970" s="2000"/>
      <c r="L970" s="2000"/>
      <c r="M970" s="1968"/>
      <c r="N970" s="1968"/>
      <c r="O970" s="1968"/>
      <c r="P970" s="1968"/>
      <c r="Q970" s="1968"/>
      <c r="R970" s="1968"/>
      <c r="S970" s="1968"/>
      <c r="T970" s="1968"/>
    </row>
    <row r="971" spans="1:20" x14ac:dyDescent="0.2">
      <c r="A971" s="2031"/>
      <c r="B971" s="1968"/>
      <c r="C971" s="2032"/>
      <c r="D971" s="2033"/>
      <c r="E971" s="2000"/>
      <c r="F971" s="2000"/>
      <c r="G971" s="2000"/>
      <c r="H971" s="2000"/>
      <c r="I971" s="1968"/>
      <c r="J971" s="1968"/>
      <c r="K971" s="2000"/>
      <c r="L971" s="2000"/>
      <c r="M971" s="1968"/>
      <c r="N971" s="1968"/>
      <c r="O971" s="1968"/>
      <c r="P971" s="1968"/>
      <c r="Q971" s="1968"/>
      <c r="R971" s="1968"/>
      <c r="S971" s="1968"/>
      <c r="T971" s="1968"/>
    </row>
    <row r="972" spans="1:20" x14ac:dyDescent="0.2">
      <c r="A972" s="2031"/>
      <c r="B972" s="1968"/>
      <c r="C972" s="2032"/>
      <c r="D972" s="2033"/>
      <c r="E972" s="2000"/>
      <c r="F972" s="2000"/>
      <c r="G972" s="2000"/>
      <c r="H972" s="2000"/>
      <c r="I972" s="1968"/>
      <c r="J972" s="1968"/>
      <c r="K972" s="2000"/>
      <c r="L972" s="2000"/>
      <c r="M972" s="1968"/>
      <c r="N972" s="1968"/>
      <c r="O972" s="1968"/>
      <c r="P972" s="1968"/>
      <c r="Q972" s="1968"/>
      <c r="R972" s="1968"/>
      <c r="S972" s="1968"/>
      <c r="T972" s="1968"/>
    </row>
    <row r="973" spans="1:20" x14ac:dyDescent="0.2">
      <c r="A973" s="2031"/>
      <c r="B973" s="1968"/>
      <c r="C973" s="2032"/>
      <c r="D973" s="2033"/>
      <c r="E973" s="2000"/>
      <c r="F973" s="2000"/>
      <c r="G973" s="2000"/>
      <c r="H973" s="2000"/>
      <c r="I973" s="1968"/>
      <c r="J973" s="1968"/>
      <c r="K973" s="2000"/>
      <c r="L973" s="2000"/>
      <c r="M973" s="1968"/>
      <c r="N973" s="1968"/>
      <c r="O973" s="1968"/>
      <c r="P973" s="1968"/>
      <c r="Q973" s="1968"/>
      <c r="R973" s="1968"/>
      <c r="S973" s="1968"/>
      <c r="T973" s="1968"/>
    </row>
    <row r="974" spans="1:20" x14ac:dyDescent="0.2">
      <c r="A974" s="2031"/>
      <c r="B974" s="1968"/>
      <c r="C974" s="2032"/>
      <c r="D974" s="2033"/>
      <c r="E974" s="2000"/>
      <c r="F974" s="2000"/>
      <c r="G974" s="2000"/>
      <c r="H974" s="2000"/>
      <c r="I974" s="1968"/>
      <c r="J974" s="1968"/>
      <c r="K974" s="2000"/>
      <c r="L974" s="2000"/>
      <c r="M974" s="1968"/>
      <c r="N974" s="1968"/>
      <c r="O974" s="1968"/>
      <c r="P974" s="1968"/>
      <c r="Q974" s="1968"/>
      <c r="R974" s="1968"/>
      <c r="S974" s="1968"/>
      <c r="T974" s="1968"/>
    </row>
    <row r="975" spans="1:20" x14ac:dyDescent="0.2">
      <c r="A975" s="2031"/>
      <c r="B975" s="1968"/>
      <c r="C975" s="2032"/>
      <c r="D975" s="2033"/>
      <c r="E975" s="2000"/>
      <c r="F975" s="2000"/>
      <c r="G975" s="2000"/>
      <c r="H975" s="2000"/>
      <c r="I975" s="1968"/>
      <c r="J975" s="1968"/>
      <c r="K975" s="2000"/>
      <c r="L975" s="2000"/>
      <c r="M975" s="1968"/>
      <c r="N975" s="1968"/>
      <c r="O975" s="1968"/>
      <c r="P975" s="1968"/>
      <c r="Q975" s="1968"/>
      <c r="R975" s="1968"/>
      <c r="S975" s="1968"/>
      <c r="T975" s="1968"/>
    </row>
    <row r="976" spans="1:20" x14ac:dyDescent="0.2">
      <c r="A976" s="2031"/>
      <c r="B976" s="1968"/>
      <c r="C976" s="2032"/>
      <c r="D976" s="2033"/>
      <c r="E976" s="2000"/>
      <c r="F976" s="2000"/>
      <c r="G976" s="2000"/>
      <c r="H976" s="2000"/>
      <c r="I976" s="1968"/>
      <c r="J976" s="1968"/>
      <c r="K976" s="2000"/>
      <c r="L976" s="2000"/>
      <c r="M976" s="1968"/>
      <c r="N976" s="1968"/>
      <c r="O976" s="1968"/>
      <c r="P976" s="1968"/>
      <c r="Q976" s="1968"/>
      <c r="R976" s="1968"/>
      <c r="S976" s="1968"/>
      <c r="T976" s="1968"/>
    </row>
    <row r="977" spans="1:20" x14ac:dyDescent="0.2">
      <c r="A977" s="2031"/>
      <c r="B977" s="1968"/>
      <c r="C977" s="2032"/>
      <c r="D977" s="2033"/>
      <c r="E977" s="2000"/>
      <c r="F977" s="2000"/>
      <c r="G977" s="2000"/>
      <c r="H977" s="2000"/>
      <c r="I977" s="1968"/>
      <c r="J977" s="1968"/>
      <c r="K977" s="2000"/>
      <c r="L977" s="2000"/>
      <c r="M977" s="1968"/>
      <c r="N977" s="1968"/>
      <c r="O977" s="1968"/>
      <c r="P977" s="1968"/>
      <c r="Q977" s="1968"/>
      <c r="R977" s="1968"/>
      <c r="S977" s="1968"/>
      <c r="T977" s="1968"/>
    </row>
    <row r="978" spans="1:20" x14ac:dyDescent="0.2">
      <c r="A978" s="2031"/>
      <c r="B978" s="1968"/>
      <c r="C978" s="2032"/>
      <c r="D978" s="2033"/>
      <c r="E978" s="2000"/>
      <c r="F978" s="2000"/>
      <c r="G978" s="2000"/>
      <c r="H978" s="2000"/>
      <c r="I978" s="1968"/>
      <c r="J978" s="1968"/>
      <c r="K978" s="2000"/>
      <c r="L978" s="2000"/>
      <c r="M978" s="1968"/>
      <c r="N978" s="1968"/>
      <c r="O978" s="1968"/>
      <c r="P978" s="1968"/>
      <c r="Q978" s="1968"/>
      <c r="R978" s="1968"/>
      <c r="S978" s="1968"/>
      <c r="T978" s="1968"/>
    </row>
    <row r="979" spans="1:20" x14ac:dyDescent="0.2">
      <c r="A979" s="2031"/>
      <c r="B979" s="1968"/>
      <c r="C979" s="2032"/>
      <c r="D979" s="2033"/>
      <c r="E979" s="2000"/>
      <c r="F979" s="2000"/>
      <c r="G979" s="2000"/>
      <c r="H979" s="2000"/>
      <c r="I979" s="1968"/>
      <c r="J979" s="1968"/>
      <c r="K979" s="2000"/>
      <c r="L979" s="2000"/>
      <c r="M979" s="1968"/>
      <c r="N979" s="1968"/>
      <c r="O979" s="1968"/>
      <c r="P979" s="1968"/>
      <c r="Q979" s="1968"/>
      <c r="R979" s="1968"/>
      <c r="S979" s="1968"/>
      <c r="T979" s="1968"/>
    </row>
    <row r="980" spans="1:20" x14ac:dyDescent="0.2">
      <c r="A980" s="2031"/>
      <c r="B980" s="1968"/>
      <c r="C980" s="2032"/>
      <c r="D980" s="2033"/>
      <c r="E980" s="2000"/>
      <c r="F980" s="2000"/>
      <c r="G980" s="2000"/>
      <c r="H980" s="2000"/>
      <c r="I980" s="1968"/>
      <c r="J980" s="1968"/>
      <c r="K980" s="2000"/>
      <c r="L980" s="2000"/>
      <c r="M980" s="1968"/>
      <c r="N980" s="1968"/>
      <c r="O980" s="1968"/>
      <c r="P980" s="1968"/>
      <c r="Q980" s="1968"/>
      <c r="R980" s="1968"/>
      <c r="S980" s="1968"/>
      <c r="T980" s="1968"/>
    </row>
    <row r="981" spans="1:20" x14ac:dyDescent="0.2">
      <c r="A981" s="2031"/>
      <c r="B981" s="1968"/>
      <c r="C981" s="2032"/>
      <c r="D981" s="2033"/>
      <c r="E981" s="2000"/>
      <c r="F981" s="2000"/>
      <c r="G981" s="2000"/>
      <c r="H981" s="2000"/>
      <c r="I981" s="1968"/>
      <c r="J981" s="1968"/>
      <c r="K981" s="2000"/>
      <c r="L981" s="2000"/>
      <c r="M981" s="1968"/>
      <c r="N981" s="1968"/>
      <c r="O981" s="1968"/>
      <c r="P981" s="1968"/>
      <c r="Q981" s="1968"/>
      <c r="R981" s="1968"/>
      <c r="S981" s="1968"/>
      <c r="T981" s="1968"/>
    </row>
    <row r="982" spans="1:20" x14ac:dyDescent="0.2">
      <c r="A982" s="2031"/>
      <c r="B982" s="1968"/>
      <c r="C982" s="2032"/>
      <c r="D982" s="2033"/>
      <c r="E982" s="2000"/>
      <c r="F982" s="2000"/>
      <c r="G982" s="2000"/>
      <c r="H982" s="2000"/>
      <c r="I982" s="1968"/>
      <c r="J982" s="1968"/>
      <c r="K982" s="2000"/>
      <c r="L982" s="2000"/>
      <c r="M982" s="1968"/>
      <c r="N982" s="1968"/>
      <c r="O982" s="1968"/>
      <c r="P982" s="1968"/>
      <c r="Q982" s="1968"/>
      <c r="R982" s="1968"/>
      <c r="S982" s="1968"/>
      <c r="T982" s="1968"/>
    </row>
    <row r="983" spans="1:20" x14ac:dyDescent="0.2">
      <c r="A983" s="2031"/>
      <c r="B983" s="1968"/>
      <c r="C983" s="2032"/>
      <c r="D983" s="2033"/>
      <c r="E983" s="2000"/>
      <c r="F983" s="2000"/>
      <c r="G983" s="2000"/>
      <c r="H983" s="2000"/>
      <c r="I983" s="1968"/>
      <c r="J983" s="1968"/>
      <c r="K983" s="2000"/>
      <c r="L983" s="2000"/>
      <c r="M983" s="1968"/>
      <c r="N983" s="1968"/>
      <c r="O983" s="1968"/>
      <c r="P983" s="1968"/>
      <c r="Q983" s="1968"/>
      <c r="R983" s="1968"/>
      <c r="S983" s="1968"/>
      <c r="T983" s="1968"/>
    </row>
    <row r="984" spans="1:20" x14ac:dyDescent="0.2">
      <c r="A984" s="2031"/>
      <c r="B984" s="1968"/>
      <c r="C984" s="2032"/>
      <c r="D984" s="2033"/>
      <c r="E984" s="2000"/>
      <c r="F984" s="2000"/>
      <c r="G984" s="2000"/>
      <c r="H984" s="2000"/>
      <c r="I984" s="1968"/>
      <c r="J984" s="1968"/>
      <c r="K984" s="2000"/>
      <c r="L984" s="2000"/>
      <c r="M984" s="1968"/>
      <c r="N984" s="1968"/>
      <c r="O984" s="1968"/>
      <c r="P984" s="1968"/>
      <c r="Q984" s="1968"/>
      <c r="R984" s="1968"/>
      <c r="S984" s="1968"/>
      <c r="T984" s="1968"/>
    </row>
    <row r="985" spans="1:20" x14ac:dyDescent="0.2">
      <c r="A985" s="2031"/>
      <c r="B985" s="1968"/>
      <c r="C985" s="2032"/>
      <c r="D985" s="2033"/>
      <c r="E985" s="2000"/>
      <c r="F985" s="2000"/>
      <c r="G985" s="2000"/>
      <c r="H985" s="2000"/>
      <c r="I985" s="1968"/>
      <c r="J985" s="1968"/>
      <c r="K985" s="2000"/>
      <c r="L985" s="2000"/>
      <c r="M985" s="1968"/>
      <c r="N985" s="1968"/>
      <c r="O985" s="1968"/>
      <c r="P985" s="1968"/>
      <c r="Q985" s="1968"/>
      <c r="R985" s="1968"/>
      <c r="S985" s="1968"/>
      <c r="T985" s="1968"/>
    </row>
    <row r="986" spans="1:20" x14ac:dyDescent="0.2">
      <c r="A986" s="2031"/>
      <c r="B986" s="1968"/>
      <c r="C986" s="2032"/>
      <c r="D986" s="2033"/>
      <c r="E986" s="2000"/>
      <c r="F986" s="2000"/>
      <c r="G986" s="2000"/>
      <c r="H986" s="2000"/>
      <c r="I986" s="1968"/>
      <c r="J986" s="1968"/>
      <c r="K986" s="2000"/>
      <c r="L986" s="2000"/>
      <c r="M986" s="1968"/>
      <c r="N986" s="1968"/>
      <c r="O986" s="1968"/>
      <c r="P986" s="1968"/>
      <c r="Q986" s="1968"/>
      <c r="R986" s="1968"/>
      <c r="S986" s="1968"/>
      <c r="T986" s="1968"/>
    </row>
    <row r="987" spans="1:20" x14ac:dyDescent="0.2">
      <c r="A987" s="2031"/>
      <c r="B987" s="1968"/>
      <c r="C987" s="2032"/>
      <c r="D987" s="2033"/>
      <c r="E987" s="2000"/>
      <c r="F987" s="2000"/>
      <c r="G987" s="2000"/>
      <c r="H987" s="2000"/>
      <c r="I987" s="1968"/>
      <c r="J987" s="1968"/>
      <c r="K987" s="2000"/>
      <c r="L987" s="2000"/>
      <c r="M987" s="1968"/>
      <c r="N987" s="1968"/>
      <c r="O987" s="1968"/>
      <c r="P987" s="1968"/>
      <c r="Q987" s="1968"/>
      <c r="R987" s="1968"/>
      <c r="S987" s="1968"/>
      <c r="T987" s="1968"/>
    </row>
    <row r="988" spans="1:20" x14ac:dyDescent="0.2">
      <c r="A988" s="2031"/>
      <c r="B988" s="1968"/>
      <c r="C988" s="2032"/>
      <c r="D988" s="2033"/>
      <c r="E988" s="2000"/>
      <c r="F988" s="2000"/>
      <c r="G988" s="2000"/>
      <c r="H988" s="2000"/>
      <c r="I988" s="1968"/>
      <c r="J988" s="1968"/>
      <c r="K988" s="2000"/>
      <c r="L988" s="2000"/>
      <c r="M988" s="1968"/>
      <c r="N988" s="1968"/>
      <c r="O988" s="1968"/>
      <c r="P988" s="1968"/>
      <c r="Q988" s="1968"/>
      <c r="R988" s="1968"/>
      <c r="S988" s="1968"/>
      <c r="T988" s="1968"/>
    </row>
    <row r="989" spans="1:20" x14ac:dyDescent="0.2">
      <c r="A989" s="2031"/>
      <c r="B989" s="1968"/>
      <c r="C989" s="2032"/>
      <c r="D989" s="2033"/>
      <c r="E989" s="2000"/>
      <c r="F989" s="2000"/>
      <c r="G989" s="2000"/>
      <c r="H989" s="2000"/>
      <c r="I989" s="1968"/>
      <c r="J989" s="1968"/>
      <c r="K989" s="2000"/>
      <c r="L989" s="2000"/>
      <c r="M989" s="1968"/>
      <c r="N989" s="1968"/>
      <c r="O989" s="1968"/>
      <c r="P989" s="1968"/>
      <c r="Q989" s="1968"/>
      <c r="R989" s="1968"/>
      <c r="S989" s="1968"/>
      <c r="T989" s="1968"/>
    </row>
    <row r="990" spans="1:20" x14ac:dyDescent="0.2">
      <c r="A990" s="2031"/>
      <c r="B990" s="1968"/>
      <c r="C990" s="2032"/>
      <c r="D990" s="2033"/>
      <c r="E990" s="2000"/>
      <c r="F990" s="2000"/>
      <c r="G990" s="2000"/>
      <c r="H990" s="2000"/>
      <c r="I990" s="1968"/>
      <c r="J990" s="1968"/>
      <c r="K990" s="2000"/>
      <c r="L990" s="2000"/>
      <c r="M990" s="1968"/>
      <c r="N990" s="1968"/>
      <c r="O990" s="1968"/>
      <c r="P990" s="1968"/>
      <c r="Q990" s="1968"/>
      <c r="R990" s="1968"/>
      <c r="S990" s="1968"/>
      <c r="T990" s="1968"/>
    </row>
    <row r="991" spans="1:20" x14ac:dyDescent="0.2">
      <c r="A991" s="2031"/>
      <c r="B991" s="1968"/>
      <c r="C991" s="2032"/>
      <c r="D991" s="2033"/>
      <c r="E991" s="2000"/>
      <c r="F991" s="2000"/>
      <c r="G991" s="2000"/>
      <c r="H991" s="2000"/>
      <c r="I991" s="1968"/>
      <c r="J991" s="1968"/>
      <c r="K991" s="2000"/>
      <c r="L991" s="2000"/>
      <c r="M991" s="1968"/>
      <c r="N991" s="1968"/>
      <c r="O991" s="1968"/>
      <c r="P991" s="1968"/>
      <c r="Q991" s="1968"/>
      <c r="R991" s="1968"/>
      <c r="S991" s="1968"/>
      <c r="T991" s="1968"/>
    </row>
    <row r="992" spans="1:20" x14ac:dyDescent="0.2">
      <c r="A992" s="2031"/>
      <c r="B992" s="1968"/>
      <c r="C992" s="2032"/>
      <c r="D992" s="2033"/>
      <c r="E992" s="2000"/>
      <c r="F992" s="2000"/>
      <c r="G992" s="2000"/>
      <c r="H992" s="2000"/>
      <c r="I992" s="1968"/>
      <c r="J992" s="1968"/>
      <c r="K992" s="2000"/>
      <c r="L992" s="2000"/>
      <c r="M992" s="1968"/>
      <c r="N992" s="1968"/>
      <c r="O992" s="1968"/>
      <c r="P992" s="1968"/>
      <c r="Q992" s="1968"/>
      <c r="R992" s="1968"/>
      <c r="S992" s="1968"/>
      <c r="T992" s="1968"/>
    </row>
    <row r="993" spans="1:20" x14ac:dyDescent="0.2">
      <c r="A993" s="2031"/>
      <c r="B993" s="1968"/>
      <c r="C993" s="2032"/>
      <c r="D993" s="2033"/>
      <c r="E993" s="2000"/>
      <c r="F993" s="2000"/>
      <c r="G993" s="2000"/>
      <c r="H993" s="2000"/>
      <c r="I993" s="1968"/>
      <c r="J993" s="1968"/>
      <c r="K993" s="2000"/>
      <c r="L993" s="2000"/>
      <c r="M993" s="1968"/>
      <c r="N993" s="1968"/>
      <c r="O993" s="1968"/>
      <c r="P993" s="1968"/>
      <c r="Q993" s="1968"/>
      <c r="R993" s="1968"/>
      <c r="S993" s="1968"/>
      <c r="T993" s="1968"/>
    </row>
    <row r="994" spans="1:20" x14ac:dyDescent="0.2">
      <c r="A994" s="2031"/>
      <c r="B994" s="1968"/>
      <c r="C994" s="2032"/>
      <c r="D994" s="2033"/>
      <c r="E994" s="2000"/>
      <c r="F994" s="2000"/>
      <c r="G994" s="2000"/>
      <c r="H994" s="2000"/>
      <c r="I994" s="1968"/>
      <c r="J994" s="1968"/>
      <c r="K994" s="2000"/>
      <c r="L994" s="2000"/>
      <c r="M994" s="1968"/>
      <c r="N994" s="1968"/>
      <c r="O994" s="1968"/>
      <c r="P994" s="1968"/>
      <c r="Q994" s="1968"/>
      <c r="R994" s="1968"/>
      <c r="S994" s="1968"/>
      <c r="T994" s="1968"/>
    </row>
    <row r="995" spans="1:20" x14ac:dyDescent="0.2">
      <c r="A995" s="2031"/>
      <c r="B995" s="1968"/>
      <c r="C995" s="2032"/>
      <c r="D995" s="2033"/>
      <c r="E995" s="2000"/>
      <c r="F995" s="2000"/>
      <c r="G995" s="2000"/>
      <c r="H995" s="2000"/>
      <c r="I995" s="1968"/>
      <c r="J995" s="1968"/>
      <c r="K995" s="2000"/>
      <c r="L995" s="2000"/>
      <c r="M995" s="1968"/>
      <c r="N995" s="1968"/>
      <c r="O995" s="1968"/>
      <c r="P995" s="1968"/>
      <c r="Q995" s="1968"/>
      <c r="R995" s="1968"/>
      <c r="S995" s="1968"/>
      <c r="T995" s="1968"/>
    </row>
    <row r="996" spans="1:20" x14ac:dyDescent="0.2">
      <c r="A996" s="2031"/>
      <c r="B996" s="1968"/>
      <c r="C996" s="2032"/>
      <c r="D996" s="2033"/>
      <c r="E996" s="2000"/>
      <c r="F996" s="2000"/>
      <c r="G996" s="2000"/>
      <c r="H996" s="2000"/>
      <c r="I996" s="1968"/>
      <c r="J996" s="1968"/>
      <c r="K996" s="2000"/>
      <c r="L996" s="2000"/>
      <c r="M996" s="1968"/>
      <c r="N996" s="1968"/>
      <c r="O996" s="1968"/>
      <c r="P996" s="1968"/>
      <c r="Q996" s="1968"/>
      <c r="R996" s="1968"/>
      <c r="S996" s="1968"/>
      <c r="T996" s="1968"/>
    </row>
    <row r="997" spans="1:20" x14ac:dyDescent="0.2">
      <c r="A997" s="2031"/>
      <c r="B997" s="1968"/>
      <c r="C997" s="2032"/>
      <c r="D997" s="2033"/>
      <c r="E997" s="2000"/>
      <c r="F997" s="2000"/>
      <c r="G997" s="2000"/>
      <c r="H997" s="2000"/>
      <c r="I997" s="1968"/>
      <c r="J997" s="1968"/>
      <c r="K997" s="2000"/>
      <c r="L997" s="2000"/>
      <c r="M997" s="1968"/>
      <c r="N997" s="1968"/>
      <c r="O997" s="1968"/>
      <c r="P997" s="1968"/>
      <c r="Q997" s="1968"/>
      <c r="R997" s="1968"/>
      <c r="S997" s="1968"/>
      <c r="T997" s="1968"/>
    </row>
    <row r="998" spans="1:20" x14ac:dyDescent="0.2">
      <c r="A998" s="2031"/>
      <c r="B998" s="1968"/>
      <c r="C998" s="2032"/>
      <c r="D998" s="2033"/>
      <c r="E998" s="2000"/>
      <c r="F998" s="2000"/>
      <c r="G998" s="2000"/>
      <c r="H998" s="2000"/>
      <c r="I998" s="1968"/>
      <c r="J998" s="1968"/>
      <c r="K998" s="2000"/>
      <c r="L998" s="2000"/>
      <c r="M998" s="1968"/>
      <c r="N998" s="1968"/>
      <c r="O998" s="1968"/>
      <c r="P998" s="1968"/>
      <c r="Q998" s="1968"/>
      <c r="R998" s="1968"/>
      <c r="S998" s="1968"/>
      <c r="T998" s="1968"/>
    </row>
    <row r="999" spans="1:20" x14ac:dyDescent="0.2">
      <c r="A999" s="2031"/>
      <c r="B999" s="1968"/>
      <c r="C999" s="2032"/>
      <c r="D999" s="2033"/>
      <c r="E999" s="2000"/>
      <c r="F999" s="2000"/>
      <c r="G999" s="2000"/>
      <c r="H999" s="2000"/>
      <c r="I999" s="1968"/>
      <c r="J999" s="1968"/>
      <c r="K999" s="2000"/>
      <c r="L999" s="2000"/>
      <c r="M999" s="1968"/>
      <c r="N999" s="1968"/>
      <c r="O999" s="1968"/>
      <c r="P999" s="1968"/>
      <c r="Q999" s="1968"/>
      <c r="R999" s="1968"/>
      <c r="S999" s="1968"/>
      <c r="T999" s="1968"/>
    </row>
    <row r="1000" spans="1:20" x14ac:dyDescent="0.2">
      <c r="A1000" s="2031"/>
      <c r="B1000" s="1968"/>
      <c r="C1000" s="2032"/>
      <c r="D1000" s="2033"/>
      <c r="E1000" s="2000"/>
      <c r="F1000" s="2000"/>
      <c r="G1000" s="2000"/>
      <c r="H1000" s="2000"/>
      <c r="I1000" s="1968"/>
      <c r="J1000" s="1968"/>
      <c r="K1000" s="2000"/>
      <c r="L1000" s="2000"/>
      <c r="M1000" s="1968"/>
      <c r="N1000" s="1968"/>
      <c r="O1000" s="1968"/>
      <c r="P1000" s="1968"/>
      <c r="Q1000" s="1968"/>
      <c r="R1000" s="1968"/>
      <c r="S1000" s="1968"/>
      <c r="T1000" s="1968"/>
    </row>
    <row r="1001" spans="1:20" x14ac:dyDescent="0.2">
      <c r="A1001" s="2031"/>
      <c r="B1001" s="1968"/>
      <c r="C1001" s="2032"/>
      <c r="D1001" s="2033"/>
      <c r="E1001" s="2000"/>
      <c r="F1001" s="2000"/>
      <c r="G1001" s="2000"/>
      <c r="H1001" s="2000"/>
      <c r="I1001" s="1968"/>
      <c r="J1001" s="1968"/>
      <c r="K1001" s="2000"/>
      <c r="L1001" s="2000"/>
      <c r="M1001" s="1968"/>
      <c r="N1001" s="1968"/>
      <c r="O1001" s="1968"/>
      <c r="P1001" s="1968"/>
      <c r="Q1001" s="1968"/>
      <c r="R1001" s="1968"/>
      <c r="S1001" s="1968"/>
      <c r="T1001" s="1968"/>
    </row>
    <row r="1002" spans="1:20" x14ac:dyDescent="0.2">
      <c r="A1002" s="2031"/>
      <c r="B1002" s="1968"/>
      <c r="C1002" s="2032"/>
      <c r="D1002" s="2033"/>
      <c r="E1002" s="2000"/>
      <c r="F1002" s="2000"/>
      <c r="G1002" s="2000"/>
      <c r="H1002" s="2000"/>
      <c r="I1002" s="1968"/>
      <c r="J1002" s="1968"/>
      <c r="K1002" s="2000"/>
      <c r="L1002" s="2000"/>
      <c r="M1002" s="1968"/>
      <c r="N1002" s="1968"/>
      <c r="O1002" s="1968"/>
      <c r="P1002" s="1968"/>
      <c r="Q1002" s="1968"/>
      <c r="R1002" s="1968"/>
      <c r="S1002" s="1968"/>
      <c r="T1002" s="1968"/>
    </row>
    <row r="1003" spans="1:20" x14ac:dyDescent="0.2">
      <c r="A1003" s="2031"/>
      <c r="B1003" s="1968"/>
      <c r="C1003" s="2032"/>
      <c r="D1003" s="2033"/>
      <c r="E1003" s="2000"/>
      <c r="F1003" s="2000"/>
      <c r="G1003" s="2000"/>
      <c r="H1003" s="2000"/>
      <c r="I1003" s="1968"/>
      <c r="J1003" s="1968"/>
      <c r="K1003" s="2000"/>
      <c r="L1003" s="2000"/>
      <c r="M1003" s="1968"/>
      <c r="N1003" s="1968"/>
      <c r="O1003" s="1968"/>
      <c r="P1003" s="1968"/>
      <c r="Q1003" s="1968"/>
      <c r="R1003" s="1968"/>
      <c r="S1003" s="1968"/>
      <c r="T1003" s="1968"/>
    </row>
    <row r="1004" spans="1:20" x14ac:dyDescent="0.2">
      <c r="A1004" s="2031"/>
      <c r="B1004" s="1968"/>
      <c r="C1004" s="2032"/>
      <c r="D1004" s="2033"/>
      <c r="E1004" s="2000"/>
      <c r="F1004" s="2000"/>
      <c r="G1004" s="2000"/>
      <c r="H1004" s="2000"/>
      <c r="I1004" s="1968"/>
      <c r="J1004" s="1968"/>
      <c r="K1004" s="2000"/>
      <c r="L1004" s="2000"/>
      <c r="M1004" s="1968"/>
      <c r="N1004" s="1968"/>
      <c r="O1004" s="1968"/>
      <c r="P1004" s="1968"/>
      <c r="Q1004" s="1968"/>
      <c r="R1004" s="1968"/>
      <c r="S1004" s="1968"/>
      <c r="T1004" s="1968"/>
    </row>
    <row r="1005" spans="1:20" x14ac:dyDescent="0.2">
      <c r="A1005" s="2031"/>
      <c r="B1005" s="1968"/>
      <c r="C1005" s="2032"/>
      <c r="D1005" s="2033"/>
      <c r="E1005" s="2000"/>
      <c r="F1005" s="2000"/>
      <c r="G1005" s="2000"/>
      <c r="H1005" s="2000"/>
      <c r="I1005" s="1968"/>
      <c r="J1005" s="1968"/>
      <c r="K1005" s="2000"/>
      <c r="L1005" s="2000"/>
      <c r="M1005" s="1968"/>
      <c r="N1005" s="1968"/>
      <c r="O1005" s="1968"/>
      <c r="P1005" s="1968"/>
      <c r="Q1005" s="1968"/>
      <c r="R1005" s="1968"/>
      <c r="S1005" s="1968"/>
      <c r="T1005" s="1968"/>
    </row>
    <row r="1006" spans="1:20" x14ac:dyDescent="0.2">
      <c r="A1006" s="2031"/>
      <c r="B1006" s="1968"/>
      <c r="C1006" s="2032"/>
      <c r="D1006" s="2033"/>
      <c r="E1006" s="2000"/>
      <c r="F1006" s="2000"/>
      <c r="G1006" s="2000"/>
      <c r="H1006" s="2000"/>
      <c r="I1006" s="1968"/>
      <c r="J1006" s="1968"/>
      <c r="K1006" s="2000"/>
      <c r="L1006" s="2000"/>
      <c r="M1006" s="1968"/>
      <c r="N1006" s="1968"/>
      <c r="O1006" s="1968"/>
      <c r="P1006" s="1968"/>
      <c r="Q1006" s="1968"/>
      <c r="R1006" s="1968"/>
      <c r="S1006" s="1968"/>
      <c r="T1006" s="1968"/>
    </row>
    <row r="1007" spans="1:20" x14ac:dyDescent="0.2">
      <c r="A1007" s="2031"/>
      <c r="B1007" s="1968"/>
      <c r="C1007" s="2032"/>
      <c r="D1007" s="2033"/>
      <c r="E1007" s="2000"/>
      <c r="F1007" s="2000"/>
      <c r="G1007" s="2000"/>
      <c r="H1007" s="2000"/>
      <c r="I1007" s="1968"/>
      <c r="J1007" s="1968"/>
      <c r="K1007" s="2000"/>
      <c r="L1007" s="2000"/>
      <c r="M1007" s="1968"/>
      <c r="N1007" s="1968"/>
      <c r="O1007" s="1968"/>
      <c r="P1007" s="1968"/>
      <c r="Q1007" s="1968"/>
      <c r="R1007" s="1968"/>
      <c r="S1007" s="1968"/>
      <c r="T1007" s="1968"/>
    </row>
    <row r="1008" spans="1:20" x14ac:dyDescent="0.2">
      <c r="A1008" s="2031"/>
      <c r="B1008" s="1968"/>
      <c r="C1008" s="2032"/>
      <c r="D1008" s="2033"/>
      <c r="E1008" s="2000"/>
      <c r="F1008" s="2000"/>
      <c r="G1008" s="2000"/>
      <c r="H1008" s="2000"/>
      <c r="I1008" s="1968"/>
      <c r="J1008" s="1968"/>
      <c r="K1008" s="2000"/>
      <c r="L1008" s="2000"/>
      <c r="M1008" s="1968"/>
      <c r="N1008" s="1968"/>
      <c r="O1008" s="1968"/>
      <c r="P1008" s="1968"/>
      <c r="Q1008" s="1968"/>
      <c r="R1008" s="1968"/>
      <c r="S1008" s="1968"/>
      <c r="T1008" s="1968"/>
    </row>
    <row r="1009" spans="1:20" x14ac:dyDescent="0.2">
      <c r="A1009" s="2031"/>
      <c r="B1009" s="1968"/>
      <c r="C1009" s="2032"/>
      <c r="D1009" s="2033"/>
      <c r="E1009" s="2000"/>
      <c r="F1009" s="2000"/>
      <c r="G1009" s="2000"/>
      <c r="H1009" s="2000"/>
      <c r="I1009" s="1968"/>
      <c r="J1009" s="1968"/>
      <c r="K1009" s="2000"/>
      <c r="L1009" s="2000"/>
      <c r="M1009" s="1968"/>
      <c r="N1009" s="1968"/>
      <c r="O1009" s="1968"/>
      <c r="P1009" s="1968"/>
      <c r="Q1009" s="1968"/>
      <c r="R1009" s="1968"/>
      <c r="S1009" s="1968"/>
      <c r="T1009" s="1968"/>
    </row>
    <row r="1010" spans="1:20" x14ac:dyDescent="0.2">
      <c r="A1010" s="2031"/>
      <c r="B1010" s="1968"/>
      <c r="C1010" s="2032"/>
      <c r="D1010" s="2033"/>
      <c r="E1010" s="2000"/>
      <c r="F1010" s="2000"/>
      <c r="G1010" s="2000"/>
      <c r="H1010" s="2000"/>
      <c r="I1010" s="1968"/>
      <c r="J1010" s="1968"/>
      <c r="K1010" s="2000"/>
      <c r="L1010" s="2000"/>
      <c r="M1010" s="1968"/>
      <c r="N1010" s="1968"/>
      <c r="O1010" s="1968"/>
      <c r="P1010" s="1968"/>
      <c r="Q1010" s="1968"/>
      <c r="R1010" s="1968"/>
      <c r="S1010" s="1968"/>
      <c r="T1010" s="1968"/>
    </row>
    <row r="1011" spans="1:20" x14ac:dyDescent="0.2">
      <c r="A1011" s="2031"/>
      <c r="B1011" s="1968"/>
      <c r="C1011" s="2032"/>
      <c r="D1011" s="2033"/>
      <c r="E1011" s="2000"/>
      <c r="F1011" s="2000"/>
      <c r="G1011" s="2000"/>
      <c r="H1011" s="2000"/>
      <c r="I1011" s="1968"/>
      <c r="J1011" s="1968"/>
      <c r="K1011" s="2000"/>
      <c r="L1011" s="2000"/>
      <c r="M1011" s="1968"/>
      <c r="N1011" s="1968"/>
      <c r="O1011" s="1968"/>
      <c r="P1011" s="1968"/>
      <c r="Q1011" s="1968"/>
      <c r="R1011" s="1968"/>
      <c r="S1011" s="1968"/>
      <c r="T1011" s="1968"/>
    </row>
    <row r="1012" spans="1:20" x14ac:dyDescent="0.2">
      <c r="A1012" s="2031"/>
      <c r="B1012" s="1968"/>
      <c r="C1012" s="2032"/>
      <c r="D1012" s="2033"/>
      <c r="E1012" s="2000"/>
      <c r="F1012" s="2000"/>
      <c r="G1012" s="2000"/>
      <c r="H1012" s="2000"/>
      <c r="I1012" s="1968"/>
      <c r="J1012" s="1968"/>
      <c r="K1012" s="2000"/>
      <c r="L1012" s="2000"/>
      <c r="M1012" s="1968"/>
      <c r="N1012" s="1968"/>
      <c r="O1012" s="1968"/>
      <c r="P1012" s="1968"/>
      <c r="Q1012" s="1968"/>
      <c r="R1012" s="1968"/>
      <c r="S1012" s="1968"/>
      <c r="T1012" s="1968"/>
    </row>
    <row r="1013" spans="1:20" x14ac:dyDescent="0.2">
      <c r="A1013" s="2031"/>
      <c r="B1013" s="1968"/>
      <c r="C1013" s="2032"/>
      <c r="D1013" s="2033"/>
      <c r="E1013" s="2000"/>
      <c r="F1013" s="2000"/>
      <c r="G1013" s="2000"/>
      <c r="H1013" s="2000"/>
      <c r="I1013" s="1968"/>
      <c r="J1013" s="1968"/>
      <c r="K1013" s="2000"/>
      <c r="L1013" s="2000"/>
      <c r="M1013" s="1968"/>
      <c r="N1013" s="1968"/>
      <c r="O1013" s="1968"/>
      <c r="P1013" s="1968"/>
      <c r="Q1013" s="1968"/>
      <c r="R1013" s="1968"/>
      <c r="S1013" s="1968"/>
      <c r="T1013" s="1968"/>
    </row>
    <row r="1014" spans="1:20" x14ac:dyDescent="0.2">
      <c r="A1014" s="2031"/>
      <c r="B1014" s="1968"/>
      <c r="C1014" s="2032"/>
      <c r="D1014" s="2033"/>
      <c r="E1014" s="2000"/>
      <c r="F1014" s="2000"/>
      <c r="G1014" s="2000"/>
      <c r="H1014" s="2000"/>
      <c r="I1014" s="1968"/>
      <c r="J1014" s="1968"/>
      <c r="K1014" s="2000"/>
      <c r="L1014" s="2000"/>
      <c r="M1014" s="1968"/>
      <c r="N1014" s="1968"/>
      <c r="O1014" s="1968"/>
      <c r="P1014" s="1968"/>
      <c r="Q1014" s="1968"/>
      <c r="R1014" s="1968"/>
      <c r="S1014" s="1968"/>
      <c r="T1014" s="1968"/>
    </row>
    <row r="1015" spans="1:20" x14ac:dyDescent="0.2">
      <c r="A1015" s="2031"/>
      <c r="B1015" s="1968"/>
      <c r="C1015" s="2032"/>
      <c r="D1015" s="2033"/>
      <c r="E1015" s="2000"/>
      <c r="F1015" s="2000"/>
      <c r="G1015" s="2000"/>
      <c r="H1015" s="2000"/>
      <c r="I1015" s="1968"/>
      <c r="J1015" s="1968"/>
      <c r="K1015" s="2000"/>
      <c r="L1015" s="2000"/>
      <c r="M1015" s="1968"/>
      <c r="N1015" s="1968"/>
      <c r="O1015" s="1968"/>
      <c r="P1015" s="1968"/>
      <c r="Q1015" s="1968"/>
      <c r="R1015" s="1968"/>
      <c r="S1015" s="1968"/>
      <c r="T1015" s="1968"/>
    </row>
    <row r="1016" spans="1:20" x14ac:dyDescent="0.2">
      <c r="A1016" s="2031"/>
      <c r="B1016" s="1968"/>
      <c r="C1016" s="2032"/>
      <c r="D1016" s="2033"/>
      <c r="E1016" s="2000"/>
      <c r="F1016" s="2000"/>
      <c r="G1016" s="2000"/>
      <c r="H1016" s="2000"/>
      <c r="I1016" s="1968"/>
      <c r="J1016" s="1968"/>
      <c r="K1016" s="2000"/>
      <c r="L1016" s="2000"/>
      <c r="M1016" s="1968"/>
      <c r="N1016" s="1968"/>
      <c r="O1016" s="1968"/>
      <c r="P1016" s="1968"/>
      <c r="Q1016" s="1968"/>
      <c r="R1016" s="1968"/>
      <c r="S1016" s="1968"/>
      <c r="T1016" s="1968"/>
    </row>
    <row r="1017" spans="1:20" x14ac:dyDescent="0.2">
      <c r="A1017" s="2031"/>
      <c r="B1017" s="1968"/>
      <c r="C1017" s="2032"/>
      <c r="D1017" s="2033"/>
      <c r="E1017" s="2000"/>
      <c r="F1017" s="2000"/>
      <c r="G1017" s="2000"/>
      <c r="H1017" s="2000"/>
      <c r="I1017" s="1968"/>
      <c r="J1017" s="1968"/>
      <c r="K1017" s="2000"/>
      <c r="L1017" s="2000"/>
      <c r="M1017" s="1968"/>
      <c r="N1017" s="1968"/>
      <c r="O1017" s="1968"/>
      <c r="P1017" s="1968"/>
      <c r="Q1017" s="1968"/>
      <c r="R1017" s="1968"/>
      <c r="S1017" s="1968"/>
      <c r="T1017" s="1968"/>
    </row>
    <row r="1018" spans="1:20" x14ac:dyDescent="0.2">
      <c r="A1018" s="2031"/>
      <c r="B1018" s="1968"/>
      <c r="C1018" s="2032"/>
      <c r="D1018" s="2033"/>
      <c r="E1018" s="2000"/>
      <c r="F1018" s="2000"/>
      <c r="G1018" s="2000"/>
      <c r="H1018" s="2000"/>
      <c r="I1018" s="1968"/>
      <c r="J1018" s="1968"/>
      <c r="K1018" s="2000"/>
      <c r="L1018" s="2000"/>
      <c r="M1018" s="1968"/>
      <c r="N1018" s="1968"/>
      <c r="O1018" s="1968"/>
      <c r="P1018" s="1968"/>
      <c r="Q1018" s="1968"/>
      <c r="R1018" s="1968"/>
      <c r="S1018" s="1968"/>
      <c r="T1018" s="1968"/>
    </row>
    <row r="1019" spans="1:20" x14ac:dyDescent="0.2">
      <c r="A1019" s="2031"/>
      <c r="B1019" s="1968"/>
      <c r="C1019" s="2032"/>
      <c r="D1019" s="2033"/>
      <c r="E1019" s="2000"/>
      <c r="F1019" s="2000"/>
      <c r="G1019" s="2000"/>
      <c r="H1019" s="2000"/>
      <c r="I1019" s="1968"/>
      <c r="J1019" s="1968"/>
      <c r="K1019" s="2000"/>
      <c r="L1019" s="2000"/>
      <c r="M1019" s="1968"/>
      <c r="N1019" s="1968"/>
      <c r="O1019" s="1968"/>
      <c r="P1019" s="1968"/>
      <c r="Q1019" s="1968"/>
      <c r="R1019" s="1968"/>
      <c r="S1019" s="1968"/>
      <c r="T1019" s="1968"/>
    </row>
    <row r="1020" spans="1:20" x14ac:dyDescent="0.2">
      <c r="A1020" s="2031"/>
      <c r="B1020" s="1968"/>
      <c r="C1020" s="2032"/>
      <c r="D1020" s="2033"/>
      <c r="E1020" s="2000"/>
      <c r="F1020" s="2000"/>
      <c r="G1020" s="2000"/>
      <c r="H1020" s="2000"/>
      <c r="I1020" s="1968"/>
      <c r="J1020" s="1968"/>
      <c r="K1020" s="2000"/>
      <c r="L1020" s="2000"/>
      <c r="M1020" s="1968"/>
      <c r="N1020" s="1968"/>
      <c r="O1020" s="1968"/>
      <c r="P1020" s="1968"/>
      <c r="Q1020" s="1968"/>
      <c r="R1020" s="1968"/>
      <c r="S1020" s="1968"/>
      <c r="T1020" s="1968"/>
    </row>
    <row r="1021" spans="1:20" x14ac:dyDescent="0.2">
      <c r="A1021" s="2031"/>
      <c r="B1021" s="1968"/>
      <c r="C1021" s="2032"/>
      <c r="D1021" s="2033"/>
      <c r="E1021" s="2000"/>
      <c r="F1021" s="2000"/>
      <c r="G1021" s="2000"/>
      <c r="H1021" s="2000"/>
      <c r="I1021" s="1968"/>
      <c r="J1021" s="1968"/>
      <c r="K1021" s="2000"/>
      <c r="L1021" s="2000"/>
      <c r="M1021" s="1968"/>
      <c r="N1021" s="1968"/>
      <c r="O1021" s="1968"/>
      <c r="P1021" s="1968"/>
      <c r="Q1021" s="1968"/>
      <c r="R1021" s="1968"/>
      <c r="S1021" s="1968"/>
      <c r="T1021" s="1968"/>
    </row>
    <row r="1022" spans="1:20" x14ac:dyDescent="0.2">
      <c r="A1022" s="2031"/>
      <c r="B1022" s="1968"/>
      <c r="C1022" s="2032"/>
      <c r="D1022" s="2033"/>
      <c r="E1022" s="2000"/>
      <c r="F1022" s="2000"/>
      <c r="G1022" s="2000"/>
      <c r="H1022" s="2000"/>
      <c r="I1022" s="1968"/>
      <c r="J1022" s="1968"/>
      <c r="K1022" s="2000"/>
      <c r="L1022" s="2000"/>
      <c r="M1022" s="1968"/>
      <c r="N1022" s="1968"/>
      <c r="O1022" s="1968"/>
      <c r="P1022" s="1968"/>
      <c r="Q1022" s="1968"/>
      <c r="R1022" s="1968"/>
      <c r="S1022" s="1968"/>
      <c r="T1022" s="1968"/>
    </row>
    <row r="1023" spans="1:20" x14ac:dyDescent="0.2">
      <c r="A1023" s="2031"/>
      <c r="B1023" s="1968"/>
      <c r="C1023" s="2032"/>
      <c r="D1023" s="2033"/>
      <c r="E1023" s="2000"/>
      <c r="F1023" s="2000"/>
      <c r="G1023" s="2000"/>
      <c r="H1023" s="2000"/>
      <c r="I1023" s="1968"/>
      <c r="J1023" s="1968"/>
      <c r="K1023" s="2000"/>
      <c r="L1023" s="2000"/>
      <c r="M1023" s="1968"/>
      <c r="N1023" s="1968"/>
      <c r="O1023" s="1968"/>
      <c r="P1023" s="1968"/>
      <c r="Q1023" s="1968"/>
      <c r="R1023" s="1968"/>
      <c r="S1023" s="1968"/>
      <c r="T1023" s="1968"/>
    </row>
    <row r="1024" spans="1:20" x14ac:dyDescent="0.2">
      <c r="A1024" s="2031"/>
      <c r="B1024" s="1968"/>
      <c r="C1024" s="2032"/>
      <c r="D1024" s="2033"/>
      <c r="E1024" s="2000"/>
      <c r="F1024" s="2000"/>
      <c r="G1024" s="2000"/>
      <c r="H1024" s="2000"/>
      <c r="I1024" s="1968"/>
      <c r="J1024" s="1968"/>
      <c r="K1024" s="2000"/>
      <c r="L1024" s="2000"/>
      <c r="M1024" s="1968"/>
      <c r="N1024" s="1968"/>
      <c r="O1024" s="1968"/>
      <c r="P1024" s="1968"/>
      <c r="Q1024" s="1968"/>
      <c r="R1024" s="1968"/>
      <c r="S1024" s="1968"/>
      <c r="T1024" s="1968"/>
    </row>
    <row r="1025" spans="1:20" x14ac:dyDescent="0.2">
      <c r="A1025" s="2031"/>
      <c r="B1025" s="1968"/>
      <c r="C1025" s="2032"/>
      <c r="D1025" s="2033"/>
      <c r="E1025" s="2000"/>
      <c r="F1025" s="2000"/>
      <c r="G1025" s="2000"/>
      <c r="H1025" s="2000"/>
      <c r="I1025" s="1968"/>
      <c r="J1025" s="1968"/>
      <c r="K1025" s="2000"/>
      <c r="L1025" s="2000"/>
      <c r="M1025" s="1968"/>
      <c r="N1025" s="1968"/>
      <c r="O1025" s="1968"/>
      <c r="P1025" s="1968"/>
      <c r="Q1025" s="1968"/>
      <c r="R1025" s="1968"/>
      <c r="S1025" s="1968"/>
      <c r="T1025" s="1968"/>
    </row>
    <row r="1026" spans="1:20" x14ac:dyDescent="0.2">
      <c r="A1026" s="2031"/>
      <c r="B1026" s="1968"/>
      <c r="C1026" s="2032"/>
      <c r="D1026" s="2033"/>
      <c r="E1026" s="2000"/>
      <c r="F1026" s="2000"/>
      <c r="G1026" s="2000"/>
      <c r="H1026" s="2000"/>
      <c r="I1026" s="1968"/>
      <c r="J1026" s="1968"/>
      <c r="K1026" s="2000"/>
      <c r="L1026" s="2000"/>
      <c r="M1026" s="1968"/>
      <c r="N1026" s="1968"/>
      <c r="O1026" s="1968"/>
      <c r="P1026" s="1968"/>
      <c r="Q1026" s="1968"/>
      <c r="R1026" s="1968"/>
      <c r="S1026" s="1968"/>
      <c r="T1026" s="1968"/>
    </row>
    <row r="1027" spans="1:20" x14ac:dyDescent="0.2">
      <c r="A1027" s="2031"/>
      <c r="B1027" s="1968"/>
      <c r="C1027" s="2032"/>
      <c r="D1027" s="2033"/>
      <c r="E1027" s="2000"/>
      <c r="F1027" s="2000"/>
      <c r="G1027" s="2000"/>
      <c r="H1027" s="2000"/>
      <c r="I1027" s="1968"/>
      <c r="J1027" s="1968"/>
      <c r="K1027" s="2000"/>
      <c r="L1027" s="2000"/>
      <c r="M1027" s="1968"/>
      <c r="N1027" s="1968"/>
      <c r="O1027" s="1968"/>
      <c r="P1027" s="1968"/>
      <c r="Q1027" s="1968"/>
      <c r="R1027" s="1968"/>
      <c r="S1027" s="1968"/>
      <c r="T1027" s="1968"/>
    </row>
    <row r="1028" spans="1:20" x14ac:dyDescent="0.2">
      <c r="A1028" s="2031"/>
      <c r="B1028" s="1968"/>
      <c r="C1028" s="2032"/>
      <c r="D1028" s="2033"/>
      <c r="E1028" s="2000"/>
      <c r="F1028" s="2000"/>
      <c r="G1028" s="2000"/>
      <c r="H1028" s="2000"/>
      <c r="I1028" s="1968"/>
      <c r="J1028" s="1968"/>
      <c r="K1028" s="2000"/>
      <c r="L1028" s="2000"/>
      <c r="M1028" s="1968"/>
      <c r="N1028" s="1968"/>
      <c r="O1028" s="1968"/>
      <c r="P1028" s="1968"/>
      <c r="Q1028" s="1968"/>
      <c r="R1028" s="1968"/>
      <c r="S1028" s="1968"/>
      <c r="T1028" s="1968"/>
    </row>
    <row r="1029" spans="1:20" x14ac:dyDescent="0.2">
      <c r="A1029" s="2031"/>
      <c r="B1029" s="1968"/>
      <c r="C1029" s="2032"/>
      <c r="D1029" s="2033"/>
      <c r="E1029" s="2000"/>
      <c r="F1029" s="2000"/>
      <c r="G1029" s="2000"/>
      <c r="H1029" s="2000"/>
      <c r="I1029" s="1968"/>
      <c r="J1029" s="1968"/>
      <c r="K1029" s="2000"/>
      <c r="L1029" s="2000"/>
      <c r="M1029" s="1968"/>
      <c r="N1029" s="1968"/>
      <c r="O1029" s="1968"/>
      <c r="P1029" s="1968"/>
      <c r="Q1029" s="1968"/>
      <c r="R1029" s="1968"/>
      <c r="S1029" s="1968"/>
      <c r="T1029" s="1968"/>
    </row>
    <row r="1030" spans="1:20" x14ac:dyDescent="0.2">
      <c r="A1030" s="2031"/>
      <c r="B1030" s="1968"/>
      <c r="C1030" s="2032"/>
      <c r="D1030" s="2033"/>
      <c r="E1030" s="2000"/>
      <c r="F1030" s="2000"/>
      <c r="G1030" s="2000"/>
      <c r="H1030" s="2000"/>
      <c r="I1030" s="1968"/>
      <c r="J1030" s="1968"/>
      <c r="K1030" s="2000"/>
      <c r="L1030" s="2000"/>
      <c r="M1030" s="1968"/>
      <c r="N1030" s="1968"/>
      <c r="O1030" s="1968"/>
      <c r="P1030" s="1968"/>
      <c r="Q1030" s="1968"/>
      <c r="R1030" s="1968"/>
      <c r="S1030" s="1968"/>
      <c r="T1030" s="1968"/>
    </row>
    <row r="1031" spans="1:20" x14ac:dyDescent="0.2">
      <c r="A1031" s="2031"/>
      <c r="B1031" s="1968"/>
      <c r="C1031" s="2032"/>
      <c r="D1031" s="2033"/>
      <c r="E1031" s="2000"/>
      <c r="F1031" s="2000"/>
      <c r="G1031" s="2000"/>
      <c r="H1031" s="2000"/>
      <c r="I1031" s="1968"/>
      <c r="J1031" s="1968"/>
      <c r="K1031" s="2000"/>
      <c r="L1031" s="2000"/>
      <c r="M1031" s="1968"/>
      <c r="N1031" s="1968"/>
      <c r="O1031" s="1968"/>
      <c r="P1031" s="1968"/>
      <c r="Q1031" s="1968"/>
      <c r="R1031" s="1968"/>
      <c r="S1031" s="1968"/>
      <c r="T1031" s="1968"/>
    </row>
    <row r="1032" spans="1:20" x14ac:dyDescent="0.2">
      <c r="A1032" s="2031"/>
      <c r="B1032" s="1968"/>
      <c r="C1032" s="2032"/>
      <c r="D1032" s="2033"/>
      <c r="E1032" s="2000"/>
      <c r="F1032" s="2000"/>
      <c r="G1032" s="2000"/>
      <c r="H1032" s="2000"/>
      <c r="I1032" s="1968"/>
      <c r="J1032" s="1968"/>
      <c r="K1032" s="2000"/>
      <c r="L1032" s="2000"/>
      <c r="M1032" s="1968"/>
      <c r="N1032" s="1968"/>
      <c r="O1032" s="1968"/>
      <c r="P1032" s="1968"/>
      <c r="Q1032" s="1968"/>
      <c r="R1032" s="1968"/>
      <c r="S1032" s="1968"/>
      <c r="T1032" s="1968"/>
    </row>
    <row r="1033" spans="1:20" x14ac:dyDescent="0.2">
      <c r="A1033" s="2031"/>
      <c r="B1033" s="1968"/>
      <c r="C1033" s="2032"/>
      <c r="D1033" s="2033"/>
      <c r="E1033" s="2000"/>
      <c r="F1033" s="2000"/>
      <c r="G1033" s="2000"/>
      <c r="H1033" s="2000"/>
      <c r="I1033" s="1968"/>
      <c r="J1033" s="1968"/>
      <c r="K1033" s="2000"/>
      <c r="L1033" s="2000"/>
      <c r="M1033" s="1968"/>
      <c r="N1033" s="1968"/>
      <c r="O1033" s="1968"/>
      <c r="P1033" s="1968"/>
      <c r="Q1033" s="1968"/>
      <c r="R1033" s="1968"/>
      <c r="S1033" s="1968"/>
      <c r="T1033" s="1968"/>
    </row>
    <row r="1034" spans="1:20" x14ac:dyDescent="0.2">
      <c r="A1034" s="2031"/>
      <c r="B1034" s="1968"/>
      <c r="C1034" s="2032"/>
      <c r="D1034" s="2033"/>
      <c r="E1034" s="2000"/>
      <c r="F1034" s="2000"/>
      <c r="G1034" s="2000"/>
      <c r="H1034" s="2000"/>
      <c r="I1034" s="1968"/>
      <c r="J1034" s="1968"/>
      <c r="K1034" s="2000"/>
      <c r="L1034" s="2000"/>
      <c r="M1034" s="1968"/>
      <c r="N1034" s="1968"/>
      <c r="O1034" s="1968"/>
      <c r="P1034" s="1968"/>
      <c r="Q1034" s="1968"/>
      <c r="R1034" s="1968"/>
      <c r="S1034" s="1968"/>
      <c r="T1034" s="1968"/>
    </row>
    <row r="1035" spans="1:20" x14ac:dyDescent="0.2">
      <c r="A1035" s="2031"/>
      <c r="B1035" s="1968"/>
      <c r="C1035" s="2032"/>
      <c r="D1035" s="2033"/>
      <c r="E1035" s="2000"/>
      <c r="F1035" s="2000"/>
      <c r="G1035" s="2000"/>
      <c r="H1035" s="2000"/>
      <c r="I1035" s="1968"/>
      <c r="J1035" s="1968"/>
      <c r="K1035" s="2000"/>
      <c r="L1035" s="2000"/>
      <c r="M1035" s="1968"/>
      <c r="N1035" s="1968"/>
      <c r="O1035" s="1968"/>
      <c r="P1035" s="1968"/>
      <c r="Q1035" s="1968"/>
      <c r="R1035" s="1968"/>
      <c r="S1035" s="1968"/>
      <c r="T1035" s="1968"/>
    </row>
    <row r="1036" spans="1:20" x14ac:dyDescent="0.2">
      <c r="A1036" s="2031"/>
      <c r="B1036" s="1968"/>
      <c r="C1036" s="2032"/>
      <c r="D1036" s="2033"/>
      <c r="E1036" s="2000"/>
      <c r="F1036" s="2000"/>
      <c r="G1036" s="2000"/>
      <c r="H1036" s="2000"/>
      <c r="I1036" s="1968"/>
      <c r="J1036" s="1968"/>
      <c r="K1036" s="2000"/>
      <c r="L1036" s="2000"/>
      <c r="M1036" s="1968"/>
      <c r="N1036" s="1968"/>
      <c r="O1036" s="1968"/>
      <c r="P1036" s="1968"/>
      <c r="Q1036" s="1968"/>
      <c r="R1036" s="1968"/>
      <c r="S1036" s="1968"/>
      <c r="T1036" s="1968"/>
    </row>
    <row r="1037" spans="1:20" x14ac:dyDescent="0.2">
      <c r="A1037" s="2031"/>
      <c r="B1037" s="1968"/>
      <c r="C1037" s="2032"/>
      <c r="D1037" s="2033"/>
      <c r="E1037" s="2000"/>
      <c r="F1037" s="2000"/>
      <c r="G1037" s="2000"/>
      <c r="H1037" s="2000"/>
      <c r="I1037" s="1968"/>
      <c r="J1037" s="1968"/>
      <c r="K1037" s="2000"/>
      <c r="L1037" s="2000"/>
      <c r="M1037" s="1968"/>
      <c r="N1037" s="1968"/>
      <c r="O1037" s="1968"/>
      <c r="P1037" s="1968"/>
      <c r="Q1037" s="1968"/>
      <c r="R1037" s="1968"/>
      <c r="S1037" s="1968"/>
      <c r="T1037" s="1968"/>
    </row>
    <row r="1038" spans="1:20" x14ac:dyDescent="0.2">
      <c r="A1038" s="2031"/>
      <c r="B1038" s="1968"/>
      <c r="C1038" s="2032"/>
      <c r="D1038" s="2033"/>
      <c r="E1038" s="2000"/>
      <c r="F1038" s="2000"/>
      <c r="G1038" s="2000"/>
      <c r="H1038" s="2000"/>
      <c r="I1038" s="1968"/>
      <c r="J1038" s="1968"/>
      <c r="K1038" s="2000"/>
      <c r="L1038" s="2000"/>
      <c r="M1038" s="1968"/>
      <c r="N1038" s="1968"/>
      <c r="O1038" s="1968"/>
      <c r="P1038" s="1968"/>
      <c r="Q1038" s="1968"/>
      <c r="R1038" s="1968"/>
      <c r="S1038" s="1968"/>
      <c r="T1038" s="1968"/>
    </row>
    <row r="1039" spans="1:20" x14ac:dyDescent="0.2">
      <c r="A1039" s="2031"/>
      <c r="B1039" s="1968"/>
      <c r="C1039" s="2032"/>
      <c r="D1039" s="2033"/>
      <c r="E1039" s="2000"/>
      <c r="F1039" s="2000"/>
      <c r="G1039" s="2000"/>
      <c r="H1039" s="2000"/>
      <c r="I1039" s="1968"/>
      <c r="J1039" s="1968"/>
      <c r="K1039" s="2000"/>
      <c r="L1039" s="2000"/>
      <c r="M1039" s="1968"/>
      <c r="N1039" s="1968"/>
      <c r="O1039" s="1968"/>
      <c r="P1039" s="1968"/>
      <c r="Q1039" s="1968"/>
      <c r="R1039" s="1968"/>
      <c r="S1039" s="1968"/>
      <c r="T1039" s="1968"/>
    </row>
    <row r="1040" spans="1:20" x14ac:dyDescent="0.2">
      <c r="A1040" s="2031"/>
      <c r="B1040" s="1968"/>
      <c r="C1040" s="2032"/>
      <c r="D1040" s="2033"/>
      <c r="E1040" s="2000"/>
      <c r="F1040" s="2000"/>
      <c r="G1040" s="2000"/>
      <c r="H1040" s="2000"/>
      <c r="I1040" s="1968"/>
      <c r="J1040" s="1968"/>
      <c r="K1040" s="2000"/>
      <c r="L1040" s="2000"/>
      <c r="M1040" s="1968"/>
      <c r="N1040" s="1968"/>
      <c r="O1040" s="1968"/>
      <c r="P1040" s="1968"/>
      <c r="Q1040" s="1968"/>
      <c r="R1040" s="1968"/>
      <c r="S1040" s="1968"/>
      <c r="T1040" s="1968"/>
    </row>
    <row r="1041" spans="1:20" x14ac:dyDescent="0.2">
      <c r="A1041" s="2031"/>
      <c r="B1041" s="1968"/>
      <c r="C1041" s="2032"/>
      <c r="D1041" s="2033"/>
      <c r="E1041" s="2000"/>
      <c r="F1041" s="2000"/>
      <c r="G1041" s="2000"/>
      <c r="H1041" s="2000"/>
      <c r="I1041" s="1968"/>
      <c r="J1041" s="1968"/>
      <c r="K1041" s="2000"/>
      <c r="L1041" s="2000"/>
      <c r="M1041" s="1968"/>
      <c r="N1041" s="1968"/>
      <c r="O1041" s="1968"/>
      <c r="P1041" s="1968"/>
      <c r="Q1041" s="1968"/>
      <c r="R1041" s="1968"/>
      <c r="S1041" s="1968"/>
      <c r="T1041" s="1968"/>
    </row>
    <row r="1042" spans="1:20" x14ac:dyDescent="0.2">
      <c r="A1042" s="2031"/>
      <c r="B1042" s="1968"/>
      <c r="C1042" s="2032"/>
      <c r="D1042" s="2033"/>
      <c r="E1042" s="2000"/>
      <c r="F1042" s="2000"/>
      <c r="G1042" s="2000"/>
      <c r="H1042" s="2000"/>
      <c r="I1042" s="1968"/>
      <c r="J1042" s="1968"/>
      <c r="K1042" s="2000"/>
      <c r="L1042" s="2000"/>
      <c r="M1042" s="1968"/>
      <c r="N1042" s="1968"/>
      <c r="O1042" s="1968"/>
      <c r="P1042" s="1968"/>
      <c r="Q1042" s="1968"/>
      <c r="R1042" s="1968"/>
      <c r="S1042" s="1968"/>
      <c r="T1042" s="1968"/>
    </row>
    <row r="1043" spans="1:20" x14ac:dyDescent="0.2">
      <c r="A1043" s="2031"/>
      <c r="B1043" s="1968"/>
      <c r="C1043" s="2032"/>
      <c r="D1043" s="2033"/>
      <c r="E1043" s="2000"/>
      <c r="F1043" s="2000"/>
      <c r="G1043" s="2000"/>
      <c r="H1043" s="2000"/>
      <c r="I1043" s="1968"/>
      <c r="J1043" s="1968"/>
      <c r="K1043" s="2000"/>
      <c r="L1043" s="2000"/>
      <c r="M1043" s="1968"/>
      <c r="N1043" s="1968"/>
      <c r="O1043" s="1968"/>
      <c r="P1043" s="1968"/>
      <c r="Q1043" s="1968"/>
      <c r="R1043" s="1968"/>
      <c r="S1043" s="1968"/>
      <c r="T1043" s="1968"/>
    </row>
    <row r="1044" spans="1:20" x14ac:dyDescent="0.2">
      <c r="A1044" s="2031"/>
      <c r="B1044" s="1968"/>
      <c r="C1044" s="2032"/>
      <c r="D1044" s="2033"/>
      <c r="E1044" s="2000"/>
      <c r="F1044" s="2000"/>
      <c r="G1044" s="2000"/>
      <c r="H1044" s="2000"/>
      <c r="I1044" s="1968"/>
      <c r="J1044" s="1968"/>
      <c r="K1044" s="2000"/>
      <c r="L1044" s="2000"/>
      <c r="M1044" s="1968"/>
      <c r="N1044" s="1968"/>
      <c r="O1044" s="1968"/>
      <c r="P1044" s="1968"/>
      <c r="Q1044" s="1968"/>
      <c r="R1044" s="1968"/>
      <c r="S1044" s="1968"/>
      <c r="T1044" s="1968"/>
    </row>
    <row r="1045" spans="1:20" x14ac:dyDescent="0.2">
      <c r="A1045" s="2031"/>
      <c r="B1045" s="1968"/>
      <c r="C1045" s="2032"/>
      <c r="D1045" s="2033"/>
      <c r="E1045" s="2000"/>
      <c r="F1045" s="2000"/>
      <c r="G1045" s="2000"/>
      <c r="H1045" s="2000"/>
      <c r="I1045" s="1968"/>
      <c r="J1045" s="1968"/>
      <c r="K1045" s="2000"/>
      <c r="L1045" s="2000"/>
      <c r="M1045" s="1968"/>
      <c r="N1045" s="1968"/>
      <c r="O1045" s="1968"/>
      <c r="P1045" s="1968"/>
      <c r="Q1045" s="1968"/>
      <c r="R1045" s="1968"/>
      <c r="S1045" s="1968"/>
      <c r="T1045" s="1968"/>
    </row>
    <row r="1046" spans="1:20" x14ac:dyDescent="0.2">
      <c r="A1046" s="2031"/>
      <c r="B1046" s="1968"/>
      <c r="C1046" s="2032"/>
      <c r="D1046" s="2033"/>
      <c r="E1046" s="2000"/>
      <c r="F1046" s="2000"/>
      <c r="G1046" s="2000"/>
      <c r="H1046" s="2000"/>
      <c r="I1046" s="1968"/>
      <c r="J1046" s="1968"/>
      <c r="K1046" s="2000"/>
      <c r="L1046" s="2000"/>
      <c r="M1046" s="1968"/>
      <c r="N1046" s="1968"/>
      <c r="O1046" s="1968"/>
      <c r="P1046" s="1968"/>
      <c r="Q1046" s="1968"/>
      <c r="R1046" s="1968"/>
      <c r="S1046" s="1968"/>
      <c r="T1046" s="1968"/>
    </row>
    <row r="1047" spans="1:20" x14ac:dyDescent="0.2">
      <c r="A1047" s="2031"/>
      <c r="B1047" s="1968"/>
      <c r="C1047" s="2032"/>
      <c r="D1047" s="2033"/>
      <c r="E1047" s="2000"/>
      <c r="F1047" s="2000"/>
      <c r="G1047" s="2000"/>
      <c r="H1047" s="2000"/>
      <c r="I1047" s="1968"/>
      <c r="J1047" s="1968"/>
      <c r="K1047" s="2000"/>
      <c r="L1047" s="2000"/>
      <c r="M1047" s="1968"/>
      <c r="N1047" s="1968"/>
      <c r="O1047" s="1968"/>
      <c r="P1047" s="1968"/>
      <c r="Q1047" s="1968"/>
      <c r="R1047" s="1968"/>
      <c r="S1047" s="1968"/>
      <c r="T1047" s="1968"/>
    </row>
    <row r="1048" spans="1:20" x14ac:dyDescent="0.2">
      <c r="A1048" s="2031"/>
      <c r="B1048" s="1968"/>
      <c r="C1048" s="2032"/>
      <c r="D1048" s="2033"/>
      <c r="E1048" s="2000"/>
      <c r="F1048" s="2000"/>
      <c r="G1048" s="2000"/>
      <c r="H1048" s="2000"/>
      <c r="I1048" s="1968"/>
      <c r="J1048" s="1968"/>
      <c r="K1048" s="2000"/>
      <c r="L1048" s="2000"/>
      <c r="M1048" s="1968"/>
      <c r="N1048" s="1968"/>
      <c r="O1048" s="1968"/>
      <c r="P1048" s="1968"/>
      <c r="Q1048" s="1968"/>
      <c r="R1048" s="1968"/>
      <c r="S1048" s="1968"/>
      <c r="T1048" s="1968"/>
    </row>
    <row r="1049" spans="1:20" x14ac:dyDescent="0.2">
      <c r="A1049" s="2031"/>
      <c r="B1049" s="1968"/>
      <c r="C1049" s="2032"/>
      <c r="D1049" s="2033"/>
      <c r="E1049" s="2000"/>
      <c r="F1049" s="2000"/>
      <c r="G1049" s="2000"/>
      <c r="H1049" s="2000"/>
      <c r="I1049" s="1968"/>
      <c r="J1049" s="1968"/>
      <c r="K1049" s="2000"/>
      <c r="L1049" s="2000"/>
      <c r="M1049" s="1968"/>
      <c r="N1049" s="1968"/>
      <c r="O1049" s="1968"/>
      <c r="P1049" s="1968"/>
      <c r="Q1049" s="1968"/>
      <c r="R1049" s="1968"/>
      <c r="S1049" s="1968"/>
      <c r="T1049" s="1968"/>
    </row>
    <row r="1050" spans="1:20" x14ac:dyDescent="0.2">
      <c r="A1050" s="2031"/>
      <c r="B1050" s="1968"/>
      <c r="C1050" s="2032"/>
      <c r="D1050" s="2033"/>
      <c r="E1050" s="2000"/>
      <c r="F1050" s="2000"/>
      <c r="G1050" s="2000"/>
      <c r="H1050" s="2000"/>
      <c r="I1050" s="1968"/>
      <c r="J1050" s="1968"/>
      <c r="K1050" s="2000"/>
      <c r="L1050" s="2000"/>
      <c r="M1050" s="1968"/>
      <c r="N1050" s="1968"/>
      <c r="O1050" s="1968"/>
      <c r="P1050" s="1968"/>
      <c r="Q1050" s="1968"/>
      <c r="R1050" s="1968"/>
      <c r="S1050" s="1968"/>
      <c r="T1050" s="1968"/>
    </row>
    <row r="1051" spans="1:20" x14ac:dyDescent="0.2">
      <c r="A1051" s="2031"/>
      <c r="B1051" s="1968"/>
      <c r="C1051" s="2032"/>
      <c r="D1051" s="2033"/>
      <c r="E1051" s="2000"/>
      <c r="F1051" s="2000"/>
      <c r="G1051" s="2000"/>
      <c r="H1051" s="2000"/>
      <c r="I1051" s="1968"/>
      <c r="J1051" s="1968"/>
      <c r="K1051" s="2000"/>
      <c r="L1051" s="2000"/>
      <c r="M1051" s="1968"/>
      <c r="N1051" s="1968"/>
      <c r="O1051" s="1968"/>
      <c r="P1051" s="1968"/>
      <c r="Q1051" s="1968"/>
      <c r="R1051" s="1968"/>
      <c r="S1051" s="1968"/>
      <c r="T1051" s="1968"/>
    </row>
    <row r="1052" spans="1:20" x14ac:dyDescent="0.2">
      <c r="A1052" s="2031"/>
      <c r="B1052" s="1968"/>
      <c r="C1052" s="2032"/>
      <c r="D1052" s="2033"/>
      <c r="E1052" s="2000"/>
      <c r="F1052" s="2000"/>
      <c r="G1052" s="2000"/>
      <c r="H1052" s="2000"/>
      <c r="I1052" s="1968"/>
      <c r="J1052" s="1968"/>
      <c r="K1052" s="2000"/>
      <c r="L1052" s="2000"/>
      <c r="M1052" s="1968"/>
      <c r="N1052" s="1968"/>
      <c r="O1052" s="1968"/>
      <c r="P1052" s="1968"/>
      <c r="Q1052" s="1968"/>
      <c r="R1052" s="1968"/>
      <c r="S1052" s="1968"/>
      <c r="T1052" s="1968"/>
    </row>
    <row r="1053" spans="1:20" x14ac:dyDescent="0.2">
      <c r="A1053" s="2031"/>
      <c r="B1053" s="1968"/>
      <c r="C1053" s="2032"/>
      <c r="D1053" s="2033"/>
      <c r="E1053" s="2000"/>
      <c r="F1053" s="2000"/>
      <c r="G1053" s="2000"/>
      <c r="H1053" s="2000"/>
      <c r="I1053" s="1968"/>
      <c r="J1053" s="1968"/>
      <c r="K1053" s="2000"/>
      <c r="L1053" s="2000"/>
      <c r="M1053" s="1968"/>
      <c r="N1053" s="1968"/>
      <c r="O1053" s="1968"/>
      <c r="P1053" s="1968"/>
      <c r="Q1053" s="1968"/>
      <c r="R1053" s="1968"/>
      <c r="S1053" s="1968"/>
      <c r="T1053" s="1968"/>
    </row>
    <row r="1054" spans="1:20" x14ac:dyDescent="0.2">
      <c r="A1054" s="2031"/>
      <c r="B1054" s="1968"/>
      <c r="C1054" s="2032"/>
      <c r="D1054" s="2033"/>
      <c r="E1054" s="2000"/>
      <c r="F1054" s="2000"/>
      <c r="G1054" s="2000"/>
      <c r="H1054" s="2000"/>
      <c r="I1054" s="1968"/>
      <c r="J1054" s="1968"/>
      <c r="K1054" s="2000"/>
      <c r="L1054" s="2000"/>
      <c r="M1054" s="1968"/>
      <c r="N1054" s="1968"/>
      <c r="O1054" s="1968"/>
      <c r="P1054" s="1968"/>
      <c r="Q1054" s="1968"/>
      <c r="R1054" s="1968"/>
      <c r="S1054" s="1968"/>
      <c r="T1054" s="1968"/>
    </row>
    <row r="1055" spans="1:20" x14ac:dyDescent="0.2">
      <c r="A1055" s="2031"/>
      <c r="B1055" s="1968"/>
      <c r="C1055" s="2032"/>
      <c r="D1055" s="2033"/>
      <c r="E1055" s="2000"/>
      <c r="F1055" s="2000"/>
      <c r="G1055" s="2000"/>
      <c r="H1055" s="2000"/>
      <c r="I1055" s="1968"/>
      <c r="J1055" s="1968"/>
      <c r="K1055" s="2000"/>
      <c r="L1055" s="2000"/>
      <c r="M1055" s="1968"/>
      <c r="N1055" s="1968"/>
      <c r="O1055" s="1968"/>
      <c r="P1055" s="1968"/>
      <c r="Q1055" s="1968"/>
      <c r="R1055" s="1968"/>
      <c r="S1055" s="1968"/>
      <c r="T1055" s="1968"/>
    </row>
    <row r="1056" spans="1:20" x14ac:dyDescent="0.2">
      <c r="A1056" s="2031"/>
      <c r="B1056" s="1968"/>
      <c r="C1056" s="2032"/>
      <c r="D1056" s="2033"/>
      <c r="E1056" s="2000"/>
      <c r="F1056" s="2000"/>
      <c r="G1056" s="2000"/>
      <c r="H1056" s="2000"/>
      <c r="I1056" s="1968"/>
      <c r="J1056" s="1968"/>
      <c r="K1056" s="2000"/>
      <c r="L1056" s="2000"/>
      <c r="M1056" s="1968"/>
      <c r="N1056" s="1968"/>
      <c r="O1056" s="1968"/>
      <c r="P1056" s="1968"/>
      <c r="Q1056" s="1968"/>
      <c r="R1056" s="1968"/>
      <c r="S1056" s="1968"/>
      <c r="T1056" s="1968"/>
    </row>
    <row r="1057" spans="1:20" x14ac:dyDescent="0.2">
      <c r="A1057" s="2031"/>
      <c r="B1057" s="1968"/>
      <c r="C1057" s="2032"/>
      <c r="D1057" s="2033"/>
      <c r="E1057" s="2000"/>
      <c r="F1057" s="2000"/>
      <c r="G1057" s="2000"/>
      <c r="H1057" s="2000"/>
      <c r="I1057" s="1968"/>
      <c r="J1057" s="1968"/>
      <c r="K1057" s="2000"/>
      <c r="L1057" s="2000"/>
      <c r="M1057" s="1968"/>
      <c r="N1057" s="1968"/>
      <c r="O1057" s="1968"/>
      <c r="P1057" s="1968"/>
      <c r="Q1057" s="1968"/>
      <c r="R1057" s="1968"/>
      <c r="S1057" s="1968"/>
      <c r="T1057" s="1968"/>
    </row>
    <row r="1058" spans="1:20" x14ac:dyDescent="0.2">
      <c r="A1058" s="2031"/>
      <c r="B1058" s="1968"/>
      <c r="C1058" s="2032"/>
      <c r="D1058" s="2033"/>
      <c r="E1058" s="2000"/>
      <c r="F1058" s="2000"/>
      <c r="G1058" s="2000"/>
      <c r="H1058" s="2000"/>
      <c r="I1058" s="1968"/>
      <c r="J1058" s="1968"/>
      <c r="K1058" s="2000"/>
      <c r="L1058" s="2000"/>
      <c r="M1058" s="1968"/>
      <c r="N1058" s="1968"/>
      <c r="O1058" s="1968"/>
      <c r="P1058" s="1968"/>
      <c r="Q1058" s="1968"/>
      <c r="R1058" s="1968"/>
      <c r="S1058" s="1968"/>
      <c r="T1058" s="1968"/>
    </row>
    <row r="1059" spans="1:20" x14ac:dyDescent="0.2">
      <c r="A1059" s="2031"/>
      <c r="B1059" s="1968"/>
      <c r="C1059" s="2032"/>
      <c r="D1059" s="2033"/>
      <c r="E1059" s="2000"/>
      <c r="F1059" s="2000"/>
      <c r="G1059" s="2000"/>
      <c r="H1059" s="2000"/>
      <c r="I1059" s="1968"/>
      <c r="J1059" s="1968"/>
      <c r="K1059" s="2000"/>
      <c r="L1059" s="2000"/>
      <c r="M1059" s="1968"/>
      <c r="N1059" s="1968"/>
      <c r="O1059" s="1968"/>
      <c r="P1059" s="1968"/>
      <c r="Q1059" s="1968"/>
      <c r="R1059" s="1968"/>
      <c r="S1059" s="1968"/>
      <c r="T1059" s="1968"/>
    </row>
    <row r="1060" spans="1:20" x14ac:dyDescent="0.2">
      <c r="A1060" s="2031"/>
      <c r="B1060" s="1968"/>
      <c r="C1060" s="2032"/>
      <c r="D1060" s="2033"/>
      <c r="E1060" s="2000"/>
      <c r="F1060" s="2000"/>
      <c r="G1060" s="2000"/>
      <c r="H1060" s="2000"/>
      <c r="I1060" s="1968"/>
      <c r="J1060" s="1968"/>
      <c r="K1060" s="2000"/>
      <c r="L1060" s="2000"/>
      <c r="M1060" s="1968"/>
      <c r="N1060" s="1968"/>
      <c r="O1060" s="1968"/>
      <c r="P1060" s="1968"/>
      <c r="Q1060" s="1968"/>
      <c r="R1060" s="1968"/>
      <c r="S1060" s="1968"/>
      <c r="T1060" s="1968"/>
    </row>
    <row r="1061" spans="1:20" x14ac:dyDescent="0.2">
      <c r="A1061" s="2031"/>
      <c r="B1061" s="1968"/>
      <c r="C1061" s="2032"/>
      <c r="D1061" s="2033"/>
      <c r="E1061" s="2000"/>
      <c r="F1061" s="2000"/>
      <c r="G1061" s="2000"/>
      <c r="H1061" s="2000"/>
      <c r="I1061" s="1968"/>
      <c r="J1061" s="1968"/>
      <c r="K1061" s="2000"/>
      <c r="L1061" s="2000"/>
      <c r="M1061" s="1968"/>
      <c r="N1061" s="1968"/>
      <c r="O1061" s="1968"/>
      <c r="P1061" s="1968"/>
      <c r="Q1061" s="1968"/>
      <c r="R1061" s="1968"/>
      <c r="S1061" s="1968"/>
      <c r="T1061" s="1968"/>
    </row>
    <row r="1062" spans="1:20" x14ac:dyDescent="0.2">
      <c r="A1062" s="2031"/>
      <c r="B1062" s="1968"/>
      <c r="C1062" s="2032"/>
      <c r="D1062" s="2033"/>
      <c r="E1062" s="2000"/>
      <c r="F1062" s="2000"/>
      <c r="G1062" s="2000"/>
      <c r="H1062" s="2000"/>
      <c r="I1062" s="1968"/>
      <c r="J1062" s="1968"/>
      <c r="K1062" s="2000"/>
      <c r="L1062" s="2000"/>
      <c r="M1062" s="1968"/>
      <c r="N1062" s="1968"/>
      <c r="O1062" s="1968"/>
      <c r="P1062" s="1968"/>
      <c r="Q1062" s="1968"/>
      <c r="R1062" s="1968"/>
      <c r="S1062" s="1968"/>
      <c r="T1062" s="1968"/>
    </row>
    <row r="1063" spans="1:20" x14ac:dyDescent="0.2">
      <c r="A1063" s="2031"/>
      <c r="B1063" s="1968"/>
      <c r="C1063" s="2032"/>
      <c r="D1063" s="2033"/>
      <c r="E1063" s="2000"/>
      <c r="F1063" s="2000"/>
      <c r="G1063" s="2000"/>
      <c r="H1063" s="2000"/>
      <c r="I1063" s="1968"/>
      <c r="J1063" s="1968"/>
      <c r="K1063" s="2000"/>
      <c r="L1063" s="2000"/>
      <c r="M1063" s="1968"/>
      <c r="N1063" s="1968"/>
      <c r="O1063" s="1968"/>
      <c r="P1063" s="1968"/>
      <c r="Q1063" s="1968"/>
      <c r="R1063" s="1968"/>
      <c r="S1063" s="1968"/>
      <c r="T1063" s="1968"/>
    </row>
    <row r="1064" spans="1:20" x14ac:dyDescent="0.2">
      <c r="A1064" s="2031"/>
      <c r="B1064" s="1968"/>
      <c r="C1064" s="2032"/>
      <c r="D1064" s="2033"/>
      <c r="E1064" s="2000"/>
      <c r="F1064" s="2000"/>
      <c r="G1064" s="2000"/>
      <c r="H1064" s="2000"/>
      <c r="I1064" s="1968"/>
      <c r="J1064" s="1968"/>
      <c r="K1064" s="2000"/>
      <c r="L1064" s="2000"/>
      <c r="M1064" s="1968"/>
      <c r="N1064" s="1968"/>
      <c r="O1064" s="1968"/>
      <c r="P1064" s="1968"/>
      <c r="Q1064" s="1968"/>
      <c r="R1064" s="1968"/>
      <c r="S1064" s="1968"/>
      <c r="T1064" s="1968"/>
    </row>
    <row r="1065" spans="1:20" x14ac:dyDescent="0.2">
      <c r="A1065" s="2031"/>
      <c r="B1065" s="1968"/>
      <c r="C1065" s="2032"/>
      <c r="D1065" s="2033"/>
      <c r="E1065" s="2000"/>
      <c r="F1065" s="2000"/>
      <c r="G1065" s="2000"/>
      <c r="H1065" s="2000"/>
      <c r="I1065" s="1968"/>
      <c r="J1065" s="1968"/>
      <c r="K1065" s="2000"/>
      <c r="L1065" s="2000"/>
      <c r="M1065" s="1968"/>
      <c r="N1065" s="1968"/>
      <c r="O1065" s="1968"/>
      <c r="P1065" s="1968"/>
      <c r="Q1065" s="1968"/>
      <c r="R1065" s="1968"/>
      <c r="S1065" s="1968"/>
      <c r="T1065" s="1968"/>
    </row>
    <row r="1066" spans="1:20" x14ac:dyDescent="0.2">
      <c r="A1066" s="2031"/>
      <c r="B1066" s="1968"/>
      <c r="C1066" s="2032"/>
      <c r="D1066" s="2033"/>
      <c r="E1066" s="2000"/>
      <c r="F1066" s="2000"/>
      <c r="G1066" s="2000"/>
      <c r="H1066" s="2000"/>
      <c r="I1066" s="1968"/>
      <c r="J1066" s="1968"/>
      <c r="K1066" s="2000"/>
      <c r="L1066" s="2000"/>
      <c r="M1066" s="1968"/>
      <c r="N1066" s="1968"/>
      <c r="O1066" s="1968"/>
      <c r="P1066" s="1968"/>
      <c r="Q1066" s="1968"/>
      <c r="R1066" s="1968"/>
      <c r="S1066" s="1968"/>
      <c r="T1066" s="1968"/>
    </row>
    <row r="1067" spans="1:20" x14ac:dyDescent="0.2">
      <c r="A1067" s="2031"/>
      <c r="B1067" s="1968"/>
      <c r="C1067" s="2032"/>
      <c r="D1067" s="2033"/>
      <c r="E1067" s="2000"/>
      <c r="F1067" s="2000"/>
      <c r="G1067" s="2000"/>
      <c r="H1067" s="2000"/>
      <c r="I1067" s="1968"/>
      <c r="J1067" s="1968"/>
      <c r="K1067" s="2000"/>
      <c r="L1067" s="2000"/>
      <c r="M1067" s="1968"/>
      <c r="N1067" s="1968"/>
      <c r="O1067" s="1968"/>
      <c r="P1067" s="1968"/>
      <c r="Q1067" s="1968"/>
      <c r="R1067" s="1968"/>
      <c r="S1067" s="1968"/>
      <c r="T1067" s="1968"/>
    </row>
    <row r="1068" spans="1:20" x14ac:dyDescent="0.2">
      <c r="A1068" s="2031"/>
      <c r="B1068" s="1968"/>
      <c r="C1068" s="2032"/>
      <c r="D1068" s="2033"/>
      <c r="E1068" s="2000"/>
      <c r="F1068" s="2000"/>
      <c r="G1068" s="2000"/>
      <c r="H1068" s="2000"/>
      <c r="I1068" s="1968"/>
      <c r="J1068" s="1968"/>
      <c r="K1068" s="2000"/>
      <c r="L1068" s="2000"/>
      <c r="M1068" s="1968"/>
      <c r="N1068" s="1968"/>
      <c r="O1068" s="1968"/>
      <c r="P1068" s="1968"/>
      <c r="Q1068" s="1968"/>
      <c r="R1068" s="1968"/>
      <c r="S1068" s="1968"/>
      <c r="T1068" s="1968"/>
    </row>
    <row r="1069" spans="1:20" x14ac:dyDescent="0.2">
      <c r="A1069" s="2031"/>
      <c r="B1069" s="1968"/>
      <c r="C1069" s="2032"/>
      <c r="D1069" s="2033"/>
      <c r="E1069" s="2000"/>
      <c r="F1069" s="2000"/>
      <c r="G1069" s="2000"/>
      <c r="H1069" s="2000"/>
      <c r="I1069" s="1968"/>
      <c r="J1069" s="1968"/>
      <c r="K1069" s="2000"/>
      <c r="L1069" s="2000"/>
      <c r="M1069" s="1968"/>
      <c r="N1069" s="1968"/>
      <c r="O1069" s="1968"/>
      <c r="P1069" s="1968"/>
      <c r="Q1069" s="1968"/>
      <c r="R1069" s="1968"/>
      <c r="S1069" s="1968"/>
      <c r="T1069" s="1968"/>
    </row>
    <row r="1070" spans="1:20" x14ac:dyDescent="0.2">
      <c r="A1070" s="2031"/>
      <c r="B1070" s="1968"/>
      <c r="C1070" s="2032"/>
      <c r="D1070" s="2033"/>
      <c r="E1070" s="2000"/>
      <c r="F1070" s="2000"/>
      <c r="G1070" s="2000"/>
      <c r="H1070" s="2000"/>
      <c r="I1070" s="1968"/>
      <c r="J1070" s="1968"/>
      <c r="K1070" s="2000"/>
      <c r="L1070" s="2000"/>
      <c r="M1070" s="1968"/>
      <c r="N1070" s="1968"/>
      <c r="O1070" s="1968"/>
      <c r="P1070" s="1968"/>
      <c r="Q1070" s="1968"/>
      <c r="R1070" s="1968"/>
      <c r="S1070" s="1968"/>
      <c r="T1070" s="1968"/>
    </row>
    <row r="1071" spans="1:20" x14ac:dyDescent="0.2">
      <c r="A1071" s="2031"/>
      <c r="B1071" s="1968"/>
      <c r="C1071" s="2032"/>
      <c r="D1071" s="2033"/>
      <c r="E1071" s="2000"/>
      <c r="F1071" s="2000"/>
      <c r="G1071" s="2000"/>
      <c r="H1071" s="2000"/>
      <c r="I1071" s="1968"/>
      <c r="J1071" s="1968"/>
      <c r="K1071" s="2000"/>
      <c r="L1071" s="2000"/>
      <c r="M1071" s="1968"/>
      <c r="N1071" s="1968"/>
      <c r="O1071" s="1968"/>
      <c r="P1071" s="1968"/>
      <c r="Q1071" s="1968"/>
      <c r="R1071" s="1968"/>
      <c r="S1071" s="1968"/>
      <c r="T1071" s="1968"/>
    </row>
    <row r="1072" spans="1:20" x14ac:dyDescent="0.2">
      <c r="A1072" s="2031"/>
      <c r="B1072" s="1968"/>
      <c r="C1072" s="2032"/>
      <c r="D1072" s="2033"/>
      <c r="E1072" s="2000"/>
      <c r="F1072" s="2000"/>
      <c r="G1072" s="2000"/>
      <c r="H1072" s="2000"/>
      <c r="I1072" s="1968"/>
      <c r="J1072" s="1968"/>
      <c r="K1072" s="2000"/>
      <c r="L1072" s="2000"/>
      <c r="M1072" s="1968"/>
      <c r="N1072" s="1968"/>
      <c r="O1072" s="1968"/>
      <c r="P1072" s="1968"/>
      <c r="Q1072" s="1968"/>
      <c r="R1072" s="1968"/>
      <c r="S1072" s="1968"/>
      <c r="T1072" s="1968"/>
    </row>
    <row r="1073" spans="1:20" x14ac:dyDescent="0.2">
      <c r="A1073" s="2031"/>
      <c r="B1073" s="1968"/>
      <c r="C1073" s="2032"/>
      <c r="D1073" s="2033"/>
      <c r="E1073" s="2000"/>
      <c r="F1073" s="2000"/>
      <c r="G1073" s="2000"/>
      <c r="H1073" s="2000"/>
      <c r="I1073" s="1968"/>
      <c r="J1073" s="1968"/>
      <c r="K1073" s="2000"/>
      <c r="L1073" s="2000"/>
      <c r="M1073" s="1968"/>
      <c r="N1073" s="1968"/>
      <c r="O1073" s="1968"/>
      <c r="P1073" s="1968"/>
      <c r="Q1073" s="1968"/>
      <c r="R1073" s="1968"/>
      <c r="S1073" s="1968"/>
      <c r="T1073" s="1968"/>
    </row>
    <row r="1074" spans="1:20" x14ac:dyDescent="0.2">
      <c r="A1074" s="2031"/>
      <c r="B1074" s="1968"/>
      <c r="C1074" s="2032"/>
      <c r="D1074" s="2033"/>
      <c r="E1074" s="2000"/>
      <c r="F1074" s="2000"/>
      <c r="G1074" s="2000"/>
      <c r="H1074" s="2000"/>
      <c r="I1074" s="1968"/>
      <c r="J1074" s="1968"/>
      <c r="K1074" s="2000"/>
      <c r="L1074" s="2000"/>
      <c r="M1074" s="1968"/>
      <c r="N1074" s="1968"/>
      <c r="O1074" s="1968"/>
      <c r="P1074" s="1968"/>
      <c r="Q1074" s="1968"/>
      <c r="R1074" s="1968"/>
      <c r="S1074" s="1968"/>
      <c r="T1074" s="1968"/>
    </row>
    <row r="1075" spans="1:20" x14ac:dyDescent="0.2">
      <c r="A1075" s="2031"/>
      <c r="B1075" s="1968"/>
      <c r="C1075" s="2032"/>
      <c r="D1075" s="2033"/>
      <c r="E1075" s="2000"/>
      <c r="F1075" s="2000"/>
      <c r="G1075" s="2000"/>
      <c r="H1075" s="2000"/>
      <c r="I1075" s="1968"/>
      <c r="J1075" s="1968"/>
      <c r="K1075" s="2000"/>
      <c r="L1075" s="2000"/>
      <c r="M1075" s="1968"/>
      <c r="N1075" s="1968"/>
      <c r="O1075" s="1968"/>
      <c r="P1075" s="1968"/>
      <c r="Q1075" s="1968"/>
      <c r="R1075" s="1968"/>
      <c r="S1075" s="1968"/>
      <c r="T1075" s="1968"/>
    </row>
    <row r="1076" spans="1:20" x14ac:dyDescent="0.2">
      <c r="A1076" s="2031"/>
      <c r="B1076" s="1968"/>
      <c r="C1076" s="2032"/>
      <c r="D1076" s="2033"/>
      <c r="E1076" s="2000"/>
      <c r="F1076" s="2000"/>
      <c r="G1076" s="2000"/>
      <c r="H1076" s="2000"/>
      <c r="I1076" s="1968"/>
      <c r="J1076" s="1968"/>
      <c r="K1076" s="2000"/>
      <c r="L1076" s="2000"/>
      <c r="M1076" s="1968"/>
      <c r="N1076" s="1968"/>
      <c r="O1076" s="1968"/>
      <c r="P1076" s="1968"/>
      <c r="Q1076" s="1968"/>
      <c r="R1076" s="1968"/>
      <c r="S1076" s="1968"/>
      <c r="T1076" s="1968"/>
    </row>
    <row r="1077" spans="1:20" x14ac:dyDescent="0.2">
      <c r="A1077" s="2031"/>
      <c r="B1077" s="1968"/>
      <c r="C1077" s="2032"/>
      <c r="D1077" s="2033"/>
      <c r="E1077" s="2000"/>
      <c r="F1077" s="2000"/>
      <c r="G1077" s="2000"/>
      <c r="H1077" s="2000"/>
      <c r="I1077" s="1968"/>
      <c r="J1077" s="1968"/>
      <c r="K1077" s="2000"/>
      <c r="L1077" s="2000"/>
      <c r="M1077" s="1968"/>
      <c r="N1077" s="1968"/>
      <c r="O1077" s="1968"/>
      <c r="P1077" s="1968"/>
      <c r="Q1077" s="1968"/>
      <c r="R1077" s="1968"/>
      <c r="S1077" s="1968"/>
      <c r="T1077" s="1968"/>
    </row>
    <row r="1078" spans="1:20" x14ac:dyDescent="0.2">
      <c r="A1078" s="2031"/>
      <c r="B1078" s="1968"/>
      <c r="C1078" s="2032"/>
      <c r="D1078" s="2033"/>
      <c r="E1078" s="2000"/>
      <c r="F1078" s="2000"/>
      <c r="G1078" s="2000"/>
      <c r="H1078" s="2000"/>
      <c r="I1078" s="1968"/>
      <c r="J1078" s="1968"/>
      <c r="K1078" s="2000"/>
      <c r="L1078" s="2000"/>
      <c r="M1078" s="1968"/>
      <c r="N1078" s="1968"/>
      <c r="O1078" s="1968"/>
      <c r="P1078" s="1968"/>
      <c r="Q1078" s="1968"/>
      <c r="R1078" s="1968"/>
      <c r="S1078" s="1968"/>
      <c r="T1078" s="1968"/>
    </row>
    <row r="1079" spans="1:20" x14ac:dyDescent="0.2">
      <c r="A1079" s="2031"/>
      <c r="B1079" s="1968"/>
      <c r="C1079" s="2032"/>
      <c r="D1079" s="2033"/>
      <c r="E1079" s="2000"/>
      <c r="F1079" s="2000"/>
      <c r="G1079" s="2000"/>
      <c r="H1079" s="2000"/>
      <c r="I1079" s="1968"/>
      <c r="J1079" s="1968"/>
      <c r="K1079" s="2000"/>
      <c r="L1079" s="2000"/>
      <c r="M1079" s="1968"/>
      <c r="N1079" s="1968"/>
      <c r="O1079" s="1968"/>
      <c r="P1079" s="1968"/>
      <c r="Q1079" s="1968"/>
      <c r="R1079" s="1968"/>
      <c r="S1079" s="1968"/>
      <c r="T1079" s="1968"/>
    </row>
    <row r="1080" spans="1:20" x14ac:dyDescent="0.2">
      <c r="A1080" s="2031"/>
      <c r="B1080" s="1968"/>
      <c r="C1080" s="2032"/>
      <c r="D1080" s="2033"/>
      <c r="E1080" s="2000"/>
      <c r="F1080" s="2000"/>
      <c r="G1080" s="2000"/>
      <c r="H1080" s="2000"/>
      <c r="I1080" s="1968"/>
      <c r="J1080" s="1968"/>
      <c r="K1080" s="2000"/>
      <c r="L1080" s="2000"/>
      <c r="M1080" s="1968"/>
      <c r="N1080" s="1968"/>
      <c r="O1080" s="1968"/>
      <c r="P1080" s="1968"/>
      <c r="Q1080" s="1968"/>
      <c r="R1080" s="1968"/>
      <c r="S1080" s="1968"/>
      <c r="T1080" s="1968"/>
    </row>
    <row r="1081" spans="1:20" x14ac:dyDescent="0.2">
      <c r="A1081" s="2031"/>
      <c r="B1081" s="1968"/>
      <c r="C1081" s="2032"/>
      <c r="D1081" s="2033"/>
      <c r="E1081" s="2000"/>
      <c r="F1081" s="2000"/>
      <c r="G1081" s="2000"/>
      <c r="H1081" s="2000"/>
      <c r="I1081" s="1968"/>
      <c r="J1081" s="1968"/>
      <c r="K1081" s="2000"/>
      <c r="L1081" s="2000"/>
      <c r="M1081" s="1968"/>
      <c r="N1081" s="1968"/>
      <c r="O1081" s="1968"/>
      <c r="P1081" s="1968"/>
      <c r="Q1081" s="1968"/>
      <c r="R1081" s="1968"/>
      <c r="S1081" s="1968"/>
      <c r="T1081" s="1968"/>
    </row>
    <row r="1082" spans="1:20" x14ac:dyDescent="0.2">
      <c r="A1082" s="2031"/>
      <c r="B1082" s="1968"/>
      <c r="C1082" s="2032"/>
      <c r="D1082" s="2033"/>
      <c r="E1082" s="2000"/>
      <c r="F1082" s="2000"/>
      <c r="G1082" s="2000"/>
      <c r="H1082" s="2000"/>
      <c r="I1082" s="1968"/>
      <c r="J1082" s="1968"/>
      <c r="K1082" s="2000"/>
      <c r="L1082" s="2000"/>
      <c r="M1082" s="1968"/>
      <c r="N1082" s="1968"/>
      <c r="O1082" s="1968"/>
      <c r="P1082" s="1968"/>
      <c r="Q1082" s="1968"/>
      <c r="R1082" s="1968"/>
      <c r="S1082" s="1968"/>
      <c r="T1082" s="1968"/>
    </row>
    <row r="1083" spans="1:20" x14ac:dyDescent="0.2">
      <c r="A1083" s="2031"/>
      <c r="B1083" s="1968"/>
      <c r="C1083" s="2032"/>
      <c r="D1083" s="2033"/>
      <c r="E1083" s="2000"/>
      <c r="F1083" s="2000"/>
      <c r="G1083" s="2000"/>
      <c r="H1083" s="2000"/>
      <c r="I1083" s="1968"/>
      <c r="J1083" s="1968"/>
      <c r="K1083" s="2000"/>
      <c r="L1083" s="2000"/>
      <c r="M1083" s="1968"/>
      <c r="N1083" s="1968"/>
      <c r="O1083" s="1968"/>
      <c r="P1083" s="1968"/>
      <c r="Q1083" s="1968"/>
      <c r="R1083" s="1968"/>
      <c r="S1083" s="1968"/>
      <c r="T1083" s="1968"/>
    </row>
    <row r="1084" spans="1:20" x14ac:dyDescent="0.2">
      <c r="A1084" s="2031"/>
      <c r="B1084" s="1968"/>
      <c r="C1084" s="2032"/>
      <c r="D1084" s="2033"/>
      <c r="E1084" s="2000"/>
      <c r="F1084" s="2000"/>
      <c r="G1084" s="2000"/>
      <c r="H1084" s="2000"/>
      <c r="I1084" s="1968"/>
      <c r="J1084" s="1968"/>
      <c r="K1084" s="2000"/>
      <c r="L1084" s="2000"/>
      <c r="M1084" s="1968"/>
      <c r="N1084" s="1968"/>
      <c r="O1084" s="1968"/>
      <c r="P1084" s="1968"/>
      <c r="Q1084" s="1968"/>
      <c r="R1084" s="1968"/>
      <c r="S1084" s="1968"/>
      <c r="T1084" s="1968"/>
    </row>
    <row r="1085" spans="1:20" x14ac:dyDescent="0.2">
      <c r="A1085" s="2031"/>
      <c r="B1085" s="1968"/>
      <c r="C1085" s="2032"/>
      <c r="D1085" s="2033"/>
      <c r="E1085" s="2000"/>
      <c r="F1085" s="2000"/>
      <c r="G1085" s="2000"/>
      <c r="H1085" s="2000"/>
      <c r="I1085" s="1968"/>
      <c r="J1085" s="1968"/>
      <c r="K1085" s="2000"/>
      <c r="L1085" s="2000"/>
      <c r="M1085" s="1968"/>
      <c r="N1085" s="1968"/>
      <c r="O1085" s="1968"/>
      <c r="P1085" s="1968"/>
      <c r="Q1085" s="1968"/>
      <c r="R1085" s="1968"/>
      <c r="S1085" s="1968"/>
      <c r="T1085" s="1968"/>
    </row>
    <row r="1086" spans="1:20" x14ac:dyDescent="0.2">
      <c r="A1086" s="2031"/>
      <c r="B1086" s="1968"/>
      <c r="C1086" s="2032"/>
      <c r="D1086" s="2033"/>
      <c r="E1086" s="2000"/>
      <c r="F1086" s="2000"/>
      <c r="G1086" s="2000"/>
      <c r="H1086" s="2000"/>
      <c r="I1086" s="1968"/>
      <c r="J1086" s="1968"/>
      <c r="K1086" s="2000"/>
      <c r="L1086" s="2000"/>
      <c r="M1086" s="1968"/>
      <c r="N1086" s="1968"/>
      <c r="O1086" s="1968"/>
      <c r="P1086" s="1968"/>
      <c r="Q1086" s="1968"/>
      <c r="R1086" s="1968"/>
      <c r="S1086" s="1968"/>
      <c r="T1086" s="1968"/>
    </row>
    <row r="1087" spans="1:20" x14ac:dyDescent="0.2">
      <c r="A1087" s="2031"/>
      <c r="B1087" s="1968"/>
      <c r="C1087" s="2032"/>
      <c r="D1087" s="2033"/>
      <c r="E1087" s="2000"/>
      <c r="F1087" s="2000"/>
      <c r="G1087" s="2000"/>
      <c r="H1087" s="2000"/>
      <c r="I1087" s="1968"/>
      <c r="J1087" s="1968"/>
      <c r="K1087" s="2000"/>
      <c r="L1087" s="2000"/>
      <c r="M1087" s="1968"/>
      <c r="N1087" s="1968"/>
      <c r="O1087" s="1968"/>
      <c r="P1087" s="1968"/>
      <c r="Q1087" s="1968"/>
      <c r="R1087" s="1968"/>
      <c r="S1087" s="1968"/>
      <c r="T1087" s="1968"/>
    </row>
    <row r="1088" spans="1:20" x14ac:dyDescent="0.2">
      <c r="A1088" s="2031"/>
      <c r="B1088" s="1968"/>
      <c r="C1088" s="2032"/>
      <c r="D1088" s="2033"/>
      <c r="E1088" s="2000"/>
      <c r="F1088" s="2000"/>
      <c r="G1088" s="2000"/>
      <c r="H1088" s="2000"/>
      <c r="I1088" s="1968"/>
      <c r="J1088" s="1968"/>
      <c r="K1088" s="2000"/>
      <c r="L1088" s="2000"/>
      <c r="M1088" s="1968"/>
      <c r="N1088" s="1968"/>
      <c r="O1088" s="1968"/>
      <c r="P1088" s="1968"/>
      <c r="Q1088" s="1968"/>
      <c r="R1088" s="1968"/>
      <c r="S1088" s="1968"/>
      <c r="T1088" s="1968"/>
    </row>
    <row r="1089" spans="1:20" x14ac:dyDescent="0.2">
      <c r="A1089" s="2031"/>
      <c r="B1089" s="1968"/>
      <c r="C1089" s="2032"/>
      <c r="D1089" s="2033"/>
      <c r="E1089" s="2000"/>
      <c r="F1089" s="2000"/>
      <c r="G1089" s="2000"/>
      <c r="H1089" s="2000"/>
      <c r="I1089" s="1968"/>
      <c r="J1089" s="1968"/>
      <c r="K1089" s="2000"/>
      <c r="L1089" s="2000"/>
      <c r="M1089" s="1968"/>
      <c r="N1089" s="1968"/>
      <c r="O1089" s="1968"/>
      <c r="P1089" s="1968"/>
      <c r="Q1089" s="1968"/>
      <c r="R1089" s="1968"/>
      <c r="S1089" s="1968"/>
      <c r="T1089" s="1968"/>
    </row>
    <row r="1090" spans="1:20" x14ac:dyDescent="0.2">
      <c r="A1090" s="2031"/>
      <c r="B1090" s="1968"/>
      <c r="C1090" s="2032"/>
      <c r="D1090" s="2033"/>
      <c r="E1090" s="2000"/>
      <c r="F1090" s="2000"/>
      <c r="G1090" s="2000"/>
      <c r="H1090" s="2000"/>
      <c r="I1090" s="1968"/>
      <c r="J1090" s="1968"/>
      <c r="K1090" s="2000"/>
      <c r="L1090" s="2000"/>
      <c r="M1090" s="1968"/>
      <c r="N1090" s="1968"/>
      <c r="O1090" s="1968"/>
      <c r="P1090" s="1968"/>
      <c r="Q1090" s="1968"/>
      <c r="R1090" s="1968"/>
      <c r="S1090" s="1968"/>
      <c r="T1090" s="1968"/>
    </row>
    <row r="1091" spans="1:20" x14ac:dyDescent="0.2">
      <c r="A1091" s="2031"/>
      <c r="B1091" s="1968"/>
      <c r="C1091" s="2032"/>
      <c r="D1091" s="2033"/>
      <c r="E1091" s="2000"/>
      <c r="F1091" s="2000"/>
      <c r="G1091" s="2000"/>
      <c r="H1091" s="2000"/>
      <c r="I1091" s="1968"/>
      <c r="J1091" s="1968"/>
      <c r="K1091" s="2000"/>
      <c r="L1091" s="2000"/>
      <c r="M1091" s="1968"/>
      <c r="N1091" s="1968"/>
      <c r="O1091" s="1968"/>
      <c r="P1091" s="1968"/>
      <c r="Q1091" s="1968"/>
      <c r="R1091" s="1968"/>
      <c r="S1091" s="1968"/>
      <c r="T1091" s="1968"/>
    </row>
    <row r="1092" spans="1:20" x14ac:dyDescent="0.2">
      <c r="A1092" s="2031"/>
      <c r="B1092" s="1968"/>
      <c r="C1092" s="2032"/>
      <c r="D1092" s="2033"/>
      <c r="E1092" s="2000"/>
      <c r="F1092" s="2000"/>
      <c r="G1092" s="2000"/>
      <c r="H1092" s="2000"/>
      <c r="I1092" s="1968"/>
      <c r="J1092" s="1968"/>
      <c r="K1092" s="2000"/>
      <c r="L1092" s="2000"/>
      <c r="M1092" s="1968"/>
      <c r="N1092" s="1968"/>
      <c r="O1092" s="1968"/>
      <c r="P1092" s="1968"/>
      <c r="Q1092" s="1968"/>
      <c r="R1092" s="1968"/>
      <c r="S1092" s="1968"/>
      <c r="T1092" s="1968"/>
    </row>
    <row r="1093" spans="1:20" x14ac:dyDescent="0.2">
      <c r="A1093" s="2031"/>
      <c r="B1093" s="1968"/>
      <c r="C1093" s="2032"/>
      <c r="D1093" s="2033"/>
      <c r="E1093" s="2000"/>
      <c r="F1093" s="2000"/>
      <c r="G1093" s="2000"/>
      <c r="H1093" s="2000"/>
      <c r="I1093" s="1968"/>
      <c r="J1093" s="1968"/>
      <c r="K1093" s="2000"/>
      <c r="L1093" s="2000"/>
      <c r="M1093" s="1968"/>
      <c r="N1093" s="1968"/>
      <c r="O1093" s="1968"/>
      <c r="P1093" s="1968"/>
      <c r="Q1093" s="1968"/>
      <c r="R1093" s="1968"/>
      <c r="S1093" s="1968"/>
      <c r="T1093" s="1968"/>
    </row>
    <row r="1094" spans="1:20" x14ac:dyDescent="0.2">
      <c r="A1094" s="2031"/>
      <c r="B1094" s="1968"/>
      <c r="C1094" s="2032"/>
      <c r="D1094" s="2033"/>
      <c r="E1094" s="2000"/>
      <c r="F1094" s="2000"/>
      <c r="G1094" s="2000"/>
      <c r="H1094" s="2000"/>
      <c r="I1094" s="1968"/>
      <c r="J1094" s="1968"/>
      <c r="K1094" s="2000"/>
      <c r="L1094" s="2000"/>
      <c r="M1094" s="1968"/>
      <c r="N1094" s="1968"/>
      <c r="O1094" s="1968"/>
      <c r="P1094" s="1968"/>
      <c r="Q1094" s="1968"/>
      <c r="R1094" s="1968"/>
      <c r="S1094" s="1968"/>
      <c r="T1094" s="1968"/>
    </row>
    <row r="1095" spans="1:20" x14ac:dyDescent="0.2">
      <c r="A1095" s="2031"/>
      <c r="B1095" s="1968"/>
      <c r="C1095" s="2032"/>
      <c r="D1095" s="2033"/>
      <c r="E1095" s="2000"/>
      <c r="F1095" s="2000"/>
      <c r="G1095" s="2000"/>
      <c r="H1095" s="2000"/>
      <c r="I1095" s="1968"/>
      <c r="J1095" s="1968"/>
      <c r="K1095" s="2000"/>
      <c r="L1095" s="2000"/>
      <c r="M1095" s="1968"/>
      <c r="N1095" s="1968"/>
      <c r="O1095" s="1968"/>
      <c r="P1095" s="1968"/>
      <c r="Q1095" s="1968"/>
      <c r="R1095" s="1968"/>
      <c r="S1095" s="1968"/>
      <c r="T1095" s="1968"/>
    </row>
    <row r="1096" spans="1:20" x14ac:dyDescent="0.2">
      <c r="A1096" s="2031"/>
      <c r="B1096" s="1968"/>
      <c r="C1096" s="2032"/>
      <c r="D1096" s="2033"/>
      <c r="E1096" s="2000"/>
      <c r="F1096" s="2000"/>
      <c r="G1096" s="2000"/>
      <c r="H1096" s="2000"/>
      <c r="I1096" s="1968"/>
      <c r="J1096" s="1968"/>
      <c r="K1096" s="2000"/>
      <c r="L1096" s="2000"/>
      <c r="M1096" s="1968"/>
      <c r="N1096" s="1968"/>
      <c r="O1096" s="1968"/>
      <c r="P1096" s="1968"/>
      <c r="Q1096" s="1968"/>
      <c r="R1096" s="1968"/>
      <c r="S1096" s="1968"/>
      <c r="T1096" s="1968"/>
    </row>
    <row r="1097" spans="1:20" x14ac:dyDescent="0.2">
      <c r="A1097" s="2031"/>
      <c r="B1097" s="1968"/>
      <c r="C1097" s="2032"/>
      <c r="D1097" s="2033"/>
      <c r="E1097" s="2000"/>
      <c r="F1097" s="2000"/>
      <c r="G1097" s="2000"/>
      <c r="H1097" s="2000"/>
      <c r="I1097" s="1968"/>
      <c r="J1097" s="1968"/>
      <c r="K1097" s="2000"/>
      <c r="L1097" s="2000"/>
      <c r="M1097" s="1968"/>
      <c r="N1097" s="1968"/>
      <c r="O1097" s="1968"/>
      <c r="P1097" s="1968"/>
      <c r="Q1097" s="1968"/>
      <c r="R1097" s="1968"/>
      <c r="S1097" s="1968"/>
      <c r="T1097" s="1968"/>
    </row>
    <row r="1098" spans="1:20" x14ac:dyDescent="0.2">
      <c r="A1098" s="2031"/>
      <c r="B1098" s="1968"/>
      <c r="C1098" s="2032"/>
      <c r="D1098" s="2033"/>
      <c r="E1098" s="2000"/>
      <c r="F1098" s="2000"/>
      <c r="G1098" s="2000"/>
      <c r="H1098" s="2000"/>
      <c r="I1098" s="1968"/>
      <c r="J1098" s="1968"/>
      <c r="K1098" s="2000"/>
      <c r="L1098" s="2000"/>
      <c r="M1098" s="1968"/>
      <c r="N1098" s="1968"/>
      <c r="O1098" s="1968"/>
      <c r="P1098" s="1968"/>
      <c r="Q1098" s="1968"/>
      <c r="R1098" s="1968"/>
      <c r="S1098" s="1968"/>
      <c r="T1098" s="1968"/>
    </row>
    <row r="1099" spans="1:20" x14ac:dyDescent="0.2">
      <c r="A1099" s="2031"/>
      <c r="B1099" s="1968"/>
      <c r="C1099" s="2032"/>
      <c r="D1099" s="2033"/>
      <c r="E1099" s="2000"/>
      <c r="F1099" s="2000"/>
      <c r="G1099" s="2000"/>
      <c r="H1099" s="2000"/>
      <c r="I1099" s="1968"/>
      <c r="J1099" s="1968"/>
      <c r="K1099" s="2000"/>
      <c r="L1099" s="2000"/>
      <c r="M1099" s="1968"/>
      <c r="N1099" s="1968"/>
      <c r="O1099" s="1968"/>
      <c r="P1099" s="1968"/>
      <c r="Q1099" s="1968"/>
      <c r="R1099" s="1968"/>
      <c r="S1099" s="1968"/>
      <c r="T1099" s="1968"/>
    </row>
    <row r="1100" spans="1:20" x14ac:dyDescent="0.2">
      <c r="A1100" s="2031"/>
      <c r="B1100" s="1968"/>
      <c r="C1100" s="2032"/>
      <c r="D1100" s="2033"/>
      <c r="E1100" s="2000"/>
      <c r="F1100" s="2000"/>
      <c r="G1100" s="2000"/>
      <c r="H1100" s="2000"/>
      <c r="I1100" s="1968"/>
      <c r="J1100" s="1968"/>
      <c r="K1100" s="2000"/>
      <c r="L1100" s="2000"/>
      <c r="M1100" s="1968"/>
      <c r="N1100" s="1968"/>
      <c r="O1100" s="1968"/>
      <c r="P1100" s="1968"/>
      <c r="Q1100" s="1968"/>
      <c r="R1100" s="1968"/>
      <c r="S1100" s="1968"/>
      <c r="T1100" s="1968"/>
    </row>
    <row r="1101" spans="1:20" x14ac:dyDescent="0.2">
      <c r="A1101" s="2031"/>
      <c r="B1101" s="1968"/>
      <c r="C1101" s="2032"/>
      <c r="D1101" s="2033"/>
      <c r="E1101" s="2000"/>
      <c r="F1101" s="2000"/>
      <c r="G1101" s="2000"/>
      <c r="H1101" s="2000"/>
      <c r="I1101" s="1968"/>
      <c r="J1101" s="1968"/>
      <c r="K1101" s="2000"/>
      <c r="L1101" s="2000"/>
      <c r="M1101" s="1968"/>
      <c r="N1101" s="1968"/>
      <c r="O1101" s="1968"/>
      <c r="P1101" s="1968"/>
      <c r="Q1101" s="1968"/>
      <c r="R1101" s="1968"/>
      <c r="S1101" s="1968"/>
      <c r="T1101" s="1968"/>
    </row>
    <row r="1102" spans="1:20" x14ac:dyDescent="0.2">
      <c r="A1102" s="2031"/>
      <c r="B1102" s="1968"/>
      <c r="C1102" s="2032"/>
      <c r="D1102" s="2033"/>
      <c r="E1102" s="2000"/>
      <c r="F1102" s="2000"/>
      <c r="G1102" s="2000"/>
      <c r="H1102" s="2000"/>
      <c r="I1102" s="1968"/>
      <c r="J1102" s="1968"/>
      <c r="K1102" s="2000"/>
      <c r="L1102" s="2000"/>
      <c r="M1102" s="1968"/>
      <c r="N1102" s="1968"/>
      <c r="O1102" s="1968"/>
      <c r="P1102" s="1968"/>
      <c r="Q1102" s="1968"/>
      <c r="R1102" s="1968"/>
      <c r="S1102" s="1968"/>
      <c r="T1102" s="1968"/>
    </row>
    <row r="1103" spans="1:20" x14ac:dyDescent="0.2">
      <c r="A1103" s="2031"/>
      <c r="B1103" s="1968"/>
      <c r="C1103" s="2032"/>
      <c r="D1103" s="2033"/>
      <c r="E1103" s="2000"/>
      <c r="F1103" s="2000"/>
      <c r="G1103" s="2000"/>
      <c r="H1103" s="2000"/>
      <c r="I1103" s="1968"/>
      <c r="J1103" s="1968"/>
      <c r="K1103" s="2000"/>
      <c r="L1103" s="2000"/>
      <c r="M1103" s="1968"/>
      <c r="N1103" s="1968"/>
      <c r="O1103" s="1968"/>
      <c r="P1103" s="1968"/>
      <c r="Q1103" s="1968"/>
      <c r="R1103" s="1968"/>
      <c r="S1103" s="1968"/>
      <c r="T1103" s="1968"/>
    </row>
    <row r="1104" spans="1:20" x14ac:dyDescent="0.2">
      <c r="A1104" s="2031"/>
      <c r="B1104" s="1968"/>
      <c r="C1104" s="2032"/>
      <c r="D1104" s="2033"/>
      <c r="E1104" s="2000"/>
      <c r="F1104" s="2000"/>
      <c r="G1104" s="2000"/>
      <c r="H1104" s="2000"/>
      <c r="I1104" s="1968"/>
      <c r="J1104" s="1968"/>
      <c r="K1104" s="2000"/>
      <c r="L1104" s="2000"/>
      <c r="M1104" s="1968"/>
      <c r="N1104" s="1968"/>
      <c r="O1104" s="1968"/>
      <c r="P1104" s="1968"/>
      <c r="Q1104" s="1968"/>
      <c r="R1104" s="1968"/>
      <c r="S1104" s="1968"/>
      <c r="T1104" s="1968"/>
    </row>
    <row r="1105" spans="1:20" x14ac:dyDescent="0.2">
      <c r="A1105" s="2031"/>
      <c r="B1105" s="1968"/>
      <c r="C1105" s="2032"/>
      <c r="D1105" s="2033"/>
      <c r="E1105" s="2000"/>
      <c r="F1105" s="2000"/>
      <c r="G1105" s="2000"/>
      <c r="H1105" s="2000"/>
      <c r="I1105" s="1968"/>
      <c r="J1105" s="1968"/>
      <c r="K1105" s="2000"/>
      <c r="L1105" s="2000"/>
      <c r="M1105" s="1968"/>
      <c r="N1105" s="1968"/>
      <c r="O1105" s="1968"/>
      <c r="P1105" s="1968"/>
      <c r="Q1105" s="1968"/>
      <c r="R1105" s="1968"/>
      <c r="S1105" s="1968"/>
      <c r="T1105" s="1968"/>
    </row>
    <row r="1106" spans="1:20" x14ac:dyDescent="0.2">
      <c r="A1106" s="2031"/>
      <c r="B1106" s="1968"/>
      <c r="C1106" s="2032"/>
      <c r="D1106" s="2033"/>
      <c r="E1106" s="2000"/>
      <c r="F1106" s="2000"/>
      <c r="G1106" s="2000"/>
      <c r="H1106" s="2000"/>
      <c r="I1106" s="1968"/>
      <c r="J1106" s="1968"/>
      <c r="K1106" s="2000"/>
      <c r="L1106" s="2000"/>
      <c r="M1106" s="1968"/>
      <c r="N1106" s="1968"/>
      <c r="O1106" s="1968"/>
      <c r="P1106" s="1968"/>
      <c r="Q1106" s="1968"/>
      <c r="R1106" s="1968"/>
      <c r="S1106" s="1968"/>
      <c r="T1106" s="1968"/>
    </row>
    <row r="1107" spans="1:20" x14ac:dyDescent="0.2">
      <c r="A1107" s="2031"/>
      <c r="B1107" s="1968"/>
      <c r="C1107" s="2032"/>
      <c r="D1107" s="2033"/>
      <c r="E1107" s="2000"/>
      <c r="F1107" s="2000"/>
      <c r="G1107" s="2000"/>
      <c r="H1107" s="2000"/>
      <c r="I1107" s="1968"/>
      <c r="J1107" s="1968"/>
      <c r="K1107" s="2000"/>
      <c r="L1107" s="2000"/>
      <c r="M1107" s="1968"/>
      <c r="N1107" s="1968"/>
      <c r="O1107" s="1968"/>
      <c r="P1107" s="1968"/>
      <c r="Q1107" s="1968"/>
      <c r="R1107" s="1968"/>
      <c r="S1107" s="1968"/>
      <c r="T1107" s="1968"/>
    </row>
    <row r="1108" spans="1:20" x14ac:dyDescent="0.2">
      <c r="A1108" s="2031"/>
      <c r="B1108" s="1968"/>
      <c r="C1108" s="2032"/>
      <c r="D1108" s="2033"/>
      <c r="E1108" s="2000"/>
      <c r="F1108" s="2000"/>
      <c r="G1108" s="2000"/>
      <c r="H1108" s="2000"/>
      <c r="I1108" s="1968"/>
      <c r="J1108" s="1968"/>
      <c r="K1108" s="2000"/>
      <c r="L1108" s="2000"/>
      <c r="M1108" s="1968"/>
      <c r="N1108" s="1968"/>
      <c r="O1108" s="1968"/>
      <c r="P1108" s="1968"/>
      <c r="Q1108" s="1968"/>
      <c r="R1108" s="1968"/>
      <c r="S1108" s="1968"/>
      <c r="T1108" s="1968"/>
    </row>
    <row r="1109" spans="1:20" x14ac:dyDescent="0.2">
      <c r="A1109" s="2031"/>
      <c r="B1109" s="1968"/>
      <c r="C1109" s="2032"/>
      <c r="D1109" s="2033"/>
      <c r="E1109" s="2000"/>
      <c r="F1109" s="2000"/>
      <c r="G1109" s="2000"/>
      <c r="H1109" s="2000"/>
      <c r="I1109" s="1968"/>
      <c r="J1109" s="1968"/>
      <c r="K1109" s="2000"/>
      <c r="L1109" s="2000"/>
      <c r="M1109" s="1968"/>
      <c r="N1109" s="1968"/>
      <c r="O1109" s="1968"/>
      <c r="P1109" s="1968"/>
      <c r="Q1109" s="1968"/>
      <c r="R1109" s="1968"/>
      <c r="S1109" s="1968"/>
      <c r="T1109" s="1968"/>
    </row>
    <row r="1110" spans="1:20" x14ac:dyDescent="0.2">
      <c r="A1110" s="2031"/>
      <c r="B1110" s="1968"/>
      <c r="C1110" s="2032"/>
      <c r="D1110" s="2033"/>
      <c r="E1110" s="2000"/>
      <c r="F1110" s="2000"/>
      <c r="G1110" s="2000"/>
      <c r="H1110" s="2000"/>
      <c r="I1110" s="1968"/>
      <c r="J1110" s="1968"/>
      <c r="K1110" s="2000"/>
      <c r="L1110" s="2000"/>
      <c r="M1110" s="1968"/>
      <c r="N1110" s="1968"/>
      <c r="O1110" s="1968"/>
      <c r="P1110" s="1968"/>
      <c r="Q1110" s="1968"/>
      <c r="R1110" s="1968"/>
      <c r="S1110" s="1968"/>
      <c r="T1110" s="1968"/>
    </row>
    <row r="1111" spans="1:20" x14ac:dyDescent="0.2">
      <c r="A1111" s="2031"/>
      <c r="B1111" s="1968"/>
      <c r="C1111" s="2032"/>
      <c r="D1111" s="2033"/>
      <c r="E1111" s="2000"/>
      <c r="F1111" s="2000"/>
      <c r="G1111" s="2000"/>
      <c r="H1111" s="2000"/>
      <c r="I1111" s="1968"/>
      <c r="J1111" s="1968"/>
      <c r="K1111" s="2000"/>
      <c r="L1111" s="2000"/>
      <c r="M1111" s="1968"/>
      <c r="N1111" s="1968"/>
      <c r="O1111" s="1968"/>
      <c r="P1111" s="1968"/>
      <c r="Q1111" s="1968"/>
      <c r="R1111" s="1968"/>
      <c r="S1111" s="1968"/>
      <c r="T1111" s="1968"/>
    </row>
    <row r="1112" spans="1:20" x14ac:dyDescent="0.2">
      <c r="A1112" s="2031"/>
      <c r="B1112" s="1968"/>
      <c r="C1112" s="2032"/>
      <c r="D1112" s="2033"/>
      <c r="E1112" s="2000"/>
      <c r="F1112" s="2000"/>
      <c r="G1112" s="2000"/>
      <c r="H1112" s="2000"/>
      <c r="I1112" s="1968"/>
      <c r="J1112" s="1968"/>
      <c r="K1112" s="2000"/>
      <c r="L1112" s="2000"/>
      <c r="M1112" s="1968"/>
      <c r="N1112" s="1968"/>
      <c r="O1112" s="1968"/>
      <c r="P1112" s="1968"/>
      <c r="Q1112" s="1968"/>
      <c r="R1112" s="1968"/>
      <c r="S1112" s="1968"/>
      <c r="T1112" s="1968"/>
    </row>
    <row r="1113" spans="1:20" x14ac:dyDescent="0.2">
      <c r="A1113" s="2031"/>
      <c r="B1113" s="1968"/>
      <c r="C1113" s="2032"/>
      <c r="D1113" s="2033"/>
      <c r="E1113" s="2000"/>
      <c r="F1113" s="2000"/>
      <c r="G1113" s="2000"/>
      <c r="H1113" s="2000"/>
      <c r="I1113" s="1968"/>
      <c r="J1113" s="1968"/>
      <c r="K1113" s="2000"/>
      <c r="L1113" s="2000"/>
      <c r="M1113" s="1968"/>
      <c r="N1113" s="1968"/>
      <c r="O1113" s="1968"/>
      <c r="P1113" s="1968"/>
      <c r="Q1113" s="1968"/>
      <c r="R1113" s="1968"/>
      <c r="S1113" s="1968"/>
      <c r="T1113" s="1968"/>
    </row>
    <row r="1114" spans="1:20" x14ac:dyDescent="0.2">
      <c r="A1114" s="2031"/>
      <c r="B1114" s="1968"/>
      <c r="C1114" s="2032"/>
      <c r="D1114" s="2033"/>
      <c r="E1114" s="2000"/>
      <c r="F1114" s="2000"/>
      <c r="G1114" s="2000"/>
      <c r="H1114" s="2000"/>
      <c r="I1114" s="1968"/>
      <c r="J1114" s="1968"/>
      <c r="K1114" s="2000"/>
      <c r="L1114" s="2000"/>
      <c r="M1114" s="1968"/>
      <c r="N1114" s="1968"/>
      <c r="O1114" s="1968"/>
      <c r="P1114" s="1968"/>
      <c r="Q1114" s="1968"/>
      <c r="R1114" s="1968"/>
      <c r="S1114" s="1968"/>
      <c r="T1114" s="1968"/>
    </row>
    <row r="1115" spans="1:20" x14ac:dyDescent="0.2">
      <c r="A1115" s="2031"/>
      <c r="B1115" s="1968"/>
      <c r="C1115" s="2032"/>
      <c r="D1115" s="2033"/>
      <c r="E1115" s="2000"/>
      <c r="F1115" s="2000"/>
      <c r="G1115" s="2000"/>
      <c r="H1115" s="2000"/>
      <c r="I1115" s="1968"/>
      <c r="J1115" s="1968"/>
      <c r="K1115" s="2000"/>
      <c r="L1115" s="2000"/>
      <c r="M1115" s="1968"/>
      <c r="N1115" s="1968"/>
      <c r="O1115" s="1968"/>
      <c r="P1115" s="1968"/>
      <c r="Q1115" s="1968"/>
      <c r="R1115" s="1968"/>
      <c r="S1115" s="1968"/>
      <c r="T1115" s="1968"/>
    </row>
    <row r="1116" spans="1:20" x14ac:dyDescent="0.2">
      <c r="A1116" s="2031"/>
      <c r="B1116" s="1968"/>
      <c r="C1116" s="2032"/>
      <c r="D1116" s="2033"/>
      <c r="E1116" s="2000"/>
      <c r="F1116" s="2000"/>
      <c r="G1116" s="2000"/>
      <c r="H1116" s="2000"/>
      <c r="I1116" s="1968"/>
      <c r="J1116" s="1968"/>
      <c r="K1116" s="2000"/>
      <c r="L1116" s="2000"/>
      <c r="M1116" s="1968"/>
      <c r="N1116" s="1968"/>
      <c r="O1116" s="1968"/>
      <c r="P1116" s="1968"/>
      <c r="Q1116" s="1968"/>
      <c r="R1116" s="1968"/>
      <c r="S1116" s="1968"/>
      <c r="T1116" s="1968"/>
    </row>
    <row r="1117" spans="1:20" x14ac:dyDescent="0.2">
      <c r="A1117" s="2031"/>
      <c r="B1117" s="1968"/>
      <c r="C1117" s="2032"/>
      <c r="D1117" s="2033"/>
      <c r="E1117" s="2000"/>
      <c r="F1117" s="2000"/>
      <c r="G1117" s="2000"/>
      <c r="H1117" s="2000"/>
      <c r="I1117" s="1968"/>
      <c r="J1117" s="1968"/>
      <c r="K1117" s="2000"/>
      <c r="L1117" s="2000"/>
      <c r="M1117" s="1968"/>
      <c r="N1117" s="1968"/>
      <c r="O1117" s="1968"/>
      <c r="P1117" s="1968"/>
      <c r="Q1117" s="1968"/>
      <c r="R1117" s="1968"/>
      <c r="S1117" s="1968"/>
      <c r="T1117" s="1968"/>
    </row>
    <row r="1118" spans="1:20" x14ac:dyDescent="0.2">
      <c r="A1118" s="2031"/>
      <c r="B1118" s="1968"/>
      <c r="C1118" s="2032"/>
      <c r="D1118" s="2033"/>
      <c r="E1118" s="2000"/>
      <c r="F1118" s="2000"/>
      <c r="G1118" s="2000"/>
      <c r="H1118" s="2000"/>
      <c r="I1118" s="1968"/>
      <c r="J1118" s="1968"/>
      <c r="K1118" s="2000"/>
      <c r="L1118" s="2000"/>
      <c r="M1118" s="1968"/>
      <c r="N1118" s="1968"/>
      <c r="O1118" s="1968"/>
      <c r="P1118" s="1968"/>
      <c r="Q1118" s="1968"/>
      <c r="R1118" s="1968"/>
      <c r="S1118" s="1968"/>
      <c r="T1118" s="1968"/>
    </row>
    <row r="1119" spans="1:20" x14ac:dyDescent="0.2">
      <c r="A1119" s="2031"/>
      <c r="B1119" s="1968"/>
      <c r="C1119" s="2032"/>
      <c r="D1119" s="2033"/>
      <c r="E1119" s="2000"/>
      <c r="F1119" s="2000"/>
      <c r="G1119" s="2000"/>
      <c r="H1119" s="2000"/>
      <c r="I1119" s="1968"/>
      <c r="J1119" s="1968"/>
      <c r="K1119" s="2000"/>
      <c r="L1119" s="2000"/>
      <c r="M1119" s="1968"/>
      <c r="N1119" s="1968"/>
      <c r="O1119" s="1968"/>
      <c r="P1119" s="1968"/>
      <c r="Q1119" s="1968"/>
      <c r="R1119" s="1968"/>
      <c r="S1119" s="1968"/>
      <c r="T1119" s="1968"/>
    </row>
    <row r="1120" spans="1:20" x14ac:dyDescent="0.2">
      <c r="A1120" s="2031"/>
      <c r="B1120" s="1968"/>
      <c r="C1120" s="2032"/>
      <c r="D1120" s="2033"/>
      <c r="E1120" s="2000"/>
      <c r="F1120" s="2000"/>
      <c r="G1120" s="2000"/>
      <c r="H1120" s="2000"/>
      <c r="I1120" s="1968"/>
      <c r="J1120" s="1968"/>
      <c r="K1120" s="2000"/>
      <c r="L1120" s="2000"/>
      <c r="M1120" s="1968"/>
      <c r="N1120" s="1968"/>
      <c r="O1120" s="1968"/>
      <c r="P1120" s="1968"/>
      <c r="Q1120" s="1968"/>
      <c r="R1120" s="1968"/>
      <c r="S1120" s="1968"/>
      <c r="T1120" s="1968"/>
    </row>
    <row r="1121" spans="1:20" x14ac:dyDescent="0.2">
      <c r="A1121" s="2031"/>
      <c r="B1121" s="1968"/>
      <c r="C1121" s="2032"/>
      <c r="D1121" s="2033"/>
      <c r="E1121" s="2000"/>
      <c r="F1121" s="2000"/>
      <c r="G1121" s="2000"/>
      <c r="H1121" s="2000"/>
      <c r="I1121" s="1968"/>
      <c r="J1121" s="1968"/>
      <c r="K1121" s="2000"/>
      <c r="L1121" s="2000"/>
      <c r="M1121" s="1968"/>
      <c r="N1121" s="1968"/>
      <c r="O1121" s="1968"/>
      <c r="P1121" s="1968"/>
      <c r="Q1121" s="1968"/>
      <c r="R1121" s="1968"/>
      <c r="S1121" s="1968"/>
      <c r="T1121" s="1968"/>
    </row>
    <row r="1122" spans="1:20" x14ac:dyDescent="0.2">
      <c r="A1122" s="2031"/>
      <c r="B1122" s="1968"/>
      <c r="C1122" s="2032"/>
      <c r="D1122" s="2033"/>
      <c r="E1122" s="2000"/>
      <c r="F1122" s="2000"/>
      <c r="G1122" s="2000"/>
      <c r="H1122" s="2000"/>
      <c r="I1122" s="1968"/>
      <c r="J1122" s="1968"/>
      <c r="K1122" s="2000"/>
      <c r="L1122" s="2000"/>
      <c r="M1122" s="1968"/>
      <c r="N1122" s="1968"/>
      <c r="O1122" s="1968"/>
      <c r="P1122" s="1968"/>
      <c r="Q1122" s="1968"/>
      <c r="R1122" s="1968"/>
      <c r="S1122" s="1968"/>
      <c r="T1122" s="1968"/>
    </row>
    <row r="1123" spans="1:20" x14ac:dyDescent="0.2">
      <c r="A1123" s="2031"/>
      <c r="B1123" s="1968"/>
      <c r="C1123" s="2032"/>
      <c r="D1123" s="2033"/>
      <c r="E1123" s="2000"/>
      <c r="F1123" s="2000"/>
      <c r="G1123" s="2000"/>
      <c r="H1123" s="2000"/>
      <c r="I1123" s="1968"/>
      <c r="J1123" s="1968"/>
      <c r="K1123" s="2000"/>
      <c r="L1123" s="2000"/>
      <c r="M1123" s="1968"/>
      <c r="N1123" s="1968"/>
      <c r="O1123" s="1968"/>
      <c r="P1123" s="1968"/>
      <c r="Q1123" s="1968"/>
      <c r="R1123" s="1968"/>
      <c r="S1123" s="1968"/>
      <c r="T1123" s="1968"/>
    </row>
    <row r="1124" spans="1:20" x14ac:dyDescent="0.2">
      <c r="A1124" s="2031"/>
      <c r="B1124" s="1968"/>
      <c r="C1124" s="2032"/>
      <c r="D1124" s="2033"/>
      <c r="E1124" s="2000"/>
      <c r="F1124" s="2000"/>
      <c r="G1124" s="2000"/>
      <c r="H1124" s="2000"/>
      <c r="I1124" s="1968"/>
      <c r="J1124" s="1968"/>
      <c r="K1124" s="2000"/>
      <c r="L1124" s="2000"/>
      <c r="M1124" s="1968"/>
      <c r="N1124" s="1968"/>
      <c r="O1124" s="1968"/>
      <c r="P1124" s="1968"/>
      <c r="Q1124" s="1968"/>
      <c r="R1124" s="1968"/>
      <c r="S1124" s="1968"/>
      <c r="T1124" s="1968"/>
    </row>
    <row r="1125" spans="1:20" x14ac:dyDescent="0.2">
      <c r="A1125" s="2031"/>
      <c r="B1125" s="1968"/>
      <c r="C1125" s="2032"/>
      <c r="D1125" s="2033"/>
      <c r="E1125" s="2000"/>
      <c r="F1125" s="2000"/>
      <c r="G1125" s="2000"/>
      <c r="H1125" s="2000"/>
      <c r="I1125" s="1968"/>
      <c r="J1125" s="1968"/>
      <c r="K1125" s="2000"/>
      <c r="L1125" s="2000"/>
      <c r="M1125" s="1968"/>
      <c r="N1125" s="1968"/>
      <c r="O1125" s="1968"/>
      <c r="P1125" s="1968"/>
      <c r="Q1125" s="1968"/>
      <c r="R1125" s="1968"/>
      <c r="S1125" s="1968"/>
      <c r="T1125" s="1968"/>
    </row>
    <row r="1126" spans="1:20" x14ac:dyDescent="0.2">
      <c r="A1126" s="2031"/>
      <c r="B1126" s="1968"/>
      <c r="C1126" s="2032"/>
      <c r="D1126" s="2033"/>
      <c r="E1126" s="2000"/>
      <c r="F1126" s="2000"/>
      <c r="G1126" s="2000"/>
      <c r="H1126" s="2000"/>
      <c r="I1126" s="1968"/>
      <c r="J1126" s="1968"/>
      <c r="K1126" s="2000"/>
      <c r="L1126" s="2000"/>
      <c r="M1126" s="1968"/>
      <c r="N1126" s="1968"/>
      <c r="O1126" s="1968"/>
      <c r="P1126" s="1968"/>
      <c r="Q1126" s="1968"/>
      <c r="R1126" s="1968"/>
      <c r="S1126" s="1968"/>
      <c r="T1126" s="1968"/>
    </row>
    <row r="1127" spans="1:20" x14ac:dyDescent="0.2">
      <c r="A1127" s="2031"/>
      <c r="B1127" s="1968"/>
      <c r="C1127" s="2032"/>
      <c r="D1127" s="2033"/>
      <c r="E1127" s="2000"/>
      <c r="F1127" s="2000"/>
      <c r="G1127" s="2000"/>
      <c r="H1127" s="2000"/>
      <c r="I1127" s="1968"/>
      <c r="J1127" s="1968"/>
      <c r="K1127" s="2000"/>
      <c r="L1127" s="2000"/>
      <c r="M1127" s="1968"/>
      <c r="N1127" s="1968"/>
      <c r="O1127" s="1968"/>
      <c r="P1127" s="1968"/>
      <c r="Q1127" s="1968"/>
      <c r="R1127" s="1968"/>
      <c r="S1127" s="1968"/>
      <c r="T1127" s="1968"/>
    </row>
    <row r="1128" spans="1:20" x14ac:dyDescent="0.2">
      <c r="A1128" s="2031"/>
      <c r="B1128" s="1968"/>
      <c r="C1128" s="2032"/>
      <c r="D1128" s="2033"/>
      <c r="E1128" s="2000"/>
      <c r="F1128" s="2000"/>
      <c r="G1128" s="2000"/>
      <c r="H1128" s="2000"/>
      <c r="I1128" s="1968"/>
      <c r="J1128" s="1968"/>
      <c r="K1128" s="2000"/>
      <c r="L1128" s="2000"/>
      <c r="M1128" s="1968"/>
      <c r="N1128" s="1968"/>
      <c r="O1128" s="1968"/>
      <c r="P1128" s="1968"/>
      <c r="Q1128" s="1968"/>
      <c r="R1128" s="1968"/>
      <c r="S1128" s="1968"/>
      <c r="T1128" s="1968"/>
    </row>
    <row r="1129" spans="1:20" x14ac:dyDescent="0.2">
      <c r="A1129" s="2031"/>
      <c r="B1129" s="1968"/>
      <c r="C1129" s="2032"/>
      <c r="D1129" s="2033"/>
      <c r="E1129" s="2000"/>
      <c r="F1129" s="2000"/>
      <c r="G1129" s="2000"/>
      <c r="H1129" s="2000"/>
      <c r="I1129" s="1968"/>
      <c r="J1129" s="1968"/>
      <c r="K1129" s="2000"/>
      <c r="L1129" s="2000"/>
      <c r="M1129" s="1968"/>
      <c r="N1129" s="1968"/>
      <c r="O1129" s="1968"/>
      <c r="P1129" s="1968"/>
      <c r="Q1129" s="1968"/>
      <c r="R1129" s="1968"/>
      <c r="S1129" s="1968"/>
      <c r="T1129" s="1968"/>
    </row>
    <row r="1130" spans="1:20" x14ac:dyDescent="0.2">
      <c r="A1130" s="2031"/>
      <c r="B1130" s="1968"/>
      <c r="C1130" s="2032"/>
      <c r="D1130" s="2033"/>
      <c r="E1130" s="2000"/>
      <c r="F1130" s="2000"/>
      <c r="G1130" s="2000"/>
      <c r="H1130" s="2000"/>
      <c r="I1130" s="1968"/>
      <c r="J1130" s="1968"/>
      <c r="K1130" s="2000"/>
      <c r="L1130" s="2000"/>
      <c r="M1130" s="1968"/>
      <c r="N1130" s="1968"/>
      <c r="O1130" s="1968"/>
      <c r="P1130" s="1968"/>
      <c r="Q1130" s="1968"/>
      <c r="R1130" s="1968"/>
      <c r="S1130" s="1968"/>
      <c r="T1130" s="1968"/>
    </row>
    <row r="1131" spans="1:20" x14ac:dyDescent="0.2">
      <c r="A1131" s="2031"/>
      <c r="B1131" s="1968"/>
      <c r="C1131" s="2032"/>
      <c r="D1131" s="2033"/>
      <c r="E1131" s="2000"/>
      <c r="F1131" s="2000"/>
      <c r="G1131" s="2000"/>
      <c r="H1131" s="2000"/>
      <c r="I1131" s="1968"/>
      <c r="J1131" s="1968"/>
      <c r="K1131" s="2000"/>
      <c r="L1131" s="2000"/>
      <c r="M1131" s="1968"/>
      <c r="N1131" s="1968"/>
      <c r="O1131" s="1968"/>
      <c r="P1131" s="1968"/>
      <c r="Q1131" s="1968"/>
      <c r="R1131" s="1968"/>
      <c r="S1131" s="1968"/>
      <c r="T1131" s="1968"/>
    </row>
    <row r="1132" spans="1:20" x14ac:dyDescent="0.2">
      <c r="A1132" s="2031"/>
      <c r="B1132" s="1968"/>
      <c r="C1132" s="2032"/>
      <c r="D1132" s="2033"/>
      <c r="E1132" s="2000"/>
      <c r="F1132" s="2000"/>
      <c r="G1132" s="2000"/>
      <c r="H1132" s="2000"/>
      <c r="I1132" s="1968"/>
      <c r="J1132" s="1968"/>
      <c r="K1132" s="2000"/>
      <c r="L1132" s="2000"/>
      <c r="M1132" s="1968"/>
      <c r="N1132" s="1968"/>
      <c r="O1132" s="1968"/>
      <c r="P1132" s="1968"/>
      <c r="Q1132" s="1968"/>
      <c r="R1132" s="1968"/>
      <c r="S1132" s="1968"/>
      <c r="T1132" s="1968"/>
    </row>
    <row r="1133" spans="1:20" x14ac:dyDescent="0.2">
      <c r="A1133" s="2031"/>
      <c r="B1133" s="1968"/>
      <c r="C1133" s="2032"/>
      <c r="D1133" s="2033"/>
      <c r="E1133" s="2000"/>
      <c r="F1133" s="2000"/>
      <c r="G1133" s="2000"/>
      <c r="H1133" s="2000"/>
      <c r="I1133" s="1968"/>
      <c r="J1133" s="1968"/>
      <c r="K1133" s="2000"/>
      <c r="L1133" s="2000"/>
      <c r="M1133" s="1968"/>
      <c r="N1133" s="1968"/>
      <c r="O1133" s="1968"/>
      <c r="P1133" s="1968"/>
      <c r="Q1133" s="1968"/>
      <c r="R1133" s="1968"/>
      <c r="S1133" s="1968"/>
      <c r="T1133" s="1968"/>
    </row>
    <row r="1134" spans="1:20" x14ac:dyDescent="0.2">
      <c r="A1134" s="2031"/>
      <c r="B1134" s="1968"/>
      <c r="C1134" s="2032"/>
      <c r="D1134" s="2033"/>
      <c r="E1134" s="2000"/>
      <c r="F1134" s="2000"/>
      <c r="G1134" s="2000"/>
      <c r="H1134" s="2000"/>
      <c r="I1134" s="1968"/>
      <c r="J1134" s="1968"/>
      <c r="K1134" s="2000"/>
      <c r="L1134" s="2000"/>
      <c r="M1134" s="1968"/>
      <c r="N1134" s="1968"/>
      <c r="O1134" s="1968"/>
      <c r="P1134" s="1968"/>
      <c r="Q1134" s="1968"/>
      <c r="R1134" s="1968"/>
      <c r="S1134" s="1968"/>
      <c r="T1134" s="1968"/>
    </row>
    <row r="1135" spans="1:20" x14ac:dyDescent="0.2">
      <c r="A1135" s="2031"/>
      <c r="B1135" s="1968"/>
      <c r="C1135" s="2032"/>
      <c r="D1135" s="2033"/>
      <c r="E1135" s="2000"/>
      <c r="F1135" s="2000"/>
      <c r="G1135" s="2000"/>
      <c r="H1135" s="2000"/>
      <c r="I1135" s="1968"/>
      <c r="J1135" s="1968"/>
      <c r="K1135" s="2000"/>
      <c r="L1135" s="2000"/>
      <c r="M1135" s="1968"/>
      <c r="N1135" s="1968"/>
      <c r="O1135" s="1968"/>
      <c r="P1135" s="1968"/>
      <c r="Q1135" s="1968"/>
      <c r="R1135" s="1968"/>
      <c r="S1135" s="1968"/>
      <c r="T1135" s="1968"/>
    </row>
    <row r="1136" spans="1:20" x14ac:dyDescent="0.2">
      <c r="A1136" s="2031"/>
      <c r="B1136" s="1968"/>
      <c r="C1136" s="2032"/>
      <c r="D1136" s="2033"/>
      <c r="E1136" s="2000"/>
      <c r="F1136" s="2000"/>
      <c r="G1136" s="2000"/>
      <c r="H1136" s="2000"/>
      <c r="I1136" s="1968"/>
      <c r="J1136" s="1968"/>
      <c r="K1136" s="2000"/>
      <c r="L1136" s="2000"/>
      <c r="M1136" s="1968"/>
      <c r="N1136" s="1968"/>
      <c r="O1136" s="1968"/>
      <c r="P1136" s="1968"/>
      <c r="Q1136" s="1968"/>
      <c r="R1136" s="1968"/>
      <c r="S1136" s="1968"/>
      <c r="T1136" s="1968"/>
    </row>
    <row r="1137" spans="1:20" x14ac:dyDescent="0.2">
      <c r="A1137" s="2031"/>
      <c r="B1137" s="1968"/>
      <c r="C1137" s="2032"/>
      <c r="D1137" s="2033"/>
      <c r="E1137" s="2000"/>
      <c r="F1137" s="2000"/>
      <c r="G1137" s="2000"/>
      <c r="H1137" s="2000"/>
      <c r="I1137" s="1968"/>
      <c r="J1137" s="1968"/>
      <c r="K1137" s="2000"/>
      <c r="L1137" s="2000"/>
      <c r="M1137" s="1968"/>
      <c r="N1137" s="1968"/>
      <c r="O1137" s="1968"/>
      <c r="P1137" s="1968"/>
      <c r="Q1137" s="1968"/>
      <c r="R1137" s="1968"/>
      <c r="S1137" s="1968"/>
      <c r="T1137" s="1968"/>
    </row>
    <row r="1138" spans="1:20" x14ac:dyDescent="0.2">
      <c r="A1138" s="2031"/>
      <c r="B1138" s="1968"/>
      <c r="C1138" s="2032"/>
      <c r="D1138" s="2033"/>
      <c r="E1138" s="2000"/>
      <c r="F1138" s="2000"/>
      <c r="G1138" s="2000"/>
      <c r="H1138" s="2000"/>
      <c r="I1138" s="1968"/>
      <c r="J1138" s="1968"/>
      <c r="K1138" s="2000"/>
      <c r="L1138" s="2000"/>
      <c r="M1138" s="1968"/>
      <c r="N1138" s="1968"/>
      <c r="O1138" s="1968"/>
      <c r="P1138" s="1968"/>
      <c r="Q1138" s="1968"/>
      <c r="R1138" s="1968"/>
      <c r="S1138" s="1968"/>
      <c r="T1138" s="1968"/>
    </row>
    <row r="1139" spans="1:20" x14ac:dyDescent="0.2">
      <c r="A1139" s="2031"/>
      <c r="B1139" s="1968"/>
      <c r="C1139" s="2032"/>
      <c r="D1139" s="2033"/>
      <c r="E1139" s="2000"/>
      <c r="F1139" s="2000"/>
      <c r="G1139" s="2000"/>
      <c r="H1139" s="2000"/>
      <c r="I1139" s="1968"/>
      <c r="J1139" s="1968"/>
      <c r="K1139" s="2000"/>
      <c r="L1139" s="2000"/>
      <c r="M1139" s="1968"/>
      <c r="N1139" s="1968"/>
      <c r="O1139" s="1968"/>
      <c r="P1139" s="1968"/>
      <c r="Q1139" s="1968"/>
      <c r="R1139" s="1968"/>
      <c r="S1139" s="1968"/>
      <c r="T1139" s="1968"/>
    </row>
    <row r="1140" spans="1:20" x14ac:dyDescent="0.2">
      <c r="A1140" s="2031"/>
      <c r="B1140" s="1968"/>
      <c r="C1140" s="2032"/>
      <c r="D1140" s="2033"/>
      <c r="E1140" s="2000"/>
      <c r="F1140" s="2000"/>
      <c r="G1140" s="2000"/>
      <c r="H1140" s="2000"/>
      <c r="I1140" s="1968"/>
      <c r="J1140" s="1968"/>
      <c r="K1140" s="2000"/>
      <c r="L1140" s="2000"/>
      <c r="M1140" s="1968"/>
      <c r="N1140" s="1968"/>
      <c r="O1140" s="1968"/>
      <c r="P1140" s="1968"/>
      <c r="Q1140" s="1968"/>
      <c r="R1140" s="1968"/>
      <c r="S1140" s="1968"/>
      <c r="T1140" s="1968"/>
    </row>
    <row r="1141" spans="1:20" x14ac:dyDescent="0.2">
      <c r="A1141" s="2031"/>
      <c r="B1141" s="1968"/>
      <c r="C1141" s="2032"/>
      <c r="D1141" s="2033"/>
      <c r="E1141" s="2000"/>
      <c r="F1141" s="2000"/>
      <c r="G1141" s="2000"/>
      <c r="H1141" s="2000"/>
      <c r="I1141" s="1968"/>
      <c r="J1141" s="1968"/>
      <c r="K1141" s="2000"/>
      <c r="L1141" s="2000"/>
      <c r="M1141" s="1968"/>
      <c r="N1141" s="1968"/>
      <c r="O1141" s="1968"/>
      <c r="P1141" s="1968"/>
      <c r="Q1141" s="1968"/>
      <c r="R1141" s="1968"/>
      <c r="S1141" s="1968"/>
      <c r="T1141" s="1968"/>
    </row>
    <row r="1142" spans="1:20" x14ac:dyDescent="0.2">
      <c r="A1142" s="2031"/>
      <c r="B1142" s="1968"/>
      <c r="C1142" s="2032"/>
      <c r="D1142" s="2033"/>
      <c r="E1142" s="2000"/>
      <c r="F1142" s="2000"/>
      <c r="G1142" s="2000"/>
      <c r="H1142" s="2000"/>
      <c r="I1142" s="1968"/>
      <c r="J1142" s="1968"/>
      <c r="K1142" s="2000"/>
      <c r="L1142" s="2000"/>
      <c r="M1142" s="1968"/>
      <c r="N1142" s="1968"/>
      <c r="O1142" s="1968"/>
      <c r="P1142" s="1968"/>
      <c r="Q1142" s="1968"/>
      <c r="R1142" s="1968"/>
      <c r="S1142" s="1968"/>
      <c r="T1142" s="1968"/>
    </row>
    <row r="1143" spans="1:20" x14ac:dyDescent="0.2">
      <c r="A1143" s="2031"/>
      <c r="B1143" s="1968"/>
      <c r="C1143" s="2032"/>
      <c r="D1143" s="2033"/>
      <c r="E1143" s="2000"/>
      <c r="F1143" s="2000"/>
      <c r="G1143" s="2000"/>
      <c r="H1143" s="2000"/>
      <c r="I1143" s="1968"/>
      <c r="J1143" s="1968"/>
      <c r="K1143" s="2000"/>
      <c r="L1143" s="2000"/>
      <c r="M1143" s="1968"/>
      <c r="N1143" s="1968"/>
      <c r="O1143" s="1968"/>
      <c r="P1143" s="1968"/>
      <c r="Q1143" s="1968"/>
      <c r="R1143" s="1968"/>
      <c r="S1143" s="1968"/>
      <c r="T1143" s="1968"/>
    </row>
    <row r="1144" spans="1:20" x14ac:dyDescent="0.2">
      <c r="A1144" s="2031"/>
      <c r="B1144" s="1968"/>
      <c r="C1144" s="2032"/>
      <c r="D1144" s="2033"/>
      <c r="E1144" s="2000"/>
      <c r="F1144" s="2000"/>
      <c r="G1144" s="2000"/>
      <c r="H1144" s="2000"/>
      <c r="I1144" s="1968"/>
      <c r="J1144" s="1968"/>
      <c r="K1144" s="2000"/>
      <c r="L1144" s="2000"/>
      <c r="M1144" s="1968"/>
      <c r="N1144" s="1968"/>
      <c r="O1144" s="1968"/>
      <c r="P1144" s="1968"/>
      <c r="Q1144" s="1968"/>
      <c r="R1144" s="1968"/>
      <c r="S1144" s="1968"/>
      <c r="T1144" s="1968"/>
    </row>
    <row r="1145" spans="1:20" x14ac:dyDescent="0.2">
      <c r="A1145" s="2031"/>
      <c r="B1145" s="1968"/>
      <c r="C1145" s="2032"/>
      <c r="D1145" s="2033"/>
      <c r="E1145" s="2000"/>
      <c r="F1145" s="2000"/>
      <c r="G1145" s="2000"/>
      <c r="H1145" s="2000"/>
      <c r="I1145" s="1968"/>
      <c r="J1145" s="1968"/>
      <c r="K1145" s="2000"/>
      <c r="L1145" s="2000"/>
      <c r="M1145" s="1968"/>
      <c r="N1145" s="1968"/>
      <c r="O1145" s="1968"/>
      <c r="P1145" s="1968"/>
      <c r="Q1145" s="1968"/>
      <c r="R1145" s="1968"/>
      <c r="S1145" s="1968"/>
      <c r="T1145" s="1968"/>
    </row>
    <row r="1146" spans="1:20" x14ac:dyDescent="0.2">
      <c r="A1146" s="2031"/>
      <c r="B1146" s="1968"/>
      <c r="C1146" s="2032"/>
      <c r="D1146" s="2033"/>
      <c r="E1146" s="2000"/>
      <c r="F1146" s="2000"/>
      <c r="G1146" s="2000"/>
      <c r="H1146" s="2000"/>
      <c r="I1146" s="1968"/>
      <c r="J1146" s="1968"/>
      <c r="K1146" s="2000"/>
      <c r="L1146" s="2000"/>
      <c r="M1146" s="1968"/>
      <c r="N1146" s="1968"/>
      <c r="O1146" s="1968"/>
      <c r="P1146" s="1968"/>
      <c r="Q1146" s="1968"/>
      <c r="R1146" s="1968"/>
      <c r="S1146" s="1968"/>
      <c r="T1146" s="1968"/>
    </row>
    <row r="1147" spans="1:20" x14ac:dyDescent="0.2">
      <c r="A1147" s="2031"/>
      <c r="B1147" s="1968"/>
      <c r="C1147" s="2032"/>
      <c r="D1147" s="2033"/>
      <c r="E1147" s="2000"/>
      <c r="F1147" s="2000"/>
      <c r="G1147" s="2000"/>
      <c r="H1147" s="2000"/>
      <c r="I1147" s="1968"/>
      <c r="J1147" s="1968"/>
      <c r="K1147" s="2000"/>
      <c r="L1147" s="2000"/>
      <c r="M1147" s="1968"/>
      <c r="N1147" s="1968"/>
      <c r="O1147" s="1968"/>
      <c r="P1147" s="1968"/>
      <c r="Q1147" s="1968"/>
      <c r="R1147" s="1968"/>
      <c r="S1147" s="1968"/>
      <c r="T1147" s="1968"/>
    </row>
    <row r="1148" spans="1:20" x14ac:dyDescent="0.2">
      <c r="A1148" s="2031"/>
      <c r="B1148" s="1968"/>
      <c r="C1148" s="2032"/>
      <c r="D1148" s="2033"/>
      <c r="E1148" s="2000"/>
      <c r="F1148" s="2000"/>
      <c r="G1148" s="2000"/>
      <c r="H1148" s="2000"/>
      <c r="I1148" s="1968"/>
      <c r="J1148" s="1968"/>
      <c r="K1148" s="2000"/>
      <c r="L1148" s="2000"/>
      <c r="M1148" s="1968"/>
      <c r="N1148" s="1968"/>
      <c r="O1148" s="1968"/>
      <c r="P1148" s="1968"/>
      <c r="Q1148" s="1968"/>
      <c r="R1148" s="1968"/>
      <c r="S1148" s="1968"/>
      <c r="T1148" s="1968"/>
    </row>
    <row r="1149" spans="1:20" x14ac:dyDescent="0.2">
      <c r="A1149" s="2031"/>
      <c r="B1149" s="1968"/>
      <c r="C1149" s="2032"/>
      <c r="D1149" s="2033"/>
      <c r="E1149" s="2000"/>
      <c r="F1149" s="2000"/>
      <c r="G1149" s="2000"/>
      <c r="H1149" s="2000"/>
      <c r="I1149" s="1968"/>
      <c r="J1149" s="1968"/>
      <c r="K1149" s="2000"/>
      <c r="L1149" s="2000"/>
      <c r="M1149" s="1968"/>
      <c r="N1149" s="1968"/>
      <c r="O1149" s="1968"/>
      <c r="P1149" s="1968"/>
      <c r="Q1149" s="1968"/>
      <c r="R1149" s="1968"/>
      <c r="S1149" s="1968"/>
      <c r="T1149" s="1968"/>
    </row>
    <row r="1150" spans="1:20" x14ac:dyDescent="0.2">
      <c r="A1150" s="2031"/>
      <c r="B1150" s="1968"/>
      <c r="C1150" s="2032"/>
      <c r="D1150" s="2033"/>
      <c r="E1150" s="2000"/>
      <c r="F1150" s="2000"/>
      <c r="G1150" s="2000"/>
      <c r="H1150" s="2000"/>
      <c r="I1150" s="1968"/>
      <c r="J1150" s="1968"/>
      <c r="K1150" s="2000"/>
      <c r="L1150" s="2000"/>
      <c r="M1150" s="1968"/>
      <c r="N1150" s="1968"/>
      <c r="O1150" s="1968"/>
      <c r="P1150" s="1968"/>
      <c r="Q1150" s="1968"/>
      <c r="R1150" s="1968"/>
      <c r="S1150" s="1968"/>
      <c r="T1150" s="1968"/>
    </row>
    <row r="1151" spans="1:20" x14ac:dyDescent="0.2">
      <c r="A1151" s="2031"/>
      <c r="B1151" s="1968"/>
      <c r="C1151" s="2032"/>
      <c r="D1151" s="2033"/>
      <c r="E1151" s="2000"/>
      <c r="F1151" s="2000"/>
      <c r="G1151" s="2000"/>
      <c r="H1151" s="2000"/>
      <c r="I1151" s="1968"/>
      <c r="J1151" s="1968"/>
      <c r="K1151" s="2000"/>
      <c r="L1151" s="2000"/>
      <c r="M1151" s="1968"/>
      <c r="N1151" s="1968"/>
      <c r="O1151" s="1968"/>
      <c r="P1151" s="1968"/>
      <c r="Q1151" s="1968"/>
      <c r="R1151" s="1968"/>
      <c r="S1151" s="1968"/>
      <c r="T1151" s="1968"/>
    </row>
    <row r="1152" spans="1:20" x14ac:dyDescent="0.2">
      <c r="A1152" s="2031"/>
      <c r="B1152" s="1968"/>
      <c r="C1152" s="2032"/>
      <c r="D1152" s="2033"/>
      <c r="E1152" s="2000"/>
      <c r="F1152" s="2000"/>
      <c r="G1152" s="2000"/>
      <c r="H1152" s="2000"/>
      <c r="I1152" s="1968"/>
      <c r="J1152" s="1968"/>
      <c r="K1152" s="2000"/>
      <c r="L1152" s="2000"/>
      <c r="M1152" s="1968"/>
      <c r="N1152" s="1968"/>
      <c r="O1152" s="1968"/>
      <c r="P1152" s="1968"/>
      <c r="Q1152" s="1968"/>
      <c r="R1152" s="1968"/>
      <c r="S1152" s="1968"/>
      <c r="T1152" s="1968"/>
    </row>
    <row r="1153" spans="1:20" x14ac:dyDescent="0.2">
      <c r="A1153" s="2031"/>
      <c r="B1153" s="1968"/>
      <c r="C1153" s="2032"/>
      <c r="D1153" s="2033"/>
      <c r="E1153" s="2000"/>
      <c r="F1153" s="2000"/>
      <c r="G1153" s="2000"/>
      <c r="H1153" s="2000"/>
      <c r="I1153" s="1968"/>
      <c r="J1153" s="1968"/>
      <c r="K1153" s="2000"/>
      <c r="L1153" s="2000"/>
      <c r="M1153" s="1968"/>
      <c r="N1153" s="1968"/>
      <c r="O1153" s="1968"/>
      <c r="P1153" s="1968"/>
      <c r="Q1153" s="1968"/>
      <c r="R1153" s="1968"/>
      <c r="S1153" s="1968"/>
      <c r="T1153" s="1968"/>
    </row>
    <row r="1154" spans="1:20" x14ac:dyDescent="0.2">
      <c r="A1154" s="2031"/>
      <c r="B1154" s="1968"/>
      <c r="C1154" s="2032"/>
      <c r="D1154" s="2033"/>
      <c r="E1154" s="2000"/>
      <c r="F1154" s="2000"/>
      <c r="G1154" s="2000"/>
      <c r="H1154" s="2000"/>
      <c r="I1154" s="1968"/>
      <c r="J1154" s="1968"/>
      <c r="K1154" s="2000"/>
      <c r="L1154" s="2000"/>
      <c r="M1154" s="1968"/>
      <c r="N1154" s="1968"/>
      <c r="O1154" s="1968"/>
      <c r="P1154" s="1968"/>
      <c r="Q1154" s="1968"/>
      <c r="R1154" s="1968"/>
      <c r="S1154" s="1968"/>
      <c r="T1154" s="1968"/>
    </row>
    <row r="1155" spans="1:20" x14ac:dyDescent="0.2">
      <c r="A1155" s="2031"/>
      <c r="B1155" s="1968"/>
      <c r="C1155" s="2032"/>
      <c r="D1155" s="2033"/>
      <c r="E1155" s="2000"/>
      <c r="F1155" s="2000"/>
      <c r="G1155" s="2000"/>
      <c r="H1155" s="2000"/>
      <c r="I1155" s="1968"/>
      <c r="J1155" s="1968"/>
      <c r="K1155" s="2000"/>
      <c r="L1155" s="2000"/>
      <c r="M1155" s="1968"/>
      <c r="N1155" s="1968"/>
      <c r="O1155" s="1968"/>
      <c r="P1155" s="1968"/>
      <c r="Q1155" s="1968"/>
      <c r="R1155" s="1968"/>
      <c r="S1155" s="1968"/>
      <c r="T1155" s="1968"/>
    </row>
    <row r="1156" spans="1:20" x14ac:dyDescent="0.2">
      <c r="A1156" s="2031"/>
      <c r="B1156" s="1968"/>
      <c r="C1156" s="2032"/>
      <c r="D1156" s="2033"/>
      <c r="E1156" s="2000"/>
      <c r="F1156" s="2000"/>
      <c r="G1156" s="2000"/>
      <c r="H1156" s="2000"/>
      <c r="I1156" s="1968"/>
      <c r="J1156" s="1968"/>
      <c r="K1156" s="2000"/>
      <c r="L1156" s="2000"/>
      <c r="M1156" s="1968"/>
      <c r="N1156" s="1968"/>
      <c r="O1156" s="1968"/>
      <c r="P1156" s="1968"/>
      <c r="Q1156" s="1968"/>
      <c r="R1156" s="1968"/>
      <c r="S1156" s="1968"/>
      <c r="T1156" s="1968"/>
    </row>
    <row r="1157" spans="1:20" x14ac:dyDescent="0.2">
      <c r="A1157" s="2031"/>
      <c r="B1157" s="1968"/>
      <c r="C1157" s="2032"/>
      <c r="D1157" s="2033"/>
      <c r="E1157" s="2000"/>
      <c r="F1157" s="2000"/>
      <c r="G1157" s="2000"/>
      <c r="H1157" s="2000"/>
      <c r="I1157" s="1968"/>
      <c r="J1157" s="1968"/>
      <c r="K1157" s="2000"/>
      <c r="L1157" s="2000"/>
      <c r="M1157" s="1968"/>
      <c r="N1157" s="1968"/>
      <c r="O1157" s="1968"/>
      <c r="P1157" s="1968"/>
      <c r="Q1157" s="1968"/>
      <c r="R1157" s="1968"/>
      <c r="S1157" s="1968"/>
      <c r="T1157" s="1968"/>
    </row>
    <row r="1158" spans="1:20" x14ac:dyDescent="0.2">
      <c r="A1158" s="2031"/>
      <c r="B1158" s="1968"/>
      <c r="C1158" s="2032"/>
      <c r="D1158" s="2033"/>
      <c r="E1158" s="2000"/>
      <c r="F1158" s="2000"/>
      <c r="G1158" s="2000"/>
      <c r="H1158" s="2000"/>
      <c r="I1158" s="1968"/>
      <c r="J1158" s="1968"/>
      <c r="K1158" s="2000"/>
      <c r="L1158" s="2000"/>
      <c r="M1158" s="1968"/>
      <c r="N1158" s="1968"/>
      <c r="O1158" s="1968"/>
      <c r="P1158" s="1968"/>
      <c r="Q1158" s="1968"/>
      <c r="R1158" s="1968"/>
      <c r="S1158" s="1968"/>
      <c r="T1158" s="1968"/>
    </row>
    <row r="1159" spans="1:20" x14ac:dyDescent="0.2">
      <c r="A1159" s="2031"/>
      <c r="B1159" s="1968"/>
      <c r="C1159" s="2032"/>
      <c r="D1159" s="2033"/>
      <c r="E1159" s="2000"/>
      <c r="F1159" s="2000"/>
      <c r="G1159" s="2000"/>
      <c r="H1159" s="2000"/>
      <c r="I1159" s="1968"/>
      <c r="J1159" s="1968"/>
      <c r="K1159" s="2000"/>
      <c r="L1159" s="2000"/>
      <c r="M1159" s="1968"/>
      <c r="N1159" s="1968"/>
      <c r="O1159" s="1968"/>
      <c r="P1159" s="1968"/>
      <c r="Q1159" s="1968"/>
      <c r="R1159" s="1968"/>
      <c r="S1159" s="1968"/>
      <c r="T1159" s="1968"/>
    </row>
    <row r="1160" spans="1:20" x14ac:dyDescent="0.2">
      <c r="A1160" s="2031"/>
      <c r="B1160" s="1968"/>
      <c r="C1160" s="2032"/>
      <c r="D1160" s="2033"/>
      <c r="E1160" s="2000"/>
      <c r="F1160" s="2000"/>
      <c r="G1160" s="2000"/>
      <c r="H1160" s="2000"/>
      <c r="I1160" s="1968"/>
      <c r="J1160" s="1968"/>
      <c r="K1160" s="2000"/>
      <c r="L1160" s="2000"/>
      <c r="M1160" s="1968"/>
      <c r="N1160" s="1968"/>
      <c r="O1160" s="1968"/>
      <c r="P1160" s="1968"/>
      <c r="Q1160" s="1968"/>
      <c r="R1160" s="1968"/>
      <c r="S1160" s="1968"/>
      <c r="T1160" s="1968"/>
    </row>
    <row r="1161" spans="1:20" x14ac:dyDescent="0.2">
      <c r="A1161" s="2031"/>
      <c r="B1161" s="1968"/>
      <c r="C1161" s="2032"/>
      <c r="D1161" s="2033"/>
      <c r="E1161" s="2000"/>
      <c r="F1161" s="2000"/>
      <c r="G1161" s="2000"/>
      <c r="H1161" s="2000"/>
      <c r="I1161" s="1968"/>
      <c r="J1161" s="1968"/>
      <c r="K1161" s="2000"/>
      <c r="L1161" s="2000"/>
      <c r="M1161" s="1968"/>
      <c r="N1161" s="1968"/>
      <c r="O1161" s="1968"/>
      <c r="P1161" s="1968"/>
      <c r="Q1161" s="1968"/>
      <c r="R1161" s="1968"/>
      <c r="S1161" s="1968"/>
      <c r="T1161" s="1968"/>
    </row>
    <row r="1162" spans="1:20" x14ac:dyDescent="0.2">
      <c r="A1162" s="2031"/>
      <c r="B1162" s="1968"/>
      <c r="C1162" s="2032"/>
      <c r="D1162" s="2033"/>
      <c r="E1162" s="2000"/>
      <c r="F1162" s="2000"/>
      <c r="G1162" s="2000"/>
      <c r="H1162" s="2000"/>
      <c r="I1162" s="1968"/>
      <c r="J1162" s="1968"/>
      <c r="K1162" s="2000"/>
      <c r="L1162" s="2000"/>
      <c r="M1162" s="1968"/>
      <c r="N1162" s="1968"/>
      <c r="O1162" s="1968"/>
      <c r="P1162" s="1968"/>
      <c r="Q1162" s="1968"/>
      <c r="R1162" s="1968"/>
      <c r="S1162" s="1968"/>
      <c r="T1162" s="1968"/>
    </row>
    <row r="1163" spans="1:20" x14ac:dyDescent="0.2">
      <c r="A1163" s="2031"/>
      <c r="B1163" s="1968"/>
      <c r="C1163" s="2032"/>
      <c r="D1163" s="2033"/>
      <c r="E1163" s="2000"/>
      <c r="F1163" s="2000"/>
      <c r="G1163" s="2000"/>
      <c r="H1163" s="2000"/>
      <c r="I1163" s="1968"/>
      <c r="J1163" s="1968"/>
      <c r="K1163" s="2000"/>
      <c r="L1163" s="2000"/>
      <c r="M1163" s="1968"/>
      <c r="N1163" s="1968"/>
      <c r="O1163" s="1968"/>
      <c r="P1163" s="1968"/>
      <c r="Q1163" s="1968"/>
      <c r="R1163" s="1968"/>
      <c r="S1163" s="1968"/>
      <c r="T1163" s="1968"/>
    </row>
    <row r="1164" spans="1:20" x14ac:dyDescent="0.2">
      <c r="A1164" s="2031"/>
      <c r="B1164" s="1968"/>
      <c r="C1164" s="2032"/>
      <c r="D1164" s="2033"/>
      <c r="E1164" s="2000"/>
      <c r="F1164" s="2000"/>
      <c r="G1164" s="2000"/>
      <c r="H1164" s="2000"/>
      <c r="I1164" s="1968"/>
      <c r="J1164" s="1968"/>
      <c r="K1164" s="2000"/>
      <c r="L1164" s="2000"/>
      <c r="M1164" s="1968"/>
      <c r="N1164" s="1968"/>
      <c r="O1164" s="1968"/>
      <c r="P1164" s="1968"/>
      <c r="Q1164" s="1968"/>
      <c r="R1164" s="1968"/>
      <c r="S1164" s="1968"/>
      <c r="T1164" s="1968"/>
    </row>
    <row r="1165" spans="1:20" x14ac:dyDescent="0.2">
      <c r="A1165" s="2031"/>
      <c r="B1165" s="1968"/>
      <c r="C1165" s="2032"/>
      <c r="D1165" s="2033"/>
      <c r="E1165" s="2000"/>
      <c r="F1165" s="2000"/>
      <c r="G1165" s="2000"/>
      <c r="H1165" s="2000"/>
      <c r="I1165" s="1968"/>
      <c r="J1165" s="1968"/>
      <c r="K1165" s="2000"/>
      <c r="L1165" s="2000"/>
      <c r="M1165" s="1968"/>
      <c r="N1165" s="1968"/>
      <c r="O1165" s="1968"/>
      <c r="P1165" s="1968"/>
      <c r="Q1165" s="1968"/>
      <c r="R1165" s="1968"/>
      <c r="S1165" s="1968"/>
      <c r="T1165" s="1968"/>
    </row>
    <row r="1166" spans="1:20" x14ac:dyDescent="0.2">
      <c r="A1166" s="2031"/>
      <c r="B1166" s="1968"/>
      <c r="C1166" s="2032"/>
      <c r="D1166" s="2033"/>
      <c r="E1166" s="2000"/>
      <c r="F1166" s="2000"/>
      <c r="G1166" s="2000"/>
      <c r="H1166" s="2000"/>
      <c r="I1166" s="1968"/>
      <c r="J1166" s="1968"/>
      <c r="K1166" s="2000"/>
      <c r="L1166" s="2000"/>
      <c r="M1166" s="1968"/>
      <c r="N1166" s="1968"/>
      <c r="O1166" s="1968"/>
      <c r="P1166" s="1968"/>
      <c r="Q1166" s="1968"/>
      <c r="R1166" s="1968"/>
      <c r="S1166" s="1968"/>
      <c r="T1166" s="1968"/>
    </row>
    <row r="1167" spans="1:20" x14ac:dyDescent="0.2">
      <c r="A1167" s="2031"/>
      <c r="B1167" s="1968"/>
      <c r="C1167" s="2032"/>
      <c r="D1167" s="2033"/>
      <c r="E1167" s="2000"/>
      <c r="F1167" s="2000"/>
      <c r="G1167" s="2000"/>
      <c r="H1167" s="2000"/>
      <c r="I1167" s="1968"/>
      <c r="J1167" s="1968"/>
      <c r="K1167" s="2000"/>
      <c r="L1167" s="2000"/>
      <c r="M1167" s="1968"/>
      <c r="N1167" s="1968"/>
      <c r="O1167" s="1968"/>
      <c r="P1167" s="1968"/>
      <c r="Q1167" s="1968"/>
      <c r="R1167" s="1968"/>
      <c r="S1167" s="1968"/>
      <c r="T1167" s="1968"/>
    </row>
    <row r="1168" spans="1:20" x14ac:dyDescent="0.2">
      <c r="A1168" s="2031"/>
      <c r="B1168" s="1968"/>
      <c r="C1168" s="2032"/>
      <c r="D1168" s="2033"/>
      <c r="E1168" s="2000"/>
      <c r="F1168" s="2000"/>
      <c r="G1168" s="2000"/>
      <c r="H1168" s="2000"/>
      <c r="I1168" s="1968"/>
      <c r="J1168" s="1968"/>
      <c r="K1168" s="2000"/>
      <c r="L1168" s="2000"/>
      <c r="M1168" s="1968"/>
      <c r="N1168" s="1968"/>
      <c r="O1168" s="1968"/>
      <c r="P1168" s="1968"/>
      <c r="Q1168" s="1968"/>
      <c r="R1168" s="1968"/>
      <c r="S1168" s="1968"/>
      <c r="T1168" s="1968"/>
    </row>
    <row r="1169" spans="1:20" x14ac:dyDescent="0.2">
      <c r="A1169" s="2031"/>
      <c r="B1169" s="1968"/>
      <c r="C1169" s="2032"/>
      <c r="D1169" s="2033"/>
      <c r="E1169" s="2000"/>
      <c r="F1169" s="2000"/>
      <c r="G1169" s="2000"/>
      <c r="H1169" s="2000"/>
      <c r="I1169" s="1968"/>
      <c r="J1169" s="1968"/>
      <c r="K1169" s="2000"/>
      <c r="L1169" s="2000"/>
      <c r="M1169" s="1968"/>
      <c r="N1169" s="1968"/>
      <c r="O1169" s="1968"/>
      <c r="P1169" s="1968"/>
      <c r="Q1169" s="1968"/>
      <c r="R1169" s="1968"/>
      <c r="S1169" s="1968"/>
      <c r="T1169" s="1968"/>
    </row>
    <row r="1170" spans="1:20" x14ac:dyDescent="0.2">
      <c r="A1170" s="2031"/>
      <c r="B1170" s="1968"/>
      <c r="C1170" s="2032"/>
      <c r="D1170" s="2033"/>
      <c r="E1170" s="2000"/>
      <c r="F1170" s="2000"/>
      <c r="G1170" s="2000"/>
      <c r="H1170" s="2000"/>
      <c r="I1170" s="1968"/>
      <c r="J1170" s="1968"/>
      <c r="K1170" s="2000"/>
      <c r="L1170" s="2000"/>
      <c r="M1170" s="1968"/>
      <c r="N1170" s="1968"/>
      <c r="O1170" s="1968"/>
      <c r="P1170" s="1968"/>
      <c r="Q1170" s="1968"/>
      <c r="R1170" s="1968"/>
      <c r="S1170" s="1968"/>
      <c r="T1170" s="1968"/>
    </row>
    <row r="1171" spans="1:20" x14ac:dyDescent="0.2">
      <c r="A1171" s="2031"/>
      <c r="B1171" s="1968"/>
      <c r="C1171" s="2032"/>
      <c r="D1171" s="2033"/>
      <c r="E1171" s="2000"/>
      <c r="F1171" s="2000"/>
      <c r="G1171" s="2000"/>
      <c r="H1171" s="2000"/>
      <c r="I1171" s="1968"/>
      <c r="J1171" s="1968"/>
      <c r="K1171" s="2000"/>
      <c r="L1171" s="2000"/>
      <c r="M1171" s="1968"/>
      <c r="N1171" s="1968"/>
      <c r="O1171" s="1968"/>
      <c r="P1171" s="1968"/>
      <c r="Q1171" s="1968"/>
      <c r="R1171" s="1968"/>
      <c r="S1171" s="1968"/>
      <c r="T1171" s="1968"/>
    </row>
    <row r="1172" spans="1:20" x14ac:dyDescent="0.2">
      <c r="A1172" s="2031"/>
      <c r="B1172" s="1968"/>
      <c r="C1172" s="2032"/>
      <c r="D1172" s="2033"/>
      <c r="E1172" s="2000"/>
      <c r="F1172" s="2000"/>
      <c r="G1172" s="2000"/>
      <c r="H1172" s="2000"/>
      <c r="I1172" s="1968"/>
      <c r="J1172" s="1968"/>
      <c r="K1172" s="2000"/>
      <c r="L1172" s="2000"/>
      <c r="M1172" s="1968"/>
      <c r="N1172" s="1968"/>
      <c r="O1172" s="1968"/>
      <c r="P1172" s="1968"/>
      <c r="Q1172" s="1968"/>
      <c r="R1172" s="1968"/>
      <c r="S1172" s="1968"/>
      <c r="T1172" s="1968"/>
    </row>
    <row r="1173" spans="1:20" x14ac:dyDescent="0.2">
      <c r="A1173" s="2031"/>
      <c r="B1173" s="1968"/>
      <c r="C1173" s="2032"/>
      <c r="D1173" s="2033"/>
      <c r="E1173" s="2000"/>
      <c r="F1173" s="2000"/>
      <c r="G1173" s="2000"/>
      <c r="H1173" s="2000"/>
      <c r="I1173" s="1968"/>
      <c r="J1173" s="1968"/>
      <c r="K1173" s="2000"/>
      <c r="L1173" s="2000"/>
      <c r="M1173" s="1968"/>
      <c r="N1173" s="1968"/>
      <c r="O1173" s="1968"/>
      <c r="P1173" s="1968"/>
      <c r="Q1173" s="1968"/>
      <c r="R1173" s="1968"/>
      <c r="S1173" s="1968"/>
      <c r="T1173" s="1968"/>
    </row>
    <row r="1174" spans="1:20" x14ac:dyDescent="0.2">
      <c r="A1174" s="2031"/>
      <c r="B1174" s="1968"/>
      <c r="C1174" s="2032"/>
      <c r="D1174" s="2033"/>
      <c r="E1174" s="2000"/>
      <c r="F1174" s="2000"/>
      <c r="G1174" s="2000"/>
      <c r="H1174" s="2000"/>
      <c r="I1174" s="1968"/>
      <c r="J1174" s="1968"/>
      <c r="K1174" s="2000"/>
      <c r="L1174" s="2000"/>
      <c r="M1174" s="1968"/>
      <c r="N1174" s="1968"/>
      <c r="O1174" s="1968"/>
      <c r="P1174" s="1968"/>
      <c r="Q1174" s="1968"/>
      <c r="R1174" s="1968"/>
      <c r="S1174" s="1968"/>
      <c r="T1174" s="1968"/>
    </row>
    <row r="1175" spans="1:20" x14ac:dyDescent="0.2">
      <c r="A1175" s="2031"/>
      <c r="B1175" s="1968"/>
      <c r="C1175" s="2032"/>
      <c r="D1175" s="2033"/>
      <c r="E1175" s="2000"/>
      <c r="F1175" s="2000"/>
      <c r="G1175" s="2000"/>
      <c r="H1175" s="2000"/>
      <c r="I1175" s="1968"/>
      <c r="J1175" s="1968"/>
      <c r="K1175" s="2000"/>
      <c r="L1175" s="2000"/>
      <c r="M1175" s="1968"/>
      <c r="N1175" s="1968"/>
      <c r="O1175" s="1968"/>
      <c r="P1175" s="1968"/>
      <c r="Q1175" s="1968"/>
      <c r="R1175" s="1968"/>
      <c r="S1175" s="1968"/>
      <c r="T1175" s="1968"/>
    </row>
    <row r="1176" spans="1:20" x14ac:dyDescent="0.2">
      <c r="A1176" s="2031"/>
      <c r="B1176" s="1968"/>
      <c r="C1176" s="2032"/>
      <c r="D1176" s="2033"/>
      <c r="E1176" s="2000"/>
      <c r="F1176" s="2000"/>
      <c r="G1176" s="2000"/>
      <c r="H1176" s="2000"/>
      <c r="I1176" s="1968"/>
      <c r="J1176" s="1968"/>
      <c r="K1176" s="2000"/>
      <c r="L1176" s="2000"/>
      <c r="M1176" s="1968"/>
      <c r="N1176" s="1968"/>
      <c r="O1176" s="1968"/>
      <c r="P1176" s="1968"/>
      <c r="Q1176" s="1968"/>
      <c r="R1176" s="1968"/>
      <c r="S1176" s="1968"/>
      <c r="T1176" s="1968"/>
    </row>
    <row r="1177" spans="1:20" x14ac:dyDescent="0.2">
      <c r="A1177" s="2031"/>
      <c r="B1177" s="1968"/>
      <c r="C1177" s="2032"/>
      <c r="D1177" s="2033"/>
      <c r="E1177" s="2000"/>
      <c r="F1177" s="2000"/>
      <c r="G1177" s="2000"/>
      <c r="H1177" s="2000"/>
      <c r="I1177" s="1968"/>
      <c r="J1177" s="1968"/>
      <c r="K1177" s="2000"/>
      <c r="L1177" s="2000"/>
      <c r="M1177" s="1968"/>
      <c r="N1177" s="1968"/>
      <c r="O1177" s="1968"/>
      <c r="P1177" s="1968"/>
      <c r="Q1177" s="1968"/>
      <c r="R1177" s="1968"/>
      <c r="S1177" s="1968"/>
      <c r="T1177" s="1968"/>
    </row>
    <row r="1178" spans="1:20" x14ac:dyDescent="0.2">
      <c r="A1178" s="2031"/>
      <c r="B1178" s="1968"/>
      <c r="C1178" s="2032"/>
      <c r="D1178" s="2033"/>
      <c r="E1178" s="2000"/>
      <c r="F1178" s="2000"/>
      <c r="G1178" s="2000"/>
      <c r="H1178" s="2000"/>
      <c r="I1178" s="1968"/>
      <c r="J1178" s="1968"/>
      <c r="K1178" s="2000"/>
      <c r="L1178" s="2000"/>
      <c r="M1178" s="1968"/>
      <c r="N1178" s="1968"/>
      <c r="O1178" s="1968"/>
      <c r="P1178" s="1968"/>
      <c r="Q1178" s="1968"/>
      <c r="R1178" s="1968"/>
      <c r="S1178" s="1968"/>
      <c r="T1178" s="1968"/>
    </row>
    <row r="1179" spans="1:20" x14ac:dyDescent="0.2">
      <c r="A1179" s="2031"/>
      <c r="B1179" s="1968"/>
      <c r="C1179" s="2032"/>
      <c r="D1179" s="2033"/>
      <c r="E1179" s="2000"/>
      <c r="F1179" s="2000"/>
      <c r="G1179" s="2000"/>
      <c r="H1179" s="2000"/>
      <c r="I1179" s="1968"/>
      <c r="J1179" s="1968"/>
      <c r="K1179" s="2000"/>
      <c r="L1179" s="2000"/>
      <c r="M1179" s="1968"/>
      <c r="N1179" s="1968"/>
      <c r="O1179" s="1968"/>
      <c r="P1179" s="1968"/>
      <c r="Q1179" s="1968"/>
      <c r="R1179" s="1968"/>
      <c r="S1179" s="1968"/>
      <c r="T1179" s="1968"/>
    </row>
    <row r="1180" spans="1:20" x14ac:dyDescent="0.2">
      <c r="A1180" s="2031"/>
      <c r="B1180" s="1968"/>
      <c r="C1180" s="2032"/>
      <c r="D1180" s="2033"/>
      <c r="E1180" s="2000"/>
      <c r="F1180" s="2000"/>
      <c r="G1180" s="2000"/>
      <c r="H1180" s="2000"/>
      <c r="I1180" s="1968"/>
      <c r="J1180" s="1968"/>
      <c r="K1180" s="2000"/>
      <c r="L1180" s="2000"/>
      <c r="M1180" s="1968"/>
      <c r="N1180" s="1968"/>
      <c r="O1180" s="1968"/>
      <c r="P1180" s="1968"/>
      <c r="Q1180" s="1968"/>
      <c r="R1180" s="1968"/>
      <c r="S1180" s="1968"/>
      <c r="T1180" s="1968"/>
    </row>
    <row r="1181" spans="1:20" x14ac:dyDescent="0.2">
      <c r="A1181" s="2031"/>
      <c r="B1181" s="1968"/>
      <c r="C1181" s="2032"/>
      <c r="D1181" s="2033"/>
      <c r="E1181" s="2000"/>
      <c r="F1181" s="2000"/>
      <c r="G1181" s="2000"/>
      <c r="H1181" s="2000"/>
      <c r="I1181" s="1968"/>
      <c r="J1181" s="1968"/>
      <c r="K1181" s="2000"/>
      <c r="L1181" s="2000"/>
      <c r="M1181" s="1968"/>
      <c r="N1181" s="1968"/>
      <c r="O1181" s="1968"/>
      <c r="P1181" s="1968"/>
      <c r="Q1181" s="1968"/>
      <c r="R1181" s="1968"/>
      <c r="S1181" s="1968"/>
      <c r="T1181" s="1968"/>
    </row>
    <row r="1182" spans="1:20" x14ac:dyDescent="0.2">
      <c r="A1182" s="2031"/>
      <c r="B1182" s="1968"/>
      <c r="C1182" s="2032"/>
      <c r="D1182" s="2033"/>
      <c r="E1182" s="2000"/>
      <c r="F1182" s="2000"/>
      <c r="G1182" s="2000"/>
      <c r="H1182" s="2000"/>
      <c r="I1182" s="1968"/>
      <c r="J1182" s="1968"/>
      <c r="K1182" s="2000"/>
      <c r="L1182" s="2000"/>
      <c r="M1182" s="1968"/>
      <c r="N1182" s="1968"/>
      <c r="O1182" s="1968"/>
      <c r="P1182" s="1968"/>
      <c r="Q1182" s="1968"/>
      <c r="R1182" s="1968"/>
      <c r="S1182" s="1968"/>
      <c r="T1182" s="1968"/>
    </row>
    <row r="1183" spans="1:20" x14ac:dyDescent="0.2">
      <c r="A1183" s="2031"/>
      <c r="B1183" s="1968"/>
      <c r="C1183" s="2032"/>
      <c r="D1183" s="2033"/>
      <c r="E1183" s="2000"/>
      <c r="F1183" s="2000"/>
      <c r="G1183" s="2000"/>
      <c r="H1183" s="2000"/>
      <c r="I1183" s="1968"/>
      <c r="J1183" s="1968"/>
      <c r="K1183" s="2000"/>
      <c r="L1183" s="2000"/>
      <c r="M1183" s="1968"/>
      <c r="N1183" s="1968"/>
      <c r="O1183" s="1968"/>
      <c r="P1183" s="1968"/>
      <c r="Q1183" s="1968"/>
      <c r="R1183" s="1968"/>
      <c r="S1183" s="1968"/>
      <c r="T1183" s="1968"/>
    </row>
    <row r="1184" spans="1:20" x14ac:dyDescent="0.2">
      <c r="A1184" s="2031"/>
      <c r="B1184" s="1968"/>
      <c r="C1184" s="2032"/>
      <c r="D1184" s="2033"/>
      <c r="E1184" s="2000"/>
      <c r="F1184" s="2000"/>
      <c r="G1184" s="2000"/>
      <c r="H1184" s="2000"/>
      <c r="I1184" s="1968"/>
      <c r="J1184" s="1968"/>
      <c r="K1184" s="2000"/>
      <c r="L1184" s="2000"/>
      <c r="M1184" s="1968"/>
      <c r="N1184" s="1968"/>
      <c r="O1184" s="1968"/>
      <c r="P1184" s="1968"/>
      <c r="Q1184" s="1968"/>
      <c r="R1184" s="1968"/>
      <c r="S1184" s="1968"/>
      <c r="T1184" s="1968"/>
    </row>
    <row r="1185" spans="1:20" x14ac:dyDescent="0.2">
      <c r="A1185" s="2031"/>
      <c r="B1185" s="1968"/>
      <c r="C1185" s="2032"/>
      <c r="D1185" s="2033"/>
      <c r="E1185" s="2000"/>
      <c r="F1185" s="2000"/>
      <c r="G1185" s="2000"/>
      <c r="H1185" s="2000"/>
      <c r="I1185" s="1968"/>
      <c r="J1185" s="1968"/>
      <c r="K1185" s="2000"/>
      <c r="L1185" s="2000"/>
      <c r="M1185" s="1968"/>
      <c r="N1185" s="1968"/>
      <c r="O1185" s="1968"/>
      <c r="P1185" s="1968"/>
      <c r="Q1185" s="1968"/>
      <c r="R1185" s="1968"/>
      <c r="S1185" s="1968"/>
      <c r="T1185" s="1968"/>
    </row>
    <row r="1186" spans="1:20" x14ac:dyDescent="0.2">
      <c r="A1186" s="2031"/>
      <c r="B1186" s="1968"/>
      <c r="C1186" s="2032"/>
      <c r="D1186" s="2033"/>
      <c r="E1186" s="2000"/>
      <c r="F1186" s="2000"/>
      <c r="G1186" s="2000"/>
      <c r="H1186" s="2000"/>
      <c r="I1186" s="1968"/>
      <c r="J1186" s="1968"/>
      <c r="K1186" s="2000"/>
      <c r="L1186" s="2000"/>
      <c r="M1186" s="1968"/>
      <c r="N1186" s="1968"/>
      <c r="O1186" s="1968"/>
      <c r="P1186" s="1968"/>
      <c r="Q1186" s="1968"/>
      <c r="R1186" s="1968"/>
      <c r="S1186" s="1968"/>
      <c r="T1186" s="1968"/>
    </row>
    <row r="1187" spans="1:20" x14ac:dyDescent="0.2">
      <c r="A1187" s="2031"/>
      <c r="B1187" s="1968"/>
      <c r="C1187" s="2032"/>
      <c r="D1187" s="2033"/>
      <c r="E1187" s="2000"/>
      <c r="F1187" s="2000"/>
      <c r="G1187" s="2000"/>
      <c r="H1187" s="2000"/>
      <c r="I1187" s="1968"/>
      <c r="J1187" s="1968"/>
      <c r="K1187" s="2000"/>
      <c r="L1187" s="2000"/>
      <c r="M1187" s="1968"/>
      <c r="N1187" s="1968"/>
      <c r="O1187" s="1968"/>
      <c r="P1187" s="1968"/>
      <c r="Q1187" s="1968"/>
      <c r="R1187" s="1968"/>
      <c r="S1187" s="1968"/>
      <c r="T1187" s="1968"/>
    </row>
    <row r="1188" spans="1:20" x14ac:dyDescent="0.2">
      <c r="A1188" s="2031"/>
      <c r="B1188" s="1968"/>
      <c r="C1188" s="2032"/>
      <c r="D1188" s="2033"/>
      <c r="E1188" s="2000"/>
      <c r="F1188" s="2000"/>
      <c r="G1188" s="2000"/>
      <c r="H1188" s="2000"/>
      <c r="I1188" s="1968"/>
      <c r="J1188" s="1968"/>
      <c r="K1188" s="2000"/>
      <c r="L1188" s="2000"/>
      <c r="M1188" s="1968"/>
      <c r="N1188" s="1968"/>
      <c r="O1188" s="1968"/>
      <c r="P1188" s="1968"/>
      <c r="Q1188" s="1968"/>
      <c r="R1188" s="1968"/>
      <c r="S1188" s="1968"/>
      <c r="T1188" s="1968"/>
    </row>
    <row r="1189" spans="1:20" x14ac:dyDescent="0.2">
      <c r="A1189" s="2031"/>
      <c r="B1189" s="1968"/>
      <c r="C1189" s="2032"/>
      <c r="D1189" s="2033"/>
      <c r="E1189" s="2000"/>
      <c r="F1189" s="2000"/>
      <c r="G1189" s="2000"/>
      <c r="H1189" s="2000"/>
      <c r="I1189" s="1968"/>
      <c r="J1189" s="1968"/>
      <c r="K1189" s="2000"/>
      <c r="L1189" s="2000"/>
      <c r="M1189" s="1968"/>
      <c r="N1189" s="1968"/>
      <c r="O1189" s="1968"/>
      <c r="P1189" s="1968"/>
      <c r="Q1189" s="1968"/>
      <c r="R1189" s="1968"/>
      <c r="S1189" s="1968"/>
      <c r="T1189" s="1968"/>
    </row>
    <row r="1190" spans="1:20" x14ac:dyDescent="0.2">
      <c r="A1190" s="2031"/>
      <c r="B1190" s="1968"/>
      <c r="C1190" s="2032"/>
      <c r="D1190" s="2033"/>
      <c r="E1190" s="2000"/>
      <c r="F1190" s="2000"/>
      <c r="G1190" s="2000"/>
      <c r="H1190" s="2000"/>
      <c r="I1190" s="1968"/>
      <c r="J1190" s="1968"/>
      <c r="K1190" s="2000"/>
      <c r="L1190" s="2000"/>
      <c r="M1190" s="1968"/>
      <c r="N1190" s="1968"/>
      <c r="O1190" s="1968"/>
      <c r="P1190" s="1968"/>
      <c r="Q1190" s="1968"/>
      <c r="R1190" s="1968"/>
      <c r="S1190" s="1968"/>
      <c r="T1190" s="1968"/>
    </row>
    <row r="1191" spans="1:20" x14ac:dyDescent="0.2">
      <c r="A1191" s="2031"/>
      <c r="B1191" s="1968"/>
      <c r="C1191" s="2032"/>
      <c r="D1191" s="2033"/>
      <c r="E1191" s="2000"/>
      <c r="F1191" s="2000"/>
      <c r="G1191" s="2000"/>
      <c r="H1191" s="2000"/>
      <c r="I1191" s="1968"/>
      <c r="J1191" s="1968"/>
      <c r="K1191" s="2000"/>
      <c r="L1191" s="2000"/>
      <c r="M1191" s="1968"/>
      <c r="N1191" s="1968"/>
      <c r="O1191" s="1968"/>
      <c r="P1191" s="1968"/>
      <c r="Q1191" s="1968"/>
      <c r="R1191" s="1968"/>
      <c r="S1191" s="1968"/>
      <c r="T1191" s="1968"/>
    </row>
    <row r="1192" spans="1:20" x14ac:dyDescent="0.2">
      <c r="A1192" s="2031"/>
      <c r="B1192" s="1968"/>
      <c r="C1192" s="2032"/>
      <c r="D1192" s="2033"/>
      <c r="E1192" s="2000"/>
      <c r="F1192" s="2000"/>
      <c r="G1192" s="2000"/>
      <c r="H1192" s="2000"/>
      <c r="I1192" s="1968"/>
      <c r="J1192" s="1968"/>
      <c r="K1192" s="2000"/>
      <c r="L1192" s="2000"/>
      <c r="M1192" s="1968"/>
      <c r="N1192" s="1968"/>
      <c r="O1192" s="1968"/>
      <c r="P1192" s="1968"/>
      <c r="Q1192" s="1968"/>
      <c r="R1192" s="1968"/>
      <c r="S1192" s="1968"/>
      <c r="T1192" s="1968"/>
    </row>
    <row r="1193" spans="1:20" x14ac:dyDescent="0.2">
      <c r="A1193" s="2031"/>
      <c r="B1193" s="1968"/>
      <c r="C1193" s="2032"/>
      <c r="D1193" s="2033"/>
      <c r="E1193" s="2000"/>
      <c r="F1193" s="2000"/>
      <c r="G1193" s="2000"/>
      <c r="H1193" s="2000"/>
      <c r="I1193" s="1968"/>
      <c r="J1193" s="1968"/>
      <c r="K1193" s="2000"/>
      <c r="L1193" s="2000"/>
      <c r="M1193" s="1968"/>
      <c r="N1193" s="1968"/>
      <c r="O1193" s="1968"/>
      <c r="P1193" s="1968"/>
      <c r="Q1193" s="1968"/>
      <c r="R1193" s="1968"/>
      <c r="S1193" s="1968"/>
      <c r="T1193" s="1968"/>
    </row>
    <row r="1194" spans="1:20" x14ac:dyDescent="0.2">
      <c r="A1194" s="2031"/>
      <c r="B1194" s="1968"/>
      <c r="C1194" s="2032"/>
      <c r="D1194" s="2033"/>
      <c r="E1194" s="2000"/>
      <c r="F1194" s="2000"/>
      <c r="G1194" s="2000"/>
      <c r="H1194" s="2000"/>
      <c r="I1194" s="1968"/>
      <c r="J1194" s="1968"/>
      <c r="K1194" s="2000"/>
      <c r="L1194" s="2000"/>
      <c r="M1194" s="1968"/>
      <c r="N1194" s="1968"/>
      <c r="O1194" s="1968"/>
      <c r="P1194" s="1968"/>
      <c r="Q1194" s="1968"/>
      <c r="R1194" s="1968"/>
      <c r="S1194" s="1968"/>
      <c r="T1194" s="1968"/>
    </row>
    <row r="1195" spans="1:20" x14ac:dyDescent="0.2">
      <c r="A1195" s="2031"/>
      <c r="B1195" s="1968"/>
      <c r="C1195" s="2032"/>
      <c r="D1195" s="2033"/>
      <c r="E1195" s="2000"/>
      <c r="F1195" s="2000"/>
      <c r="G1195" s="2000"/>
      <c r="H1195" s="2000"/>
      <c r="I1195" s="1968"/>
      <c r="J1195" s="1968"/>
      <c r="K1195" s="2000"/>
      <c r="L1195" s="2000"/>
      <c r="M1195" s="1968"/>
      <c r="N1195" s="1968"/>
      <c r="O1195" s="1968"/>
      <c r="P1195" s="1968"/>
      <c r="Q1195" s="1968"/>
      <c r="R1195" s="1968"/>
      <c r="S1195" s="1968"/>
      <c r="T1195" s="1968"/>
    </row>
    <row r="1196" spans="1:20" x14ac:dyDescent="0.2">
      <c r="A1196" s="2031"/>
      <c r="B1196" s="1968"/>
      <c r="C1196" s="2032"/>
      <c r="D1196" s="2033"/>
      <c r="E1196" s="2000"/>
      <c r="F1196" s="2000"/>
      <c r="G1196" s="2000"/>
      <c r="H1196" s="2000"/>
      <c r="I1196" s="1968"/>
      <c r="J1196" s="1968"/>
      <c r="K1196" s="2000"/>
      <c r="L1196" s="2000"/>
      <c r="M1196" s="1968"/>
      <c r="N1196" s="1968"/>
      <c r="O1196" s="1968"/>
      <c r="P1196" s="1968"/>
      <c r="Q1196" s="1968"/>
      <c r="R1196" s="1968"/>
      <c r="S1196" s="1968"/>
      <c r="T1196" s="1968"/>
    </row>
    <row r="1197" spans="1:20" x14ac:dyDescent="0.2">
      <c r="A1197" s="2031"/>
      <c r="B1197" s="1968"/>
      <c r="C1197" s="2032"/>
      <c r="D1197" s="2033"/>
      <c r="E1197" s="2000"/>
      <c r="F1197" s="2000"/>
      <c r="G1197" s="2000"/>
      <c r="H1197" s="2000"/>
      <c r="I1197" s="1968"/>
      <c r="J1197" s="1968"/>
      <c r="K1197" s="2000"/>
      <c r="L1197" s="2000"/>
      <c r="M1197" s="1968"/>
      <c r="N1197" s="1968"/>
      <c r="O1197" s="1968"/>
      <c r="P1197" s="1968"/>
      <c r="Q1197" s="1968"/>
      <c r="R1197" s="1968"/>
      <c r="S1197" s="1968"/>
      <c r="T1197" s="1968"/>
    </row>
    <row r="1198" spans="1:20" x14ac:dyDescent="0.2">
      <c r="A1198" s="2031"/>
      <c r="B1198" s="1968"/>
      <c r="C1198" s="2032"/>
      <c r="D1198" s="2033"/>
      <c r="E1198" s="2000"/>
      <c r="F1198" s="2000"/>
      <c r="G1198" s="2000"/>
      <c r="H1198" s="2000"/>
      <c r="I1198" s="1968"/>
      <c r="J1198" s="1968"/>
      <c r="K1198" s="2000"/>
      <c r="L1198" s="2000"/>
      <c r="M1198" s="1968"/>
      <c r="N1198" s="1968"/>
      <c r="O1198" s="1968"/>
      <c r="P1198" s="1968"/>
      <c r="Q1198" s="1968"/>
      <c r="R1198" s="1968"/>
      <c r="S1198" s="1968"/>
      <c r="T1198" s="1968"/>
    </row>
    <row r="1199" spans="1:20" x14ac:dyDescent="0.2">
      <c r="A1199" s="2031"/>
      <c r="B1199" s="1968"/>
      <c r="C1199" s="2032"/>
      <c r="D1199" s="2033"/>
      <c r="E1199" s="2000"/>
      <c r="F1199" s="2000"/>
      <c r="G1199" s="2000"/>
      <c r="H1199" s="2000"/>
      <c r="I1199" s="1968"/>
      <c r="J1199" s="1968"/>
      <c r="K1199" s="2000"/>
      <c r="L1199" s="2000"/>
      <c r="M1199" s="1968"/>
      <c r="N1199" s="1968"/>
      <c r="O1199" s="1968"/>
      <c r="P1199" s="1968"/>
      <c r="Q1199" s="1968"/>
      <c r="R1199" s="1968"/>
      <c r="S1199" s="1968"/>
      <c r="T1199" s="1968"/>
    </row>
    <row r="1200" spans="1:20" x14ac:dyDescent="0.2">
      <c r="A1200" s="2031"/>
      <c r="B1200" s="1968"/>
      <c r="C1200" s="2032"/>
      <c r="D1200" s="2033"/>
      <c r="E1200" s="2000"/>
      <c r="F1200" s="2000"/>
      <c r="G1200" s="2000"/>
      <c r="H1200" s="2000"/>
      <c r="I1200" s="1968"/>
      <c r="J1200" s="1968"/>
      <c r="K1200" s="2000"/>
      <c r="L1200" s="2000"/>
      <c r="M1200" s="1968"/>
      <c r="N1200" s="1968"/>
      <c r="O1200" s="1968"/>
      <c r="P1200" s="1968"/>
      <c r="Q1200" s="1968"/>
      <c r="R1200" s="1968"/>
      <c r="S1200" s="1968"/>
      <c r="T1200" s="1968"/>
    </row>
    <row r="1201" spans="1:20" x14ac:dyDescent="0.2">
      <c r="A1201" s="2031"/>
      <c r="B1201" s="1968"/>
      <c r="C1201" s="2032"/>
      <c r="D1201" s="2033"/>
      <c r="E1201" s="2000"/>
      <c r="F1201" s="2000"/>
      <c r="G1201" s="2000"/>
      <c r="H1201" s="2000"/>
      <c r="I1201" s="1968"/>
      <c r="J1201" s="1968"/>
      <c r="K1201" s="2000"/>
      <c r="L1201" s="2000"/>
      <c r="M1201" s="1968"/>
      <c r="N1201" s="1968"/>
      <c r="O1201" s="1968"/>
      <c r="P1201" s="1968"/>
      <c r="Q1201" s="1968"/>
      <c r="R1201" s="1968"/>
      <c r="S1201" s="1968"/>
      <c r="T1201" s="1968"/>
    </row>
    <row r="1202" spans="1:20" x14ac:dyDescent="0.2">
      <c r="A1202" s="2031"/>
      <c r="B1202" s="1968"/>
      <c r="C1202" s="2032"/>
      <c r="D1202" s="2033"/>
      <c r="E1202" s="2000"/>
      <c r="F1202" s="2000"/>
      <c r="G1202" s="2000"/>
      <c r="H1202" s="2000"/>
      <c r="I1202" s="1968"/>
      <c r="J1202" s="1968"/>
      <c r="K1202" s="2000"/>
      <c r="L1202" s="2000"/>
      <c r="M1202" s="1968"/>
      <c r="N1202" s="1968"/>
      <c r="O1202" s="1968"/>
      <c r="P1202" s="1968"/>
      <c r="Q1202" s="1968"/>
      <c r="R1202" s="1968"/>
      <c r="S1202" s="1968"/>
      <c r="T1202" s="1968"/>
    </row>
    <row r="1203" spans="1:20" x14ac:dyDescent="0.2">
      <c r="A1203" s="2031"/>
      <c r="B1203" s="1968"/>
      <c r="C1203" s="2032"/>
      <c r="D1203" s="2033"/>
      <c r="E1203" s="2000"/>
      <c r="F1203" s="2000"/>
      <c r="G1203" s="2000"/>
      <c r="H1203" s="2000"/>
      <c r="I1203" s="1968"/>
      <c r="J1203" s="1968"/>
      <c r="K1203" s="2000"/>
      <c r="L1203" s="2000"/>
      <c r="M1203" s="1968"/>
      <c r="N1203" s="1968"/>
      <c r="O1203" s="1968"/>
      <c r="P1203" s="1968"/>
      <c r="Q1203" s="1968"/>
      <c r="R1203" s="1968"/>
      <c r="S1203" s="1968"/>
      <c r="T1203" s="1968"/>
    </row>
    <row r="1204" spans="1:20" x14ac:dyDescent="0.2">
      <c r="A1204" s="2031"/>
      <c r="B1204" s="1968"/>
      <c r="C1204" s="2032"/>
      <c r="D1204" s="2033"/>
      <c r="E1204" s="2000"/>
      <c r="F1204" s="2000"/>
      <c r="G1204" s="2000"/>
      <c r="H1204" s="2000"/>
      <c r="I1204" s="1968"/>
      <c r="J1204" s="1968"/>
      <c r="K1204" s="2000"/>
      <c r="L1204" s="2000"/>
      <c r="M1204" s="1968"/>
      <c r="N1204" s="1968"/>
      <c r="O1204" s="1968"/>
      <c r="P1204" s="1968"/>
      <c r="Q1204" s="1968"/>
      <c r="R1204" s="1968"/>
      <c r="S1204" s="1968"/>
      <c r="T1204" s="1968"/>
    </row>
    <row r="1205" spans="1:20" x14ac:dyDescent="0.2">
      <c r="A1205" s="2031"/>
      <c r="B1205" s="1968"/>
      <c r="C1205" s="2032"/>
      <c r="D1205" s="2033"/>
      <c r="E1205" s="2000"/>
      <c r="F1205" s="2000"/>
      <c r="G1205" s="2000"/>
      <c r="H1205" s="2000"/>
      <c r="I1205" s="1968"/>
      <c r="J1205" s="1968"/>
      <c r="K1205" s="2000"/>
      <c r="L1205" s="2000"/>
      <c r="M1205" s="1968"/>
      <c r="N1205" s="1968"/>
      <c r="O1205" s="1968"/>
      <c r="P1205" s="1968"/>
      <c r="Q1205" s="1968"/>
      <c r="R1205" s="1968"/>
      <c r="S1205" s="1968"/>
      <c r="T1205" s="1968"/>
    </row>
    <row r="1206" spans="1:20" x14ac:dyDescent="0.2">
      <c r="A1206" s="2031"/>
      <c r="B1206" s="1968"/>
      <c r="C1206" s="2032"/>
      <c r="D1206" s="2033"/>
      <c r="E1206" s="2000"/>
      <c r="F1206" s="2000"/>
      <c r="G1206" s="2000"/>
      <c r="H1206" s="2000"/>
      <c r="I1206" s="1968"/>
      <c r="J1206" s="1968"/>
      <c r="K1206" s="2000"/>
      <c r="L1206" s="2000"/>
      <c r="M1206" s="1968"/>
      <c r="N1206" s="1968"/>
      <c r="O1206" s="1968"/>
      <c r="P1206" s="1968"/>
      <c r="Q1206" s="1968"/>
      <c r="R1206" s="1968"/>
      <c r="S1206" s="1968"/>
      <c r="T1206" s="1968"/>
    </row>
    <row r="1207" spans="1:20" x14ac:dyDescent="0.2">
      <c r="A1207" s="2031"/>
      <c r="B1207" s="1968"/>
      <c r="C1207" s="2032"/>
      <c r="D1207" s="2033"/>
      <c r="E1207" s="2000"/>
      <c r="F1207" s="2000"/>
      <c r="G1207" s="2000"/>
      <c r="H1207" s="2000"/>
      <c r="I1207" s="1968"/>
      <c r="J1207" s="1968"/>
      <c r="K1207" s="2000"/>
      <c r="L1207" s="2000"/>
      <c r="M1207" s="1968"/>
      <c r="N1207" s="1968"/>
      <c r="O1207" s="1968"/>
      <c r="P1207" s="1968"/>
      <c r="Q1207" s="1968"/>
      <c r="R1207" s="1968"/>
      <c r="S1207" s="1968"/>
      <c r="T1207" s="1968"/>
    </row>
    <row r="1208" spans="1:20" x14ac:dyDescent="0.2">
      <c r="A1208" s="2031"/>
      <c r="B1208" s="1968"/>
      <c r="C1208" s="2032"/>
      <c r="D1208" s="2033"/>
      <c r="E1208" s="2000"/>
      <c r="F1208" s="2000"/>
      <c r="G1208" s="2000"/>
      <c r="H1208" s="2000"/>
      <c r="I1208" s="1968"/>
      <c r="J1208" s="1968"/>
      <c r="K1208" s="2000"/>
      <c r="L1208" s="2000"/>
      <c r="M1208" s="1968"/>
      <c r="N1208" s="1968"/>
      <c r="O1208" s="1968"/>
      <c r="P1208" s="1968"/>
      <c r="Q1208" s="1968"/>
      <c r="R1208" s="1968"/>
      <c r="S1208" s="1968"/>
      <c r="T1208" s="1968"/>
    </row>
    <row r="1209" spans="1:20" x14ac:dyDescent="0.2">
      <c r="A1209" s="2031"/>
      <c r="B1209" s="1968"/>
      <c r="C1209" s="2032"/>
      <c r="D1209" s="2033"/>
      <c r="E1209" s="2000"/>
      <c r="F1209" s="2000"/>
      <c r="G1209" s="2000"/>
      <c r="H1209" s="2000"/>
      <c r="I1209" s="1968"/>
      <c r="J1209" s="1968"/>
      <c r="K1209" s="2000"/>
      <c r="L1209" s="2000"/>
      <c r="M1209" s="1968"/>
      <c r="N1209" s="1968"/>
      <c r="O1209" s="1968"/>
      <c r="P1209" s="1968"/>
      <c r="Q1209" s="1968"/>
      <c r="R1209" s="1968"/>
      <c r="S1209" s="1968"/>
      <c r="T1209" s="1968"/>
    </row>
    <row r="1210" spans="1:20" x14ac:dyDescent="0.2">
      <c r="A1210" s="2031"/>
      <c r="B1210" s="1968"/>
      <c r="C1210" s="2032"/>
      <c r="D1210" s="2033"/>
      <c r="E1210" s="2000"/>
      <c r="F1210" s="2000"/>
      <c r="G1210" s="2000"/>
      <c r="H1210" s="2000"/>
      <c r="I1210" s="1968"/>
      <c r="J1210" s="1968"/>
      <c r="K1210" s="2000"/>
      <c r="L1210" s="2000"/>
      <c r="M1210" s="1968"/>
      <c r="N1210" s="1968"/>
      <c r="O1210" s="1968"/>
      <c r="P1210" s="1968"/>
      <c r="Q1210" s="1968"/>
      <c r="R1210" s="1968"/>
      <c r="S1210" s="1968"/>
      <c r="T1210" s="1968"/>
    </row>
    <row r="1211" spans="1:20" x14ac:dyDescent="0.2">
      <c r="A1211" s="2031"/>
      <c r="B1211" s="1968"/>
      <c r="C1211" s="2032"/>
      <c r="D1211" s="2033"/>
      <c r="E1211" s="2000"/>
      <c r="F1211" s="2000"/>
      <c r="G1211" s="2000"/>
      <c r="H1211" s="2000"/>
      <c r="I1211" s="1968"/>
      <c r="J1211" s="1968"/>
      <c r="K1211" s="2000"/>
      <c r="L1211" s="2000"/>
      <c r="M1211" s="1968"/>
      <c r="N1211" s="1968"/>
      <c r="O1211" s="1968"/>
      <c r="P1211" s="1968"/>
      <c r="Q1211" s="1968"/>
      <c r="R1211" s="1968"/>
      <c r="S1211" s="1968"/>
      <c r="T1211" s="1968"/>
    </row>
    <row r="1212" spans="1:20" x14ac:dyDescent="0.2">
      <c r="A1212" s="2031"/>
      <c r="B1212" s="1968"/>
      <c r="C1212" s="2032"/>
      <c r="D1212" s="2033"/>
      <c r="E1212" s="2000"/>
      <c r="F1212" s="2000"/>
      <c r="G1212" s="2000"/>
      <c r="H1212" s="2000"/>
      <c r="I1212" s="1968"/>
      <c r="J1212" s="1968"/>
      <c r="K1212" s="2000"/>
      <c r="L1212" s="2000"/>
      <c r="M1212" s="1968"/>
      <c r="N1212" s="1968"/>
      <c r="O1212" s="1968"/>
      <c r="P1212" s="1968"/>
      <c r="Q1212" s="1968"/>
      <c r="R1212" s="1968"/>
      <c r="S1212" s="1968"/>
      <c r="T1212" s="1968"/>
    </row>
    <row r="1213" spans="1:20" x14ac:dyDescent="0.2">
      <c r="A1213" s="2031"/>
      <c r="B1213" s="1968"/>
      <c r="C1213" s="2032"/>
      <c r="D1213" s="2033"/>
      <c r="E1213" s="2000"/>
      <c r="F1213" s="2000"/>
      <c r="G1213" s="2000"/>
      <c r="H1213" s="2000"/>
      <c r="I1213" s="1968"/>
      <c r="J1213" s="1968"/>
      <c r="K1213" s="2000"/>
      <c r="L1213" s="2000"/>
      <c r="M1213" s="1968"/>
      <c r="N1213" s="1968"/>
      <c r="O1213" s="1968"/>
      <c r="P1213" s="1968"/>
      <c r="Q1213" s="1968"/>
      <c r="R1213" s="1968"/>
      <c r="S1213" s="1968"/>
      <c r="T1213" s="1968"/>
    </row>
    <row r="1214" spans="1:20" x14ac:dyDescent="0.2">
      <c r="A1214" s="2031"/>
      <c r="B1214" s="1968"/>
      <c r="C1214" s="2032"/>
      <c r="D1214" s="2033"/>
      <c r="E1214" s="2000"/>
      <c r="F1214" s="2000"/>
      <c r="G1214" s="2000"/>
      <c r="H1214" s="2000"/>
      <c r="I1214" s="1968"/>
      <c r="J1214" s="1968"/>
      <c r="K1214" s="2000"/>
      <c r="L1214" s="2000"/>
      <c r="M1214" s="1968"/>
      <c r="N1214" s="1968"/>
      <c r="O1214" s="1968"/>
      <c r="P1214" s="1968"/>
      <c r="Q1214" s="1968"/>
      <c r="R1214" s="1968"/>
      <c r="S1214" s="1968"/>
      <c r="T1214" s="1968"/>
    </row>
    <row r="1215" spans="1:20" x14ac:dyDescent="0.2">
      <c r="A1215" s="2031"/>
      <c r="B1215" s="1968"/>
      <c r="C1215" s="2032"/>
      <c r="D1215" s="2033"/>
      <c r="E1215" s="2000"/>
      <c r="F1215" s="2000"/>
      <c r="G1215" s="2000"/>
      <c r="H1215" s="2000"/>
      <c r="I1215" s="1968"/>
      <c r="J1215" s="1968"/>
      <c r="K1215" s="2000"/>
      <c r="L1215" s="2000"/>
      <c r="M1215" s="1968"/>
      <c r="N1215" s="1968"/>
      <c r="O1215" s="1968"/>
      <c r="P1215" s="1968"/>
      <c r="Q1215" s="1968"/>
      <c r="R1215" s="1968"/>
      <c r="S1215" s="1968"/>
      <c r="T1215" s="1968"/>
    </row>
    <row r="1216" spans="1:20" x14ac:dyDescent="0.2">
      <c r="A1216" s="2031"/>
      <c r="B1216" s="1968"/>
      <c r="C1216" s="2032"/>
      <c r="D1216" s="2033"/>
      <c r="E1216" s="2000"/>
      <c r="F1216" s="2000"/>
      <c r="G1216" s="2000"/>
      <c r="H1216" s="2000"/>
      <c r="I1216" s="1968"/>
      <c r="J1216" s="1968"/>
      <c r="K1216" s="2000"/>
      <c r="L1216" s="2000"/>
      <c r="M1216" s="1968"/>
      <c r="N1216" s="1968"/>
      <c r="O1216" s="1968"/>
      <c r="P1216" s="1968"/>
      <c r="Q1216" s="1968"/>
      <c r="R1216" s="1968"/>
      <c r="S1216" s="1968"/>
      <c r="T1216" s="1968"/>
    </row>
    <row r="1217" spans="1:20" x14ac:dyDescent="0.2">
      <c r="A1217" s="2031"/>
      <c r="B1217" s="1968"/>
      <c r="C1217" s="2032"/>
      <c r="D1217" s="2033"/>
      <c r="E1217" s="2000"/>
      <c r="F1217" s="2000"/>
      <c r="G1217" s="2000"/>
      <c r="H1217" s="2000"/>
      <c r="I1217" s="1968"/>
      <c r="J1217" s="1968"/>
      <c r="K1217" s="2000"/>
      <c r="L1217" s="2000"/>
      <c r="M1217" s="1968"/>
      <c r="N1217" s="1968"/>
      <c r="O1217" s="1968"/>
      <c r="P1217" s="1968"/>
      <c r="Q1217" s="1968"/>
      <c r="R1217" s="1968"/>
      <c r="S1217" s="1968"/>
      <c r="T1217" s="1968"/>
    </row>
    <row r="1218" spans="1:20" x14ac:dyDescent="0.2">
      <c r="A1218" s="2031"/>
      <c r="B1218" s="1968"/>
      <c r="C1218" s="2032"/>
      <c r="D1218" s="2033"/>
      <c r="E1218" s="2000"/>
      <c r="F1218" s="2000"/>
      <c r="G1218" s="2000"/>
      <c r="H1218" s="2000"/>
      <c r="I1218" s="1968"/>
      <c r="J1218" s="1968"/>
      <c r="K1218" s="2000"/>
      <c r="L1218" s="2000"/>
      <c r="M1218" s="1968"/>
      <c r="N1218" s="1968"/>
      <c r="O1218" s="1968"/>
      <c r="P1218" s="1968"/>
      <c r="Q1218" s="1968"/>
      <c r="R1218" s="1968"/>
      <c r="S1218" s="1968"/>
      <c r="T1218" s="1968"/>
    </row>
    <row r="1219" spans="1:20" x14ac:dyDescent="0.2">
      <c r="A1219" s="2031"/>
      <c r="B1219" s="1968"/>
      <c r="C1219" s="2032"/>
      <c r="D1219" s="2033"/>
      <c r="E1219" s="2000"/>
      <c r="F1219" s="2000"/>
      <c r="G1219" s="2000"/>
      <c r="H1219" s="2000"/>
      <c r="I1219" s="1968"/>
      <c r="J1219" s="1968"/>
      <c r="K1219" s="2000"/>
      <c r="L1219" s="2000"/>
      <c r="M1219" s="1968"/>
      <c r="N1219" s="1968"/>
      <c r="O1219" s="1968"/>
      <c r="P1219" s="1968"/>
      <c r="Q1219" s="1968"/>
      <c r="R1219" s="1968"/>
      <c r="S1219" s="1968"/>
      <c r="T1219" s="1968"/>
    </row>
    <row r="1220" spans="1:20" x14ac:dyDescent="0.2">
      <c r="A1220" s="2031"/>
      <c r="B1220" s="1968"/>
      <c r="C1220" s="2032"/>
      <c r="D1220" s="2033"/>
      <c r="E1220" s="2000"/>
      <c r="F1220" s="2000"/>
      <c r="G1220" s="2000"/>
      <c r="H1220" s="2000"/>
      <c r="I1220" s="1968"/>
      <c r="J1220" s="1968"/>
      <c r="K1220" s="2000"/>
      <c r="L1220" s="2000"/>
      <c r="M1220" s="1968"/>
      <c r="N1220" s="1968"/>
      <c r="O1220" s="1968"/>
      <c r="P1220" s="1968"/>
      <c r="Q1220" s="1968"/>
      <c r="R1220" s="1968"/>
      <c r="S1220" s="1968"/>
      <c r="T1220" s="1968"/>
    </row>
    <row r="1221" spans="1:20" x14ac:dyDescent="0.2">
      <c r="A1221" s="2031"/>
      <c r="B1221" s="1968"/>
      <c r="C1221" s="2032"/>
      <c r="D1221" s="2033"/>
      <c r="E1221" s="2000"/>
      <c r="F1221" s="2000"/>
      <c r="G1221" s="2000"/>
      <c r="H1221" s="2000"/>
      <c r="I1221" s="1968"/>
      <c r="J1221" s="1968"/>
      <c r="K1221" s="2000"/>
      <c r="L1221" s="2000"/>
      <c r="M1221" s="1968"/>
      <c r="N1221" s="1968"/>
      <c r="O1221" s="1968"/>
      <c r="P1221" s="1968"/>
      <c r="Q1221" s="1968"/>
      <c r="R1221" s="1968"/>
      <c r="S1221" s="1968"/>
      <c r="T1221" s="1968"/>
    </row>
    <row r="1222" spans="1:20" x14ac:dyDescent="0.2">
      <c r="A1222" s="2031"/>
      <c r="B1222" s="1968"/>
      <c r="C1222" s="2032"/>
      <c r="D1222" s="2033"/>
      <c r="E1222" s="2000"/>
      <c r="F1222" s="2000"/>
      <c r="G1222" s="2000"/>
      <c r="H1222" s="2000"/>
      <c r="I1222" s="1968"/>
      <c r="J1222" s="1968"/>
      <c r="K1222" s="2000"/>
      <c r="L1222" s="2000"/>
      <c r="M1222" s="1968"/>
      <c r="N1222" s="1968"/>
      <c r="O1222" s="1968"/>
      <c r="P1222" s="1968"/>
      <c r="Q1222" s="1968"/>
      <c r="R1222" s="1968"/>
      <c r="S1222" s="1968"/>
      <c r="T1222" s="1968"/>
    </row>
    <row r="1223" spans="1:20" x14ac:dyDescent="0.2">
      <c r="A1223" s="2031"/>
      <c r="B1223" s="1968"/>
      <c r="C1223" s="2032"/>
      <c r="D1223" s="2033"/>
      <c r="E1223" s="2000"/>
      <c r="F1223" s="2000"/>
      <c r="G1223" s="2000"/>
      <c r="H1223" s="2000"/>
      <c r="I1223" s="1968"/>
      <c r="J1223" s="1968"/>
      <c r="K1223" s="2000"/>
      <c r="L1223" s="2000"/>
      <c r="M1223" s="1968"/>
      <c r="N1223" s="1968"/>
      <c r="O1223" s="1968"/>
      <c r="P1223" s="1968"/>
      <c r="Q1223" s="1968"/>
      <c r="R1223" s="1968"/>
      <c r="S1223" s="1968"/>
      <c r="T1223" s="1968"/>
    </row>
    <row r="1224" spans="1:20" x14ac:dyDescent="0.2">
      <c r="A1224" s="2031"/>
      <c r="B1224" s="1968"/>
      <c r="C1224" s="2032"/>
      <c r="D1224" s="2033"/>
      <c r="E1224" s="2000"/>
      <c r="F1224" s="2000"/>
      <c r="G1224" s="2000"/>
      <c r="H1224" s="2000"/>
      <c r="I1224" s="1968"/>
      <c r="J1224" s="1968"/>
      <c r="K1224" s="2000"/>
      <c r="L1224" s="2000"/>
      <c r="M1224" s="1968"/>
      <c r="N1224" s="1968"/>
      <c r="O1224" s="1968"/>
      <c r="P1224" s="1968"/>
      <c r="Q1224" s="1968"/>
      <c r="R1224" s="1968"/>
      <c r="S1224" s="1968"/>
      <c r="T1224" s="1968"/>
    </row>
    <row r="1225" spans="1:20" x14ac:dyDescent="0.2">
      <c r="A1225" s="2031"/>
      <c r="B1225" s="1968"/>
      <c r="C1225" s="2032"/>
      <c r="D1225" s="2033"/>
      <c r="E1225" s="2000"/>
      <c r="F1225" s="2000"/>
      <c r="G1225" s="2000"/>
      <c r="H1225" s="2000"/>
      <c r="I1225" s="1968"/>
      <c r="J1225" s="1968"/>
      <c r="K1225" s="2000"/>
      <c r="L1225" s="2000"/>
      <c r="M1225" s="1968"/>
      <c r="N1225" s="1968"/>
      <c r="O1225" s="1968"/>
      <c r="P1225" s="1968"/>
      <c r="Q1225" s="1968"/>
      <c r="R1225" s="1968"/>
      <c r="S1225" s="1968"/>
      <c r="T1225" s="1968"/>
    </row>
    <row r="1226" spans="1:20" x14ac:dyDescent="0.2">
      <c r="A1226" s="2031"/>
      <c r="B1226" s="1968"/>
      <c r="C1226" s="2032"/>
      <c r="D1226" s="2033"/>
      <c r="E1226" s="2000"/>
      <c r="F1226" s="2000"/>
      <c r="G1226" s="2000"/>
      <c r="H1226" s="2000"/>
      <c r="I1226" s="1968"/>
      <c r="J1226" s="1968"/>
      <c r="K1226" s="2000"/>
      <c r="L1226" s="2000"/>
      <c r="M1226" s="1968"/>
      <c r="N1226" s="1968"/>
      <c r="O1226" s="1968"/>
      <c r="P1226" s="1968"/>
      <c r="Q1226" s="1968"/>
      <c r="R1226" s="1968"/>
      <c r="S1226" s="1968"/>
      <c r="T1226" s="1968"/>
    </row>
    <row r="1227" spans="1:20" x14ac:dyDescent="0.2">
      <c r="A1227" s="2031"/>
      <c r="B1227" s="1968"/>
      <c r="C1227" s="2032"/>
      <c r="D1227" s="2033"/>
      <c r="E1227" s="2000"/>
      <c r="F1227" s="2000"/>
      <c r="G1227" s="2000"/>
      <c r="H1227" s="2000"/>
      <c r="I1227" s="1968"/>
      <c r="J1227" s="1968"/>
      <c r="K1227" s="2000"/>
      <c r="L1227" s="2000"/>
      <c r="M1227" s="1968"/>
      <c r="N1227" s="1968"/>
      <c r="O1227" s="1968"/>
      <c r="P1227" s="1968"/>
      <c r="Q1227" s="1968"/>
      <c r="R1227" s="1968"/>
      <c r="S1227" s="1968"/>
      <c r="T1227" s="1968"/>
    </row>
    <row r="1228" spans="1:20" x14ac:dyDescent="0.2">
      <c r="A1228" s="2031"/>
      <c r="B1228" s="1968"/>
      <c r="C1228" s="2032"/>
      <c r="D1228" s="2033"/>
      <c r="E1228" s="2000"/>
      <c r="F1228" s="2000"/>
      <c r="G1228" s="2000"/>
      <c r="H1228" s="2000"/>
      <c r="I1228" s="1968"/>
      <c r="J1228" s="1968"/>
      <c r="K1228" s="2000"/>
      <c r="L1228" s="2000"/>
      <c r="M1228" s="1968"/>
      <c r="N1228" s="1968"/>
      <c r="O1228" s="1968"/>
      <c r="P1228" s="1968"/>
      <c r="Q1228" s="1968"/>
      <c r="R1228" s="1968"/>
      <c r="S1228" s="1968"/>
      <c r="T1228" s="1968"/>
    </row>
    <row r="1229" spans="1:20" x14ac:dyDescent="0.2">
      <c r="A1229" s="2031"/>
      <c r="B1229" s="1968"/>
      <c r="C1229" s="2032"/>
      <c r="D1229" s="2033"/>
      <c r="E1229" s="2000"/>
      <c r="F1229" s="2000"/>
      <c r="G1229" s="2000"/>
      <c r="H1229" s="2000"/>
      <c r="I1229" s="1968"/>
      <c r="J1229" s="1968"/>
      <c r="K1229" s="2000"/>
      <c r="L1229" s="2000"/>
      <c r="M1229" s="1968"/>
      <c r="N1229" s="1968"/>
      <c r="O1229" s="1968"/>
      <c r="P1229" s="1968"/>
      <c r="Q1229" s="1968"/>
      <c r="R1229" s="1968"/>
      <c r="S1229" s="1968"/>
      <c r="T1229" s="1968"/>
    </row>
    <row r="1230" spans="1:20" x14ac:dyDescent="0.2">
      <c r="A1230" s="2031"/>
      <c r="B1230" s="1968"/>
      <c r="C1230" s="2032"/>
      <c r="D1230" s="2033"/>
      <c r="E1230" s="2000"/>
      <c r="F1230" s="2000"/>
      <c r="G1230" s="2000"/>
      <c r="H1230" s="2000"/>
      <c r="I1230" s="1968"/>
      <c r="J1230" s="1968"/>
      <c r="K1230" s="2000"/>
      <c r="L1230" s="2000"/>
      <c r="M1230" s="1968"/>
      <c r="N1230" s="1968"/>
      <c r="O1230" s="1968"/>
      <c r="P1230" s="1968"/>
      <c r="Q1230" s="1968"/>
      <c r="R1230" s="1968"/>
      <c r="S1230" s="1968"/>
      <c r="T1230" s="1968"/>
    </row>
    <row r="1231" spans="1:20" x14ac:dyDescent="0.2">
      <c r="A1231" s="2031"/>
      <c r="B1231" s="1968"/>
      <c r="C1231" s="2032"/>
      <c r="D1231" s="2033"/>
      <c r="E1231" s="2000"/>
      <c r="F1231" s="2000"/>
      <c r="G1231" s="2000"/>
      <c r="H1231" s="2000"/>
      <c r="I1231" s="1968"/>
      <c r="J1231" s="1968"/>
      <c r="K1231" s="2000"/>
      <c r="L1231" s="2000"/>
      <c r="M1231" s="1968"/>
      <c r="N1231" s="1968"/>
      <c r="O1231" s="1968"/>
      <c r="P1231" s="1968"/>
      <c r="Q1231" s="1968"/>
      <c r="R1231" s="1968"/>
      <c r="S1231" s="1968"/>
      <c r="T1231" s="1968"/>
    </row>
    <row r="1232" spans="1:20" x14ac:dyDescent="0.2">
      <c r="A1232" s="2031"/>
      <c r="B1232" s="1968"/>
      <c r="C1232" s="2032"/>
      <c r="D1232" s="2033"/>
      <c r="E1232" s="2000"/>
      <c r="F1232" s="2000"/>
      <c r="G1232" s="2000"/>
      <c r="H1232" s="2000"/>
      <c r="I1232" s="1968"/>
      <c r="J1232" s="1968"/>
      <c r="K1232" s="2000"/>
      <c r="L1232" s="2000"/>
      <c r="M1232" s="1968"/>
      <c r="N1232" s="1968"/>
      <c r="O1232" s="1968"/>
      <c r="P1232" s="1968"/>
      <c r="Q1232" s="1968"/>
      <c r="R1232" s="1968"/>
      <c r="S1232" s="1968"/>
      <c r="T1232" s="1968"/>
    </row>
    <row r="1233" spans="1:20" x14ac:dyDescent="0.2">
      <c r="A1233" s="2031"/>
      <c r="B1233" s="1968"/>
      <c r="C1233" s="2032"/>
      <c r="D1233" s="2033"/>
      <c r="E1233" s="2000"/>
      <c r="F1233" s="2000"/>
      <c r="G1233" s="2000"/>
      <c r="H1233" s="2000"/>
      <c r="I1233" s="1968"/>
      <c r="J1233" s="1968"/>
      <c r="K1233" s="2000"/>
      <c r="L1233" s="2000"/>
      <c r="M1233" s="1968"/>
      <c r="N1233" s="1968"/>
      <c r="O1233" s="1968"/>
      <c r="P1233" s="1968"/>
      <c r="Q1233" s="1968"/>
      <c r="R1233" s="1968"/>
      <c r="S1233" s="1968"/>
      <c r="T1233" s="1968"/>
    </row>
    <row r="1234" spans="1:20" x14ac:dyDescent="0.2">
      <c r="A1234" s="2031"/>
      <c r="B1234" s="1968"/>
      <c r="C1234" s="2032"/>
      <c r="D1234" s="2033"/>
      <c r="E1234" s="2000"/>
      <c r="F1234" s="2000"/>
      <c r="G1234" s="2000"/>
      <c r="H1234" s="2000"/>
      <c r="I1234" s="1968"/>
      <c r="J1234" s="1968"/>
      <c r="K1234" s="2000"/>
      <c r="L1234" s="2000"/>
      <c r="M1234" s="1968"/>
      <c r="N1234" s="1968"/>
      <c r="O1234" s="1968"/>
      <c r="P1234" s="1968"/>
      <c r="Q1234" s="1968"/>
      <c r="R1234" s="1968"/>
      <c r="S1234" s="1968"/>
      <c r="T1234" s="1968"/>
    </row>
    <row r="1235" spans="1:20" x14ac:dyDescent="0.2">
      <c r="A1235" s="2031"/>
      <c r="B1235" s="1968"/>
      <c r="C1235" s="2032"/>
      <c r="D1235" s="2033"/>
      <c r="E1235" s="2000"/>
      <c r="F1235" s="2000"/>
      <c r="G1235" s="2000"/>
      <c r="H1235" s="2000"/>
      <c r="I1235" s="1968"/>
      <c r="J1235" s="1968"/>
      <c r="K1235" s="2000"/>
      <c r="L1235" s="2000"/>
      <c r="M1235" s="1968"/>
      <c r="N1235" s="1968"/>
      <c r="O1235" s="1968"/>
      <c r="P1235" s="1968"/>
      <c r="Q1235" s="1968"/>
      <c r="R1235" s="1968"/>
      <c r="S1235" s="1968"/>
      <c r="T1235" s="1968"/>
    </row>
    <row r="1236" spans="1:20" x14ac:dyDescent="0.2">
      <c r="A1236" s="2031"/>
      <c r="B1236" s="1968"/>
      <c r="C1236" s="2032"/>
      <c r="D1236" s="2033"/>
      <c r="E1236" s="2000"/>
      <c r="F1236" s="2000"/>
      <c r="G1236" s="2000"/>
      <c r="H1236" s="2000"/>
      <c r="I1236" s="1968"/>
      <c r="J1236" s="1968"/>
      <c r="K1236" s="2000"/>
      <c r="L1236" s="2000"/>
      <c r="M1236" s="1968"/>
      <c r="N1236" s="1968"/>
      <c r="O1236" s="1968"/>
      <c r="P1236" s="1968"/>
      <c r="Q1236" s="1968"/>
      <c r="R1236" s="1968"/>
      <c r="S1236" s="1968"/>
      <c r="T1236" s="1968"/>
    </row>
    <row r="1237" spans="1:20" x14ac:dyDescent="0.2">
      <c r="A1237" s="2031"/>
      <c r="B1237" s="1968"/>
      <c r="C1237" s="2032"/>
      <c r="D1237" s="2033"/>
      <c r="E1237" s="2000"/>
      <c r="F1237" s="2000"/>
      <c r="G1237" s="2000"/>
      <c r="H1237" s="2000"/>
      <c r="I1237" s="1968"/>
      <c r="J1237" s="1968"/>
      <c r="K1237" s="2000"/>
      <c r="L1237" s="2000"/>
      <c r="M1237" s="1968"/>
      <c r="N1237" s="1968"/>
      <c r="O1237" s="1968"/>
      <c r="P1237" s="1968"/>
      <c r="Q1237" s="1968"/>
      <c r="R1237" s="1968"/>
      <c r="S1237" s="1968"/>
      <c r="T1237" s="1968"/>
    </row>
    <row r="1238" spans="1:20" x14ac:dyDescent="0.2">
      <c r="A1238" s="2031"/>
      <c r="B1238" s="1968"/>
      <c r="C1238" s="2032"/>
      <c r="D1238" s="2033"/>
      <c r="E1238" s="2000"/>
      <c r="F1238" s="2000"/>
      <c r="G1238" s="2000"/>
      <c r="H1238" s="2000"/>
      <c r="I1238" s="1968"/>
      <c r="J1238" s="1968"/>
      <c r="K1238" s="2000"/>
      <c r="L1238" s="2000"/>
      <c r="M1238" s="1968"/>
      <c r="N1238" s="1968"/>
      <c r="O1238" s="1968"/>
      <c r="P1238" s="1968"/>
      <c r="Q1238" s="1968"/>
      <c r="R1238" s="1968"/>
      <c r="S1238" s="1968"/>
      <c r="T1238" s="1968"/>
    </row>
    <row r="1239" spans="1:20" x14ac:dyDescent="0.2">
      <c r="A1239" s="2031"/>
      <c r="B1239" s="1968"/>
      <c r="C1239" s="2032"/>
      <c r="D1239" s="2033"/>
      <c r="E1239" s="2000"/>
      <c r="F1239" s="2000"/>
      <c r="G1239" s="2000"/>
      <c r="H1239" s="2000"/>
      <c r="I1239" s="1968"/>
      <c r="J1239" s="1968"/>
      <c r="K1239" s="2000"/>
      <c r="L1239" s="2000"/>
      <c r="M1239" s="1968"/>
      <c r="N1239" s="1968"/>
      <c r="O1239" s="1968"/>
      <c r="P1239" s="1968"/>
      <c r="Q1239" s="1968"/>
      <c r="R1239" s="1968"/>
      <c r="S1239" s="1968"/>
      <c r="T1239" s="1968"/>
    </row>
    <row r="1240" spans="1:20" x14ac:dyDescent="0.2">
      <c r="A1240" s="2031"/>
      <c r="B1240" s="1968"/>
      <c r="C1240" s="2032"/>
      <c r="D1240" s="2033"/>
      <c r="E1240" s="2000"/>
      <c r="F1240" s="2000"/>
      <c r="G1240" s="2000"/>
      <c r="H1240" s="2000"/>
      <c r="I1240" s="1968"/>
      <c r="J1240" s="1968"/>
      <c r="K1240" s="2000"/>
      <c r="L1240" s="2000"/>
      <c r="M1240" s="1968"/>
      <c r="N1240" s="1968"/>
      <c r="O1240" s="1968"/>
      <c r="P1240" s="1968"/>
      <c r="Q1240" s="1968"/>
      <c r="R1240" s="1968"/>
      <c r="S1240" s="1968"/>
      <c r="T1240" s="1968"/>
    </row>
    <row r="1241" spans="1:20" x14ac:dyDescent="0.2">
      <c r="A1241" s="2031"/>
      <c r="B1241" s="1968"/>
      <c r="C1241" s="2032"/>
      <c r="D1241" s="2033"/>
      <c r="E1241" s="2000"/>
      <c r="F1241" s="2000"/>
      <c r="G1241" s="2000"/>
      <c r="H1241" s="2000"/>
      <c r="I1241" s="1968"/>
      <c r="J1241" s="1968"/>
      <c r="K1241" s="2000"/>
      <c r="L1241" s="2000"/>
      <c r="M1241" s="1968"/>
      <c r="N1241" s="1968"/>
      <c r="O1241" s="1968"/>
      <c r="P1241" s="1968"/>
      <c r="Q1241" s="1968"/>
      <c r="R1241" s="1968"/>
      <c r="S1241" s="1968"/>
      <c r="T1241" s="1968"/>
    </row>
    <row r="1242" spans="1:20" x14ac:dyDescent="0.2">
      <c r="A1242" s="2031"/>
      <c r="B1242" s="1968"/>
      <c r="C1242" s="2032"/>
      <c r="D1242" s="2033"/>
      <c r="E1242" s="2000"/>
      <c r="F1242" s="2000"/>
      <c r="G1242" s="2000"/>
      <c r="H1242" s="2000"/>
      <c r="I1242" s="1968"/>
      <c r="J1242" s="1968"/>
      <c r="K1242" s="2000"/>
      <c r="L1242" s="2000"/>
      <c r="M1242" s="1968"/>
      <c r="N1242" s="1968"/>
      <c r="O1242" s="1968"/>
      <c r="P1242" s="1968"/>
      <c r="Q1242" s="1968"/>
      <c r="R1242" s="1968"/>
      <c r="S1242" s="1968"/>
      <c r="T1242" s="1968"/>
    </row>
    <row r="1243" spans="1:20" x14ac:dyDescent="0.2">
      <c r="A1243" s="2031"/>
      <c r="B1243" s="1968"/>
      <c r="C1243" s="2032"/>
      <c r="D1243" s="2033"/>
      <c r="E1243" s="2000"/>
      <c r="F1243" s="2000"/>
      <c r="G1243" s="2000"/>
      <c r="H1243" s="2000"/>
      <c r="I1243" s="1968"/>
      <c r="J1243" s="1968"/>
      <c r="K1243" s="2000"/>
      <c r="L1243" s="2000"/>
      <c r="M1243" s="1968"/>
      <c r="N1243" s="1968"/>
      <c r="O1243" s="1968"/>
      <c r="P1243" s="1968"/>
      <c r="Q1243" s="1968"/>
      <c r="R1243" s="1968"/>
      <c r="S1243" s="1968"/>
      <c r="T1243" s="1968"/>
    </row>
    <row r="1244" spans="1:20" x14ac:dyDescent="0.2">
      <c r="A1244" s="2031"/>
      <c r="B1244" s="1968"/>
      <c r="C1244" s="2032"/>
      <c r="D1244" s="2033"/>
      <c r="E1244" s="2000"/>
      <c r="F1244" s="2000"/>
      <c r="G1244" s="2000"/>
      <c r="H1244" s="2000"/>
      <c r="I1244" s="1968"/>
      <c r="J1244" s="1968"/>
      <c r="K1244" s="2000"/>
      <c r="L1244" s="2000"/>
      <c r="M1244" s="1968"/>
      <c r="N1244" s="1968"/>
      <c r="O1244" s="1968"/>
      <c r="P1244" s="1968"/>
      <c r="Q1244" s="1968"/>
      <c r="R1244" s="1968"/>
      <c r="S1244" s="1968"/>
      <c r="T1244" s="1968"/>
    </row>
    <row r="1245" spans="1:20" x14ac:dyDescent="0.2">
      <c r="A1245" s="2031"/>
      <c r="B1245" s="1968"/>
      <c r="C1245" s="2032"/>
      <c r="D1245" s="2033"/>
      <c r="E1245" s="2000"/>
      <c r="F1245" s="2000"/>
      <c r="G1245" s="2000"/>
      <c r="H1245" s="2000"/>
      <c r="I1245" s="1968"/>
      <c r="J1245" s="1968"/>
      <c r="K1245" s="2000"/>
      <c r="L1245" s="2000"/>
      <c r="M1245" s="1968"/>
      <c r="N1245" s="1968"/>
      <c r="O1245" s="1968"/>
      <c r="P1245" s="1968"/>
      <c r="Q1245" s="1968"/>
      <c r="R1245" s="1968"/>
      <c r="S1245" s="1968"/>
      <c r="T1245" s="1968"/>
    </row>
    <row r="1246" spans="1:20" x14ac:dyDescent="0.2">
      <c r="A1246" s="2031"/>
      <c r="B1246" s="1968"/>
      <c r="C1246" s="2032"/>
      <c r="D1246" s="2033"/>
      <c r="E1246" s="2000"/>
      <c r="F1246" s="2000"/>
      <c r="G1246" s="2000"/>
      <c r="H1246" s="2000"/>
      <c r="I1246" s="1968"/>
      <c r="J1246" s="1968"/>
      <c r="K1246" s="2000"/>
      <c r="L1246" s="2000"/>
      <c r="M1246" s="1968"/>
      <c r="N1246" s="1968"/>
      <c r="O1246" s="1968"/>
      <c r="P1246" s="1968"/>
      <c r="Q1246" s="1968"/>
      <c r="R1246" s="1968"/>
      <c r="S1246" s="1968"/>
      <c r="T1246" s="1968"/>
    </row>
    <row r="1247" spans="1:20" x14ac:dyDescent="0.2">
      <c r="A1247" s="2031"/>
      <c r="B1247" s="1968"/>
      <c r="C1247" s="2032"/>
      <c r="D1247" s="2033"/>
      <c r="E1247" s="2000"/>
      <c r="F1247" s="2000"/>
      <c r="G1247" s="2000"/>
      <c r="H1247" s="2000"/>
      <c r="I1247" s="1968"/>
      <c r="J1247" s="1968"/>
      <c r="K1247" s="2000"/>
      <c r="L1247" s="2000"/>
      <c r="M1247" s="1968"/>
      <c r="N1247" s="1968"/>
      <c r="O1247" s="1968"/>
      <c r="P1247" s="1968"/>
      <c r="Q1247" s="1968"/>
      <c r="R1247" s="1968"/>
      <c r="S1247" s="1968"/>
      <c r="T1247" s="1968"/>
    </row>
    <row r="1248" spans="1:20" x14ac:dyDescent="0.2">
      <c r="A1248" s="2031"/>
      <c r="B1248" s="1968"/>
      <c r="C1248" s="2032"/>
      <c r="D1248" s="2033"/>
      <c r="E1248" s="2000"/>
      <c r="F1248" s="2000"/>
      <c r="G1248" s="2000"/>
      <c r="H1248" s="2000"/>
      <c r="I1248" s="1968"/>
      <c r="J1248" s="1968"/>
      <c r="K1248" s="2000"/>
      <c r="L1248" s="2000"/>
      <c r="M1248" s="1968"/>
      <c r="N1248" s="1968"/>
      <c r="O1248" s="1968"/>
      <c r="P1248" s="1968"/>
      <c r="Q1248" s="1968"/>
      <c r="R1248" s="1968"/>
      <c r="S1248" s="1968"/>
      <c r="T1248" s="1968"/>
    </row>
    <row r="1249" spans="1:20" x14ac:dyDescent="0.2">
      <c r="A1249" s="2031"/>
      <c r="B1249" s="1968"/>
      <c r="C1249" s="2032"/>
      <c r="D1249" s="2033"/>
      <c r="E1249" s="2000"/>
      <c r="F1249" s="2000"/>
      <c r="G1249" s="2000"/>
      <c r="H1249" s="2000"/>
      <c r="I1249" s="1968"/>
      <c r="J1249" s="1968"/>
      <c r="K1249" s="2000"/>
      <c r="L1249" s="2000"/>
      <c r="M1249" s="1968"/>
      <c r="N1249" s="1968"/>
      <c r="O1249" s="1968"/>
      <c r="P1249" s="1968"/>
      <c r="Q1249" s="1968"/>
      <c r="R1249" s="1968"/>
      <c r="S1249" s="1968"/>
      <c r="T1249" s="1968"/>
    </row>
    <row r="1250" spans="1:20" x14ac:dyDescent="0.2">
      <c r="A1250" s="2031"/>
      <c r="B1250" s="1968"/>
      <c r="C1250" s="2032"/>
      <c r="D1250" s="2033"/>
      <c r="E1250" s="2000"/>
      <c r="F1250" s="2000"/>
      <c r="G1250" s="2000"/>
      <c r="H1250" s="2000"/>
      <c r="I1250" s="1968"/>
      <c r="J1250" s="1968"/>
      <c r="K1250" s="2000"/>
      <c r="L1250" s="2000"/>
      <c r="M1250" s="1968"/>
      <c r="N1250" s="1968"/>
      <c r="O1250" s="1968"/>
      <c r="P1250" s="1968"/>
      <c r="Q1250" s="1968"/>
      <c r="R1250" s="1968"/>
      <c r="S1250" s="1968"/>
      <c r="T1250" s="1968"/>
    </row>
    <row r="1251" spans="1:20" x14ac:dyDescent="0.2">
      <c r="A1251" s="2031"/>
      <c r="B1251" s="1968"/>
      <c r="C1251" s="2032"/>
      <c r="D1251" s="2033"/>
      <c r="E1251" s="2000"/>
      <c r="F1251" s="2000"/>
      <c r="G1251" s="2000"/>
      <c r="H1251" s="2000"/>
      <c r="I1251" s="1968"/>
      <c r="J1251" s="1968"/>
      <c r="K1251" s="2000"/>
      <c r="L1251" s="2000"/>
      <c r="M1251" s="1968"/>
      <c r="N1251" s="1968"/>
      <c r="O1251" s="1968"/>
      <c r="P1251" s="1968"/>
      <c r="Q1251" s="1968"/>
      <c r="R1251" s="1968"/>
      <c r="S1251" s="1968"/>
      <c r="T1251" s="1968"/>
    </row>
    <row r="1252" spans="1:20" x14ac:dyDescent="0.2">
      <c r="A1252" s="2031"/>
      <c r="B1252" s="1968"/>
      <c r="C1252" s="2032"/>
      <c r="D1252" s="2033"/>
      <c r="E1252" s="2000"/>
      <c r="F1252" s="2000"/>
      <c r="G1252" s="2000"/>
      <c r="H1252" s="2000"/>
      <c r="I1252" s="1968"/>
      <c r="J1252" s="1968"/>
      <c r="K1252" s="2000"/>
      <c r="L1252" s="2000"/>
      <c r="M1252" s="1968"/>
      <c r="N1252" s="1968"/>
      <c r="O1252" s="1968"/>
      <c r="P1252" s="1968"/>
      <c r="Q1252" s="1968"/>
      <c r="R1252" s="1968"/>
      <c r="S1252" s="1968"/>
      <c r="T1252" s="1968"/>
    </row>
    <row r="1253" spans="1:20" x14ac:dyDescent="0.2">
      <c r="A1253" s="2031"/>
      <c r="B1253" s="1968"/>
      <c r="C1253" s="2032"/>
      <c r="D1253" s="2033"/>
      <c r="E1253" s="2000"/>
      <c r="F1253" s="2000"/>
      <c r="G1253" s="2000"/>
      <c r="H1253" s="2000"/>
      <c r="I1253" s="1968"/>
      <c r="J1253" s="1968"/>
      <c r="K1253" s="2000"/>
      <c r="L1253" s="2000"/>
      <c r="M1253" s="1968"/>
      <c r="N1253" s="1968"/>
      <c r="O1253" s="1968"/>
      <c r="P1253" s="1968"/>
      <c r="Q1253" s="1968"/>
      <c r="R1253" s="1968"/>
      <c r="S1253" s="1968"/>
      <c r="T1253" s="1968"/>
    </row>
    <row r="1254" spans="1:20" x14ac:dyDescent="0.2">
      <c r="A1254" s="2031"/>
      <c r="B1254" s="1968"/>
      <c r="C1254" s="2032"/>
      <c r="D1254" s="2033"/>
      <c r="E1254" s="2000"/>
      <c r="F1254" s="2000"/>
      <c r="G1254" s="2000"/>
      <c r="H1254" s="2000"/>
      <c r="I1254" s="1968"/>
      <c r="J1254" s="1968"/>
      <c r="K1254" s="2000"/>
      <c r="L1254" s="2000"/>
      <c r="M1254" s="1968"/>
      <c r="N1254" s="1968"/>
      <c r="O1254" s="1968"/>
      <c r="P1254" s="1968"/>
      <c r="Q1254" s="1968"/>
      <c r="R1254" s="1968"/>
      <c r="S1254" s="1968"/>
      <c r="T1254" s="1968"/>
    </row>
    <row r="1255" spans="1:20" x14ac:dyDescent="0.2">
      <c r="A1255" s="2031"/>
      <c r="B1255" s="1968"/>
      <c r="C1255" s="2032"/>
      <c r="D1255" s="2033"/>
      <c r="E1255" s="2000"/>
      <c r="F1255" s="2000"/>
      <c r="G1255" s="2000"/>
      <c r="H1255" s="2000"/>
      <c r="I1255" s="1968"/>
      <c r="J1255" s="1968"/>
      <c r="K1255" s="2000"/>
      <c r="L1255" s="2000"/>
      <c r="M1255" s="1968"/>
      <c r="N1255" s="1968"/>
      <c r="O1255" s="1968"/>
      <c r="P1255" s="1968"/>
      <c r="Q1255" s="1968"/>
      <c r="R1255" s="1968"/>
      <c r="S1255" s="1968"/>
      <c r="T1255" s="1968"/>
    </row>
    <row r="1256" spans="1:20" x14ac:dyDescent="0.2">
      <c r="A1256" s="2031"/>
      <c r="B1256" s="1968"/>
      <c r="C1256" s="2032"/>
      <c r="D1256" s="2033"/>
      <c r="E1256" s="2000"/>
      <c r="F1256" s="2000"/>
      <c r="G1256" s="2000"/>
      <c r="H1256" s="2000"/>
      <c r="I1256" s="1968"/>
      <c r="J1256" s="1968"/>
      <c r="K1256" s="2000"/>
      <c r="L1256" s="2000"/>
      <c r="M1256" s="1968"/>
      <c r="N1256" s="1968"/>
      <c r="O1256" s="1968"/>
      <c r="P1256" s="1968"/>
      <c r="Q1256" s="1968"/>
      <c r="R1256" s="1968"/>
      <c r="S1256" s="1968"/>
      <c r="T1256" s="1968"/>
    </row>
    <row r="1257" spans="1:20" x14ac:dyDescent="0.2">
      <c r="A1257" s="2031"/>
      <c r="B1257" s="1968"/>
      <c r="C1257" s="2032"/>
      <c r="D1257" s="2033"/>
      <c r="E1257" s="2000"/>
      <c r="F1257" s="2000"/>
      <c r="G1257" s="2000"/>
      <c r="H1257" s="2000"/>
      <c r="I1257" s="1968"/>
      <c r="J1257" s="1968"/>
      <c r="K1257" s="2000"/>
      <c r="L1257" s="2000"/>
      <c r="M1257" s="1968"/>
      <c r="N1257" s="1968"/>
      <c r="O1257" s="1968"/>
      <c r="P1257" s="1968"/>
      <c r="Q1257" s="1968"/>
      <c r="R1257" s="1968"/>
      <c r="S1257" s="1968"/>
      <c r="T1257" s="1968"/>
    </row>
    <row r="1258" spans="1:20" x14ac:dyDescent="0.2">
      <c r="A1258" s="2031"/>
      <c r="B1258" s="1968"/>
      <c r="C1258" s="2032"/>
      <c r="D1258" s="2033"/>
      <c r="E1258" s="2000"/>
      <c r="F1258" s="2000"/>
      <c r="G1258" s="2000"/>
      <c r="H1258" s="2000"/>
      <c r="I1258" s="1968"/>
      <c r="J1258" s="1968"/>
      <c r="K1258" s="2000"/>
      <c r="L1258" s="2000"/>
      <c r="M1258" s="1968"/>
      <c r="N1258" s="1968"/>
      <c r="O1258" s="1968"/>
      <c r="P1258" s="1968"/>
      <c r="Q1258" s="1968"/>
      <c r="R1258" s="1968"/>
      <c r="S1258" s="1968"/>
      <c r="T1258" s="1968"/>
    </row>
    <row r="1259" spans="1:20" x14ac:dyDescent="0.2">
      <c r="A1259" s="2031"/>
      <c r="B1259" s="1968"/>
      <c r="C1259" s="2032"/>
      <c r="D1259" s="2033"/>
      <c r="E1259" s="2000"/>
      <c r="F1259" s="2000"/>
      <c r="G1259" s="2000"/>
      <c r="H1259" s="2000"/>
      <c r="I1259" s="1968"/>
      <c r="J1259" s="1968"/>
      <c r="K1259" s="2000"/>
      <c r="L1259" s="2000"/>
      <c r="M1259" s="1968"/>
      <c r="N1259" s="1968"/>
      <c r="O1259" s="1968"/>
      <c r="P1259" s="1968"/>
      <c r="Q1259" s="1968"/>
      <c r="R1259" s="1968"/>
      <c r="S1259" s="1968"/>
      <c r="T1259" s="1968"/>
    </row>
    <row r="1260" spans="1:20" x14ac:dyDescent="0.2">
      <c r="A1260" s="2031"/>
      <c r="B1260" s="1968"/>
      <c r="C1260" s="2032"/>
      <c r="D1260" s="2033"/>
      <c r="E1260" s="2000"/>
      <c r="F1260" s="2000"/>
      <c r="G1260" s="2000"/>
      <c r="H1260" s="2000"/>
      <c r="I1260" s="1968"/>
      <c r="J1260" s="1968"/>
      <c r="K1260" s="2000"/>
      <c r="L1260" s="2000"/>
      <c r="M1260" s="1968"/>
      <c r="N1260" s="1968"/>
      <c r="O1260" s="1968"/>
      <c r="P1260" s="1968"/>
      <c r="Q1260" s="1968"/>
      <c r="R1260" s="1968"/>
      <c r="S1260" s="1968"/>
      <c r="T1260" s="1968"/>
    </row>
    <row r="1261" spans="1:20" x14ac:dyDescent="0.2">
      <c r="A1261" s="2031"/>
      <c r="B1261" s="1968"/>
      <c r="C1261" s="2032"/>
      <c r="D1261" s="2033"/>
      <c r="E1261" s="2000"/>
      <c r="F1261" s="2000"/>
      <c r="G1261" s="2000"/>
      <c r="H1261" s="2000"/>
      <c r="I1261" s="1968"/>
      <c r="J1261" s="1968"/>
      <c r="K1261" s="2000"/>
      <c r="L1261" s="2000"/>
      <c r="M1261" s="1968"/>
      <c r="N1261" s="1968"/>
      <c r="O1261" s="1968"/>
      <c r="P1261" s="1968"/>
      <c r="Q1261" s="1968"/>
      <c r="R1261" s="1968"/>
      <c r="S1261" s="1968"/>
      <c r="T1261" s="1968"/>
    </row>
    <row r="1262" spans="1:20" x14ac:dyDescent="0.2">
      <c r="A1262" s="2031"/>
      <c r="B1262" s="1968"/>
      <c r="C1262" s="2032"/>
      <c r="D1262" s="2033"/>
      <c r="E1262" s="2000"/>
      <c r="F1262" s="2000"/>
      <c r="G1262" s="2000"/>
      <c r="H1262" s="2000"/>
      <c r="I1262" s="1968"/>
      <c r="J1262" s="1968"/>
      <c r="K1262" s="2000"/>
      <c r="L1262" s="2000"/>
      <c r="M1262" s="1968"/>
      <c r="N1262" s="1968"/>
      <c r="O1262" s="1968"/>
      <c r="P1262" s="1968"/>
      <c r="Q1262" s="1968"/>
      <c r="R1262" s="1968"/>
      <c r="S1262" s="1968"/>
      <c r="T1262" s="1968"/>
    </row>
    <row r="1263" spans="1:20" x14ac:dyDescent="0.2">
      <c r="A1263" s="2031"/>
      <c r="B1263" s="1968"/>
      <c r="C1263" s="2032"/>
      <c r="D1263" s="2033"/>
      <c r="E1263" s="2000"/>
      <c r="F1263" s="2000"/>
      <c r="G1263" s="2000"/>
      <c r="H1263" s="2000"/>
      <c r="I1263" s="1968"/>
      <c r="J1263" s="1968"/>
      <c r="K1263" s="2000"/>
      <c r="L1263" s="2000"/>
      <c r="M1263" s="1968"/>
      <c r="N1263" s="1968"/>
      <c r="O1263" s="1968"/>
      <c r="P1263" s="1968"/>
      <c r="Q1263" s="1968"/>
      <c r="R1263" s="1968"/>
      <c r="S1263" s="1968"/>
      <c r="T1263" s="1968"/>
    </row>
    <row r="1264" spans="1:20" x14ac:dyDescent="0.2">
      <c r="A1264" s="2031"/>
      <c r="B1264" s="1968"/>
      <c r="C1264" s="2032"/>
      <c r="D1264" s="2033"/>
      <c r="E1264" s="2000"/>
      <c r="F1264" s="2000"/>
      <c r="G1264" s="2000"/>
      <c r="H1264" s="2000"/>
      <c r="I1264" s="1968"/>
      <c r="J1264" s="1968"/>
      <c r="K1264" s="2000"/>
      <c r="L1264" s="2000"/>
      <c r="M1264" s="1968"/>
      <c r="N1264" s="1968"/>
      <c r="O1264" s="1968"/>
      <c r="P1264" s="1968"/>
      <c r="Q1264" s="1968"/>
      <c r="R1264" s="1968"/>
      <c r="S1264" s="1968"/>
      <c r="T1264" s="1968"/>
    </row>
    <row r="1265" spans="1:20" x14ac:dyDescent="0.2">
      <c r="A1265" s="2031"/>
      <c r="B1265" s="1968"/>
      <c r="C1265" s="2032"/>
      <c r="D1265" s="2033"/>
      <c r="E1265" s="2000"/>
      <c r="F1265" s="2000"/>
      <c r="G1265" s="2000"/>
      <c r="H1265" s="2000"/>
      <c r="I1265" s="1968"/>
      <c r="J1265" s="1968"/>
      <c r="K1265" s="2000"/>
      <c r="L1265" s="2000"/>
      <c r="M1265" s="1968"/>
      <c r="N1265" s="1968"/>
      <c r="O1265" s="1968"/>
      <c r="P1265" s="1968"/>
      <c r="Q1265" s="1968"/>
      <c r="R1265" s="1968"/>
      <c r="S1265" s="1968"/>
      <c r="T1265" s="1968"/>
    </row>
    <row r="1266" spans="1:20" x14ac:dyDescent="0.2">
      <c r="A1266" s="2031"/>
      <c r="B1266" s="1968"/>
      <c r="C1266" s="2032"/>
      <c r="D1266" s="2033"/>
      <c r="E1266" s="2000"/>
      <c r="F1266" s="2000"/>
      <c r="G1266" s="2000"/>
      <c r="H1266" s="2000"/>
      <c r="I1266" s="1968"/>
      <c r="J1266" s="1968"/>
      <c r="K1266" s="2000"/>
      <c r="L1266" s="2000"/>
      <c r="M1266" s="1968"/>
      <c r="N1266" s="1968"/>
      <c r="O1266" s="1968"/>
      <c r="P1266" s="1968"/>
      <c r="Q1266" s="1968"/>
      <c r="R1266" s="1968"/>
      <c r="S1266" s="1968"/>
      <c r="T1266" s="1968"/>
    </row>
    <row r="1267" spans="1:20" x14ac:dyDescent="0.2">
      <c r="A1267" s="2031"/>
      <c r="B1267" s="1968"/>
      <c r="C1267" s="2032"/>
      <c r="D1267" s="2033"/>
      <c r="E1267" s="2000"/>
      <c r="F1267" s="2000"/>
      <c r="G1267" s="2000"/>
      <c r="H1267" s="2000"/>
      <c r="I1267" s="1968"/>
      <c r="J1267" s="1968"/>
      <c r="K1267" s="2000"/>
      <c r="L1267" s="2000"/>
      <c r="M1267" s="1968"/>
      <c r="N1267" s="1968"/>
      <c r="O1267" s="1968"/>
      <c r="P1267" s="1968"/>
      <c r="Q1267" s="1968"/>
      <c r="R1267" s="1968"/>
      <c r="S1267" s="1968"/>
      <c r="T1267" s="1968"/>
    </row>
    <row r="1268" spans="1:20" x14ac:dyDescent="0.2">
      <c r="A1268" s="2031"/>
      <c r="B1268" s="1968"/>
      <c r="C1268" s="2032"/>
      <c r="D1268" s="2033"/>
      <c r="E1268" s="2000"/>
      <c r="F1268" s="2000"/>
      <c r="G1268" s="2000"/>
      <c r="H1268" s="2000"/>
      <c r="I1268" s="1968"/>
      <c r="J1268" s="1968"/>
      <c r="K1268" s="2000"/>
      <c r="L1268" s="2000"/>
      <c r="M1268" s="1968"/>
      <c r="N1268" s="1968"/>
      <c r="O1268" s="1968"/>
      <c r="P1268" s="1968"/>
      <c r="Q1268" s="1968"/>
      <c r="R1268" s="1968"/>
      <c r="S1268" s="1968"/>
      <c r="T1268" s="1968"/>
    </row>
    <row r="1269" spans="1:20" x14ac:dyDescent="0.2">
      <c r="A1269" s="2031"/>
      <c r="B1269" s="1968"/>
      <c r="C1269" s="2032"/>
      <c r="D1269" s="2033"/>
      <c r="E1269" s="2000"/>
      <c r="F1269" s="2000"/>
      <c r="G1269" s="2000"/>
      <c r="H1269" s="2000"/>
      <c r="I1269" s="1968"/>
      <c r="J1269" s="1968"/>
      <c r="K1269" s="2000"/>
      <c r="L1269" s="2000"/>
      <c r="M1269" s="1968"/>
      <c r="N1269" s="1968"/>
      <c r="O1269" s="1968"/>
      <c r="P1269" s="1968"/>
      <c r="Q1269" s="1968"/>
      <c r="R1269" s="1968"/>
      <c r="S1269" s="1968"/>
      <c r="T1269" s="1968"/>
    </row>
    <row r="1270" spans="1:20" x14ac:dyDescent="0.2">
      <c r="A1270" s="2031"/>
      <c r="B1270" s="1968"/>
      <c r="C1270" s="2032"/>
      <c r="D1270" s="2033"/>
      <c r="E1270" s="2000"/>
      <c r="F1270" s="2000"/>
      <c r="G1270" s="2000"/>
      <c r="H1270" s="2000"/>
      <c r="I1270" s="1968"/>
      <c r="J1270" s="1968"/>
      <c r="K1270" s="2000"/>
      <c r="L1270" s="2000"/>
      <c r="M1270" s="1968"/>
      <c r="N1270" s="1968"/>
      <c r="O1270" s="1968"/>
      <c r="P1270" s="1968"/>
      <c r="Q1270" s="1968"/>
      <c r="R1270" s="1968"/>
      <c r="S1270" s="1968"/>
      <c r="T1270" s="1968"/>
    </row>
    <row r="1271" spans="1:20" x14ac:dyDescent="0.2">
      <c r="A1271" s="2031"/>
      <c r="B1271" s="1968"/>
      <c r="C1271" s="2032"/>
      <c r="D1271" s="2033"/>
      <c r="E1271" s="2000"/>
      <c r="F1271" s="2000"/>
      <c r="G1271" s="2000"/>
      <c r="H1271" s="2000"/>
      <c r="I1271" s="1968"/>
      <c r="J1271" s="1968"/>
      <c r="K1271" s="2000"/>
      <c r="L1271" s="2000"/>
      <c r="M1271" s="1968"/>
      <c r="N1271" s="1968"/>
      <c r="O1271" s="1968"/>
      <c r="P1271" s="1968"/>
      <c r="Q1271" s="1968"/>
      <c r="R1271" s="1968"/>
      <c r="S1271" s="1968"/>
      <c r="T1271" s="1968"/>
    </row>
    <row r="1272" spans="1:20" x14ac:dyDescent="0.2">
      <c r="A1272" s="2031"/>
      <c r="B1272" s="1968"/>
      <c r="C1272" s="2032"/>
      <c r="D1272" s="2033"/>
      <c r="E1272" s="2000"/>
      <c r="F1272" s="2000"/>
      <c r="G1272" s="2000"/>
      <c r="H1272" s="2000"/>
      <c r="I1272" s="1968"/>
      <c r="J1272" s="1968"/>
      <c r="K1272" s="2000"/>
      <c r="L1272" s="2000"/>
      <c r="M1272" s="1968"/>
      <c r="N1272" s="1968"/>
      <c r="O1272" s="1968"/>
      <c r="P1272" s="1968"/>
      <c r="Q1272" s="1968"/>
      <c r="R1272" s="1968"/>
      <c r="S1272" s="1968"/>
      <c r="T1272" s="1968"/>
    </row>
    <row r="1273" spans="1:20" x14ac:dyDescent="0.2">
      <c r="A1273" s="2031"/>
      <c r="B1273" s="1968"/>
      <c r="C1273" s="2032"/>
      <c r="D1273" s="2033"/>
      <c r="E1273" s="2000"/>
      <c r="F1273" s="2000"/>
      <c r="G1273" s="2000"/>
      <c r="H1273" s="2000"/>
      <c r="I1273" s="1968"/>
      <c r="J1273" s="1968"/>
      <c r="K1273" s="2000"/>
      <c r="L1273" s="2000"/>
      <c r="M1273" s="1968"/>
      <c r="N1273" s="1968"/>
      <c r="O1273" s="1968"/>
      <c r="P1273" s="1968"/>
      <c r="Q1273" s="1968"/>
      <c r="R1273" s="1968"/>
      <c r="S1273" s="1968"/>
      <c r="T1273" s="1968"/>
    </row>
    <row r="1274" spans="1:20" x14ac:dyDescent="0.2">
      <c r="A1274" s="2031"/>
      <c r="B1274" s="1968"/>
      <c r="C1274" s="2032"/>
      <c r="D1274" s="2033"/>
      <c r="E1274" s="2000"/>
      <c r="F1274" s="2000"/>
      <c r="G1274" s="2000"/>
      <c r="H1274" s="2000"/>
      <c r="I1274" s="1968"/>
      <c r="J1274" s="1968"/>
      <c r="K1274" s="2000"/>
      <c r="L1274" s="2000"/>
      <c r="M1274" s="1968"/>
      <c r="N1274" s="1968"/>
      <c r="O1274" s="1968"/>
      <c r="P1274" s="1968"/>
      <c r="Q1274" s="1968"/>
      <c r="R1274" s="1968"/>
      <c r="S1274" s="1968"/>
      <c r="T1274" s="1968"/>
    </row>
    <row r="1275" spans="1:20" x14ac:dyDescent="0.2">
      <c r="A1275" s="2031"/>
      <c r="B1275" s="1968"/>
      <c r="C1275" s="2032"/>
      <c r="D1275" s="2033"/>
      <c r="E1275" s="2000"/>
      <c r="F1275" s="2000"/>
      <c r="G1275" s="2000"/>
      <c r="H1275" s="2000"/>
      <c r="I1275" s="1968"/>
      <c r="J1275" s="1968"/>
      <c r="K1275" s="2000"/>
      <c r="L1275" s="2000"/>
      <c r="M1275" s="1968"/>
      <c r="N1275" s="1968"/>
      <c r="O1275" s="1968"/>
      <c r="P1275" s="1968"/>
      <c r="Q1275" s="1968"/>
      <c r="R1275" s="1968"/>
      <c r="S1275" s="1968"/>
      <c r="T1275" s="1968"/>
    </row>
    <row r="1276" spans="1:20" x14ac:dyDescent="0.2">
      <c r="A1276" s="2031"/>
      <c r="B1276" s="1968"/>
      <c r="C1276" s="2032"/>
      <c r="D1276" s="2033"/>
      <c r="E1276" s="2000"/>
      <c r="F1276" s="2000"/>
      <c r="G1276" s="2000"/>
      <c r="H1276" s="2000"/>
      <c r="I1276" s="1968"/>
      <c r="J1276" s="1968"/>
      <c r="K1276" s="2000"/>
      <c r="L1276" s="2000"/>
      <c r="M1276" s="1968"/>
      <c r="N1276" s="1968"/>
      <c r="O1276" s="1968"/>
      <c r="P1276" s="1968"/>
      <c r="Q1276" s="1968"/>
      <c r="R1276" s="1968"/>
      <c r="S1276" s="1968"/>
      <c r="T1276" s="1968"/>
    </row>
    <row r="1277" spans="1:20" x14ac:dyDescent="0.2">
      <c r="A1277" s="2031"/>
      <c r="B1277" s="1968"/>
      <c r="C1277" s="2032"/>
      <c r="D1277" s="2033"/>
      <c r="E1277" s="2000"/>
      <c r="F1277" s="2000"/>
      <c r="G1277" s="2000"/>
      <c r="H1277" s="2000"/>
      <c r="I1277" s="1968"/>
      <c r="J1277" s="1968"/>
      <c r="K1277" s="2000"/>
      <c r="L1277" s="2000"/>
      <c r="M1277" s="1968"/>
      <c r="N1277" s="1968"/>
      <c r="O1277" s="1968"/>
      <c r="P1277" s="1968"/>
      <c r="Q1277" s="1968"/>
      <c r="R1277" s="1968"/>
      <c r="S1277" s="1968"/>
      <c r="T1277" s="1968"/>
    </row>
    <row r="1278" spans="1:20" x14ac:dyDescent="0.2">
      <c r="A1278" s="2031"/>
      <c r="B1278" s="1968"/>
      <c r="C1278" s="2032"/>
      <c r="D1278" s="2033"/>
      <c r="E1278" s="2000"/>
      <c r="F1278" s="2000"/>
      <c r="G1278" s="2000"/>
      <c r="H1278" s="2000"/>
      <c r="I1278" s="1968"/>
      <c r="J1278" s="1968"/>
      <c r="K1278" s="2000"/>
      <c r="L1278" s="2000"/>
      <c r="M1278" s="1968"/>
      <c r="N1278" s="1968"/>
      <c r="O1278" s="1968"/>
      <c r="P1278" s="1968"/>
      <c r="Q1278" s="1968"/>
      <c r="R1278" s="1968"/>
      <c r="S1278" s="1968"/>
      <c r="T1278" s="1968"/>
    </row>
    <row r="1279" spans="1:20" x14ac:dyDescent="0.2">
      <c r="A1279" s="2031"/>
      <c r="B1279" s="1968"/>
      <c r="C1279" s="2032"/>
      <c r="D1279" s="2033"/>
      <c r="E1279" s="2000"/>
      <c r="F1279" s="2000"/>
      <c r="G1279" s="2000"/>
      <c r="H1279" s="2000"/>
      <c r="I1279" s="1968"/>
      <c r="J1279" s="1968"/>
      <c r="K1279" s="2000"/>
      <c r="L1279" s="2000"/>
      <c r="M1279" s="1968"/>
      <c r="N1279" s="1968"/>
      <c r="O1279" s="1968"/>
      <c r="P1279" s="1968"/>
      <c r="Q1279" s="1968"/>
      <c r="R1279" s="1968"/>
      <c r="S1279" s="1968"/>
      <c r="T1279" s="1968"/>
    </row>
    <row r="1280" spans="1:20" x14ac:dyDescent="0.2">
      <c r="A1280" s="2031"/>
      <c r="B1280" s="1968"/>
      <c r="C1280" s="2032"/>
      <c r="D1280" s="2033"/>
      <c r="E1280" s="2000"/>
      <c r="F1280" s="2000"/>
      <c r="G1280" s="2000"/>
      <c r="H1280" s="2000"/>
      <c r="I1280" s="1968"/>
      <c r="J1280" s="1968"/>
      <c r="K1280" s="2000"/>
      <c r="L1280" s="2000"/>
      <c r="M1280" s="1968"/>
      <c r="N1280" s="1968"/>
      <c r="O1280" s="1968"/>
      <c r="P1280" s="1968"/>
      <c r="Q1280" s="1968"/>
      <c r="R1280" s="1968"/>
      <c r="S1280" s="1968"/>
      <c r="T1280" s="1968"/>
    </row>
    <row r="1281" spans="1:20" x14ac:dyDescent="0.2">
      <c r="A1281" s="2031"/>
      <c r="B1281" s="1968"/>
      <c r="C1281" s="2032"/>
      <c r="D1281" s="2033"/>
      <c r="E1281" s="2000"/>
      <c r="F1281" s="2000"/>
      <c r="G1281" s="2000"/>
      <c r="H1281" s="2000"/>
      <c r="I1281" s="1968"/>
      <c r="J1281" s="1968"/>
      <c r="K1281" s="2000"/>
      <c r="L1281" s="2000"/>
      <c r="M1281" s="1968"/>
      <c r="N1281" s="1968"/>
      <c r="O1281" s="1968"/>
      <c r="P1281" s="1968"/>
      <c r="Q1281" s="1968"/>
      <c r="R1281" s="1968"/>
      <c r="S1281" s="1968"/>
      <c r="T1281" s="1968"/>
    </row>
    <row r="1282" spans="1:20" x14ac:dyDescent="0.2">
      <c r="A1282" s="2031"/>
      <c r="B1282" s="1968"/>
      <c r="C1282" s="2032"/>
      <c r="D1282" s="2033"/>
      <c r="E1282" s="2000"/>
      <c r="F1282" s="2000"/>
      <c r="G1282" s="2000"/>
      <c r="H1282" s="2000"/>
      <c r="I1282" s="1968"/>
      <c r="J1282" s="1968"/>
      <c r="K1282" s="2000"/>
      <c r="L1282" s="2000"/>
      <c r="M1282" s="1968"/>
      <c r="N1282" s="1968"/>
      <c r="O1282" s="1968"/>
      <c r="P1282" s="1968"/>
      <c r="Q1282" s="1968"/>
      <c r="R1282" s="1968"/>
      <c r="S1282" s="1968"/>
      <c r="T1282" s="1968"/>
    </row>
    <row r="1283" spans="1:20" x14ac:dyDescent="0.2">
      <c r="A1283" s="2031"/>
      <c r="B1283" s="1968"/>
      <c r="C1283" s="2032"/>
      <c r="D1283" s="2033"/>
      <c r="E1283" s="2000"/>
      <c r="F1283" s="2000"/>
      <c r="G1283" s="2000"/>
      <c r="H1283" s="2000"/>
      <c r="I1283" s="1968"/>
      <c r="J1283" s="1968"/>
      <c r="K1283" s="2000"/>
      <c r="L1283" s="2000"/>
      <c r="M1283" s="1968"/>
      <c r="N1283" s="1968"/>
      <c r="O1283" s="1968"/>
      <c r="P1283" s="1968"/>
      <c r="Q1283" s="1968"/>
      <c r="R1283" s="1968"/>
      <c r="S1283" s="1968"/>
      <c r="T1283" s="1968"/>
    </row>
    <row r="1284" spans="1:20" x14ac:dyDescent="0.2">
      <c r="A1284" s="2031"/>
      <c r="B1284" s="1968"/>
      <c r="C1284" s="2032"/>
      <c r="D1284" s="2033"/>
      <c r="E1284" s="2000"/>
      <c r="F1284" s="2000"/>
      <c r="G1284" s="2000"/>
      <c r="H1284" s="2000"/>
      <c r="I1284" s="1968"/>
      <c r="J1284" s="1968"/>
      <c r="K1284" s="2000"/>
      <c r="L1284" s="2000"/>
      <c r="M1284" s="1968"/>
      <c r="N1284" s="1968"/>
      <c r="O1284" s="1968"/>
      <c r="P1284" s="1968"/>
      <c r="Q1284" s="1968"/>
      <c r="R1284" s="1968"/>
      <c r="S1284" s="1968"/>
      <c r="T1284" s="1968"/>
    </row>
    <row r="1285" spans="1:20" x14ac:dyDescent="0.2">
      <c r="A1285" s="2031"/>
      <c r="B1285" s="1968"/>
      <c r="C1285" s="2032"/>
      <c r="D1285" s="2033"/>
      <c r="E1285" s="2000"/>
      <c r="F1285" s="2000"/>
      <c r="G1285" s="2000"/>
      <c r="H1285" s="2000"/>
      <c r="I1285" s="1968"/>
      <c r="J1285" s="1968"/>
      <c r="K1285" s="2000"/>
      <c r="L1285" s="2000"/>
      <c r="M1285" s="1968"/>
      <c r="N1285" s="1968"/>
      <c r="O1285" s="1968"/>
      <c r="P1285" s="1968"/>
      <c r="Q1285" s="1968"/>
      <c r="R1285" s="1968"/>
      <c r="S1285" s="1968"/>
      <c r="T1285" s="1968"/>
    </row>
    <row r="1286" spans="1:20" x14ac:dyDescent="0.2">
      <c r="A1286" s="2031"/>
      <c r="B1286" s="1968"/>
      <c r="C1286" s="2032"/>
      <c r="D1286" s="2033"/>
      <c r="E1286" s="2000"/>
      <c r="F1286" s="2000"/>
      <c r="G1286" s="2000"/>
      <c r="H1286" s="2000"/>
      <c r="I1286" s="1968"/>
      <c r="J1286" s="1968"/>
      <c r="K1286" s="2000"/>
      <c r="L1286" s="2000"/>
      <c r="M1286" s="1968"/>
      <c r="N1286" s="1968"/>
      <c r="O1286" s="1968"/>
      <c r="P1286" s="1968"/>
      <c r="Q1286" s="1968"/>
      <c r="R1286" s="1968"/>
      <c r="S1286" s="1968"/>
      <c r="T1286" s="1968"/>
    </row>
    <row r="1287" spans="1:20" x14ac:dyDescent="0.2">
      <c r="A1287" s="2031"/>
      <c r="B1287" s="1968"/>
      <c r="C1287" s="2032"/>
      <c r="D1287" s="2033"/>
      <c r="E1287" s="2000"/>
      <c r="F1287" s="2000"/>
      <c r="G1287" s="2000"/>
      <c r="H1287" s="2000"/>
      <c r="I1287" s="1968"/>
      <c r="J1287" s="1968"/>
      <c r="K1287" s="2000"/>
      <c r="L1287" s="2000"/>
      <c r="M1287" s="1968"/>
      <c r="N1287" s="1968"/>
      <c r="O1287" s="1968"/>
      <c r="P1287" s="1968"/>
      <c r="Q1287" s="1968"/>
      <c r="R1287" s="1968"/>
      <c r="S1287" s="1968"/>
      <c r="T1287" s="1968"/>
    </row>
    <row r="1288" spans="1:20" x14ac:dyDescent="0.2">
      <c r="A1288" s="2031"/>
      <c r="B1288" s="1968"/>
      <c r="C1288" s="2032"/>
      <c r="D1288" s="2033"/>
      <c r="E1288" s="2000"/>
      <c r="F1288" s="2000"/>
      <c r="G1288" s="2000"/>
      <c r="H1288" s="2000"/>
      <c r="I1288" s="1968"/>
      <c r="J1288" s="1968"/>
      <c r="K1288" s="2000"/>
      <c r="L1288" s="2000"/>
      <c r="M1288" s="1968"/>
      <c r="N1288" s="1968"/>
      <c r="O1288" s="1968"/>
      <c r="P1288" s="1968"/>
      <c r="Q1288" s="1968"/>
      <c r="R1288" s="1968"/>
      <c r="S1288" s="1968"/>
      <c r="T1288" s="1968"/>
    </row>
    <row r="1289" spans="1:20" x14ac:dyDescent="0.2">
      <c r="A1289" s="2031"/>
      <c r="B1289" s="1968"/>
      <c r="C1289" s="2032"/>
      <c r="D1289" s="2033"/>
      <c r="E1289" s="2000"/>
      <c r="F1289" s="2000"/>
      <c r="G1289" s="2000"/>
      <c r="H1289" s="2000"/>
      <c r="I1289" s="1968"/>
      <c r="J1289" s="1968"/>
      <c r="K1289" s="2000"/>
      <c r="L1289" s="2000"/>
      <c r="M1289" s="1968"/>
      <c r="N1289" s="1968"/>
      <c r="O1289" s="1968"/>
      <c r="P1289" s="1968"/>
      <c r="Q1289" s="1968"/>
      <c r="R1289" s="1968"/>
      <c r="S1289" s="1968"/>
      <c r="T1289" s="1968"/>
    </row>
    <row r="1290" spans="1:20" x14ac:dyDescent="0.2">
      <c r="A1290" s="2031"/>
      <c r="B1290" s="1968"/>
      <c r="C1290" s="2032"/>
      <c r="D1290" s="2033"/>
      <c r="E1290" s="2000"/>
      <c r="F1290" s="2000"/>
      <c r="G1290" s="2000"/>
      <c r="H1290" s="2000"/>
      <c r="I1290" s="1968"/>
      <c r="J1290" s="1968"/>
      <c r="K1290" s="2000"/>
      <c r="L1290" s="2000"/>
      <c r="M1290" s="1968"/>
      <c r="N1290" s="1968"/>
      <c r="O1290" s="1968"/>
      <c r="P1290" s="1968"/>
      <c r="Q1290" s="1968"/>
      <c r="R1290" s="1968"/>
      <c r="S1290" s="1968"/>
      <c r="T1290" s="1968"/>
    </row>
    <row r="1291" spans="1:20" x14ac:dyDescent="0.2">
      <c r="A1291" s="2031"/>
      <c r="B1291" s="1968"/>
      <c r="C1291" s="2032"/>
      <c r="D1291" s="2033"/>
      <c r="E1291" s="2000"/>
      <c r="F1291" s="2000"/>
      <c r="G1291" s="2000"/>
      <c r="H1291" s="2000"/>
      <c r="I1291" s="1968"/>
      <c r="J1291" s="1968"/>
      <c r="K1291" s="2000"/>
      <c r="L1291" s="2000"/>
      <c r="M1291" s="1968"/>
      <c r="N1291" s="1968"/>
      <c r="O1291" s="1968"/>
      <c r="P1291" s="1968"/>
      <c r="Q1291" s="1968"/>
      <c r="R1291" s="1968"/>
      <c r="S1291" s="1968"/>
      <c r="T1291" s="1968"/>
    </row>
    <row r="1292" spans="1:20" x14ac:dyDescent="0.2">
      <c r="A1292" s="2031"/>
      <c r="B1292" s="1968"/>
      <c r="C1292" s="2032"/>
      <c r="D1292" s="2033"/>
      <c r="E1292" s="2000"/>
      <c r="F1292" s="2000"/>
      <c r="G1292" s="2000"/>
      <c r="H1292" s="2000"/>
      <c r="I1292" s="1968"/>
      <c r="J1292" s="1968"/>
      <c r="K1292" s="2000"/>
      <c r="L1292" s="2000"/>
      <c r="M1292" s="1968"/>
      <c r="N1292" s="1968"/>
      <c r="O1292" s="1968"/>
      <c r="P1292" s="1968"/>
      <c r="Q1292" s="1968"/>
      <c r="R1292" s="1968"/>
      <c r="S1292" s="1968"/>
      <c r="T1292" s="1968"/>
    </row>
    <row r="1293" spans="1:20" x14ac:dyDescent="0.2">
      <c r="A1293" s="2031"/>
      <c r="B1293" s="1968"/>
      <c r="C1293" s="2032"/>
      <c r="D1293" s="2033"/>
      <c r="E1293" s="2000"/>
      <c r="F1293" s="2000"/>
      <c r="G1293" s="2000"/>
      <c r="H1293" s="2000"/>
      <c r="I1293" s="1968"/>
      <c r="J1293" s="1968"/>
      <c r="K1293" s="2000"/>
      <c r="L1293" s="2000"/>
      <c r="M1293" s="1968"/>
      <c r="N1293" s="1968"/>
      <c r="O1293" s="1968"/>
      <c r="P1293" s="1968"/>
      <c r="Q1293" s="1968"/>
      <c r="R1293" s="1968"/>
      <c r="S1293" s="1968"/>
      <c r="T1293" s="1968"/>
    </row>
    <row r="1294" spans="1:20" x14ac:dyDescent="0.2">
      <c r="A1294" s="2031"/>
      <c r="B1294" s="1968"/>
      <c r="C1294" s="2032"/>
      <c r="D1294" s="2033"/>
      <c r="E1294" s="2000"/>
      <c r="F1294" s="2000"/>
      <c r="G1294" s="2000"/>
      <c r="H1294" s="2000"/>
      <c r="I1294" s="1968"/>
      <c r="J1294" s="1968"/>
      <c r="K1294" s="2000"/>
      <c r="L1294" s="2000"/>
      <c r="M1294" s="1968"/>
      <c r="N1294" s="1968"/>
      <c r="O1294" s="1968"/>
      <c r="P1294" s="1968"/>
      <c r="Q1294" s="1968"/>
      <c r="R1294" s="1968"/>
      <c r="S1294" s="1968"/>
      <c r="T1294" s="1968"/>
    </row>
    <row r="1295" spans="1:20" x14ac:dyDescent="0.2">
      <c r="A1295" s="2031"/>
      <c r="B1295" s="1968"/>
      <c r="C1295" s="2032"/>
      <c r="D1295" s="2033"/>
      <c r="E1295" s="2000"/>
      <c r="F1295" s="2000"/>
      <c r="G1295" s="2000"/>
      <c r="H1295" s="2000"/>
      <c r="I1295" s="1968"/>
      <c r="J1295" s="1968"/>
      <c r="K1295" s="2000"/>
      <c r="L1295" s="2000"/>
      <c r="M1295" s="1968"/>
      <c r="N1295" s="1968"/>
      <c r="O1295" s="1968"/>
      <c r="P1295" s="1968"/>
      <c r="Q1295" s="1968"/>
      <c r="R1295" s="1968"/>
      <c r="S1295" s="1968"/>
      <c r="T1295" s="1968"/>
    </row>
    <row r="1296" spans="1:20" x14ac:dyDescent="0.2">
      <c r="A1296" s="2031"/>
      <c r="B1296" s="1968"/>
      <c r="C1296" s="2032"/>
      <c r="D1296" s="2033"/>
      <c r="E1296" s="2000"/>
      <c r="F1296" s="2000"/>
      <c r="G1296" s="2000"/>
      <c r="H1296" s="2000"/>
      <c r="I1296" s="1968"/>
      <c r="J1296" s="1968"/>
      <c r="K1296" s="2000"/>
      <c r="L1296" s="2000"/>
      <c r="M1296" s="1968"/>
      <c r="N1296" s="1968"/>
      <c r="O1296" s="1968"/>
      <c r="P1296" s="1968"/>
      <c r="Q1296" s="1968"/>
      <c r="R1296" s="1968"/>
      <c r="S1296" s="1968"/>
      <c r="T1296" s="1968"/>
    </row>
    <row r="1297" spans="1:20" x14ac:dyDescent="0.2">
      <c r="A1297" s="2031"/>
      <c r="B1297" s="1968"/>
      <c r="C1297" s="2032"/>
      <c r="D1297" s="2033"/>
      <c r="E1297" s="2000"/>
      <c r="F1297" s="2000"/>
      <c r="G1297" s="2000"/>
      <c r="H1297" s="2000"/>
      <c r="I1297" s="1968"/>
      <c r="J1297" s="1968"/>
      <c r="K1297" s="2000"/>
      <c r="L1297" s="2000"/>
      <c r="M1297" s="1968"/>
      <c r="N1297" s="1968"/>
      <c r="O1297" s="1968"/>
      <c r="P1297" s="1968"/>
      <c r="Q1297" s="1968"/>
      <c r="R1297" s="1968"/>
      <c r="S1297" s="1968"/>
      <c r="T1297" s="1968"/>
    </row>
    <row r="1298" spans="1:20" x14ac:dyDescent="0.2">
      <c r="A1298" s="2031"/>
      <c r="B1298" s="1968"/>
      <c r="C1298" s="2032"/>
      <c r="D1298" s="2033"/>
      <c r="E1298" s="2000"/>
      <c r="F1298" s="2000"/>
      <c r="G1298" s="2000"/>
      <c r="H1298" s="2000"/>
      <c r="I1298" s="1968"/>
      <c r="J1298" s="1968"/>
      <c r="K1298" s="2000"/>
      <c r="L1298" s="2000"/>
      <c r="M1298" s="1968"/>
      <c r="N1298" s="1968"/>
      <c r="O1298" s="1968"/>
      <c r="P1298" s="1968"/>
      <c r="Q1298" s="1968"/>
      <c r="R1298" s="1968"/>
      <c r="S1298" s="1968"/>
      <c r="T1298" s="1968"/>
    </row>
    <row r="1299" spans="1:20" x14ac:dyDescent="0.2">
      <c r="A1299" s="2031"/>
      <c r="B1299" s="1968"/>
      <c r="C1299" s="2032"/>
      <c r="D1299" s="2033"/>
      <c r="E1299" s="2000"/>
      <c r="F1299" s="2000"/>
      <c r="G1299" s="2000"/>
      <c r="H1299" s="2000"/>
      <c r="I1299" s="1968"/>
      <c r="J1299" s="1968"/>
      <c r="K1299" s="2000"/>
      <c r="L1299" s="2000"/>
      <c r="M1299" s="1968"/>
      <c r="N1299" s="1968"/>
      <c r="O1299" s="1968"/>
      <c r="P1299" s="1968"/>
      <c r="Q1299" s="1968"/>
      <c r="R1299" s="1968"/>
      <c r="S1299" s="1968"/>
      <c r="T1299" s="1968"/>
    </row>
    <row r="1300" spans="1:20" x14ac:dyDescent="0.2">
      <c r="A1300" s="2031"/>
      <c r="B1300" s="1968"/>
      <c r="C1300" s="2032"/>
      <c r="D1300" s="2033"/>
      <c r="E1300" s="2000"/>
      <c r="F1300" s="2000"/>
      <c r="G1300" s="2000"/>
      <c r="H1300" s="2000"/>
      <c r="I1300" s="1968"/>
      <c r="J1300" s="1968"/>
      <c r="K1300" s="2000"/>
      <c r="L1300" s="2000"/>
      <c r="M1300" s="1968"/>
      <c r="N1300" s="1968"/>
      <c r="O1300" s="1968"/>
      <c r="P1300" s="1968"/>
      <c r="Q1300" s="1968"/>
      <c r="R1300" s="1968"/>
      <c r="S1300" s="1968"/>
      <c r="T1300" s="1968"/>
    </row>
    <row r="1301" spans="1:20" x14ac:dyDescent="0.2">
      <c r="A1301" s="2031"/>
      <c r="B1301" s="1968"/>
      <c r="C1301" s="2032"/>
      <c r="D1301" s="2033"/>
      <c r="E1301" s="2000"/>
      <c r="F1301" s="2000"/>
      <c r="G1301" s="2000"/>
      <c r="H1301" s="2000"/>
      <c r="I1301" s="1968"/>
      <c r="J1301" s="1968"/>
      <c r="K1301" s="2000"/>
      <c r="L1301" s="2000"/>
      <c r="M1301" s="1968"/>
      <c r="N1301" s="1968"/>
      <c r="O1301" s="1968"/>
      <c r="P1301" s="1968"/>
      <c r="Q1301" s="1968"/>
      <c r="R1301" s="1968"/>
      <c r="S1301" s="1968"/>
      <c r="T1301" s="1968"/>
    </row>
    <row r="1302" spans="1:20" x14ac:dyDescent="0.2">
      <c r="A1302" s="2031"/>
      <c r="B1302" s="1968"/>
      <c r="C1302" s="2032"/>
      <c r="D1302" s="2033"/>
      <c r="E1302" s="2000"/>
      <c r="F1302" s="2000"/>
      <c r="G1302" s="2000"/>
      <c r="H1302" s="2000"/>
      <c r="I1302" s="1968"/>
      <c r="J1302" s="1968"/>
      <c r="K1302" s="2000"/>
      <c r="L1302" s="2000"/>
      <c r="M1302" s="1968"/>
      <c r="N1302" s="1968"/>
      <c r="O1302" s="1968"/>
      <c r="P1302" s="1968"/>
      <c r="Q1302" s="1968"/>
      <c r="R1302" s="1968"/>
      <c r="S1302" s="1968"/>
      <c r="T1302" s="1968"/>
    </row>
    <row r="1303" spans="1:20" x14ac:dyDescent="0.2">
      <c r="A1303" s="2031"/>
      <c r="B1303" s="1968"/>
      <c r="C1303" s="2032"/>
      <c r="D1303" s="2033"/>
      <c r="E1303" s="2000"/>
      <c r="F1303" s="2000"/>
      <c r="G1303" s="2000"/>
      <c r="H1303" s="2000"/>
      <c r="I1303" s="1968"/>
      <c r="J1303" s="1968"/>
      <c r="K1303" s="2000"/>
      <c r="L1303" s="2000"/>
      <c r="M1303" s="1968"/>
      <c r="N1303" s="1968"/>
      <c r="O1303" s="1968"/>
      <c r="P1303" s="1968"/>
      <c r="Q1303" s="1968"/>
      <c r="R1303" s="1968"/>
      <c r="S1303" s="1968"/>
      <c r="T1303" s="1968"/>
    </row>
    <row r="1304" spans="1:20" x14ac:dyDescent="0.2">
      <c r="A1304" s="2031"/>
      <c r="B1304" s="1968"/>
      <c r="C1304" s="2032"/>
      <c r="D1304" s="2033"/>
      <c r="E1304" s="2000"/>
      <c r="F1304" s="2000"/>
      <c r="G1304" s="2000"/>
      <c r="H1304" s="2000"/>
      <c r="I1304" s="1968"/>
      <c r="J1304" s="1968"/>
      <c r="K1304" s="2000"/>
      <c r="L1304" s="2000"/>
      <c r="M1304" s="1968"/>
      <c r="N1304" s="1968"/>
      <c r="O1304" s="1968"/>
      <c r="P1304" s="1968"/>
      <c r="Q1304" s="1968"/>
      <c r="R1304" s="1968"/>
      <c r="S1304" s="1968"/>
      <c r="T1304" s="1968"/>
    </row>
    <row r="1305" spans="1:20" x14ac:dyDescent="0.2">
      <c r="A1305" s="2031"/>
      <c r="B1305" s="1968"/>
      <c r="C1305" s="2032"/>
      <c r="D1305" s="2033"/>
      <c r="E1305" s="2000"/>
      <c r="F1305" s="2000"/>
      <c r="G1305" s="2000"/>
      <c r="H1305" s="2000"/>
      <c r="I1305" s="1968"/>
      <c r="J1305" s="1968"/>
      <c r="K1305" s="2000"/>
      <c r="L1305" s="2000"/>
      <c r="M1305" s="1968"/>
      <c r="N1305" s="1968"/>
      <c r="O1305" s="1968"/>
      <c r="P1305" s="1968"/>
      <c r="Q1305" s="1968"/>
      <c r="R1305" s="1968"/>
      <c r="S1305" s="1968"/>
      <c r="T1305" s="1968"/>
    </row>
    <row r="1306" spans="1:20" x14ac:dyDescent="0.2">
      <c r="A1306" s="2031"/>
      <c r="B1306" s="1968"/>
      <c r="C1306" s="2032"/>
      <c r="D1306" s="2033"/>
      <c r="E1306" s="2000"/>
      <c r="F1306" s="2000"/>
      <c r="G1306" s="2000"/>
      <c r="H1306" s="2000"/>
      <c r="I1306" s="1968"/>
      <c r="J1306" s="1968"/>
      <c r="K1306" s="2000"/>
      <c r="L1306" s="2000"/>
      <c r="M1306" s="1968"/>
      <c r="N1306" s="1968"/>
      <c r="O1306" s="1968"/>
      <c r="P1306" s="1968"/>
      <c r="Q1306" s="1968"/>
      <c r="R1306" s="1968"/>
      <c r="S1306" s="1968"/>
      <c r="T1306" s="1968"/>
    </row>
    <row r="1307" spans="1:20" x14ac:dyDescent="0.2">
      <c r="A1307" s="2031"/>
      <c r="B1307" s="1968"/>
      <c r="C1307" s="2032"/>
      <c r="D1307" s="2033"/>
      <c r="E1307" s="2000"/>
      <c r="F1307" s="2000"/>
      <c r="G1307" s="2000"/>
      <c r="H1307" s="2000"/>
      <c r="I1307" s="1968"/>
      <c r="J1307" s="1968"/>
      <c r="K1307" s="2000"/>
      <c r="L1307" s="2000"/>
      <c r="M1307" s="1968"/>
      <c r="N1307" s="1968"/>
      <c r="O1307" s="1968"/>
      <c r="P1307" s="1968"/>
      <c r="Q1307" s="1968"/>
      <c r="R1307" s="1968"/>
      <c r="S1307" s="1968"/>
      <c r="T1307" s="1968"/>
    </row>
    <row r="1308" spans="1:20" x14ac:dyDescent="0.2">
      <c r="A1308" s="2031"/>
      <c r="B1308" s="1968"/>
      <c r="C1308" s="2032"/>
      <c r="D1308" s="2033"/>
      <c r="E1308" s="2000"/>
      <c r="F1308" s="2000"/>
      <c r="G1308" s="2000"/>
      <c r="H1308" s="2000"/>
      <c r="I1308" s="1968"/>
      <c r="J1308" s="1968"/>
      <c r="K1308" s="2000"/>
      <c r="L1308" s="2000"/>
      <c r="M1308" s="1968"/>
      <c r="N1308" s="1968"/>
      <c r="O1308" s="1968"/>
      <c r="P1308" s="1968"/>
      <c r="Q1308" s="1968"/>
      <c r="R1308" s="1968"/>
      <c r="S1308" s="1968"/>
      <c r="T1308" s="1968"/>
    </row>
    <row r="1309" spans="1:20" x14ac:dyDescent="0.2">
      <c r="A1309" s="2031"/>
      <c r="B1309" s="1968"/>
      <c r="C1309" s="2032"/>
      <c r="D1309" s="2033"/>
      <c r="E1309" s="2000"/>
      <c r="F1309" s="2000"/>
      <c r="G1309" s="2000"/>
      <c r="H1309" s="2000"/>
      <c r="I1309" s="1968"/>
      <c r="J1309" s="1968"/>
      <c r="K1309" s="2000"/>
      <c r="L1309" s="2000"/>
      <c r="M1309" s="1968"/>
      <c r="N1309" s="1968"/>
      <c r="O1309" s="1968"/>
      <c r="P1309" s="1968"/>
      <c r="Q1309" s="1968"/>
      <c r="R1309" s="1968"/>
      <c r="S1309" s="1968"/>
      <c r="T1309" s="1968"/>
    </row>
    <row r="1310" spans="1:20" x14ac:dyDescent="0.2">
      <c r="A1310" s="2031"/>
      <c r="B1310" s="1968"/>
      <c r="C1310" s="2032"/>
      <c r="D1310" s="2033"/>
      <c r="E1310" s="2000"/>
      <c r="F1310" s="2000"/>
      <c r="G1310" s="2000"/>
      <c r="H1310" s="2000"/>
      <c r="I1310" s="1968"/>
      <c r="J1310" s="1968"/>
      <c r="K1310" s="2000"/>
      <c r="L1310" s="2000"/>
      <c r="M1310" s="1968"/>
      <c r="N1310" s="1968"/>
      <c r="O1310" s="1968"/>
      <c r="P1310" s="1968"/>
      <c r="Q1310" s="1968"/>
      <c r="R1310" s="1968"/>
      <c r="S1310" s="1968"/>
      <c r="T1310" s="1968"/>
    </row>
    <row r="1311" spans="1:20" x14ac:dyDescent="0.2">
      <c r="A1311" s="2031"/>
      <c r="B1311" s="1968"/>
      <c r="C1311" s="2032"/>
      <c r="D1311" s="2033"/>
      <c r="E1311" s="2000"/>
      <c r="F1311" s="2000"/>
      <c r="G1311" s="2000"/>
      <c r="H1311" s="2000"/>
      <c r="I1311" s="1968"/>
      <c r="J1311" s="1968"/>
      <c r="K1311" s="2000"/>
      <c r="L1311" s="2000"/>
      <c r="M1311" s="1968"/>
      <c r="N1311" s="1968"/>
      <c r="O1311" s="1968"/>
      <c r="P1311" s="1968"/>
      <c r="Q1311" s="1968"/>
      <c r="R1311" s="1968"/>
      <c r="S1311" s="1968"/>
      <c r="T1311" s="1968"/>
    </row>
    <row r="1312" spans="1:20" x14ac:dyDescent="0.2">
      <c r="A1312" s="2031"/>
      <c r="B1312" s="1968"/>
      <c r="C1312" s="2032"/>
      <c r="D1312" s="2033"/>
      <c r="E1312" s="2000"/>
      <c r="F1312" s="2000"/>
      <c r="G1312" s="2000"/>
      <c r="H1312" s="2000"/>
      <c r="I1312" s="1968"/>
      <c r="J1312" s="1968"/>
      <c r="K1312" s="2000"/>
      <c r="L1312" s="2000"/>
      <c r="M1312" s="1968"/>
      <c r="N1312" s="1968"/>
      <c r="O1312" s="1968"/>
      <c r="P1312" s="1968"/>
      <c r="Q1312" s="1968"/>
      <c r="R1312" s="1968"/>
      <c r="S1312" s="1968"/>
      <c r="T1312" s="1968"/>
    </row>
    <row r="1313" spans="1:20" x14ac:dyDescent="0.2">
      <c r="A1313" s="2031"/>
      <c r="B1313" s="1968"/>
      <c r="C1313" s="2032"/>
      <c r="D1313" s="2033"/>
      <c r="E1313" s="2000"/>
      <c r="F1313" s="2000"/>
      <c r="G1313" s="2000"/>
      <c r="H1313" s="2000"/>
      <c r="I1313" s="1968"/>
      <c r="J1313" s="1968"/>
      <c r="K1313" s="2000"/>
      <c r="L1313" s="2000"/>
      <c r="M1313" s="1968"/>
      <c r="N1313" s="1968"/>
      <c r="O1313" s="1968"/>
      <c r="P1313" s="1968"/>
      <c r="Q1313" s="1968"/>
      <c r="R1313" s="1968"/>
      <c r="S1313" s="1968"/>
      <c r="T1313" s="1968"/>
    </row>
    <row r="1314" spans="1:20" x14ac:dyDescent="0.2">
      <c r="A1314" s="2031"/>
      <c r="B1314" s="1968"/>
      <c r="C1314" s="2032"/>
      <c r="D1314" s="2033"/>
      <c r="E1314" s="2000"/>
      <c r="F1314" s="2000"/>
      <c r="G1314" s="2000"/>
      <c r="H1314" s="2000"/>
      <c r="I1314" s="1968"/>
      <c r="J1314" s="1968"/>
      <c r="K1314" s="2000"/>
      <c r="L1314" s="2000"/>
      <c r="M1314" s="1968"/>
      <c r="N1314" s="1968"/>
      <c r="O1314" s="1968"/>
      <c r="P1314" s="1968"/>
      <c r="Q1314" s="1968"/>
      <c r="R1314" s="1968"/>
      <c r="S1314" s="1968"/>
      <c r="T1314" s="1968"/>
    </row>
    <row r="1315" spans="1:20" x14ac:dyDescent="0.2">
      <c r="A1315" s="2031"/>
      <c r="B1315" s="1968"/>
      <c r="C1315" s="2032"/>
      <c r="D1315" s="2033"/>
      <c r="E1315" s="2000"/>
      <c r="F1315" s="2000"/>
      <c r="G1315" s="2000"/>
      <c r="H1315" s="2000"/>
      <c r="I1315" s="1968"/>
      <c r="J1315" s="1968"/>
      <c r="K1315" s="2000"/>
      <c r="L1315" s="2000"/>
      <c r="M1315" s="1968"/>
      <c r="N1315" s="1968"/>
      <c r="O1315" s="1968"/>
      <c r="P1315" s="1968"/>
      <c r="Q1315" s="1968"/>
      <c r="R1315" s="1968"/>
      <c r="S1315" s="1968"/>
      <c r="T1315" s="1968"/>
    </row>
    <row r="1316" spans="1:20" x14ac:dyDescent="0.2">
      <c r="A1316" s="2031"/>
      <c r="B1316" s="1968"/>
      <c r="C1316" s="2032"/>
      <c r="D1316" s="2033"/>
      <c r="E1316" s="2000"/>
      <c r="F1316" s="2000"/>
      <c r="G1316" s="2000"/>
      <c r="H1316" s="2000"/>
      <c r="I1316" s="1968"/>
      <c r="J1316" s="1968"/>
      <c r="K1316" s="2000"/>
      <c r="L1316" s="2000"/>
      <c r="M1316" s="1968"/>
      <c r="N1316" s="1968"/>
      <c r="O1316" s="1968"/>
      <c r="P1316" s="1968"/>
      <c r="Q1316" s="1968"/>
      <c r="R1316" s="1968"/>
      <c r="S1316" s="1968"/>
      <c r="T1316" s="1968"/>
    </row>
    <row r="1317" spans="1:20" x14ac:dyDescent="0.2">
      <c r="A1317" s="2031"/>
      <c r="B1317" s="1968"/>
      <c r="C1317" s="2032"/>
      <c r="D1317" s="2033"/>
      <c r="E1317" s="2000"/>
      <c r="F1317" s="2000"/>
      <c r="G1317" s="2000"/>
      <c r="H1317" s="2000"/>
      <c r="I1317" s="1968"/>
      <c r="J1317" s="1968"/>
      <c r="K1317" s="2000"/>
      <c r="L1317" s="2000"/>
      <c r="M1317" s="1968"/>
      <c r="N1317" s="1968"/>
      <c r="O1317" s="1968"/>
      <c r="P1317" s="1968"/>
      <c r="Q1317" s="1968"/>
      <c r="R1317" s="1968"/>
      <c r="S1317" s="1968"/>
      <c r="T1317" s="1968"/>
    </row>
    <row r="1318" spans="1:20" x14ac:dyDescent="0.2">
      <c r="A1318" s="2031"/>
      <c r="B1318" s="1968"/>
      <c r="C1318" s="2032"/>
      <c r="D1318" s="2033"/>
      <c r="E1318" s="2000"/>
      <c r="F1318" s="2000"/>
      <c r="G1318" s="2000"/>
      <c r="H1318" s="2000"/>
      <c r="I1318" s="1968"/>
      <c r="J1318" s="1968"/>
      <c r="K1318" s="2000"/>
      <c r="L1318" s="2000"/>
      <c r="M1318" s="1968"/>
      <c r="N1318" s="1968"/>
      <c r="O1318" s="1968"/>
      <c r="P1318" s="1968"/>
      <c r="Q1318" s="1968"/>
      <c r="R1318" s="1968"/>
      <c r="S1318" s="1968"/>
      <c r="T1318" s="1968"/>
    </row>
    <row r="1319" spans="1:20" x14ac:dyDescent="0.2">
      <c r="A1319" s="2031"/>
      <c r="B1319" s="1968"/>
      <c r="C1319" s="2032"/>
      <c r="D1319" s="2033"/>
      <c r="E1319" s="2000"/>
      <c r="F1319" s="2000"/>
      <c r="G1319" s="2000"/>
      <c r="H1319" s="2000"/>
      <c r="I1319" s="1968"/>
      <c r="J1319" s="1968"/>
      <c r="K1319" s="2000"/>
      <c r="L1319" s="2000"/>
      <c r="M1319" s="1968"/>
      <c r="N1319" s="1968"/>
      <c r="O1319" s="1968"/>
      <c r="P1319" s="1968"/>
      <c r="Q1319" s="1968"/>
      <c r="R1319" s="1968"/>
      <c r="S1319" s="1968"/>
      <c r="T1319" s="1968"/>
    </row>
    <row r="1320" spans="1:20" x14ac:dyDescent="0.2">
      <c r="A1320" s="2031"/>
      <c r="B1320" s="1968"/>
      <c r="C1320" s="2032"/>
      <c r="D1320" s="2033"/>
      <c r="E1320" s="2000"/>
      <c r="F1320" s="2000"/>
      <c r="G1320" s="2000"/>
      <c r="H1320" s="2000"/>
      <c r="I1320" s="1968"/>
      <c r="J1320" s="1968"/>
      <c r="K1320" s="2000"/>
      <c r="L1320" s="2000"/>
      <c r="M1320" s="1968"/>
      <c r="N1320" s="1968"/>
      <c r="O1320" s="1968"/>
      <c r="P1320" s="1968"/>
      <c r="Q1320" s="1968"/>
      <c r="R1320" s="1968"/>
      <c r="S1320" s="1968"/>
      <c r="T1320" s="1968"/>
    </row>
    <row r="1321" spans="1:20" x14ac:dyDescent="0.2">
      <c r="A1321" s="2031"/>
      <c r="B1321" s="1968"/>
      <c r="C1321" s="2032"/>
      <c r="D1321" s="2033"/>
      <c r="E1321" s="2000"/>
      <c r="F1321" s="2000"/>
      <c r="G1321" s="2000"/>
      <c r="H1321" s="2000"/>
      <c r="I1321" s="1968"/>
      <c r="J1321" s="1968"/>
      <c r="K1321" s="2000"/>
      <c r="L1321" s="2000"/>
      <c r="M1321" s="1968"/>
      <c r="N1321" s="1968"/>
      <c r="O1321" s="1968"/>
      <c r="P1321" s="1968"/>
      <c r="Q1321" s="1968"/>
      <c r="R1321" s="1968"/>
      <c r="S1321" s="1968"/>
      <c r="T1321" s="1968"/>
    </row>
    <row r="1322" spans="1:20" x14ac:dyDescent="0.2">
      <c r="A1322" s="2031"/>
      <c r="B1322" s="1968"/>
      <c r="C1322" s="2032"/>
      <c r="D1322" s="2033"/>
      <c r="E1322" s="2000"/>
      <c r="F1322" s="2000"/>
      <c r="G1322" s="2000"/>
      <c r="H1322" s="2000"/>
      <c r="I1322" s="1968"/>
      <c r="J1322" s="1968"/>
      <c r="K1322" s="2000"/>
      <c r="L1322" s="2000"/>
      <c r="M1322" s="1968"/>
      <c r="N1322" s="1968"/>
      <c r="O1322" s="1968"/>
      <c r="P1322" s="1968"/>
      <c r="Q1322" s="1968"/>
      <c r="R1322" s="1968"/>
      <c r="S1322" s="1968"/>
      <c r="T1322" s="1968"/>
    </row>
    <row r="1323" spans="1:20" x14ac:dyDescent="0.2">
      <c r="A1323" s="2031"/>
      <c r="B1323" s="1968"/>
      <c r="C1323" s="2032"/>
      <c r="D1323" s="2033"/>
      <c r="E1323" s="2000"/>
      <c r="F1323" s="2000"/>
      <c r="G1323" s="2000"/>
      <c r="H1323" s="2000"/>
      <c r="I1323" s="1968"/>
      <c r="J1323" s="1968"/>
      <c r="K1323" s="2000"/>
      <c r="L1323" s="2000"/>
      <c r="M1323" s="1968"/>
      <c r="N1323" s="1968"/>
      <c r="O1323" s="1968"/>
      <c r="P1323" s="1968"/>
      <c r="Q1323" s="1968"/>
      <c r="R1323" s="1968"/>
      <c r="S1323" s="1968"/>
      <c r="T1323" s="1968"/>
    </row>
    <row r="1324" spans="1:20" x14ac:dyDescent="0.2">
      <c r="A1324" s="2031"/>
      <c r="B1324" s="1968"/>
      <c r="C1324" s="2032"/>
      <c r="D1324" s="2033"/>
      <c r="E1324" s="2000"/>
      <c r="F1324" s="2000"/>
      <c r="G1324" s="2000"/>
      <c r="H1324" s="2000"/>
      <c r="I1324" s="1968"/>
      <c r="J1324" s="1968"/>
      <c r="K1324" s="2000"/>
      <c r="L1324" s="2000"/>
      <c r="M1324" s="1968"/>
      <c r="N1324" s="1968"/>
      <c r="O1324" s="1968"/>
      <c r="P1324" s="1968"/>
      <c r="Q1324" s="1968"/>
      <c r="R1324" s="1968"/>
      <c r="S1324" s="1968"/>
      <c r="T1324" s="1968"/>
    </row>
    <row r="1325" spans="1:20" x14ac:dyDescent="0.2">
      <c r="A1325" s="2031"/>
      <c r="B1325" s="1968"/>
      <c r="C1325" s="2032"/>
      <c r="D1325" s="2033"/>
      <c r="E1325" s="2000"/>
      <c r="F1325" s="2000"/>
      <c r="G1325" s="2000"/>
      <c r="H1325" s="2000"/>
      <c r="I1325" s="1968"/>
      <c r="J1325" s="1968"/>
      <c r="K1325" s="2000"/>
      <c r="L1325" s="2000"/>
      <c r="M1325" s="1968"/>
      <c r="N1325" s="1968"/>
      <c r="O1325" s="1968"/>
      <c r="P1325" s="1968"/>
      <c r="Q1325" s="1968"/>
      <c r="R1325" s="1968"/>
      <c r="S1325" s="1968"/>
      <c r="T1325" s="1968"/>
    </row>
    <row r="1326" spans="1:20" x14ac:dyDescent="0.2">
      <c r="A1326" s="2031"/>
      <c r="B1326" s="1968"/>
      <c r="C1326" s="2032"/>
      <c r="D1326" s="2033"/>
      <c r="E1326" s="2000"/>
      <c r="F1326" s="2000"/>
      <c r="G1326" s="2000"/>
      <c r="H1326" s="2000"/>
      <c r="I1326" s="1968"/>
      <c r="J1326" s="1968"/>
      <c r="K1326" s="2000"/>
      <c r="L1326" s="2000"/>
      <c r="M1326" s="1968"/>
      <c r="N1326" s="1968"/>
      <c r="O1326" s="1968"/>
      <c r="P1326" s="1968"/>
      <c r="Q1326" s="1968"/>
      <c r="R1326" s="1968"/>
      <c r="S1326" s="1968"/>
      <c r="T1326" s="1968"/>
    </row>
    <row r="1327" spans="1:20" x14ac:dyDescent="0.2">
      <c r="A1327" s="2031"/>
      <c r="B1327" s="1968"/>
      <c r="C1327" s="2032"/>
      <c r="D1327" s="2033"/>
      <c r="E1327" s="2000"/>
      <c r="F1327" s="2000"/>
      <c r="G1327" s="2000"/>
      <c r="H1327" s="2000"/>
      <c r="I1327" s="1968"/>
      <c r="J1327" s="1968"/>
      <c r="K1327" s="2000"/>
      <c r="L1327" s="2000"/>
      <c r="M1327" s="1968"/>
      <c r="N1327" s="1968"/>
      <c r="O1327" s="1968"/>
      <c r="P1327" s="1968"/>
      <c r="Q1327" s="1968"/>
      <c r="R1327" s="1968"/>
      <c r="S1327" s="1968"/>
      <c r="T1327" s="1968"/>
    </row>
    <row r="1328" spans="1:20" x14ac:dyDescent="0.2">
      <c r="A1328" s="2031"/>
      <c r="B1328" s="1968"/>
      <c r="C1328" s="2032"/>
      <c r="D1328" s="2033"/>
      <c r="E1328" s="2000"/>
      <c r="F1328" s="2000"/>
      <c r="G1328" s="2000"/>
      <c r="H1328" s="2000"/>
      <c r="I1328" s="1968"/>
      <c r="J1328" s="1968"/>
      <c r="K1328" s="2000"/>
      <c r="L1328" s="2000"/>
      <c r="M1328" s="1968"/>
      <c r="N1328" s="1968"/>
      <c r="O1328" s="1968"/>
      <c r="P1328" s="1968"/>
      <c r="Q1328" s="1968"/>
      <c r="R1328" s="1968"/>
      <c r="S1328" s="1968"/>
      <c r="T1328" s="1968"/>
    </row>
    <row r="1329" spans="1:20" x14ac:dyDescent="0.2">
      <c r="A1329" s="2031"/>
      <c r="B1329" s="1968"/>
      <c r="C1329" s="2032"/>
      <c r="D1329" s="2033"/>
      <c r="E1329" s="2000"/>
      <c r="F1329" s="2000"/>
      <c r="G1329" s="2000"/>
      <c r="H1329" s="2000"/>
      <c r="I1329" s="1968"/>
      <c r="J1329" s="1968"/>
      <c r="K1329" s="2000"/>
      <c r="L1329" s="2000"/>
      <c r="M1329" s="1968"/>
      <c r="N1329" s="1968"/>
      <c r="O1329" s="1968"/>
      <c r="P1329" s="1968"/>
      <c r="Q1329" s="1968"/>
      <c r="R1329" s="1968"/>
      <c r="S1329" s="1968"/>
      <c r="T1329" s="1968"/>
    </row>
    <row r="1330" spans="1:20" x14ac:dyDescent="0.2">
      <c r="A1330" s="2031"/>
      <c r="B1330" s="1968"/>
      <c r="C1330" s="2032"/>
      <c r="D1330" s="2033"/>
      <c r="E1330" s="2000"/>
      <c r="F1330" s="2000"/>
      <c r="G1330" s="2000"/>
      <c r="H1330" s="2000"/>
      <c r="I1330" s="1968"/>
      <c r="J1330" s="1968"/>
      <c r="K1330" s="2000"/>
      <c r="L1330" s="2000"/>
      <c r="M1330" s="1968"/>
      <c r="N1330" s="1968"/>
      <c r="O1330" s="1968"/>
      <c r="P1330" s="1968"/>
      <c r="Q1330" s="1968"/>
      <c r="R1330" s="1968"/>
      <c r="S1330" s="1968"/>
      <c r="T1330" s="1968"/>
    </row>
    <row r="1331" spans="1:20" x14ac:dyDescent="0.2">
      <c r="A1331" s="2031"/>
      <c r="B1331" s="1968"/>
      <c r="C1331" s="2032"/>
      <c r="D1331" s="2033"/>
      <c r="E1331" s="2000"/>
      <c r="F1331" s="2000"/>
      <c r="G1331" s="2000"/>
      <c r="H1331" s="2000"/>
      <c r="I1331" s="1968"/>
      <c r="J1331" s="1968"/>
      <c r="K1331" s="2000"/>
      <c r="L1331" s="2000"/>
      <c r="M1331" s="1968"/>
      <c r="N1331" s="1968"/>
      <c r="O1331" s="1968"/>
      <c r="P1331" s="1968"/>
      <c r="Q1331" s="1968"/>
      <c r="R1331" s="1968"/>
      <c r="S1331" s="1968"/>
      <c r="T1331" s="1968"/>
    </row>
    <row r="1332" spans="1:20" x14ac:dyDescent="0.2">
      <c r="A1332" s="2031"/>
      <c r="B1332" s="1968"/>
      <c r="C1332" s="2032"/>
      <c r="D1332" s="2033"/>
      <c r="E1332" s="2000"/>
      <c r="F1332" s="2000"/>
      <c r="G1332" s="2000"/>
      <c r="H1332" s="2000"/>
      <c r="I1332" s="1968"/>
      <c r="J1332" s="1968"/>
      <c r="K1332" s="2000"/>
      <c r="L1332" s="2000"/>
      <c r="M1332" s="1968"/>
      <c r="N1332" s="1968"/>
      <c r="O1332" s="1968"/>
      <c r="P1332" s="1968"/>
      <c r="Q1332" s="1968"/>
      <c r="R1332" s="1968"/>
      <c r="S1332" s="1968"/>
      <c r="T1332" s="1968"/>
    </row>
    <row r="1333" spans="1:20" x14ac:dyDescent="0.2">
      <c r="A1333" s="2031"/>
      <c r="B1333" s="1968"/>
      <c r="C1333" s="2032"/>
      <c r="D1333" s="2033"/>
      <c r="E1333" s="2000"/>
      <c r="F1333" s="2000"/>
      <c r="G1333" s="2000"/>
      <c r="H1333" s="2000"/>
      <c r="I1333" s="1968"/>
      <c r="J1333" s="1968"/>
      <c r="K1333" s="2000"/>
      <c r="L1333" s="2000"/>
      <c r="M1333" s="1968"/>
      <c r="N1333" s="1968"/>
      <c r="O1333" s="1968"/>
      <c r="P1333" s="1968"/>
      <c r="Q1333" s="1968"/>
      <c r="R1333" s="1968"/>
      <c r="S1333" s="1968"/>
      <c r="T1333" s="1968"/>
    </row>
    <row r="1334" spans="1:20" x14ac:dyDescent="0.2">
      <c r="A1334" s="2031"/>
      <c r="B1334" s="1968"/>
      <c r="C1334" s="2032"/>
      <c r="D1334" s="2033"/>
      <c r="E1334" s="2000"/>
      <c r="F1334" s="2000"/>
      <c r="G1334" s="2000"/>
      <c r="H1334" s="2000"/>
      <c r="I1334" s="1968"/>
      <c r="J1334" s="1968"/>
      <c r="K1334" s="2000"/>
      <c r="L1334" s="2000"/>
      <c r="M1334" s="1968"/>
      <c r="N1334" s="1968"/>
      <c r="O1334" s="1968"/>
      <c r="P1334" s="1968"/>
      <c r="Q1334" s="1968"/>
      <c r="R1334" s="1968"/>
      <c r="S1334" s="1968"/>
      <c r="T1334" s="1968"/>
    </row>
    <row r="1335" spans="1:20" x14ac:dyDescent="0.2">
      <c r="A1335" s="2031"/>
      <c r="B1335" s="1968"/>
      <c r="C1335" s="2032"/>
      <c r="D1335" s="2033"/>
      <c r="E1335" s="2000"/>
      <c r="F1335" s="2000"/>
      <c r="G1335" s="2000"/>
      <c r="H1335" s="2000"/>
      <c r="I1335" s="1968"/>
      <c r="J1335" s="1968"/>
      <c r="K1335" s="2000"/>
      <c r="L1335" s="2000"/>
      <c r="M1335" s="1968"/>
      <c r="N1335" s="1968"/>
      <c r="O1335" s="1968"/>
      <c r="P1335" s="1968"/>
      <c r="Q1335" s="1968"/>
      <c r="R1335" s="1968"/>
      <c r="S1335" s="1968"/>
      <c r="T1335" s="1968"/>
    </row>
    <row r="1336" spans="1:20" x14ac:dyDescent="0.2">
      <c r="A1336" s="2031"/>
      <c r="B1336" s="1968"/>
      <c r="C1336" s="2032"/>
      <c r="D1336" s="2033"/>
      <c r="E1336" s="2000"/>
      <c r="F1336" s="2000"/>
      <c r="G1336" s="2000"/>
      <c r="H1336" s="2000"/>
      <c r="I1336" s="1968"/>
      <c r="J1336" s="1968"/>
      <c r="K1336" s="2000"/>
      <c r="L1336" s="2000"/>
      <c r="M1336" s="1968"/>
      <c r="N1336" s="1968"/>
      <c r="O1336" s="1968"/>
      <c r="P1336" s="1968"/>
      <c r="Q1336" s="1968"/>
      <c r="R1336" s="1968"/>
      <c r="S1336" s="1968"/>
      <c r="T1336" s="1968"/>
    </row>
    <row r="1337" spans="1:20" x14ac:dyDescent="0.2">
      <c r="A1337" s="2031"/>
      <c r="B1337" s="1968"/>
      <c r="C1337" s="2032"/>
      <c r="D1337" s="2033"/>
      <c r="E1337" s="2000"/>
      <c r="F1337" s="2000"/>
      <c r="G1337" s="2000"/>
      <c r="H1337" s="2000"/>
      <c r="I1337" s="1968"/>
      <c r="J1337" s="1968"/>
      <c r="K1337" s="2000"/>
      <c r="L1337" s="2000"/>
      <c r="M1337" s="1968"/>
      <c r="N1337" s="1968"/>
      <c r="O1337" s="1968"/>
      <c r="P1337" s="1968"/>
      <c r="Q1337" s="1968"/>
      <c r="R1337" s="1968"/>
      <c r="S1337" s="1968"/>
      <c r="T1337" s="1968"/>
    </row>
    <row r="1338" spans="1:20" x14ac:dyDescent="0.2">
      <c r="A1338" s="2031"/>
      <c r="B1338" s="1968"/>
      <c r="C1338" s="2032"/>
      <c r="D1338" s="2033"/>
      <c r="E1338" s="2000"/>
      <c r="F1338" s="2000"/>
      <c r="G1338" s="2000"/>
      <c r="H1338" s="2000"/>
      <c r="I1338" s="1968"/>
      <c r="J1338" s="1968"/>
      <c r="K1338" s="2000"/>
      <c r="L1338" s="2000"/>
      <c r="M1338" s="1968"/>
      <c r="N1338" s="1968"/>
      <c r="O1338" s="1968"/>
      <c r="P1338" s="1968"/>
      <c r="Q1338" s="1968"/>
      <c r="R1338" s="1968"/>
      <c r="S1338" s="1968"/>
      <c r="T1338" s="1968"/>
    </row>
    <row r="1339" spans="1:20" x14ac:dyDescent="0.2">
      <c r="A1339" s="2031"/>
      <c r="B1339" s="1968"/>
      <c r="C1339" s="2032"/>
      <c r="D1339" s="2033"/>
      <c r="E1339" s="2000"/>
      <c r="F1339" s="2000"/>
      <c r="G1339" s="2000"/>
      <c r="H1339" s="2000"/>
      <c r="I1339" s="1968"/>
      <c r="J1339" s="1968"/>
      <c r="K1339" s="2000"/>
      <c r="L1339" s="2000"/>
      <c r="M1339" s="1968"/>
      <c r="N1339" s="1968"/>
      <c r="O1339" s="1968"/>
      <c r="P1339" s="1968"/>
      <c r="Q1339" s="1968"/>
      <c r="R1339" s="1968"/>
      <c r="S1339" s="1968"/>
      <c r="T1339" s="1968"/>
    </row>
    <row r="1340" spans="1:20" x14ac:dyDescent="0.2">
      <c r="A1340" s="2031"/>
      <c r="B1340" s="1968"/>
      <c r="C1340" s="2032"/>
      <c r="D1340" s="2033"/>
      <c r="E1340" s="2000"/>
      <c r="F1340" s="2000"/>
      <c r="G1340" s="2000"/>
      <c r="H1340" s="2000"/>
      <c r="I1340" s="1968"/>
      <c r="J1340" s="1968"/>
      <c r="K1340" s="2000"/>
      <c r="L1340" s="2000"/>
      <c r="M1340" s="1968"/>
      <c r="N1340" s="1968"/>
      <c r="O1340" s="1968"/>
      <c r="P1340" s="1968"/>
      <c r="Q1340" s="1968"/>
      <c r="R1340" s="1968"/>
      <c r="S1340" s="1968"/>
      <c r="T1340" s="1968"/>
    </row>
    <row r="1341" spans="1:20" x14ac:dyDescent="0.2">
      <c r="A1341" s="2031"/>
      <c r="B1341" s="1968"/>
      <c r="C1341" s="2032"/>
      <c r="D1341" s="2033"/>
      <c r="E1341" s="2000"/>
      <c r="F1341" s="2000"/>
      <c r="G1341" s="2000"/>
      <c r="H1341" s="2000"/>
      <c r="I1341" s="1968"/>
      <c r="J1341" s="1968"/>
      <c r="K1341" s="2000"/>
      <c r="L1341" s="2000"/>
      <c r="M1341" s="1968"/>
      <c r="N1341" s="1968"/>
      <c r="O1341" s="1968"/>
      <c r="P1341" s="1968"/>
      <c r="Q1341" s="1968"/>
      <c r="R1341" s="1968"/>
      <c r="S1341" s="1968"/>
      <c r="T1341" s="1968"/>
    </row>
    <row r="1342" spans="1:20" x14ac:dyDescent="0.2">
      <c r="A1342" s="2031"/>
      <c r="B1342" s="1968"/>
      <c r="C1342" s="2032"/>
      <c r="D1342" s="2033"/>
      <c r="E1342" s="2000"/>
      <c r="F1342" s="2000"/>
      <c r="G1342" s="2000"/>
      <c r="H1342" s="2000"/>
      <c r="I1342" s="1968"/>
      <c r="J1342" s="1968"/>
      <c r="K1342" s="2000"/>
      <c r="L1342" s="2000"/>
      <c r="M1342" s="1968"/>
      <c r="N1342" s="1968"/>
      <c r="O1342" s="1968"/>
      <c r="P1342" s="1968"/>
      <c r="Q1342" s="1968"/>
      <c r="R1342" s="1968"/>
      <c r="S1342" s="1968"/>
      <c r="T1342" s="1968"/>
    </row>
    <row r="1343" spans="1:20" x14ac:dyDescent="0.2">
      <c r="A1343" s="2031"/>
      <c r="B1343" s="1968"/>
      <c r="C1343" s="2032"/>
      <c r="D1343" s="2033"/>
      <c r="E1343" s="2000"/>
      <c r="F1343" s="2000"/>
      <c r="G1343" s="2000"/>
      <c r="H1343" s="2000"/>
      <c r="I1343" s="1968"/>
      <c r="J1343" s="1968"/>
      <c r="K1343" s="2000"/>
      <c r="L1343" s="2000"/>
      <c r="M1343" s="1968"/>
      <c r="N1343" s="1968"/>
      <c r="O1343" s="1968"/>
      <c r="P1343" s="1968"/>
      <c r="Q1343" s="1968"/>
      <c r="R1343" s="1968"/>
      <c r="S1343" s="1968"/>
      <c r="T1343" s="1968"/>
    </row>
    <row r="1344" spans="1:20" x14ac:dyDescent="0.2">
      <c r="A1344" s="2031"/>
      <c r="B1344" s="1968"/>
      <c r="C1344" s="2032"/>
      <c r="D1344" s="2033"/>
      <c r="E1344" s="2000"/>
      <c r="F1344" s="2000"/>
      <c r="G1344" s="2000"/>
      <c r="H1344" s="2000"/>
      <c r="I1344" s="1968"/>
      <c r="J1344" s="1968"/>
      <c r="K1344" s="2000"/>
      <c r="L1344" s="2000"/>
      <c r="M1344" s="1968"/>
      <c r="N1344" s="1968"/>
      <c r="O1344" s="1968"/>
      <c r="P1344" s="1968"/>
      <c r="Q1344" s="1968"/>
      <c r="R1344" s="1968"/>
      <c r="S1344" s="1968"/>
      <c r="T1344" s="1968"/>
    </row>
    <row r="1345" spans="1:20" x14ac:dyDescent="0.2">
      <c r="A1345" s="2031"/>
      <c r="B1345" s="1968"/>
      <c r="C1345" s="2032"/>
      <c r="D1345" s="2033"/>
      <c r="E1345" s="2000"/>
      <c r="F1345" s="2000"/>
      <c r="G1345" s="2000"/>
      <c r="H1345" s="2000"/>
      <c r="I1345" s="1968"/>
      <c r="J1345" s="1968"/>
      <c r="K1345" s="2000"/>
      <c r="L1345" s="2000"/>
      <c r="M1345" s="1968"/>
      <c r="N1345" s="1968"/>
      <c r="O1345" s="1968"/>
      <c r="P1345" s="1968"/>
      <c r="Q1345" s="1968"/>
      <c r="R1345" s="1968"/>
      <c r="S1345" s="1968"/>
      <c r="T1345" s="1968"/>
    </row>
    <row r="1346" spans="1:20" x14ac:dyDescent="0.2">
      <c r="A1346" s="2031"/>
      <c r="B1346" s="1968"/>
      <c r="C1346" s="2032"/>
      <c r="D1346" s="2033"/>
      <c r="E1346" s="2000"/>
      <c r="F1346" s="2000"/>
      <c r="G1346" s="2000"/>
      <c r="H1346" s="2000"/>
      <c r="I1346" s="1968"/>
      <c r="J1346" s="1968"/>
      <c r="K1346" s="2000"/>
      <c r="L1346" s="2000"/>
      <c r="M1346" s="1968"/>
      <c r="N1346" s="1968"/>
      <c r="O1346" s="1968"/>
      <c r="P1346" s="1968"/>
      <c r="Q1346" s="1968"/>
      <c r="R1346" s="1968"/>
      <c r="S1346" s="1968"/>
      <c r="T1346" s="1968"/>
    </row>
    <row r="1347" spans="1:20" x14ac:dyDescent="0.2">
      <c r="A1347" s="2031"/>
      <c r="B1347" s="1968"/>
      <c r="C1347" s="2032"/>
      <c r="D1347" s="2033"/>
      <c r="E1347" s="2000"/>
      <c r="F1347" s="2000"/>
      <c r="G1347" s="2000"/>
      <c r="H1347" s="2000"/>
      <c r="I1347" s="1968"/>
      <c r="J1347" s="1968"/>
      <c r="K1347" s="2000"/>
      <c r="L1347" s="2000"/>
      <c r="M1347" s="1968"/>
      <c r="N1347" s="1968"/>
      <c r="O1347" s="1968"/>
      <c r="P1347" s="1968"/>
      <c r="Q1347" s="1968"/>
      <c r="R1347" s="1968"/>
      <c r="S1347" s="1968"/>
      <c r="T1347" s="1968"/>
    </row>
    <row r="1348" spans="1:20" x14ac:dyDescent="0.2">
      <c r="A1348" s="2031"/>
      <c r="B1348" s="1968"/>
      <c r="C1348" s="2032"/>
      <c r="D1348" s="2033"/>
      <c r="E1348" s="2000"/>
      <c r="F1348" s="2000"/>
      <c r="G1348" s="2000"/>
      <c r="H1348" s="2000"/>
      <c r="I1348" s="1968"/>
      <c r="J1348" s="1968"/>
      <c r="K1348" s="2000"/>
      <c r="L1348" s="2000"/>
      <c r="M1348" s="1968"/>
      <c r="N1348" s="1968"/>
      <c r="O1348" s="1968"/>
      <c r="P1348" s="1968"/>
      <c r="Q1348" s="1968"/>
      <c r="R1348" s="1968"/>
      <c r="S1348" s="1968"/>
      <c r="T1348" s="1968"/>
    </row>
    <row r="1349" spans="1:20" x14ac:dyDescent="0.2">
      <c r="A1349" s="2031"/>
      <c r="B1349" s="1968"/>
      <c r="C1349" s="2032"/>
      <c r="D1349" s="2033"/>
      <c r="E1349" s="2000"/>
      <c r="F1349" s="2000"/>
      <c r="G1349" s="2000"/>
      <c r="H1349" s="2000"/>
      <c r="I1349" s="1968"/>
      <c r="J1349" s="1968"/>
      <c r="K1349" s="2000"/>
      <c r="L1349" s="2000"/>
      <c r="M1349" s="1968"/>
      <c r="N1349" s="1968"/>
      <c r="O1349" s="1968"/>
      <c r="P1349" s="1968"/>
      <c r="Q1349" s="1968"/>
      <c r="R1349" s="1968"/>
      <c r="S1349" s="1968"/>
      <c r="T1349" s="1968"/>
    </row>
    <row r="1350" spans="1:20" x14ac:dyDescent="0.2">
      <c r="A1350" s="2031"/>
      <c r="B1350" s="1968"/>
      <c r="C1350" s="2032"/>
      <c r="D1350" s="2033"/>
      <c r="E1350" s="2000"/>
      <c r="F1350" s="2000"/>
      <c r="G1350" s="2000"/>
      <c r="H1350" s="2000"/>
      <c r="I1350" s="1968"/>
      <c r="J1350" s="1968"/>
      <c r="K1350" s="2000"/>
      <c r="L1350" s="2000"/>
      <c r="M1350" s="1968"/>
      <c r="N1350" s="1968"/>
      <c r="O1350" s="1968"/>
      <c r="P1350" s="1968"/>
      <c r="Q1350" s="1968"/>
      <c r="R1350" s="1968"/>
      <c r="S1350" s="1968"/>
      <c r="T1350" s="1968"/>
    </row>
    <row r="1351" spans="1:20" x14ac:dyDescent="0.2">
      <c r="A1351" s="2031"/>
      <c r="B1351" s="1968"/>
      <c r="C1351" s="2032"/>
      <c r="D1351" s="2033"/>
      <c r="E1351" s="2000"/>
      <c r="F1351" s="2000"/>
      <c r="G1351" s="2000"/>
      <c r="H1351" s="2000"/>
      <c r="I1351" s="1968"/>
      <c r="J1351" s="1968"/>
      <c r="K1351" s="2000"/>
      <c r="L1351" s="2000"/>
      <c r="M1351" s="1968"/>
      <c r="N1351" s="1968"/>
      <c r="O1351" s="1968"/>
      <c r="P1351" s="1968"/>
      <c r="Q1351" s="1968"/>
      <c r="R1351" s="1968"/>
      <c r="S1351" s="1968"/>
      <c r="T1351" s="1968"/>
    </row>
    <row r="1352" spans="1:20" x14ac:dyDescent="0.2">
      <c r="A1352" s="2031"/>
      <c r="B1352" s="1968"/>
      <c r="C1352" s="2032"/>
      <c r="D1352" s="2033"/>
      <c r="E1352" s="2000"/>
      <c r="F1352" s="2000"/>
      <c r="G1352" s="2000"/>
      <c r="H1352" s="2000"/>
      <c r="I1352" s="1968"/>
      <c r="J1352" s="1968"/>
      <c r="K1352" s="2000"/>
      <c r="L1352" s="2000"/>
      <c r="M1352" s="1968"/>
      <c r="N1352" s="1968"/>
      <c r="O1352" s="1968"/>
      <c r="P1352" s="1968"/>
      <c r="Q1352" s="1968"/>
      <c r="R1352" s="1968"/>
      <c r="S1352" s="1968"/>
      <c r="T1352" s="1968"/>
    </row>
    <row r="1353" spans="1:20" x14ac:dyDescent="0.2">
      <c r="A1353" s="2031"/>
      <c r="B1353" s="1968"/>
      <c r="C1353" s="2032"/>
      <c r="D1353" s="2033"/>
      <c r="E1353" s="2000"/>
      <c r="F1353" s="2000"/>
      <c r="G1353" s="2000"/>
      <c r="H1353" s="2000"/>
      <c r="I1353" s="1968"/>
      <c r="J1353" s="1968"/>
      <c r="K1353" s="2000"/>
      <c r="L1353" s="2000"/>
      <c r="M1353" s="1968"/>
      <c r="N1353" s="1968"/>
      <c r="O1353" s="1968"/>
      <c r="P1353" s="1968"/>
      <c r="Q1353" s="1968"/>
      <c r="R1353" s="1968"/>
      <c r="S1353" s="1968"/>
      <c r="T1353" s="1968"/>
    </row>
    <row r="1354" spans="1:20" x14ac:dyDescent="0.2">
      <c r="A1354" s="2031"/>
      <c r="B1354" s="1968"/>
      <c r="C1354" s="2032"/>
      <c r="D1354" s="2033"/>
      <c r="E1354" s="2000"/>
      <c r="F1354" s="2000"/>
      <c r="G1354" s="2000"/>
      <c r="H1354" s="2000"/>
      <c r="I1354" s="1968"/>
      <c r="J1354" s="1968"/>
      <c r="K1354" s="2000"/>
      <c r="L1354" s="2000"/>
      <c r="M1354" s="1968"/>
      <c r="N1354" s="1968"/>
      <c r="O1354" s="1968"/>
      <c r="P1354" s="1968"/>
      <c r="Q1354" s="1968"/>
      <c r="R1354" s="1968"/>
      <c r="S1354" s="1968"/>
      <c r="T1354" s="1968"/>
    </row>
    <row r="1355" spans="1:20" x14ac:dyDescent="0.2">
      <c r="A1355" s="2031"/>
      <c r="B1355" s="1968"/>
      <c r="C1355" s="2032"/>
      <c r="D1355" s="2033"/>
      <c r="E1355" s="2000"/>
      <c r="F1355" s="2000"/>
      <c r="G1355" s="2000"/>
      <c r="H1355" s="2000"/>
      <c r="I1355" s="1968"/>
      <c r="J1355" s="1968"/>
      <c r="K1355" s="2000"/>
      <c r="L1355" s="2000"/>
      <c r="M1355" s="1968"/>
      <c r="N1355" s="1968"/>
      <c r="O1355" s="1968"/>
      <c r="P1355" s="1968"/>
      <c r="Q1355" s="1968"/>
      <c r="R1355" s="1968"/>
      <c r="S1355" s="1968"/>
      <c r="T1355" s="1968"/>
    </row>
    <row r="1356" spans="1:20" x14ac:dyDescent="0.2">
      <c r="A1356" s="2031"/>
      <c r="B1356" s="1968"/>
      <c r="C1356" s="2032"/>
      <c r="D1356" s="2033"/>
      <c r="E1356" s="2000"/>
      <c r="F1356" s="2000"/>
      <c r="G1356" s="2000"/>
      <c r="H1356" s="2000"/>
      <c r="I1356" s="1968"/>
      <c r="J1356" s="1968"/>
      <c r="K1356" s="2000"/>
      <c r="L1356" s="2000"/>
      <c r="M1356" s="1968"/>
      <c r="N1356" s="1968"/>
      <c r="O1356" s="1968"/>
      <c r="P1356" s="1968"/>
      <c r="Q1356" s="1968"/>
      <c r="R1356" s="1968"/>
      <c r="S1356" s="1968"/>
      <c r="T1356" s="1968"/>
    </row>
    <row r="1357" spans="1:20" x14ac:dyDescent="0.2">
      <c r="A1357" s="2031"/>
      <c r="B1357" s="1968"/>
      <c r="C1357" s="2032"/>
      <c r="D1357" s="2033"/>
      <c r="E1357" s="2000"/>
      <c r="F1357" s="2000"/>
      <c r="G1357" s="2000"/>
      <c r="H1357" s="2000"/>
      <c r="I1357" s="1968"/>
      <c r="J1357" s="1968"/>
      <c r="K1357" s="2000"/>
      <c r="L1357" s="2000"/>
      <c r="M1357" s="1968"/>
      <c r="N1357" s="1968"/>
      <c r="O1357" s="1968"/>
      <c r="P1357" s="1968"/>
      <c r="Q1357" s="1968"/>
      <c r="R1357" s="1968"/>
      <c r="S1357" s="1968"/>
      <c r="T1357" s="1968"/>
    </row>
    <row r="1358" spans="1:20" x14ac:dyDescent="0.2">
      <c r="A1358" s="2031"/>
      <c r="B1358" s="1968"/>
      <c r="C1358" s="2032"/>
      <c r="D1358" s="2033"/>
      <c r="E1358" s="2000"/>
      <c r="F1358" s="2000"/>
      <c r="G1358" s="2000"/>
      <c r="H1358" s="2000"/>
      <c r="I1358" s="1968"/>
      <c r="J1358" s="1968"/>
      <c r="K1358" s="2000"/>
      <c r="L1358" s="2000"/>
      <c r="M1358" s="1968"/>
      <c r="N1358" s="1968"/>
      <c r="O1358" s="1968"/>
      <c r="P1358" s="1968"/>
      <c r="Q1358" s="1968"/>
      <c r="R1358" s="1968"/>
      <c r="S1358" s="1968"/>
      <c r="T1358" s="1968"/>
    </row>
    <row r="1359" spans="1:20" x14ac:dyDescent="0.2">
      <c r="A1359" s="2031"/>
      <c r="B1359" s="1968"/>
      <c r="C1359" s="2032"/>
      <c r="D1359" s="2033"/>
      <c r="E1359" s="2000"/>
      <c r="F1359" s="2000"/>
      <c r="G1359" s="2000"/>
      <c r="H1359" s="2000"/>
      <c r="I1359" s="1968"/>
      <c r="J1359" s="1968"/>
      <c r="K1359" s="2000"/>
      <c r="L1359" s="2000"/>
      <c r="M1359" s="1968"/>
      <c r="N1359" s="1968"/>
      <c r="O1359" s="1968"/>
      <c r="P1359" s="1968"/>
      <c r="Q1359" s="1968"/>
      <c r="R1359" s="1968"/>
      <c r="S1359" s="1968"/>
      <c r="T1359" s="1968"/>
    </row>
    <row r="1360" spans="1:20" x14ac:dyDescent="0.2">
      <c r="A1360" s="2031"/>
      <c r="B1360" s="1968"/>
      <c r="C1360" s="2032"/>
      <c r="D1360" s="2033"/>
      <c r="E1360" s="2000"/>
      <c r="F1360" s="2000"/>
      <c r="G1360" s="2000"/>
      <c r="H1360" s="2000"/>
      <c r="I1360" s="1968"/>
      <c r="J1360" s="1968"/>
      <c r="K1360" s="2000"/>
      <c r="L1360" s="2000"/>
      <c r="M1360" s="1968"/>
      <c r="N1360" s="1968"/>
      <c r="O1360" s="1968"/>
      <c r="P1360" s="1968"/>
      <c r="Q1360" s="1968"/>
      <c r="R1360" s="1968"/>
      <c r="S1360" s="1968"/>
      <c r="T1360" s="1968"/>
    </row>
    <row r="1361" spans="1:20" x14ac:dyDescent="0.2">
      <c r="A1361" s="2031"/>
      <c r="B1361" s="1968"/>
      <c r="C1361" s="2032"/>
      <c r="D1361" s="2033"/>
      <c r="E1361" s="2000"/>
      <c r="F1361" s="2000"/>
      <c r="G1361" s="2000"/>
      <c r="H1361" s="2000"/>
      <c r="I1361" s="1968"/>
      <c r="J1361" s="1968"/>
      <c r="K1361" s="2000"/>
      <c r="L1361" s="2000"/>
      <c r="M1361" s="1968"/>
      <c r="N1361" s="1968"/>
      <c r="O1361" s="1968"/>
      <c r="P1361" s="1968"/>
      <c r="Q1361" s="1968"/>
      <c r="R1361" s="1968"/>
      <c r="S1361" s="1968"/>
      <c r="T1361" s="1968"/>
    </row>
    <row r="1362" spans="1:20" x14ac:dyDescent="0.2">
      <c r="A1362" s="2031"/>
      <c r="B1362" s="1968"/>
      <c r="C1362" s="2032"/>
      <c r="D1362" s="2033"/>
      <c r="E1362" s="2000"/>
      <c r="F1362" s="2000"/>
      <c r="G1362" s="2000"/>
      <c r="H1362" s="2000"/>
      <c r="I1362" s="1968"/>
      <c r="J1362" s="1968"/>
      <c r="K1362" s="2000"/>
      <c r="L1362" s="2000"/>
      <c r="M1362" s="1968"/>
      <c r="N1362" s="1968"/>
      <c r="O1362" s="1968"/>
      <c r="P1362" s="1968"/>
      <c r="Q1362" s="1968"/>
      <c r="R1362" s="1968"/>
      <c r="S1362" s="1968"/>
      <c r="T1362" s="1968"/>
    </row>
    <row r="1363" spans="1:20" x14ac:dyDescent="0.2">
      <c r="A1363" s="2031"/>
      <c r="B1363" s="1968"/>
      <c r="C1363" s="2032"/>
      <c r="D1363" s="2033"/>
      <c r="E1363" s="2000"/>
      <c r="F1363" s="2000"/>
      <c r="G1363" s="2000"/>
      <c r="H1363" s="2000"/>
      <c r="I1363" s="1968"/>
      <c r="J1363" s="1968"/>
      <c r="K1363" s="2000"/>
      <c r="L1363" s="2000"/>
      <c r="M1363" s="1968"/>
      <c r="N1363" s="1968"/>
      <c r="O1363" s="1968"/>
      <c r="P1363" s="1968"/>
      <c r="Q1363" s="1968"/>
      <c r="R1363" s="1968"/>
      <c r="S1363" s="1968"/>
      <c r="T1363" s="1968"/>
    </row>
    <row r="1364" spans="1:20" x14ac:dyDescent="0.2">
      <c r="A1364" s="2031"/>
      <c r="B1364" s="1968"/>
      <c r="C1364" s="2032"/>
      <c r="D1364" s="2033"/>
      <c r="E1364" s="2000"/>
      <c r="F1364" s="2000"/>
      <c r="G1364" s="2000"/>
      <c r="H1364" s="2000"/>
      <c r="I1364" s="1968"/>
      <c r="J1364" s="1968"/>
      <c r="K1364" s="2000"/>
      <c r="L1364" s="2000"/>
      <c r="M1364" s="1968"/>
      <c r="N1364" s="1968"/>
      <c r="O1364" s="1968"/>
      <c r="P1364" s="1968"/>
      <c r="Q1364" s="1968"/>
      <c r="R1364" s="1968"/>
      <c r="S1364" s="1968"/>
      <c r="T1364" s="1968"/>
    </row>
    <row r="1365" spans="1:20" x14ac:dyDescent="0.2">
      <c r="A1365" s="2031"/>
      <c r="B1365" s="1968"/>
      <c r="C1365" s="2032"/>
      <c r="D1365" s="2033"/>
      <c r="E1365" s="2000"/>
      <c r="F1365" s="2000"/>
      <c r="G1365" s="2000"/>
      <c r="H1365" s="2000"/>
      <c r="I1365" s="1968"/>
      <c r="J1365" s="1968"/>
      <c r="K1365" s="2000"/>
      <c r="L1365" s="2000"/>
      <c r="M1365" s="1968"/>
      <c r="N1365" s="1968"/>
      <c r="O1365" s="1968"/>
      <c r="P1365" s="1968"/>
      <c r="Q1365" s="1968"/>
      <c r="R1365" s="1968"/>
      <c r="S1365" s="1968"/>
      <c r="T1365" s="1968"/>
    </row>
    <row r="1366" spans="1:20" x14ac:dyDescent="0.2">
      <c r="A1366" s="2031"/>
      <c r="B1366" s="1968"/>
      <c r="C1366" s="2032"/>
      <c r="D1366" s="2033"/>
      <c r="E1366" s="2000"/>
      <c r="F1366" s="2000"/>
      <c r="G1366" s="2000"/>
      <c r="H1366" s="2000"/>
      <c r="I1366" s="1968"/>
      <c r="J1366" s="1968"/>
      <c r="K1366" s="2000"/>
      <c r="L1366" s="2000"/>
      <c r="M1366" s="1968"/>
      <c r="N1366" s="1968"/>
      <c r="O1366" s="1968"/>
      <c r="P1366" s="1968"/>
      <c r="Q1366" s="1968"/>
      <c r="R1366" s="1968"/>
      <c r="S1366" s="1968"/>
      <c r="T1366" s="1968"/>
    </row>
    <row r="1367" spans="1:20" x14ac:dyDescent="0.2">
      <c r="A1367" s="2031"/>
      <c r="B1367" s="1968"/>
      <c r="C1367" s="2032"/>
      <c r="D1367" s="2033"/>
      <c r="E1367" s="2000"/>
      <c r="F1367" s="2000"/>
      <c r="G1367" s="2000"/>
      <c r="H1367" s="2000"/>
      <c r="I1367" s="1968"/>
      <c r="J1367" s="1968"/>
      <c r="K1367" s="2000"/>
      <c r="L1367" s="2000"/>
      <c r="M1367" s="1968"/>
      <c r="N1367" s="1968"/>
      <c r="O1367" s="1968"/>
      <c r="P1367" s="1968"/>
      <c r="Q1367" s="1968"/>
      <c r="R1367" s="1968"/>
      <c r="S1367" s="1968"/>
      <c r="T1367" s="1968"/>
    </row>
    <row r="1368" spans="1:20" x14ac:dyDescent="0.2">
      <c r="A1368" s="2031"/>
      <c r="B1368" s="1968"/>
      <c r="C1368" s="2032"/>
      <c r="D1368" s="2033"/>
      <c r="E1368" s="2000"/>
      <c r="F1368" s="2000"/>
      <c r="G1368" s="2000"/>
      <c r="H1368" s="2000"/>
      <c r="I1368" s="1968"/>
      <c r="J1368" s="1968"/>
      <c r="K1368" s="2000"/>
      <c r="L1368" s="2000"/>
      <c r="M1368" s="1968"/>
      <c r="N1368" s="1968"/>
      <c r="O1368" s="1968"/>
      <c r="P1368" s="1968"/>
      <c r="Q1368" s="1968"/>
      <c r="R1368" s="1968"/>
      <c r="S1368" s="1968"/>
      <c r="T1368" s="1968"/>
    </row>
    <row r="1369" spans="1:20" x14ac:dyDescent="0.2">
      <c r="A1369" s="2031"/>
      <c r="B1369" s="1968"/>
      <c r="C1369" s="2032"/>
      <c r="D1369" s="2033"/>
      <c r="E1369" s="2000"/>
      <c r="F1369" s="2000"/>
      <c r="G1369" s="2000"/>
      <c r="H1369" s="2000"/>
      <c r="I1369" s="1968"/>
      <c r="J1369" s="1968"/>
      <c r="K1369" s="2000"/>
      <c r="L1369" s="2000"/>
      <c r="M1369" s="1968"/>
      <c r="N1369" s="1968"/>
      <c r="O1369" s="1968"/>
      <c r="P1369" s="1968"/>
      <c r="Q1369" s="1968"/>
      <c r="R1369" s="1968"/>
      <c r="S1369" s="1968"/>
      <c r="T1369" s="1968"/>
    </row>
    <row r="1370" spans="1:20" x14ac:dyDescent="0.2">
      <c r="A1370" s="2031"/>
      <c r="B1370" s="1968"/>
      <c r="C1370" s="2032"/>
      <c r="D1370" s="2033"/>
      <c r="E1370" s="2000"/>
      <c r="F1370" s="2000"/>
      <c r="G1370" s="2000"/>
      <c r="H1370" s="2000"/>
      <c r="I1370" s="1968"/>
      <c r="J1370" s="1968"/>
      <c r="K1370" s="2000"/>
      <c r="L1370" s="2000"/>
      <c r="M1370" s="1968"/>
      <c r="N1370" s="1968"/>
      <c r="O1370" s="1968"/>
      <c r="P1370" s="1968"/>
      <c r="Q1370" s="1968"/>
      <c r="R1370" s="1968"/>
      <c r="S1370" s="1968"/>
      <c r="T1370" s="1968"/>
    </row>
    <row r="1371" spans="1:20" x14ac:dyDescent="0.2">
      <c r="A1371" s="2031"/>
      <c r="B1371" s="1968"/>
      <c r="C1371" s="2032"/>
      <c r="D1371" s="2033"/>
      <c r="E1371" s="2000"/>
      <c r="F1371" s="2000"/>
      <c r="G1371" s="2000"/>
      <c r="H1371" s="2000"/>
      <c r="I1371" s="1968"/>
      <c r="J1371" s="1968"/>
      <c r="K1371" s="2000"/>
      <c r="L1371" s="2000"/>
      <c r="M1371" s="1968"/>
      <c r="N1371" s="1968"/>
      <c r="O1371" s="1968"/>
      <c r="P1371" s="1968"/>
      <c r="Q1371" s="1968"/>
      <c r="R1371" s="1968"/>
      <c r="S1371" s="1968"/>
      <c r="T1371" s="1968"/>
    </row>
    <row r="1372" spans="1:20" x14ac:dyDescent="0.2">
      <c r="A1372" s="2031"/>
      <c r="B1372" s="1968"/>
      <c r="C1372" s="2032"/>
      <c r="D1372" s="2033"/>
      <c r="E1372" s="2000"/>
      <c r="F1372" s="2000"/>
      <c r="G1372" s="2000"/>
      <c r="H1372" s="2000"/>
      <c r="I1372" s="1968"/>
      <c r="J1372" s="1968"/>
      <c r="K1372" s="2000"/>
      <c r="L1372" s="2000"/>
      <c r="M1372" s="1968"/>
      <c r="N1372" s="1968"/>
      <c r="O1372" s="1968"/>
      <c r="P1372" s="1968"/>
      <c r="Q1372" s="1968"/>
      <c r="R1372" s="1968"/>
      <c r="S1372" s="1968"/>
      <c r="T1372" s="1968"/>
    </row>
    <row r="1373" spans="1:20" x14ac:dyDescent="0.2">
      <c r="A1373" s="2031"/>
      <c r="B1373" s="1968"/>
      <c r="C1373" s="2032"/>
      <c r="D1373" s="2033"/>
      <c r="E1373" s="2000"/>
      <c r="F1373" s="2000"/>
      <c r="G1373" s="2000"/>
      <c r="H1373" s="2000"/>
      <c r="I1373" s="1968"/>
      <c r="J1373" s="1968"/>
      <c r="K1373" s="2000"/>
      <c r="L1373" s="2000"/>
      <c r="M1373" s="1968"/>
      <c r="N1373" s="1968"/>
      <c r="O1373" s="1968"/>
      <c r="P1373" s="1968"/>
      <c r="Q1373" s="1968"/>
      <c r="R1373" s="1968"/>
      <c r="S1373" s="1968"/>
      <c r="T1373" s="1968"/>
    </row>
    <row r="1374" spans="1:20" x14ac:dyDescent="0.2">
      <c r="A1374" s="2031"/>
      <c r="B1374" s="1968"/>
      <c r="C1374" s="2032"/>
      <c r="D1374" s="2033"/>
      <c r="E1374" s="2000"/>
      <c r="F1374" s="2000"/>
      <c r="G1374" s="2000"/>
      <c r="H1374" s="2000"/>
      <c r="I1374" s="1968"/>
      <c r="J1374" s="1968"/>
      <c r="K1374" s="2000"/>
      <c r="L1374" s="2000"/>
      <c r="M1374" s="1968"/>
      <c r="N1374" s="1968"/>
      <c r="O1374" s="1968"/>
      <c r="P1374" s="1968"/>
      <c r="Q1374" s="1968"/>
      <c r="R1374" s="1968"/>
      <c r="S1374" s="1968"/>
      <c r="T1374" s="1968"/>
    </row>
    <row r="1375" spans="1:20" x14ac:dyDescent="0.2">
      <c r="A1375" s="2031"/>
      <c r="B1375" s="1968"/>
      <c r="C1375" s="2032"/>
      <c r="D1375" s="2033"/>
      <c r="E1375" s="2000"/>
      <c r="F1375" s="2000"/>
      <c r="G1375" s="2000"/>
      <c r="H1375" s="2000"/>
      <c r="I1375" s="1968"/>
      <c r="J1375" s="1968"/>
      <c r="K1375" s="2000"/>
      <c r="L1375" s="2000"/>
      <c r="M1375" s="1968"/>
      <c r="N1375" s="1968"/>
      <c r="O1375" s="1968"/>
      <c r="P1375" s="1968"/>
      <c r="Q1375" s="1968"/>
      <c r="R1375" s="1968"/>
      <c r="S1375" s="1968"/>
      <c r="T1375" s="1968"/>
    </row>
    <row r="1376" spans="1:20" x14ac:dyDescent="0.2">
      <c r="A1376" s="2031"/>
      <c r="B1376" s="1968"/>
      <c r="C1376" s="2032"/>
      <c r="D1376" s="2033"/>
      <c r="E1376" s="2000"/>
      <c r="F1376" s="2000"/>
      <c r="G1376" s="2000"/>
      <c r="H1376" s="2000"/>
      <c r="I1376" s="1968"/>
      <c r="J1376" s="1968"/>
      <c r="K1376" s="2000"/>
      <c r="L1376" s="2000"/>
      <c r="M1376" s="1968"/>
      <c r="N1376" s="1968"/>
      <c r="O1376" s="1968"/>
      <c r="P1376" s="1968"/>
      <c r="Q1376" s="1968"/>
      <c r="R1376" s="1968"/>
      <c r="S1376" s="1968"/>
      <c r="T1376" s="1968"/>
    </row>
    <row r="1377" spans="1:20" x14ac:dyDescent="0.2">
      <c r="A1377" s="2031"/>
      <c r="B1377" s="1968"/>
      <c r="C1377" s="2032"/>
      <c r="D1377" s="2033"/>
      <c r="E1377" s="2000"/>
      <c r="F1377" s="2000"/>
      <c r="G1377" s="2000"/>
      <c r="H1377" s="2000"/>
      <c r="I1377" s="1968"/>
      <c r="J1377" s="1968"/>
      <c r="K1377" s="2000"/>
      <c r="L1377" s="2000"/>
      <c r="M1377" s="1968"/>
      <c r="N1377" s="1968"/>
      <c r="O1377" s="1968"/>
      <c r="P1377" s="1968"/>
      <c r="Q1377" s="1968"/>
      <c r="R1377" s="1968"/>
      <c r="S1377" s="1968"/>
      <c r="T1377" s="1968"/>
    </row>
    <row r="1378" spans="1:20" x14ac:dyDescent="0.2">
      <c r="A1378" s="2031"/>
      <c r="B1378" s="1968"/>
      <c r="C1378" s="2032"/>
      <c r="D1378" s="2033"/>
      <c r="E1378" s="2000"/>
      <c r="F1378" s="2000"/>
      <c r="G1378" s="2000"/>
      <c r="H1378" s="2000"/>
      <c r="I1378" s="1968"/>
      <c r="J1378" s="1968"/>
      <c r="K1378" s="2000"/>
      <c r="L1378" s="2000"/>
      <c r="M1378" s="1968"/>
      <c r="N1378" s="1968"/>
      <c r="O1378" s="1968"/>
      <c r="P1378" s="1968"/>
      <c r="Q1378" s="1968"/>
      <c r="R1378" s="1968"/>
      <c r="S1378" s="1968"/>
      <c r="T1378" s="1968"/>
    </row>
    <row r="1379" spans="1:20" x14ac:dyDescent="0.2">
      <c r="A1379" s="2031"/>
      <c r="B1379" s="1968"/>
      <c r="C1379" s="2032"/>
      <c r="D1379" s="2033"/>
      <c r="E1379" s="2000"/>
      <c r="F1379" s="2000"/>
      <c r="G1379" s="2000"/>
      <c r="H1379" s="2000"/>
      <c r="I1379" s="1968"/>
      <c r="J1379" s="1968"/>
      <c r="K1379" s="2000"/>
      <c r="L1379" s="2000"/>
      <c r="M1379" s="1968"/>
      <c r="N1379" s="1968"/>
      <c r="O1379" s="1968"/>
      <c r="P1379" s="1968"/>
      <c r="Q1379" s="1968"/>
      <c r="R1379" s="1968"/>
      <c r="S1379" s="1968"/>
      <c r="T1379" s="1968"/>
    </row>
    <row r="1380" spans="1:20" x14ac:dyDescent="0.2">
      <c r="A1380" s="2031"/>
      <c r="B1380" s="1968"/>
      <c r="C1380" s="2032"/>
      <c r="D1380" s="2033"/>
      <c r="E1380" s="2000"/>
      <c r="F1380" s="2000"/>
      <c r="G1380" s="2000"/>
      <c r="H1380" s="2000"/>
      <c r="I1380" s="1968"/>
      <c r="J1380" s="1968"/>
      <c r="K1380" s="2000"/>
      <c r="L1380" s="2000"/>
      <c r="M1380" s="1968"/>
      <c r="N1380" s="1968"/>
      <c r="O1380" s="1968"/>
      <c r="P1380" s="1968"/>
      <c r="Q1380" s="1968"/>
      <c r="R1380" s="1968"/>
      <c r="S1380" s="1968"/>
      <c r="T1380" s="1968"/>
    </row>
    <row r="1381" spans="1:20" x14ac:dyDescent="0.2">
      <c r="A1381" s="2031"/>
      <c r="B1381" s="1968"/>
      <c r="C1381" s="2032"/>
      <c r="D1381" s="2033"/>
      <c r="E1381" s="2000"/>
      <c r="F1381" s="2000"/>
      <c r="G1381" s="2000"/>
      <c r="H1381" s="2000"/>
      <c r="I1381" s="1968"/>
      <c r="J1381" s="1968"/>
      <c r="K1381" s="2000"/>
      <c r="L1381" s="2000"/>
      <c r="M1381" s="1968"/>
      <c r="N1381" s="1968"/>
      <c r="O1381" s="1968"/>
      <c r="P1381" s="1968"/>
      <c r="Q1381" s="1968"/>
      <c r="R1381" s="1968"/>
      <c r="S1381" s="1968"/>
      <c r="T1381" s="1968"/>
    </row>
    <row r="1382" spans="1:20" x14ac:dyDescent="0.2">
      <c r="A1382" s="2031"/>
      <c r="B1382" s="1968"/>
      <c r="C1382" s="2032"/>
      <c r="D1382" s="2033"/>
      <c r="E1382" s="2000"/>
      <c r="F1382" s="2000"/>
      <c r="G1382" s="2000"/>
      <c r="H1382" s="2000"/>
      <c r="I1382" s="1968"/>
      <c r="J1382" s="1968"/>
      <c r="K1382" s="2000"/>
      <c r="L1382" s="2000"/>
      <c r="M1382" s="1968"/>
      <c r="N1382" s="1968"/>
      <c r="O1382" s="1968"/>
      <c r="P1382" s="1968"/>
      <c r="Q1382" s="1968"/>
      <c r="R1382" s="1968"/>
      <c r="S1382" s="1968"/>
      <c r="T1382" s="1968"/>
    </row>
    <row r="1383" spans="1:20" x14ac:dyDescent="0.2">
      <c r="A1383" s="2031"/>
      <c r="B1383" s="1968"/>
      <c r="C1383" s="2032"/>
      <c r="D1383" s="2033"/>
      <c r="E1383" s="2000"/>
      <c r="F1383" s="2000"/>
      <c r="G1383" s="2000"/>
      <c r="H1383" s="2000"/>
      <c r="I1383" s="1968"/>
      <c r="J1383" s="1968"/>
      <c r="K1383" s="2000"/>
      <c r="L1383" s="2000"/>
      <c r="M1383" s="1968"/>
      <c r="N1383" s="1968"/>
      <c r="O1383" s="1968"/>
      <c r="P1383" s="1968"/>
      <c r="Q1383" s="1968"/>
      <c r="R1383" s="1968"/>
      <c r="S1383" s="1968"/>
      <c r="T1383" s="1968"/>
    </row>
    <row r="1384" spans="1:20" x14ac:dyDescent="0.2">
      <c r="A1384" s="2031"/>
      <c r="B1384" s="1968"/>
      <c r="C1384" s="2032"/>
      <c r="D1384" s="2033"/>
      <c r="E1384" s="2000"/>
      <c r="F1384" s="2000"/>
      <c r="G1384" s="2000"/>
      <c r="H1384" s="2000"/>
      <c r="I1384" s="1968"/>
      <c r="J1384" s="1968"/>
      <c r="K1384" s="2000"/>
      <c r="L1384" s="2000"/>
      <c r="M1384" s="1968"/>
      <c r="N1384" s="1968"/>
      <c r="O1384" s="1968"/>
      <c r="P1384" s="1968"/>
      <c r="Q1384" s="1968"/>
      <c r="R1384" s="1968"/>
      <c r="S1384" s="1968"/>
      <c r="T1384" s="1968"/>
    </row>
    <row r="1385" spans="1:20" x14ac:dyDescent="0.2">
      <c r="A1385" s="2031"/>
      <c r="B1385" s="1968"/>
      <c r="C1385" s="2032"/>
      <c r="D1385" s="2033"/>
      <c r="E1385" s="2000"/>
      <c r="F1385" s="2000"/>
      <c r="G1385" s="2000"/>
      <c r="H1385" s="2000"/>
      <c r="I1385" s="1968"/>
      <c r="J1385" s="1968"/>
      <c r="K1385" s="2000"/>
      <c r="L1385" s="2000"/>
      <c r="M1385" s="1968"/>
      <c r="N1385" s="1968"/>
      <c r="O1385" s="1968"/>
      <c r="P1385" s="1968"/>
      <c r="Q1385" s="1968"/>
      <c r="R1385" s="1968"/>
      <c r="S1385" s="1968"/>
      <c r="T1385" s="1968"/>
    </row>
    <row r="1386" spans="1:20" x14ac:dyDescent="0.2">
      <c r="A1386" s="2031"/>
      <c r="B1386" s="1968"/>
      <c r="C1386" s="2032"/>
      <c r="D1386" s="2033"/>
      <c r="E1386" s="2000"/>
      <c r="F1386" s="2000"/>
      <c r="G1386" s="2000"/>
      <c r="H1386" s="2000"/>
      <c r="I1386" s="1968"/>
      <c r="J1386" s="1968"/>
      <c r="K1386" s="2000"/>
      <c r="L1386" s="2000"/>
      <c r="M1386" s="1968"/>
      <c r="N1386" s="1968"/>
      <c r="O1386" s="1968"/>
      <c r="P1386" s="1968"/>
      <c r="Q1386" s="1968"/>
      <c r="R1386" s="1968"/>
      <c r="S1386" s="1968"/>
      <c r="T1386" s="1968"/>
    </row>
    <row r="1387" spans="1:20" x14ac:dyDescent="0.2">
      <c r="A1387" s="2031"/>
      <c r="B1387" s="1968"/>
      <c r="C1387" s="2032"/>
      <c r="D1387" s="2033"/>
      <c r="E1387" s="2000"/>
      <c r="F1387" s="2000"/>
      <c r="G1387" s="2000"/>
      <c r="H1387" s="2000"/>
      <c r="I1387" s="1968"/>
      <c r="J1387" s="1968"/>
      <c r="K1387" s="2000"/>
      <c r="L1387" s="2000"/>
      <c r="M1387" s="1968"/>
      <c r="N1387" s="1968"/>
      <c r="O1387" s="1968"/>
      <c r="P1387" s="1968"/>
      <c r="Q1387" s="1968"/>
      <c r="R1387" s="1968"/>
      <c r="S1387" s="1968"/>
      <c r="T1387" s="1968"/>
    </row>
    <row r="1388" spans="1:20" x14ac:dyDescent="0.2">
      <c r="A1388" s="2031"/>
      <c r="B1388" s="1968"/>
      <c r="C1388" s="2032"/>
      <c r="D1388" s="2033"/>
      <c r="E1388" s="2000"/>
      <c r="F1388" s="2000"/>
      <c r="G1388" s="2000"/>
      <c r="H1388" s="2000"/>
      <c r="I1388" s="1968"/>
      <c r="J1388" s="1968"/>
      <c r="K1388" s="2000"/>
      <c r="L1388" s="2000"/>
      <c r="M1388" s="1968"/>
      <c r="N1388" s="1968"/>
      <c r="O1388" s="1968"/>
      <c r="P1388" s="1968"/>
      <c r="Q1388" s="1968"/>
      <c r="R1388" s="1968"/>
      <c r="S1388" s="1968"/>
      <c r="T1388" s="1968"/>
    </row>
    <row r="1389" spans="1:20" x14ac:dyDescent="0.2">
      <c r="A1389" s="2031"/>
      <c r="B1389" s="1968"/>
      <c r="C1389" s="2032"/>
      <c r="D1389" s="2033"/>
      <c r="E1389" s="2000"/>
      <c r="F1389" s="2000"/>
      <c r="G1389" s="2000"/>
      <c r="H1389" s="2000"/>
      <c r="I1389" s="1968"/>
      <c r="J1389" s="1968"/>
      <c r="K1389" s="2000"/>
      <c r="L1389" s="2000"/>
      <c r="M1389" s="1968"/>
      <c r="N1389" s="1968"/>
      <c r="O1389" s="1968"/>
      <c r="P1389" s="1968"/>
      <c r="Q1389" s="1968"/>
      <c r="R1389" s="1968"/>
      <c r="S1389" s="1968"/>
      <c r="T1389" s="1968"/>
    </row>
    <row r="1390" spans="1:20" x14ac:dyDescent="0.2">
      <c r="A1390" s="2031"/>
      <c r="B1390" s="1968"/>
      <c r="C1390" s="2032"/>
      <c r="D1390" s="2033"/>
      <c r="E1390" s="2000"/>
      <c r="F1390" s="2000"/>
      <c r="G1390" s="2000"/>
      <c r="H1390" s="2000"/>
      <c r="I1390" s="1968"/>
      <c r="J1390" s="1968"/>
      <c r="K1390" s="2000"/>
      <c r="L1390" s="2000"/>
      <c r="M1390" s="1968"/>
      <c r="N1390" s="1968"/>
      <c r="O1390" s="1968"/>
      <c r="P1390" s="1968"/>
      <c r="Q1390" s="1968"/>
      <c r="R1390" s="1968"/>
      <c r="S1390" s="1968"/>
      <c r="T1390" s="1968"/>
    </row>
    <row r="1391" spans="1:20" x14ac:dyDescent="0.2">
      <c r="A1391" s="2031"/>
      <c r="B1391" s="1968"/>
      <c r="C1391" s="2032"/>
      <c r="D1391" s="2033"/>
      <c r="E1391" s="2000"/>
      <c r="F1391" s="2000"/>
      <c r="G1391" s="2000"/>
      <c r="H1391" s="2000"/>
      <c r="I1391" s="1968"/>
      <c r="J1391" s="1968"/>
      <c r="K1391" s="2000"/>
      <c r="L1391" s="2000"/>
      <c r="M1391" s="1968"/>
      <c r="N1391" s="1968"/>
      <c r="O1391" s="1968"/>
      <c r="P1391" s="1968"/>
      <c r="Q1391" s="1968"/>
      <c r="R1391" s="1968"/>
      <c r="S1391" s="1968"/>
      <c r="T1391" s="1968"/>
    </row>
    <row r="1392" spans="1:20" x14ac:dyDescent="0.2">
      <c r="A1392" s="2031"/>
      <c r="B1392" s="1968"/>
      <c r="C1392" s="2032"/>
      <c r="D1392" s="2033"/>
      <c r="E1392" s="2000"/>
      <c r="F1392" s="2000"/>
      <c r="G1392" s="2000"/>
      <c r="H1392" s="2000"/>
      <c r="I1392" s="1968"/>
      <c r="J1392" s="1968"/>
      <c r="K1392" s="2000"/>
      <c r="L1392" s="2000"/>
      <c r="M1392" s="1968"/>
      <c r="N1392" s="1968"/>
      <c r="O1392" s="1968"/>
      <c r="P1392" s="1968"/>
      <c r="Q1392" s="1968"/>
      <c r="R1392" s="1968"/>
      <c r="S1392" s="1968"/>
      <c r="T1392" s="1968"/>
    </row>
    <row r="1393" spans="1:20" x14ac:dyDescent="0.2">
      <c r="A1393" s="2031"/>
      <c r="B1393" s="1968"/>
      <c r="C1393" s="2032"/>
      <c r="D1393" s="2033"/>
      <c r="E1393" s="2000"/>
      <c r="F1393" s="2000"/>
      <c r="G1393" s="2000"/>
      <c r="H1393" s="2000"/>
      <c r="I1393" s="1968"/>
      <c r="J1393" s="1968"/>
      <c r="K1393" s="2000"/>
      <c r="L1393" s="2000"/>
      <c r="M1393" s="1968"/>
      <c r="N1393" s="1968"/>
      <c r="O1393" s="1968"/>
      <c r="P1393" s="1968"/>
      <c r="Q1393" s="1968"/>
      <c r="R1393" s="1968"/>
      <c r="S1393" s="1968"/>
      <c r="T1393" s="1968"/>
    </row>
    <row r="1394" spans="1:20" x14ac:dyDescent="0.2">
      <c r="A1394" s="2031"/>
      <c r="B1394" s="1968"/>
      <c r="C1394" s="2032"/>
      <c r="D1394" s="2033"/>
      <c r="E1394" s="2000"/>
      <c r="F1394" s="2000"/>
      <c r="G1394" s="2000"/>
      <c r="H1394" s="2000"/>
      <c r="I1394" s="1968"/>
      <c r="J1394" s="1968"/>
      <c r="K1394" s="2000"/>
      <c r="L1394" s="2000"/>
      <c r="M1394" s="1968"/>
      <c r="N1394" s="1968"/>
      <c r="O1394" s="1968"/>
      <c r="P1394" s="1968"/>
      <c r="Q1394" s="1968"/>
      <c r="R1394" s="1968"/>
      <c r="S1394" s="1968"/>
      <c r="T1394" s="1968"/>
    </row>
    <row r="1395" spans="1:20" x14ac:dyDescent="0.2">
      <c r="A1395" s="2031"/>
      <c r="B1395" s="1968"/>
      <c r="C1395" s="2032"/>
      <c r="D1395" s="2033"/>
      <c r="E1395" s="2000"/>
      <c r="F1395" s="2000"/>
      <c r="G1395" s="2000"/>
      <c r="H1395" s="2000"/>
      <c r="I1395" s="1968"/>
      <c r="J1395" s="1968"/>
      <c r="K1395" s="2000"/>
      <c r="L1395" s="2000"/>
      <c r="M1395" s="1968"/>
      <c r="N1395" s="1968"/>
      <c r="O1395" s="1968"/>
      <c r="P1395" s="1968"/>
      <c r="Q1395" s="1968"/>
      <c r="R1395" s="1968"/>
      <c r="S1395" s="1968"/>
      <c r="T1395" s="1968"/>
    </row>
    <row r="1396" spans="1:20" x14ac:dyDescent="0.2">
      <c r="A1396" s="2031"/>
      <c r="B1396" s="1968"/>
      <c r="C1396" s="2032"/>
      <c r="D1396" s="2033"/>
      <c r="E1396" s="2000"/>
      <c r="F1396" s="2000"/>
      <c r="G1396" s="2000"/>
      <c r="H1396" s="2000"/>
      <c r="I1396" s="1968"/>
      <c r="J1396" s="1968"/>
      <c r="K1396" s="2000"/>
      <c r="L1396" s="2000"/>
      <c r="M1396" s="1968"/>
      <c r="N1396" s="1968"/>
      <c r="O1396" s="1968"/>
      <c r="P1396" s="1968"/>
      <c r="Q1396" s="1968"/>
      <c r="R1396" s="1968"/>
      <c r="S1396" s="1968"/>
      <c r="T1396" s="1968"/>
    </row>
    <row r="1397" spans="1:20" x14ac:dyDescent="0.2">
      <c r="A1397" s="2031"/>
      <c r="B1397" s="1968"/>
      <c r="C1397" s="2032"/>
      <c r="D1397" s="2033"/>
      <c r="E1397" s="2000"/>
      <c r="F1397" s="2000"/>
      <c r="G1397" s="2000"/>
      <c r="H1397" s="2000"/>
      <c r="I1397" s="1968"/>
      <c r="J1397" s="1968"/>
      <c r="K1397" s="2000"/>
      <c r="L1397" s="2000"/>
      <c r="M1397" s="1968"/>
      <c r="N1397" s="1968"/>
      <c r="O1397" s="1968"/>
      <c r="P1397" s="1968"/>
      <c r="Q1397" s="1968"/>
      <c r="R1397" s="1968"/>
      <c r="S1397" s="1968"/>
      <c r="T1397" s="1968"/>
    </row>
    <row r="1398" spans="1:20" x14ac:dyDescent="0.2">
      <c r="A1398" s="2031"/>
      <c r="B1398" s="1968"/>
      <c r="C1398" s="2032"/>
      <c r="D1398" s="2033"/>
      <c r="E1398" s="2000"/>
      <c r="F1398" s="2000"/>
      <c r="G1398" s="2000"/>
      <c r="H1398" s="2000"/>
      <c r="I1398" s="1968"/>
      <c r="J1398" s="1968"/>
      <c r="K1398" s="2000"/>
      <c r="L1398" s="2000"/>
      <c r="M1398" s="1968"/>
      <c r="N1398" s="1968"/>
      <c r="O1398" s="1968"/>
      <c r="P1398" s="1968"/>
      <c r="Q1398" s="1968"/>
      <c r="R1398" s="1968"/>
      <c r="S1398" s="1968"/>
      <c r="T1398" s="1968"/>
    </row>
    <row r="1399" spans="1:20" x14ac:dyDescent="0.2">
      <c r="A1399" s="2031"/>
      <c r="B1399" s="1968"/>
      <c r="C1399" s="2032"/>
      <c r="D1399" s="2033"/>
      <c r="E1399" s="2000"/>
      <c r="F1399" s="2000"/>
      <c r="G1399" s="2000"/>
      <c r="H1399" s="2000"/>
      <c r="I1399" s="1968"/>
      <c r="J1399" s="1968"/>
      <c r="K1399" s="2000"/>
      <c r="L1399" s="2000"/>
      <c r="M1399" s="1968"/>
      <c r="N1399" s="1968"/>
      <c r="O1399" s="1968"/>
      <c r="P1399" s="1968"/>
      <c r="Q1399" s="1968"/>
      <c r="R1399" s="1968"/>
      <c r="S1399" s="1968"/>
      <c r="T1399" s="1968"/>
    </row>
    <row r="1400" spans="1:20" x14ac:dyDescent="0.2">
      <c r="A1400" s="2031"/>
      <c r="B1400" s="1968"/>
      <c r="C1400" s="2032"/>
      <c r="D1400" s="2033"/>
      <c r="E1400" s="2000"/>
      <c r="F1400" s="2000"/>
      <c r="G1400" s="2000"/>
      <c r="H1400" s="2000"/>
      <c r="I1400" s="1968"/>
      <c r="J1400" s="1968"/>
      <c r="K1400" s="2000"/>
      <c r="L1400" s="2000"/>
      <c r="M1400" s="1968"/>
      <c r="N1400" s="1968"/>
      <c r="O1400" s="1968"/>
      <c r="P1400" s="1968"/>
      <c r="Q1400" s="1968"/>
      <c r="R1400" s="1968"/>
      <c r="S1400" s="1968"/>
      <c r="T1400" s="1968"/>
    </row>
    <row r="1401" spans="1:20" x14ac:dyDescent="0.2">
      <c r="A1401" s="2031"/>
      <c r="B1401" s="1968"/>
      <c r="C1401" s="2032"/>
      <c r="D1401" s="2033"/>
      <c r="E1401" s="2000"/>
      <c r="F1401" s="2000"/>
      <c r="G1401" s="2000"/>
      <c r="H1401" s="2000"/>
      <c r="I1401" s="1968"/>
      <c r="J1401" s="1968"/>
      <c r="K1401" s="2000"/>
      <c r="L1401" s="2000"/>
      <c r="M1401" s="1968"/>
      <c r="N1401" s="1968"/>
      <c r="O1401" s="1968"/>
      <c r="P1401" s="1968"/>
      <c r="Q1401" s="1968"/>
      <c r="R1401" s="1968"/>
      <c r="S1401" s="1968"/>
      <c r="T1401" s="1968"/>
    </row>
    <row r="1402" spans="1:20" x14ac:dyDescent="0.2">
      <c r="A1402" s="2031"/>
      <c r="B1402" s="1968"/>
      <c r="C1402" s="2032"/>
      <c r="D1402" s="2033"/>
      <c r="E1402" s="2000"/>
      <c r="F1402" s="2000"/>
      <c r="G1402" s="2000"/>
      <c r="H1402" s="2000"/>
      <c r="I1402" s="1968"/>
      <c r="J1402" s="1968"/>
      <c r="K1402" s="2000"/>
      <c r="L1402" s="2000"/>
      <c r="M1402" s="1968"/>
      <c r="N1402" s="1968"/>
      <c r="O1402" s="1968"/>
      <c r="P1402" s="1968"/>
      <c r="Q1402" s="1968"/>
      <c r="R1402" s="1968"/>
      <c r="S1402" s="1968"/>
      <c r="T1402" s="1968"/>
    </row>
    <row r="1403" spans="1:20" x14ac:dyDescent="0.2">
      <c r="A1403" s="2031"/>
      <c r="B1403" s="1968"/>
      <c r="C1403" s="2032"/>
      <c r="D1403" s="2033"/>
      <c r="E1403" s="2000"/>
      <c r="F1403" s="2000"/>
      <c r="G1403" s="2000"/>
      <c r="H1403" s="2000"/>
      <c r="I1403" s="1968"/>
      <c r="J1403" s="1968"/>
      <c r="K1403" s="2000"/>
      <c r="L1403" s="2000"/>
      <c r="M1403" s="1968"/>
      <c r="N1403" s="1968"/>
      <c r="O1403" s="1968"/>
      <c r="P1403" s="1968"/>
      <c r="Q1403" s="1968"/>
      <c r="R1403" s="1968"/>
      <c r="S1403" s="1968"/>
      <c r="T1403" s="1968"/>
    </row>
    <row r="1404" spans="1:20" x14ac:dyDescent="0.2">
      <c r="A1404" s="2031"/>
      <c r="B1404" s="1968"/>
      <c r="C1404" s="2032"/>
      <c r="D1404" s="2033"/>
      <c r="E1404" s="2000"/>
      <c r="F1404" s="2000"/>
      <c r="G1404" s="2000"/>
      <c r="H1404" s="2000"/>
      <c r="I1404" s="1968"/>
      <c r="J1404" s="1968"/>
      <c r="K1404" s="2000"/>
      <c r="L1404" s="2000"/>
      <c r="M1404" s="1968"/>
      <c r="N1404" s="1968"/>
      <c r="O1404" s="1968"/>
      <c r="P1404" s="1968"/>
      <c r="Q1404" s="1968"/>
      <c r="R1404" s="1968"/>
      <c r="S1404" s="1968"/>
      <c r="T1404" s="1968"/>
    </row>
    <row r="1405" spans="1:20" x14ac:dyDescent="0.2">
      <c r="A1405" s="2031"/>
      <c r="B1405" s="1968"/>
      <c r="C1405" s="2032"/>
      <c r="D1405" s="2033"/>
      <c r="E1405" s="2000"/>
      <c r="F1405" s="2000"/>
      <c r="G1405" s="2000"/>
      <c r="H1405" s="2000"/>
      <c r="I1405" s="1968"/>
      <c r="J1405" s="1968"/>
      <c r="K1405" s="2000"/>
      <c r="L1405" s="2000"/>
      <c r="M1405" s="1968"/>
      <c r="N1405" s="1968"/>
      <c r="O1405" s="1968"/>
      <c r="P1405" s="1968"/>
      <c r="Q1405" s="1968"/>
      <c r="R1405" s="1968"/>
      <c r="S1405" s="1968"/>
      <c r="T1405" s="1968"/>
    </row>
    <row r="1406" spans="1:20" x14ac:dyDescent="0.2">
      <c r="A1406" s="2031"/>
      <c r="B1406" s="1968"/>
      <c r="C1406" s="2032"/>
      <c r="D1406" s="2033"/>
      <c r="E1406" s="2000"/>
      <c r="F1406" s="2000"/>
      <c r="G1406" s="2000"/>
      <c r="H1406" s="2000"/>
      <c r="I1406" s="1968"/>
      <c r="J1406" s="1968"/>
      <c r="K1406" s="2000"/>
      <c r="L1406" s="2000"/>
      <c r="M1406" s="1968"/>
      <c r="N1406" s="1968"/>
      <c r="O1406" s="1968"/>
      <c r="P1406" s="1968"/>
      <c r="Q1406" s="1968"/>
      <c r="R1406" s="1968"/>
      <c r="S1406" s="1968"/>
      <c r="T1406" s="1968"/>
    </row>
    <row r="1407" spans="1:20" x14ac:dyDescent="0.2">
      <c r="A1407" s="2031"/>
      <c r="B1407" s="1968"/>
      <c r="C1407" s="2032"/>
      <c r="D1407" s="2033"/>
      <c r="E1407" s="2000"/>
      <c r="F1407" s="2000"/>
      <c r="G1407" s="2000"/>
      <c r="H1407" s="2000"/>
      <c r="I1407" s="1968"/>
      <c r="J1407" s="1968"/>
      <c r="K1407" s="2000"/>
      <c r="L1407" s="2000"/>
      <c r="M1407" s="1968"/>
      <c r="N1407" s="1968"/>
      <c r="O1407" s="1968"/>
      <c r="P1407" s="1968"/>
      <c r="Q1407" s="1968"/>
      <c r="R1407" s="1968"/>
      <c r="S1407" s="1968"/>
      <c r="T1407" s="1968"/>
    </row>
    <row r="1408" spans="1:20" x14ac:dyDescent="0.2">
      <c r="A1408" s="2031"/>
      <c r="B1408" s="1968"/>
      <c r="C1408" s="2032"/>
      <c r="D1408" s="2033"/>
      <c r="E1408" s="2000"/>
      <c r="F1408" s="2000"/>
      <c r="G1408" s="2000"/>
      <c r="H1408" s="2000"/>
      <c r="I1408" s="1968"/>
      <c r="J1408" s="1968"/>
      <c r="K1408" s="2000"/>
      <c r="L1408" s="2000"/>
      <c r="M1408" s="1968"/>
      <c r="N1408" s="1968"/>
      <c r="O1408" s="1968"/>
      <c r="P1408" s="1968"/>
      <c r="Q1408" s="1968"/>
      <c r="R1408" s="1968"/>
      <c r="S1408" s="1968"/>
      <c r="T1408" s="1968"/>
    </row>
    <row r="1409" spans="1:20" x14ac:dyDescent="0.2">
      <c r="A1409" s="2031"/>
      <c r="B1409" s="1968"/>
      <c r="C1409" s="2032"/>
      <c r="D1409" s="2033"/>
      <c r="E1409" s="2000"/>
      <c r="F1409" s="2000"/>
      <c r="G1409" s="2000"/>
      <c r="H1409" s="2000"/>
      <c r="I1409" s="1968"/>
      <c r="J1409" s="1968"/>
      <c r="K1409" s="2000"/>
      <c r="L1409" s="2000"/>
      <c r="M1409" s="1968"/>
      <c r="N1409" s="1968"/>
      <c r="O1409" s="1968"/>
      <c r="P1409" s="1968"/>
      <c r="Q1409" s="1968"/>
      <c r="R1409" s="1968"/>
      <c r="S1409" s="1968"/>
      <c r="T1409" s="1968"/>
    </row>
    <row r="1410" spans="1:20" x14ac:dyDescent="0.2">
      <c r="A1410" s="2031"/>
      <c r="B1410" s="1968"/>
      <c r="C1410" s="2032"/>
      <c r="D1410" s="2033"/>
      <c r="E1410" s="2000"/>
      <c r="F1410" s="2000"/>
      <c r="G1410" s="2000"/>
      <c r="H1410" s="2000"/>
      <c r="I1410" s="1968"/>
      <c r="J1410" s="1968"/>
      <c r="K1410" s="2000"/>
      <c r="L1410" s="2000"/>
      <c r="M1410" s="1968"/>
      <c r="N1410" s="1968"/>
      <c r="O1410" s="1968"/>
      <c r="P1410" s="1968"/>
      <c r="Q1410" s="1968"/>
      <c r="R1410" s="1968"/>
      <c r="S1410" s="1968"/>
      <c r="T1410" s="1968"/>
    </row>
    <row r="1411" spans="1:20" x14ac:dyDescent="0.2">
      <c r="A1411" s="2031"/>
      <c r="B1411" s="1968"/>
      <c r="C1411" s="2032"/>
      <c r="D1411" s="2033"/>
      <c r="E1411" s="2000"/>
      <c r="F1411" s="2000"/>
      <c r="G1411" s="2000"/>
      <c r="H1411" s="2000"/>
      <c r="I1411" s="1968"/>
      <c r="J1411" s="1968"/>
      <c r="K1411" s="2000"/>
      <c r="L1411" s="2000"/>
      <c r="M1411" s="1968"/>
      <c r="N1411" s="1968"/>
      <c r="O1411" s="1968"/>
      <c r="P1411" s="1968"/>
      <c r="Q1411" s="1968"/>
      <c r="R1411" s="1968"/>
      <c r="S1411" s="1968"/>
      <c r="T1411" s="1968"/>
    </row>
    <row r="1412" spans="1:20" x14ac:dyDescent="0.2">
      <c r="A1412" s="2031"/>
      <c r="B1412" s="1968"/>
      <c r="C1412" s="2032"/>
      <c r="D1412" s="2033"/>
      <c r="E1412" s="2000"/>
      <c r="F1412" s="2000"/>
      <c r="G1412" s="2000"/>
      <c r="H1412" s="2000"/>
      <c r="I1412" s="1968"/>
      <c r="J1412" s="1968"/>
      <c r="K1412" s="2000"/>
      <c r="L1412" s="2000"/>
      <c r="M1412" s="1968"/>
      <c r="N1412" s="1968"/>
      <c r="O1412" s="1968"/>
      <c r="P1412" s="1968"/>
      <c r="Q1412" s="1968"/>
      <c r="R1412" s="1968"/>
      <c r="S1412" s="1968"/>
      <c r="T1412" s="1968"/>
    </row>
    <row r="1413" spans="1:20" x14ac:dyDescent="0.2">
      <c r="A1413" s="2031"/>
      <c r="B1413" s="1968"/>
      <c r="C1413" s="2032"/>
      <c r="D1413" s="2033"/>
      <c r="E1413" s="2000"/>
      <c r="F1413" s="2000"/>
      <c r="G1413" s="2000"/>
      <c r="H1413" s="2000"/>
      <c r="I1413" s="1968"/>
      <c r="J1413" s="1968"/>
      <c r="K1413" s="2000"/>
      <c r="L1413" s="2000"/>
      <c r="M1413" s="1968"/>
      <c r="N1413" s="1968"/>
      <c r="O1413" s="1968"/>
      <c r="P1413" s="1968"/>
      <c r="Q1413" s="1968"/>
      <c r="R1413" s="1968"/>
      <c r="S1413" s="1968"/>
      <c r="T1413" s="1968"/>
    </row>
    <row r="1414" spans="1:20" x14ac:dyDescent="0.2">
      <c r="A1414" s="2031"/>
      <c r="B1414" s="1968"/>
      <c r="C1414" s="2032"/>
      <c r="D1414" s="2033"/>
      <c r="E1414" s="2000"/>
      <c r="F1414" s="2000"/>
      <c r="G1414" s="2000"/>
      <c r="H1414" s="2000"/>
      <c r="I1414" s="1968"/>
      <c r="J1414" s="1968"/>
      <c r="K1414" s="2000"/>
      <c r="L1414" s="2000"/>
      <c r="M1414" s="1968"/>
      <c r="N1414" s="1968"/>
      <c r="O1414" s="1968"/>
      <c r="P1414" s="1968"/>
      <c r="Q1414" s="1968"/>
      <c r="R1414" s="1968"/>
      <c r="S1414" s="1968"/>
      <c r="T1414" s="1968"/>
    </row>
    <row r="1415" spans="1:20" x14ac:dyDescent="0.2">
      <c r="A1415" s="2031"/>
      <c r="B1415" s="1968"/>
      <c r="C1415" s="2032"/>
      <c r="D1415" s="2033"/>
      <c r="E1415" s="2000"/>
      <c r="F1415" s="2000"/>
      <c r="G1415" s="2000"/>
      <c r="H1415" s="2000"/>
      <c r="I1415" s="1968"/>
      <c r="J1415" s="1968"/>
      <c r="K1415" s="2000"/>
      <c r="L1415" s="2000"/>
      <c r="M1415" s="1968"/>
      <c r="N1415" s="1968"/>
      <c r="O1415" s="1968"/>
      <c r="P1415" s="1968"/>
      <c r="Q1415" s="1968"/>
      <c r="R1415" s="1968"/>
      <c r="S1415" s="1968"/>
      <c r="T1415" s="1968"/>
    </row>
    <row r="1416" spans="1:20" x14ac:dyDescent="0.2">
      <c r="A1416" s="2031"/>
      <c r="B1416" s="1968"/>
      <c r="C1416" s="2032"/>
      <c r="D1416" s="2033"/>
      <c r="E1416" s="2000"/>
      <c r="F1416" s="2000"/>
      <c r="G1416" s="2000"/>
      <c r="H1416" s="2000"/>
      <c r="I1416" s="1968"/>
      <c r="J1416" s="1968"/>
      <c r="K1416" s="2000"/>
      <c r="L1416" s="2000"/>
      <c r="M1416" s="1968"/>
      <c r="N1416" s="1968"/>
      <c r="O1416" s="1968"/>
      <c r="P1416" s="1968"/>
      <c r="Q1416" s="1968"/>
      <c r="R1416" s="1968"/>
      <c r="S1416" s="1968"/>
      <c r="T1416" s="1968"/>
    </row>
    <row r="1417" spans="1:20" x14ac:dyDescent="0.2">
      <c r="A1417" s="2031"/>
      <c r="B1417" s="1968"/>
      <c r="C1417" s="2032"/>
      <c r="D1417" s="2033"/>
      <c r="E1417" s="2000"/>
      <c r="F1417" s="2000"/>
      <c r="G1417" s="2000"/>
      <c r="H1417" s="2000"/>
      <c r="I1417" s="1968"/>
      <c r="J1417" s="1968"/>
      <c r="K1417" s="2000"/>
      <c r="L1417" s="2000"/>
      <c r="M1417" s="1968"/>
      <c r="N1417" s="1968"/>
      <c r="O1417" s="1968"/>
      <c r="P1417" s="1968"/>
      <c r="Q1417" s="1968"/>
      <c r="R1417" s="1968"/>
      <c r="S1417" s="1968"/>
      <c r="T1417" s="1968"/>
    </row>
    <row r="1418" spans="1:20" x14ac:dyDescent="0.2">
      <c r="A1418" s="2031"/>
      <c r="B1418" s="1968"/>
      <c r="C1418" s="2032"/>
      <c r="D1418" s="2033"/>
      <c r="E1418" s="2000"/>
      <c r="F1418" s="2000"/>
      <c r="G1418" s="2000"/>
      <c r="H1418" s="2000"/>
      <c r="I1418" s="1968"/>
      <c r="J1418" s="1968"/>
      <c r="K1418" s="2000"/>
      <c r="L1418" s="2000"/>
      <c r="M1418" s="1968"/>
      <c r="N1418" s="1968"/>
      <c r="O1418" s="1968"/>
      <c r="P1418" s="1968"/>
      <c r="Q1418" s="1968"/>
      <c r="R1418" s="1968"/>
      <c r="S1418" s="1968"/>
      <c r="T1418" s="1968"/>
    </row>
    <row r="1419" spans="1:20" x14ac:dyDescent="0.2">
      <c r="A1419" s="2031"/>
      <c r="B1419" s="1968"/>
      <c r="C1419" s="2032"/>
      <c r="D1419" s="2033"/>
      <c r="E1419" s="2000"/>
      <c r="F1419" s="2000"/>
      <c r="G1419" s="2000"/>
      <c r="H1419" s="2000"/>
      <c r="I1419" s="1968"/>
      <c r="J1419" s="1968"/>
      <c r="K1419" s="2000"/>
      <c r="L1419" s="2000"/>
      <c r="M1419" s="1968"/>
      <c r="N1419" s="1968"/>
      <c r="O1419" s="1968"/>
      <c r="P1419" s="1968"/>
      <c r="Q1419" s="1968"/>
      <c r="R1419" s="1968"/>
      <c r="S1419" s="1968"/>
      <c r="T1419" s="1968"/>
    </row>
    <row r="1420" spans="1:20" x14ac:dyDescent="0.2">
      <c r="A1420" s="2031"/>
      <c r="B1420" s="1968"/>
      <c r="C1420" s="2032"/>
      <c r="D1420" s="2033"/>
      <c r="E1420" s="2000"/>
      <c r="F1420" s="2000"/>
      <c r="G1420" s="2000"/>
      <c r="H1420" s="2000"/>
      <c r="I1420" s="1968"/>
      <c r="J1420" s="1968"/>
      <c r="K1420" s="2000"/>
      <c r="L1420" s="2000"/>
      <c r="M1420" s="1968"/>
      <c r="N1420" s="1968"/>
      <c r="O1420" s="1968"/>
      <c r="P1420" s="1968"/>
      <c r="Q1420" s="1968"/>
      <c r="R1420" s="1968"/>
      <c r="S1420" s="1968"/>
      <c r="T1420" s="1968"/>
    </row>
    <row r="1421" spans="1:20" x14ac:dyDescent="0.2">
      <c r="A1421" s="2031"/>
      <c r="B1421" s="1968"/>
      <c r="C1421" s="2032"/>
      <c r="D1421" s="2033"/>
      <c r="E1421" s="2000"/>
      <c r="F1421" s="2000"/>
      <c r="G1421" s="2000"/>
      <c r="H1421" s="2000"/>
      <c r="I1421" s="1968"/>
      <c r="J1421" s="1968"/>
      <c r="K1421" s="2000"/>
      <c r="L1421" s="2000"/>
      <c r="M1421" s="1968"/>
      <c r="N1421" s="1968"/>
      <c r="O1421" s="1968"/>
      <c r="P1421" s="1968"/>
      <c r="Q1421" s="1968"/>
      <c r="R1421" s="1968"/>
      <c r="S1421" s="1968"/>
      <c r="T1421" s="1968"/>
    </row>
    <row r="1422" spans="1:20" x14ac:dyDescent="0.2">
      <c r="A1422" s="2031"/>
      <c r="B1422" s="1968"/>
      <c r="C1422" s="2032"/>
      <c r="D1422" s="2033"/>
      <c r="E1422" s="2000"/>
      <c r="F1422" s="2000"/>
      <c r="G1422" s="2000"/>
      <c r="H1422" s="2000"/>
      <c r="I1422" s="1968"/>
      <c r="J1422" s="1968"/>
      <c r="K1422" s="2000"/>
      <c r="L1422" s="2000"/>
      <c r="M1422" s="1968"/>
      <c r="N1422" s="1968"/>
      <c r="O1422" s="1968"/>
      <c r="P1422" s="1968"/>
      <c r="Q1422" s="1968"/>
      <c r="R1422" s="1968"/>
      <c r="S1422" s="1968"/>
      <c r="T1422" s="1968"/>
    </row>
    <row r="1423" spans="1:20" x14ac:dyDescent="0.2">
      <c r="A1423" s="2031"/>
      <c r="B1423" s="1968"/>
      <c r="C1423" s="2032"/>
      <c r="D1423" s="2033"/>
      <c r="E1423" s="2000"/>
      <c r="F1423" s="2000"/>
      <c r="G1423" s="2000"/>
      <c r="H1423" s="2000"/>
      <c r="I1423" s="1968"/>
      <c r="J1423" s="1968"/>
      <c r="K1423" s="2000"/>
      <c r="L1423" s="2000"/>
      <c r="M1423" s="1968"/>
      <c r="N1423" s="1968"/>
      <c r="O1423" s="1968"/>
      <c r="P1423" s="1968"/>
      <c r="Q1423" s="1968"/>
      <c r="R1423" s="1968"/>
      <c r="S1423" s="1968"/>
      <c r="T1423" s="1968"/>
    </row>
    <row r="1424" spans="1:20" x14ac:dyDescent="0.2">
      <c r="A1424" s="2031"/>
      <c r="B1424" s="1968"/>
      <c r="C1424" s="2032"/>
      <c r="D1424" s="2033"/>
      <c r="E1424" s="2000"/>
      <c r="F1424" s="2000"/>
      <c r="G1424" s="2000"/>
      <c r="H1424" s="2000"/>
      <c r="I1424" s="1968"/>
      <c r="J1424" s="1968"/>
      <c r="K1424" s="2000"/>
      <c r="L1424" s="2000"/>
      <c r="M1424" s="1968"/>
      <c r="N1424" s="1968"/>
      <c r="O1424" s="1968"/>
      <c r="P1424" s="1968"/>
      <c r="Q1424" s="1968"/>
      <c r="R1424" s="1968"/>
      <c r="S1424" s="1968"/>
      <c r="T1424" s="1968"/>
    </row>
    <row r="1425" spans="1:20" x14ac:dyDescent="0.2">
      <c r="A1425" s="2031"/>
      <c r="B1425" s="1968"/>
      <c r="C1425" s="2032"/>
      <c r="D1425" s="2033"/>
      <c r="E1425" s="2000"/>
      <c r="F1425" s="2000"/>
      <c r="G1425" s="2000"/>
      <c r="H1425" s="2000"/>
      <c r="I1425" s="1968"/>
      <c r="J1425" s="1968"/>
      <c r="K1425" s="2000"/>
      <c r="L1425" s="2000"/>
      <c r="M1425" s="1968"/>
      <c r="N1425" s="1968"/>
      <c r="O1425" s="1968"/>
      <c r="P1425" s="1968"/>
      <c r="Q1425" s="1968"/>
      <c r="R1425" s="1968"/>
      <c r="S1425" s="1968"/>
      <c r="T1425" s="1968"/>
    </row>
    <row r="1426" spans="1:20" x14ac:dyDescent="0.2">
      <c r="A1426" s="2031"/>
      <c r="B1426" s="1968"/>
      <c r="C1426" s="2032"/>
      <c r="D1426" s="2033"/>
      <c r="E1426" s="2000"/>
      <c r="F1426" s="2000"/>
      <c r="G1426" s="2000"/>
      <c r="H1426" s="2000"/>
      <c r="I1426" s="1968"/>
      <c r="J1426" s="1968"/>
      <c r="K1426" s="2000"/>
      <c r="L1426" s="2000"/>
      <c r="M1426" s="1968"/>
      <c r="N1426" s="1968"/>
      <c r="O1426" s="1968"/>
      <c r="P1426" s="1968"/>
      <c r="Q1426" s="1968"/>
      <c r="R1426" s="1968"/>
      <c r="S1426" s="1968"/>
      <c r="T1426" s="1968"/>
    </row>
    <row r="1427" spans="1:20" x14ac:dyDescent="0.2">
      <c r="A1427" s="2031"/>
      <c r="B1427" s="1968"/>
      <c r="C1427" s="2032"/>
      <c r="D1427" s="2033"/>
      <c r="E1427" s="2000"/>
      <c r="F1427" s="2000"/>
      <c r="G1427" s="2000"/>
      <c r="H1427" s="2000"/>
      <c r="I1427" s="1968"/>
      <c r="J1427" s="1968"/>
      <c r="K1427" s="2000"/>
      <c r="L1427" s="2000"/>
      <c r="M1427" s="1968"/>
      <c r="N1427" s="1968"/>
      <c r="O1427" s="1968"/>
      <c r="P1427" s="1968"/>
      <c r="Q1427" s="1968"/>
      <c r="R1427" s="1968"/>
      <c r="S1427" s="1968"/>
      <c r="T1427" s="1968"/>
    </row>
    <row r="1428" spans="1:20" x14ac:dyDescent="0.2">
      <c r="A1428" s="2031"/>
      <c r="B1428" s="1968"/>
      <c r="C1428" s="2032"/>
      <c r="D1428" s="2033"/>
      <c r="E1428" s="2000"/>
      <c r="F1428" s="2000"/>
      <c r="G1428" s="2000"/>
      <c r="H1428" s="2000"/>
      <c r="I1428" s="1968"/>
      <c r="J1428" s="1968"/>
      <c r="K1428" s="2000"/>
      <c r="L1428" s="2000"/>
      <c r="M1428" s="1968"/>
      <c r="N1428" s="1968"/>
      <c r="O1428" s="1968"/>
      <c r="P1428" s="1968"/>
      <c r="Q1428" s="1968"/>
      <c r="R1428" s="1968"/>
      <c r="S1428" s="1968"/>
      <c r="T1428" s="1968"/>
    </row>
    <row r="1429" spans="1:20" x14ac:dyDescent="0.2">
      <c r="A1429" s="2031"/>
      <c r="B1429" s="1968"/>
      <c r="C1429" s="2032"/>
      <c r="D1429" s="2033"/>
      <c r="E1429" s="2000"/>
      <c r="F1429" s="2000"/>
      <c r="G1429" s="2000"/>
      <c r="H1429" s="2000"/>
      <c r="I1429" s="1968"/>
      <c r="J1429" s="1968"/>
      <c r="K1429" s="2000"/>
      <c r="L1429" s="2000"/>
      <c r="M1429" s="1968"/>
      <c r="N1429" s="1968"/>
      <c r="O1429" s="1968"/>
      <c r="P1429" s="1968"/>
      <c r="Q1429" s="1968"/>
      <c r="R1429" s="1968"/>
      <c r="S1429" s="1968"/>
      <c r="T1429" s="1968"/>
    </row>
    <row r="1430" spans="1:20" x14ac:dyDescent="0.2">
      <c r="A1430" s="2031"/>
      <c r="B1430" s="1968"/>
      <c r="C1430" s="2032"/>
      <c r="D1430" s="2033"/>
      <c r="E1430" s="2000"/>
      <c r="F1430" s="2000"/>
      <c r="G1430" s="2000"/>
      <c r="H1430" s="2000"/>
      <c r="I1430" s="1968"/>
      <c r="J1430" s="1968"/>
      <c r="K1430" s="2000"/>
      <c r="L1430" s="2000"/>
      <c r="M1430" s="1968"/>
      <c r="N1430" s="1968"/>
      <c r="O1430" s="1968"/>
      <c r="P1430" s="1968"/>
      <c r="Q1430" s="1968"/>
      <c r="R1430" s="1968"/>
      <c r="S1430" s="1968"/>
      <c r="T1430" s="1968"/>
    </row>
    <row r="1431" spans="1:20" x14ac:dyDescent="0.2">
      <c r="A1431" s="2031"/>
      <c r="B1431" s="1968"/>
      <c r="C1431" s="2032"/>
      <c r="D1431" s="2033"/>
      <c r="E1431" s="2000"/>
      <c r="F1431" s="2000"/>
      <c r="G1431" s="2000"/>
      <c r="H1431" s="2000"/>
      <c r="I1431" s="1968"/>
      <c r="J1431" s="1968"/>
      <c r="K1431" s="2000"/>
      <c r="L1431" s="2000"/>
      <c r="M1431" s="1968"/>
      <c r="N1431" s="1968"/>
      <c r="O1431" s="1968"/>
      <c r="P1431" s="1968"/>
      <c r="Q1431" s="1968"/>
      <c r="R1431" s="1968"/>
      <c r="S1431" s="1968"/>
      <c r="T1431" s="1968"/>
    </row>
    <row r="1432" spans="1:20" x14ac:dyDescent="0.2">
      <c r="A1432" s="2031"/>
      <c r="B1432" s="1968"/>
      <c r="C1432" s="2032"/>
      <c r="D1432" s="2033"/>
      <c r="E1432" s="2000"/>
      <c r="F1432" s="2000"/>
      <c r="G1432" s="2000"/>
      <c r="H1432" s="2000"/>
      <c r="I1432" s="1968"/>
      <c r="J1432" s="1968"/>
      <c r="K1432" s="2000"/>
      <c r="L1432" s="2000"/>
      <c r="M1432" s="1968"/>
      <c r="N1432" s="1968"/>
      <c r="O1432" s="1968"/>
      <c r="P1432" s="1968"/>
      <c r="Q1432" s="1968"/>
      <c r="R1432" s="1968"/>
      <c r="S1432" s="1968"/>
      <c r="T1432" s="1968"/>
    </row>
    <row r="1433" spans="1:20" x14ac:dyDescent="0.2">
      <c r="A1433" s="2031"/>
      <c r="B1433" s="1968"/>
      <c r="C1433" s="2032"/>
      <c r="D1433" s="2033"/>
      <c r="E1433" s="2000"/>
      <c r="F1433" s="2000"/>
      <c r="G1433" s="2000"/>
      <c r="H1433" s="2000"/>
      <c r="I1433" s="1968"/>
      <c r="J1433" s="1968"/>
      <c r="K1433" s="2000"/>
      <c r="L1433" s="2000"/>
      <c r="M1433" s="1968"/>
      <c r="N1433" s="1968"/>
      <c r="O1433" s="1968"/>
      <c r="P1433" s="1968"/>
      <c r="Q1433" s="1968"/>
      <c r="R1433" s="1968"/>
      <c r="S1433" s="1968"/>
      <c r="T1433" s="1968"/>
    </row>
    <row r="1434" spans="1:20" x14ac:dyDescent="0.2">
      <c r="A1434" s="2031"/>
      <c r="B1434" s="1968"/>
      <c r="C1434" s="2032"/>
      <c r="D1434" s="2033"/>
      <c r="E1434" s="2000"/>
      <c r="F1434" s="2000"/>
      <c r="G1434" s="2000"/>
      <c r="H1434" s="2000"/>
      <c r="I1434" s="1968"/>
      <c r="J1434" s="1968"/>
      <c r="K1434" s="2000"/>
      <c r="L1434" s="2000"/>
      <c r="M1434" s="1968"/>
      <c r="N1434" s="1968"/>
      <c r="O1434" s="1968"/>
      <c r="P1434" s="1968"/>
      <c r="Q1434" s="1968"/>
      <c r="R1434" s="1968"/>
      <c r="S1434" s="1968"/>
      <c r="T1434" s="1968"/>
    </row>
    <row r="1435" spans="1:20" x14ac:dyDescent="0.2">
      <c r="A1435" s="2031"/>
      <c r="B1435" s="1968"/>
      <c r="C1435" s="2032"/>
      <c r="D1435" s="2033"/>
      <c r="E1435" s="2000"/>
      <c r="F1435" s="2000"/>
      <c r="G1435" s="2000"/>
      <c r="H1435" s="2000"/>
      <c r="I1435" s="1968"/>
      <c r="J1435" s="1968"/>
      <c r="K1435" s="2000"/>
      <c r="L1435" s="2000"/>
      <c r="M1435" s="1968"/>
      <c r="N1435" s="1968"/>
      <c r="O1435" s="1968"/>
      <c r="P1435" s="1968"/>
      <c r="Q1435" s="1968"/>
      <c r="R1435" s="1968"/>
      <c r="S1435" s="1968"/>
      <c r="T1435" s="1968"/>
    </row>
    <row r="1436" spans="1:20" x14ac:dyDescent="0.2">
      <c r="A1436" s="2031"/>
      <c r="B1436" s="1968"/>
      <c r="C1436" s="2032"/>
      <c r="D1436" s="2033"/>
      <c r="E1436" s="2000"/>
      <c r="F1436" s="2000"/>
      <c r="G1436" s="2000"/>
      <c r="H1436" s="2000"/>
      <c r="I1436" s="1968"/>
      <c r="J1436" s="1968"/>
      <c r="K1436" s="2000"/>
      <c r="L1436" s="2000"/>
      <c r="M1436" s="1968"/>
      <c r="N1436" s="1968"/>
      <c r="O1436" s="1968"/>
      <c r="P1436" s="1968"/>
      <c r="Q1436" s="1968"/>
      <c r="R1436" s="1968"/>
      <c r="S1436" s="1968"/>
      <c r="T1436" s="1968"/>
    </row>
    <row r="1437" spans="1:20" x14ac:dyDescent="0.2">
      <c r="A1437" s="2031"/>
      <c r="B1437" s="1968"/>
      <c r="C1437" s="2032"/>
      <c r="D1437" s="2033"/>
      <c r="E1437" s="2000"/>
      <c r="F1437" s="2000"/>
      <c r="G1437" s="2000"/>
      <c r="H1437" s="2000"/>
      <c r="I1437" s="1968"/>
      <c r="J1437" s="1968"/>
      <c r="K1437" s="2000"/>
      <c r="L1437" s="2000"/>
      <c r="M1437" s="1968"/>
      <c r="N1437" s="1968"/>
      <c r="O1437" s="1968"/>
      <c r="P1437" s="1968"/>
      <c r="Q1437" s="1968"/>
      <c r="R1437" s="1968"/>
      <c r="S1437" s="1968"/>
      <c r="T1437" s="1968"/>
    </row>
    <row r="1438" spans="1:20" x14ac:dyDescent="0.2">
      <c r="A1438" s="2031"/>
      <c r="B1438" s="1968"/>
      <c r="C1438" s="2032"/>
      <c r="D1438" s="2033"/>
      <c r="E1438" s="2000"/>
      <c r="F1438" s="2000"/>
      <c r="G1438" s="2000"/>
      <c r="H1438" s="2000"/>
      <c r="I1438" s="1968"/>
      <c r="J1438" s="1968"/>
      <c r="K1438" s="2000"/>
      <c r="L1438" s="2000"/>
      <c r="M1438" s="1968"/>
      <c r="N1438" s="1968"/>
      <c r="O1438" s="1968"/>
      <c r="P1438" s="1968"/>
      <c r="Q1438" s="1968"/>
      <c r="R1438" s="1968"/>
      <c r="S1438" s="1968"/>
      <c r="T1438" s="1968"/>
    </row>
    <row r="1439" spans="1:20" x14ac:dyDescent="0.2">
      <c r="A1439" s="2031"/>
      <c r="B1439" s="1968"/>
      <c r="C1439" s="2032"/>
      <c r="D1439" s="2033"/>
      <c r="E1439" s="2000"/>
      <c r="F1439" s="2000"/>
      <c r="G1439" s="2000"/>
      <c r="H1439" s="2000"/>
      <c r="I1439" s="1968"/>
      <c r="J1439" s="1968"/>
      <c r="K1439" s="2000"/>
      <c r="L1439" s="2000"/>
      <c r="M1439" s="1968"/>
      <c r="N1439" s="1968"/>
      <c r="O1439" s="1968"/>
      <c r="P1439" s="1968"/>
      <c r="Q1439" s="1968"/>
      <c r="R1439" s="1968"/>
      <c r="S1439" s="1968"/>
      <c r="T1439" s="1968"/>
    </row>
    <row r="1440" spans="1:20" x14ac:dyDescent="0.2">
      <c r="A1440" s="2031"/>
      <c r="B1440" s="1968"/>
      <c r="C1440" s="2032"/>
      <c r="D1440" s="2033"/>
      <c r="E1440" s="2000"/>
      <c r="F1440" s="2000"/>
      <c r="G1440" s="2000"/>
      <c r="H1440" s="2000"/>
      <c r="I1440" s="1968"/>
      <c r="J1440" s="1968"/>
      <c r="K1440" s="2000"/>
      <c r="L1440" s="2000"/>
      <c r="M1440" s="1968"/>
      <c r="N1440" s="1968"/>
      <c r="O1440" s="1968"/>
      <c r="P1440" s="1968"/>
      <c r="Q1440" s="1968"/>
      <c r="R1440" s="1968"/>
      <c r="S1440" s="1968"/>
      <c r="T1440" s="1968"/>
    </row>
    <row r="1441" spans="1:20" x14ac:dyDescent="0.2">
      <c r="A1441" s="2031"/>
      <c r="B1441" s="1968"/>
      <c r="C1441" s="2032"/>
      <c r="D1441" s="2033"/>
      <c r="E1441" s="2000"/>
      <c r="F1441" s="2000"/>
      <c r="G1441" s="2000"/>
      <c r="H1441" s="2000"/>
      <c r="I1441" s="1968"/>
      <c r="J1441" s="1968"/>
      <c r="K1441" s="2000"/>
      <c r="L1441" s="2000"/>
      <c r="M1441" s="1968"/>
      <c r="N1441" s="1968"/>
      <c r="O1441" s="1968"/>
      <c r="P1441" s="1968"/>
      <c r="Q1441" s="1968"/>
      <c r="R1441" s="1968"/>
      <c r="S1441" s="1968"/>
      <c r="T1441" s="1968"/>
    </row>
    <row r="1442" spans="1:20" x14ac:dyDescent="0.2">
      <c r="A1442" s="2031"/>
      <c r="B1442" s="1968"/>
      <c r="C1442" s="2032"/>
      <c r="D1442" s="2033"/>
      <c r="E1442" s="2000"/>
      <c r="F1442" s="2000"/>
      <c r="G1442" s="2000"/>
      <c r="H1442" s="2000"/>
      <c r="I1442" s="1968"/>
      <c r="J1442" s="1968"/>
      <c r="K1442" s="2000"/>
      <c r="L1442" s="2000"/>
      <c r="M1442" s="1968"/>
      <c r="N1442" s="1968"/>
      <c r="O1442" s="1968"/>
      <c r="P1442" s="1968"/>
      <c r="Q1442" s="1968"/>
      <c r="R1442" s="1968"/>
      <c r="S1442" s="1968"/>
      <c r="T1442" s="1968"/>
    </row>
    <row r="1443" spans="1:20" x14ac:dyDescent="0.2">
      <c r="A1443" s="2031"/>
      <c r="B1443" s="1968"/>
      <c r="C1443" s="2032"/>
      <c r="D1443" s="2033"/>
      <c r="E1443" s="2000"/>
      <c r="F1443" s="2000"/>
      <c r="G1443" s="2000"/>
      <c r="H1443" s="2000"/>
      <c r="I1443" s="1968"/>
      <c r="J1443" s="1968"/>
      <c r="K1443" s="2000"/>
      <c r="L1443" s="2000"/>
      <c r="M1443" s="1968"/>
      <c r="N1443" s="1968"/>
      <c r="O1443" s="1968"/>
      <c r="P1443" s="1968"/>
      <c r="Q1443" s="1968"/>
      <c r="R1443" s="1968"/>
      <c r="S1443" s="1968"/>
      <c r="T1443" s="1968"/>
    </row>
    <row r="1444" spans="1:20" x14ac:dyDescent="0.2">
      <c r="A1444" s="2031"/>
      <c r="B1444" s="1968"/>
      <c r="C1444" s="2032"/>
      <c r="D1444" s="2033"/>
      <c r="E1444" s="2000"/>
      <c r="F1444" s="2000"/>
      <c r="G1444" s="2000"/>
      <c r="H1444" s="2000"/>
      <c r="I1444" s="1968"/>
      <c r="J1444" s="1968"/>
      <c r="K1444" s="2000"/>
      <c r="L1444" s="2000"/>
      <c r="M1444" s="1968"/>
      <c r="N1444" s="1968"/>
      <c r="O1444" s="1968"/>
      <c r="P1444" s="1968"/>
      <c r="Q1444" s="1968"/>
      <c r="R1444" s="1968"/>
      <c r="S1444" s="1968"/>
      <c r="T1444" s="1968"/>
    </row>
    <row r="1445" spans="1:20" x14ac:dyDescent="0.2">
      <c r="A1445" s="2031"/>
      <c r="B1445" s="1968"/>
      <c r="C1445" s="2032"/>
      <c r="D1445" s="2033"/>
      <c r="E1445" s="2000"/>
      <c r="F1445" s="2000"/>
      <c r="G1445" s="2000"/>
      <c r="H1445" s="2000"/>
      <c r="I1445" s="1968"/>
      <c r="J1445" s="1968"/>
      <c r="K1445" s="2000"/>
      <c r="L1445" s="2000"/>
      <c r="M1445" s="1968"/>
      <c r="N1445" s="1968"/>
      <c r="O1445" s="1968"/>
      <c r="P1445" s="1968"/>
      <c r="Q1445" s="1968"/>
      <c r="R1445" s="1968"/>
      <c r="S1445" s="1968"/>
      <c r="T1445" s="1968"/>
    </row>
    <row r="1446" spans="1:20" x14ac:dyDescent="0.2">
      <c r="A1446" s="2031"/>
      <c r="B1446" s="1968"/>
      <c r="C1446" s="2032"/>
      <c r="D1446" s="2033"/>
      <c r="E1446" s="2000"/>
      <c r="F1446" s="2000"/>
      <c r="G1446" s="2000"/>
      <c r="H1446" s="2000"/>
      <c r="I1446" s="1968"/>
      <c r="J1446" s="1968"/>
      <c r="K1446" s="2000"/>
      <c r="L1446" s="2000"/>
      <c r="M1446" s="1968"/>
      <c r="N1446" s="1968"/>
      <c r="O1446" s="1968"/>
      <c r="P1446" s="1968"/>
      <c r="Q1446" s="1968"/>
      <c r="R1446" s="1968"/>
      <c r="S1446" s="1968"/>
      <c r="T1446" s="1968"/>
    </row>
    <row r="1447" spans="1:20" x14ac:dyDescent="0.2">
      <c r="A1447" s="2031"/>
      <c r="B1447" s="1968"/>
      <c r="C1447" s="2032"/>
      <c r="D1447" s="2033"/>
      <c r="E1447" s="2000"/>
      <c r="F1447" s="2000"/>
      <c r="G1447" s="2000"/>
      <c r="H1447" s="2000"/>
      <c r="I1447" s="1968"/>
      <c r="J1447" s="1968"/>
      <c r="K1447" s="2000"/>
      <c r="L1447" s="2000"/>
      <c r="M1447" s="1968"/>
      <c r="N1447" s="1968"/>
      <c r="O1447" s="1968"/>
      <c r="P1447" s="1968"/>
      <c r="Q1447" s="1968"/>
      <c r="R1447" s="1968"/>
      <c r="S1447" s="1968"/>
      <c r="T1447" s="1968"/>
    </row>
    <row r="1448" spans="1:20" x14ac:dyDescent="0.2">
      <c r="A1448" s="2031"/>
      <c r="B1448" s="1968"/>
      <c r="C1448" s="2032"/>
      <c r="D1448" s="2033"/>
      <c r="E1448" s="2000"/>
      <c r="F1448" s="2000"/>
      <c r="G1448" s="2000"/>
      <c r="H1448" s="2000"/>
      <c r="I1448" s="1968"/>
      <c r="J1448" s="1968"/>
      <c r="K1448" s="2000"/>
      <c r="L1448" s="2000"/>
      <c r="M1448" s="1968"/>
      <c r="N1448" s="1968"/>
      <c r="O1448" s="1968"/>
      <c r="P1448" s="1968"/>
      <c r="Q1448" s="1968"/>
      <c r="R1448" s="1968"/>
      <c r="S1448" s="1968"/>
      <c r="T1448" s="1968"/>
    </row>
    <row r="1449" spans="1:20" x14ac:dyDescent="0.2">
      <c r="A1449" s="2031"/>
      <c r="B1449" s="1968"/>
      <c r="C1449" s="2032"/>
      <c r="D1449" s="2033"/>
      <c r="E1449" s="2000"/>
      <c r="F1449" s="2000"/>
      <c r="G1449" s="2000"/>
      <c r="H1449" s="2000"/>
      <c r="I1449" s="1968"/>
      <c r="J1449" s="1968"/>
      <c r="K1449" s="2000"/>
      <c r="L1449" s="2000"/>
      <c r="M1449" s="1968"/>
      <c r="N1449" s="1968"/>
      <c r="O1449" s="1968"/>
      <c r="P1449" s="1968"/>
      <c r="Q1449" s="1968"/>
      <c r="R1449" s="1968"/>
      <c r="S1449" s="1968"/>
      <c r="T1449" s="1968"/>
    </row>
    <row r="1450" spans="1:20" x14ac:dyDescent="0.2">
      <c r="A1450" s="2031"/>
      <c r="B1450" s="1968"/>
      <c r="C1450" s="2032"/>
      <c r="D1450" s="2033"/>
      <c r="E1450" s="2000"/>
      <c r="F1450" s="2000"/>
      <c r="G1450" s="2000"/>
      <c r="H1450" s="2000"/>
      <c r="I1450" s="1968"/>
      <c r="J1450" s="1968"/>
      <c r="K1450" s="2000"/>
      <c r="L1450" s="2000"/>
      <c r="M1450" s="1968"/>
      <c r="N1450" s="1968"/>
      <c r="O1450" s="1968"/>
      <c r="P1450" s="1968"/>
      <c r="Q1450" s="1968"/>
      <c r="R1450" s="1968"/>
      <c r="S1450" s="1968"/>
      <c r="T1450" s="1968"/>
    </row>
    <row r="1451" spans="1:20" x14ac:dyDescent="0.2">
      <c r="A1451" s="2031"/>
      <c r="B1451" s="1968"/>
      <c r="C1451" s="2032"/>
      <c r="D1451" s="2033"/>
      <c r="E1451" s="2000"/>
      <c r="F1451" s="2000"/>
      <c r="G1451" s="2000"/>
      <c r="H1451" s="2000"/>
      <c r="I1451" s="1968"/>
      <c r="J1451" s="1968"/>
      <c r="K1451" s="2000"/>
      <c r="L1451" s="2000"/>
      <c r="M1451" s="1968"/>
      <c r="N1451" s="1968"/>
      <c r="O1451" s="1968"/>
      <c r="P1451" s="1968"/>
      <c r="Q1451" s="1968"/>
      <c r="R1451" s="1968"/>
      <c r="S1451" s="1968"/>
      <c r="T1451" s="1968"/>
    </row>
    <row r="1452" spans="1:20" x14ac:dyDescent="0.2">
      <c r="A1452" s="2031"/>
      <c r="B1452" s="1968"/>
      <c r="C1452" s="2032"/>
      <c r="D1452" s="2033"/>
      <c r="E1452" s="2000"/>
      <c r="F1452" s="2000"/>
      <c r="G1452" s="2000"/>
      <c r="H1452" s="2000"/>
      <c r="I1452" s="1968"/>
      <c r="J1452" s="1968"/>
      <c r="K1452" s="2000"/>
      <c r="L1452" s="2000"/>
      <c r="M1452" s="1968"/>
      <c r="N1452" s="1968"/>
      <c r="O1452" s="1968"/>
      <c r="P1452" s="1968"/>
      <c r="Q1452" s="1968"/>
      <c r="R1452" s="1968"/>
      <c r="S1452" s="1968"/>
      <c r="T1452" s="1968"/>
    </row>
    <row r="1453" spans="1:20" x14ac:dyDescent="0.2">
      <c r="A1453" s="2031"/>
      <c r="B1453" s="1968"/>
      <c r="C1453" s="2032"/>
      <c r="D1453" s="2033"/>
      <c r="E1453" s="2000"/>
      <c r="F1453" s="2000"/>
      <c r="G1453" s="2000"/>
      <c r="H1453" s="2000"/>
      <c r="I1453" s="1968"/>
      <c r="J1453" s="1968"/>
      <c r="K1453" s="2000"/>
      <c r="L1453" s="2000"/>
      <c r="M1453" s="1968"/>
      <c r="N1453" s="1968"/>
      <c r="O1453" s="1968"/>
      <c r="P1453" s="1968"/>
      <c r="Q1453" s="1968"/>
      <c r="R1453" s="1968"/>
      <c r="S1453" s="1968"/>
      <c r="T1453" s="1968"/>
    </row>
    <row r="1454" spans="1:20" x14ac:dyDescent="0.2">
      <c r="A1454" s="2031"/>
      <c r="B1454" s="1968"/>
      <c r="C1454" s="2032"/>
      <c r="D1454" s="2033"/>
      <c r="E1454" s="2000"/>
      <c r="F1454" s="2000"/>
      <c r="G1454" s="2000"/>
      <c r="H1454" s="2000"/>
      <c r="I1454" s="1968"/>
      <c r="J1454" s="1968"/>
      <c r="K1454" s="2000"/>
      <c r="L1454" s="2000"/>
      <c r="M1454" s="1968"/>
      <c r="N1454" s="1968"/>
      <c r="O1454" s="1968"/>
      <c r="P1454" s="1968"/>
      <c r="Q1454" s="1968"/>
      <c r="R1454" s="1968"/>
      <c r="S1454" s="1968"/>
      <c r="T1454" s="1968"/>
    </row>
    <row r="1455" spans="1:20" x14ac:dyDescent="0.2">
      <c r="A1455" s="2031"/>
      <c r="B1455" s="1968"/>
      <c r="C1455" s="2032"/>
      <c r="D1455" s="2033"/>
      <c r="E1455" s="2000"/>
      <c r="F1455" s="2000"/>
      <c r="G1455" s="2000"/>
      <c r="H1455" s="2000"/>
      <c r="I1455" s="1968"/>
      <c r="J1455" s="1968"/>
      <c r="K1455" s="2000"/>
      <c r="L1455" s="2000"/>
      <c r="M1455" s="1968"/>
      <c r="N1455" s="1968"/>
      <c r="O1455" s="1968"/>
      <c r="P1455" s="1968"/>
      <c r="Q1455" s="1968"/>
      <c r="R1455" s="1968"/>
      <c r="S1455" s="1968"/>
      <c r="T1455" s="1968"/>
    </row>
    <row r="1456" spans="1:20" x14ac:dyDescent="0.2">
      <c r="A1456" s="2031"/>
      <c r="B1456" s="1968"/>
      <c r="C1456" s="2032"/>
      <c r="D1456" s="2033"/>
      <c r="E1456" s="2000"/>
      <c r="F1456" s="2000"/>
      <c r="G1456" s="2000"/>
      <c r="H1456" s="2000"/>
      <c r="I1456" s="1968"/>
      <c r="J1456" s="1968"/>
      <c r="K1456" s="2000"/>
      <c r="L1456" s="2000"/>
      <c r="M1456" s="1968"/>
      <c r="N1456" s="1968"/>
      <c r="O1456" s="1968"/>
      <c r="P1456" s="1968"/>
      <c r="Q1456" s="1968"/>
      <c r="R1456" s="1968"/>
      <c r="S1456" s="1968"/>
      <c r="T1456" s="1968"/>
    </row>
    <row r="1457" spans="1:20" x14ac:dyDescent="0.2">
      <c r="A1457" s="2031"/>
      <c r="B1457" s="1968"/>
      <c r="C1457" s="2032"/>
      <c r="D1457" s="2033"/>
      <c r="E1457" s="2000"/>
      <c r="F1457" s="2000"/>
      <c r="G1457" s="2000"/>
      <c r="H1457" s="2000"/>
      <c r="I1457" s="1968"/>
      <c r="J1457" s="1968"/>
      <c r="K1457" s="2000"/>
      <c r="L1457" s="2000"/>
      <c r="M1457" s="1968"/>
      <c r="N1457" s="1968"/>
      <c r="O1457" s="1968"/>
      <c r="P1457" s="1968"/>
      <c r="Q1457" s="1968"/>
      <c r="R1457" s="1968"/>
      <c r="S1457" s="1968"/>
      <c r="T1457" s="1968"/>
    </row>
    <row r="1458" spans="1:20" x14ac:dyDescent="0.2">
      <c r="A1458" s="2031"/>
      <c r="B1458" s="1968"/>
      <c r="C1458" s="2032"/>
      <c r="D1458" s="2033"/>
      <c r="E1458" s="2000"/>
      <c r="F1458" s="2000"/>
      <c r="G1458" s="2000"/>
      <c r="H1458" s="2000"/>
      <c r="I1458" s="1968"/>
      <c r="J1458" s="1968"/>
      <c r="K1458" s="2000"/>
      <c r="L1458" s="2000"/>
      <c r="M1458" s="1968"/>
      <c r="N1458" s="1968"/>
      <c r="O1458" s="1968"/>
      <c r="P1458" s="1968"/>
      <c r="Q1458" s="1968"/>
      <c r="R1458" s="1968"/>
      <c r="S1458" s="1968"/>
      <c r="T1458" s="1968"/>
    </row>
    <row r="1459" spans="1:20" x14ac:dyDescent="0.2">
      <c r="A1459" s="2031"/>
      <c r="B1459" s="1968"/>
      <c r="C1459" s="2032"/>
      <c r="D1459" s="2033"/>
      <c r="E1459" s="2000"/>
      <c r="F1459" s="2000"/>
      <c r="G1459" s="2000"/>
      <c r="H1459" s="2000"/>
      <c r="I1459" s="1968"/>
      <c r="J1459" s="1968"/>
      <c r="K1459" s="2000"/>
      <c r="L1459" s="2000"/>
      <c r="M1459" s="1968"/>
      <c r="N1459" s="1968"/>
      <c r="O1459" s="1968"/>
      <c r="P1459" s="1968"/>
      <c r="Q1459" s="1968"/>
      <c r="R1459" s="1968"/>
      <c r="S1459" s="1968"/>
      <c r="T1459" s="1968"/>
    </row>
    <row r="1460" spans="1:20" x14ac:dyDescent="0.2">
      <c r="A1460" s="2031"/>
      <c r="B1460" s="1968"/>
      <c r="C1460" s="2032"/>
      <c r="D1460" s="2033"/>
      <c r="E1460" s="2000"/>
      <c r="F1460" s="2000"/>
      <c r="G1460" s="2000"/>
      <c r="H1460" s="2000"/>
      <c r="I1460" s="1968"/>
      <c r="J1460" s="1968"/>
      <c r="K1460" s="2000"/>
      <c r="L1460" s="2000"/>
      <c r="M1460" s="1968"/>
      <c r="N1460" s="1968"/>
      <c r="O1460" s="1968"/>
      <c r="P1460" s="1968"/>
      <c r="Q1460" s="1968"/>
      <c r="R1460" s="1968"/>
      <c r="S1460" s="1968"/>
      <c r="T1460" s="1968"/>
    </row>
    <row r="1461" spans="1:20" x14ac:dyDescent="0.2">
      <c r="A1461" s="2031"/>
      <c r="B1461" s="1968"/>
      <c r="C1461" s="2032"/>
      <c r="D1461" s="2033"/>
      <c r="E1461" s="2000"/>
      <c r="F1461" s="2000"/>
      <c r="G1461" s="2000"/>
      <c r="H1461" s="2000"/>
      <c r="I1461" s="1968"/>
      <c r="J1461" s="1968"/>
      <c r="K1461" s="2000"/>
      <c r="L1461" s="2000"/>
      <c r="M1461" s="1968"/>
      <c r="N1461" s="1968"/>
      <c r="O1461" s="1968"/>
      <c r="P1461" s="1968"/>
      <c r="Q1461" s="1968"/>
      <c r="R1461" s="1968"/>
      <c r="S1461" s="1968"/>
      <c r="T1461" s="1968"/>
    </row>
    <row r="1462" spans="1:20" x14ac:dyDescent="0.2">
      <c r="A1462" s="2031"/>
      <c r="B1462" s="1968"/>
      <c r="C1462" s="2032"/>
      <c r="D1462" s="2033"/>
      <c r="E1462" s="2000"/>
      <c r="F1462" s="2000"/>
      <c r="G1462" s="2000"/>
      <c r="H1462" s="2000"/>
      <c r="I1462" s="1968"/>
      <c r="J1462" s="1968"/>
      <c r="K1462" s="2000"/>
      <c r="L1462" s="2000"/>
      <c r="M1462" s="1968"/>
      <c r="N1462" s="1968"/>
      <c r="O1462" s="1968"/>
      <c r="P1462" s="1968"/>
      <c r="Q1462" s="1968"/>
      <c r="R1462" s="1968"/>
      <c r="S1462" s="1968"/>
      <c r="T1462" s="1968"/>
    </row>
    <row r="1463" spans="1:20" x14ac:dyDescent="0.2">
      <c r="A1463" s="2031"/>
      <c r="B1463" s="1968"/>
      <c r="C1463" s="2032"/>
      <c r="D1463" s="2033"/>
      <c r="E1463" s="2000"/>
      <c r="F1463" s="2000"/>
      <c r="G1463" s="2000"/>
      <c r="H1463" s="2000"/>
      <c r="I1463" s="1968"/>
      <c r="J1463" s="1968"/>
      <c r="K1463" s="2000"/>
      <c r="L1463" s="2000"/>
      <c r="M1463" s="1968"/>
      <c r="N1463" s="1968"/>
      <c r="O1463" s="1968"/>
      <c r="P1463" s="1968"/>
      <c r="Q1463" s="1968"/>
      <c r="R1463" s="1968"/>
      <c r="S1463" s="1968"/>
      <c r="T1463" s="1968"/>
    </row>
    <row r="1464" spans="1:20" x14ac:dyDescent="0.2">
      <c r="A1464" s="2031"/>
      <c r="B1464" s="1968"/>
      <c r="C1464" s="2032"/>
      <c r="D1464" s="2033"/>
      <c r="E1464" s="2000"/>
      <c r="F1464" s="2000"/>
      <c r="G1464" s="2000"/>
      <c r="H1464" s="2000"/>
      <c r="I1464" s="1968"/>
      <c r="J1464" s="1968"/>
      <c r="K1464" s="2000"/>
      <c r="L1464" s="2000"/>
      <c r="M1464" s="1968"/>
      <c r="N1464" s="1968"/>
      <c r="O1464" s="1968"/>
      <c r="P1464" s="1968"/>
      <c r="Q1464" s="1968"/>
      <c r="R1464" s="1968"/>
      <c r="S1464" s="1968"/>
      <c r="T1464" s="1968"/>
    </row>
    <row r="1465" spans="1:20" x14ac:dyDescent="0.2">
      <c r="A1465" s="2031"/>
      <c r="B1465" s="1968"/>
      <c r="C1465" s="2032"/>
      <c r="D1465" s="2033"/>
      <c r="E1465" s="2000"/>
      <c r="F1465" s="2000"/>
      <c r="G1465" s="2000"/>
      <c r="H1465" s="2000"/>
      <c r="I1465" s="1968"/>
      <c r="J1465" s="1968"/>
      <c r="K1465" s="2000"/>
      <c r="L1465" s="2000"/>
      <c r="M1465" s="1968"/>
      <c r="N1465" s="1968"/>
      <c r="O1465" s="1968"/>
      <c r="P1465" s="1968"/>
      <c r="Q1465" s="1968"/>
      <c r="R1465" s="1968"/>
      <c r="S1465" s="1968"/>
      <c r="T1465" s="1968"/>
    </row>
    <row r="1466" spans="1:20" x14ac:dyDescent="0.2">
      <c r="A1466" s="2031"/>
      <c r="B1466" s="1968"/>
      <c r="C1466" s="2032"/>
      <c r="D1466" s="2033"/>
      <c r="E1466" s="2000"/>
      <c r="F1466" s="2000"/>
      <c r="G1466" s="2000"/>
      <c r="H1466" s="2000"/>
      <c r="I1466" s="1968"/>
      <c r="J1466" s="1968"/>
      <c r="K1466" s="2000"/>
      <c r="L1466" s="2000"/>
      <c r="M1466" s="1968"/>
      <c r="N1466" s="1968"/>
      <c r="O1466" s="1968"/>
      <c r="P1466" s="1968"/>
      <c r="Q1466" s="1968"/>
      <c r="R1466" s="1968"/>
      <c r="S1466" s="1968"/>
      <c r="T1466" s="1968"/>
    </row>
    <row r="1467" spans="1:20" x14ac:dyDescent="0.2">
      <c r="A1467" s="2031"/>
      <c r="B1467" s="1968"/>
      <c r="C1467" s="2032"/>
      <c r="D1467" s="2033"/>
      <c r="E1467" s="2000"/>
      <c r="F1467" s="2000"/>
      <c r="G1467" s="2000"/>
      <c r="H1467" s="2000"/>
      <c r="I1467" s="1968"/>
      <c r="J1467" s="1968"/>
      <c r="K1467" s="2000"/>
      <c r="L1467" s="2000"/>
      <c r="M1467" s="1968"/>
      <c r="N1467" s="1968"/>
      <c r="O1467" s="1968"/>
      <c r="P1467" s="1968"/>
      <c r="Q1467" s="1968"/>
      <c r="R1467" s="1968"/>
      <c r="S1467" s="1968"/>
      <c r="T1467" s="1968"/>
    </row>
    <row r="1468" spans="1:20" x14ac:dyDescent="0.2">
      <c r="A1468" s="2031"/>
      <c r="B1468" s="1968"/>
      <c r="C1468" s="2032"/>
      <c r="D1468" s="2033"/>
      <c r="E1468" s="2000"/>
      <c r="F1468" s="2000"/>
      <c r="G1468" s="2000"/>
      <c r="H1468" s="2000"/>
      <c r="I1468" s="1968"/>
      <c r="J1468" s="1968"/>
      <c r="K1468" s="2000"/>
      <c r="L1468" s="2000"/>
      <c r="M1468" s="1968"/>
      <c r="N1468" s="1968"/>
      <c r="O1468" s="1968"/>
      <c r="P1468" s="1968"/>
      <c r="Q1468" s="1968"/>
      <c r="R1468" s="1968"/>
      <c r="S1468" s="1968"/>
      <c r="T1468" s="1968"/>
    </row>
    <row r="1469" spans="1:20" x14ac:dyDescent="0.2">
      <c r="A1469" s="2031"/>
      <c r="B1469" s="1968"/>
      <c r="C1469" s="2032"/>
      <c r="D1469" s="2033"/>
      <c r="E1469" s="2000"/>
      <c r="F1469" s="2000"/>
      <c r="G1469" s="2000"/>
      <c r="H1469" s="2000"/>
      <c r="I1469" s="1968"/>
      <c r="J1469" s="1968"/>
      <c r="K1469" s="2000"/>
      <c r="L1469" s="2000"/>
      <c r="M1469" s="1968"/>
      <c r="N1469" s="1968"/>
      <c r="O1469" s="1968"/>
      <c r="P1469" s="1968"/>
      <c r="Q1469" s="1968"/>
      <c r="R1469" s="1968"/>
      <c r="S1469" s="1968"/>
      <c r="T1469" s="1968"/>
    </row>
    <row r="1470" spans="1:20" x14ac:dyDescent="0.2">
      <c r="A1470" s="2031"/>
      <c r="B1470" s="1968"/>
      <c r="C1470" s="2032"/>
      <c r="D1470" s="2033"/>
      <c r="E1470" s="2000"/>
      <c r="F1470" s="2000"/>
      <c r="G1470" s="2000"/>
      <c r="H1470" s="2000"/>
      <c r="I1470" s="1968"/>
      <c r="J1470" s="1968"/>
      <c r="K1470" s="2000"/>
      <c r="L1470" s="2000"/>
      <c r="M1470" s="1968"/>
      <c r="N1470" s="1968"/>
      <c r="O1470" s="1968"/>
      <c r="P1470" s="1968"/>
      <c r="Q1470" s="1968"/>
      <c r="R1470" s="1968"/>
      <c r="S1470" s="1968"/>
      <c r="T1470" s="1968"/>
    </row>
    <row r="1471" spans="1:20" x14ac:dyDescent="0.2">
      <c r="A1471" s="2031"/>
      <c r="B1471" s="1968"/>
      <c r="C1471" s="2032"/>
      <c r="D1471" s="2033"/>
      <c r="E1471" s="2000"/>
      <c r="F1471" s="2000"/>
      <c r="G1471" s="2000"/>
      <c r="H1471" s="2000"/>
      <c r="I1471" s="1968"/>
      <c r="J1471" s="1968"/>
      <c r="K1471" s="2000"/>
      <c r="L1471" s="2000"/>
      <c r="M1471" s="1968"/>
      <c r="N1471" s="1968"/>
      <c r="O1471" s="1968"/>
      <c r="P1471" s="1968"/>
      <c r="Q1471" s="1968"/>
      <c r="R1471" s="1968"/>
      <c r="S1471" s="1968"/>
      <c r="T1471" s="1968"/>
    </row>
    <row r="1472" spans="1:20" x14ac:dyDescent="0.2">
      <c r="A1472" s="2031"/>
      <c r="B1472" s="1968"/>
      <c r="C1472" s="2032"/>
      <c r="D1472" s="2033"/>
      <c r="E1472" s="2000"/>
      <c r="F1472" s="2000"/>
      <c r="G1472" s="2000"/>
      <c r="H1472" s="2000"/>
      <c r="I1472" s="1968"/>
      <c r="J1472" s="1968"/>
      <c r="K1472" s="2000"/>
      <c r="L1472" s="2000"/>
      <c r="M1472" s="1968"/>
      <c r="N1472" s="1968"/>
      <c r="O1472" s="1968"/>
      <c r="P1472" s="1968"/>
      <c r="Q1472" s="1968"/>
      <c r="R1472" s="1968"/>
      <c r="S1472" s="1968"/>
      <c r="T1472" s="1968"/>
    </row>
    <row r="1473" spans="1:20" x14ac:dyDescent="0.2">
      <c r="A1473" s="2031"/>
      <c r="B1473" s="1968"/>
      <c r="C1473" s="2032"/>
      <c r="D1473" s="2033"/>
      <c r="E1473" s="2000"/>
      <c r="F1473" s="2000"/>
      <c r="G1473" s="2000"/>
      <c r="H1473" s="2000"/>
      <c r="I1473" s="1968"/>
      <c r="J1473" s="1968"/>
      <c r="K1473" s="2000"/>
      <c r="L1473" s="2000"/>
      <c r="M1473" s="1968"/>
      <c r="N1473" s="1968"/>
      <c r="O1473" s="1968"/>
      <c r="P1473" s="1968"/>
      <c r="Q1473" s="1968"/>
      <c r="R1473" s="1968"/>
      <c r="S1473" s="1968"/>
      <c r="T1473" s="1968"/>
    </row>
    <row r="1474" spans="1:20" x14ac:dyDescent="0.2">
      <c r="A1474" s="2031"/>
      <c r="B1474" s="1968"/>
      <c r="C1474" s="2032"/>
      <c r="D1474" s="2033"/>
      <c r="E1474" s="2000"/>
      <c r="F1474" s="2000"/>
      <c r="G1474" s="2000"/>
      <c r="H1474" s="2000"/>
      <c r="I1474" s="1968"/>
      <c r="J1474" s="1968"/>
      <c r="K1474" s="2000"/>
      <c r="L1474" s="2000"/>
      <c r="M1474" s="1968"/>
      <c r="N1474" s="1968"/>
      <c r="O1474" s="1968"/>
      <c r="P1474" s="1968"/>
      <c r="Q1474" s="1968"/>
      <c r="R1474" s="1968"/>
      <c r="S1474" s="1968"/>
      <c r="T1474" s="1968"/>
    </row>
    <row r="1475" spans="1:20" x14ac:dyDescent="0.2">
      <c r="A1475" s="2031"/>
      <c r="B1475" s="1968"/>
      <c r="C1475" s="2032"/>
      <c r="D1475" s="2033"/>
      <c r="E1475" s="2000"/>
      <c r="F1475" s="2000"/>
      <c r="G1475" s="2000"/>
      <c r="H1475" s="2000"/>
      <c r="I1475" s="1968"/>
      <c r="J1475" s="1968"/>
      <c r="K1475" s="2000"/>
      <c r="L1475" s="2000"/>
      <c r="M1475" s="1968"/>
      <c r="N1475" s="1968"/>
      <c r="O1475" s="1968"/>
      <c r="P1475" s="1968"/>
      <c r="Q1475" s="1968"/>
      <c r="R1475" s="1968"/>
      <c r="S1475" s="1968"/>
      <c r="T1475" s="1968"/>
    </row>
    <row r="1476" spans="1:20" x14ac:dyDescent="0.2">
      <c r="A1476" s="2031"/>
      <c r="B1476" s="1968"/>
      <c r="C1476" s="2032"/>
      <c r="D1476" s="2033"/>
      <c r="E1476" s="2000"/>
      <c r="F1476" s="2000"/>
      <c r="G1476" s="2000"/>
      <c r="H1476" s="2000"/>
      <c r="I1476" s="1968"/>
      <c r="J1476" s="1968"/>
      <c r="K1476" s="2000"/>
      <c r="L1476" s="2000"/>
      <c r="M1476" s="1968"/>
      <c r="N1476" s="1968"/>
      <c r="O1476" s="1968"/>
      <c r="P1476" s="1968"/>
      <c r="Q1476" s="1968"/>
      <c r="R1476" s="1968"/>
      <c r="S1476" s="1968"/>
      <c r="T1476" s="1968"/>
    </row>
    <row r="1477" spans="1:20" x14ac:dyDescent="0.2">
      <c r="A1477" s="2031"/>
      <c r="B1477" s="1968"/>
      <c r="C1477" s="2032"/>
      <c r="D1477" s="2033"/>
      <c r="E1477" s="2000"/>
      <c r="F1477" s="2000"/>
      <c r="G1477" s="2000"/>
      <c r="H1477" s="2000"/>
      <c r="I1477" s="1968"/>
      <c r="J1477" s="1968"/>
      <c r="K1477" s="2000"/>
      <c r="L1477" s="2000"/>
      <c r="M1477" s="1968"/>
      <c r="N1477" s="1968"/>
      <c r="O1477" s="1968"/>
      <c r="P1477" s="1968"/>
      <c r="Q1477" s="1968"/>
      <c r="R1477" s="1968"/>
      <c r="S1477" s="1968"/>
      <c r="T1477" s="1968"/>
    </row>
    <row r="1478" spans="1:20" x14ac:dyDescent="0.2">
      <c r="A1478" s="2031"/>
      <c r="B1478" s="1968"/>
      <c r="C1478" s="2032"/>
      <c r="D1478" s="2033"/>
      <c r="E1478" s="2000"/>
      <c r="F1478" s="2000"/>
      <c r="G1478" s="2000"/>
      <c r="H1478" s="2000"/>
      <c r="I1478" s="1968"/>
      <c r="J1478" s="1968"/>
      <c r="K1478" s="2000"/>
      <c r="L1478" s="2000"/>
      <c r="M1478" s="1968"/>
      <c r="N1478" s="1968"/>
      <c r="O1478" s="1968"/>
      <c r="P1478" s="1968"/>
      <c r="Q1478" s="1968"/>
      <c r="R1478" s="1968"/>
      <c r="S1478" s="1968"/>
      <c r="T1478" s="1968"/>
    </row>
    <row r="1479" spans="1:20" x14ac:dyDescent="0.2">
      <c r="A1479" s="2031"/>
      <c r="B1479" s="1968"/>
      <c r="C1479" s="2032"/>
      <c r="D1479" s="2033"/>
      <c r="E1479" s="2000"/>
      <c r="F1479" s="2000"/>
      <c r="G1479" s="2000"/>
      <c r="H1479" s="2000"/>
      <c r="I1479" s="1968"/>
      <c r="J1479" s="1968"/>
      <c r="K1479" s="2000"/>
      <c r="L1479" s="2000"/>
      <c r="M1479" s="1968"/>
      <c r="N1479" s="1968"/>
      <c r="O1479" s="1968"/>
      <c r="P1479" s="1968"/>
      <c r="Q1479" s="1968"/>
      <c r="R1479" s="1968"/>
      <c r="S1479" s="1968"/>
      <c r="T1479" s="1968"/>
    </row>
    <row r="1480" spans="1:20" x14ac:dyDescent="0.2">
      <c r="A1480" s="2031"/>
      <c r="B1480" s="1968"/>
      <c r="C1480" s="2032"/>
      <c r="D1480" s="2033"/>
      <c r="E1480" s="2000"/>
      <c r="F1480" s="2000"/>
      <c r="G1480" s="2000"/>
      <c r="H1480" s="2000"/>
      <c r="I1480" s="1968"/>
      <c r="J1480" s="1968"/>
      <c r="K1480" s="2000"/>
      <c r="L1480" s="2000"/>
      <c r="M1480" s="1968"/>
      <c r="N1480" s="1968"/>
      <c r="O1480" s="1968"/>
      <c r="P1480" s="1968"/>
      <c r="Q1480" s="1968"/>
      <c r="R1480" s="1968"/>
      <c r="S1480" s="1968"/>
      <c r="T1480" s="1968"/>
    </row>
    <row r="1481" spans="1:20" x14ac:dyDescent="0.2">
      <c r="A1481" s="2031"/>
      <c r="B1481" s="1968"/>
      <c r="C1481" s="2032"/>
      <c r="D1481" s="2033"/>
      <c r="E1481" s="2000"/>
      <c r="F1481" s="2000"/>
      <c r="G1481" s="2000"/>
      <c r="H1481" s="2000"/>
      <c r="I1481" s="1968"/>
      <c r="J1481" s="1968"/>
      <c r="K1481" s="2000"/>
      <c r="L1481" s="2000"/>
      <c r="M1481" s="1968"/>
      <c r="N1481" s="1968"/>
      <c r="O1481" s="1968"/>
      <c r="P1481" s="1968"/>
      <c r="Q1481" s="1968"/>
      <c r="R1481" s="1968"/>
      <c r="S1481" s="1968"/>
      <c r="T1481" s="1968"/>
    </row>
    <row r="1482" spans="1:20" x14ac:dyDescent="0.2">
      <c r="A1482" s="2031"/>
      <c r="B1482" s="1968"/>
      <c r="C1482" s="2032"/>
      <c r="D1482" s="2033"/>
      <c r="E1482" s="2000"/>
      <c r="F1482" s="2000"/>
      <c r="G1482" s="2000"/>
      <c r="H1482" s="2000"/>
      <c r="I1482" s="1968"/>
      <c r="J1482" s="1968"/>
      <c r="K1482" s="2000"/>
      <c r="L1482" s="2000"/>
      <c r="M1482" s="1968"/>
      <c r="N1482" s="1968"/>
      <c r="O1482" s="1968"/>
      <c r="P1482" s="1968"/>
      <c r="Q1482" s="1968"/>
      <c r="R1482" s="1968"/>
      <c r="S1482" s="1968"/>
      <c r="T1482" s="1968"/>
    </row>
    <row r="1483" spans="1:20" x14ac:dyDescent="0.2">
      <c r="A1483" s="2031"/>
      <c r="B1483" s="1968"/>
      <c r="C1483" s="2032"/>
      <c r="D1483" s="2033"/>
      <c r="E1483" s="2000"/>
      <c r="F1483" s="2000"/>
      <c r="G1483" s="2000"/>
      <c r="H1483" s="2000"/>
      <c r="I1483" s="1968"/>
      <c r="J1483" s="1968"/>
      <c r="K1483" s="2000"/>
      <c r="L1483" s="2000"/>
      <c r="M1483" s="1968"/>
      <c r="N1483" s="1968"/>
      <c r="O1483" s="1968"/>
      <c r="P1483" s="1968"/>
      <c r="Q1483" s="1968"/>
      <c r="R1483" s="1968"/>
      <c r="S1483" s="1968"/>
      <c r="T1483" s="1968"/>
    </row>
    <row r="1484" spans="1:20" x14ac:dyDescent="0.2">
      <c r="A1484" s="2031"/>
      <c r="B1484" s="1968"/>
      <c r="C1484" s="2032"/>
      <c r="D1484" s="2033"/>
      <c r="E1484" s="2000"/>
      <c r="F1484" s="2000"/>
      <c r="G1484" s="2000"/>
      <c r="H1484" s="2000"/>
      <c r="I1484" s="1968"/>
      <c r="J1484" s="1968"/>
      <c r="K1484" s="2000"/>
      <c r="L1484" s="2000"/>
      <c r="M1484" s="1968"/>
      <c r="N1484" s="1968"/>
      <c r="O1484" s="1968"/>
      <c r="P1484" s="1968"/>
      <c r="Q1484" s="1968"/>
      <c r="R1484" s="1968"/>
      <c r="S1484" s="1968"/>
      <c r="T1484" s="1968"/>
    </row>
    <row r="1485" spans="1:20" x14ac:dyDescent="0.2">
      <c r="A1485" s="2031"/>
      <c r="B1485" s="1968"/>
      <c r="C1485" s="2032"/>
      <c r="D1485" s="2033"/>
      <c r="E1485" s="2000"/>
      <c r="F1485" s="2000"/>
      <c r="G1485" s="2000"/>
      <c r="H1485" s="2000"/>
      <c r="I1485" s="1968"/>
      <c r="J1485" s="1968"/>
      <c r="K1485" s="2000"/>
      <c r="L1485" s="2000"/>
      <c r="M1485" s="1968"/>
      <c r="N1485" s="1968"/>
      <c r="O1485" s="1968"/>
      <c r="P1485" s="1968"/>
      <c r="Q1485" s="1968"/>
      <c r="R1485" s="1968"/>
      <c r="S1485" s="1968"/>
      <c r="T1485" s="1968"/>
    </row>
    <row r="1486" spans="1:20" x14ac:dyDescent="0.2">
      <c r="A1486" s="2031"/>
      <c r="B1486" s="1968"/>
      <c r="C1486" s="2032"/>
      <c r="D1486" s="2033"/>
      <c r="E1486" s="2000"/>
      <c r="F1486" s="2000"/>
      <c r="G1486" s="2000"/>
      <c r="H1486" s="2000"/>
      <c r="I1486" s="1968"/>
      <c r="J1486" s="1968"/>
      <c r="K1486" s="2000"/>
      <c r="L1486" s="2000"/>
      <c r="M1486" s="1968"/>
      <c r="N1486" s="1968"/>
      <c r="O1486" s="1968"/>
      <c r="P1486" s="1968"/>
      <c r="Q1486" s="1968"/>
      <c r="R1486" s="1968"/>
      <c r="S1486" s="1968"/>
      <c r="T1486" s="1968"/>
    </row>
    <row r="1487" spans="1:20" x14ac:dyDescent="0.2">
      <c r="A1487" s="2031"/>
      <c r="B1487" s="1968"/>
      <c r="C1487" s="2032"/>
      <c r="D1487" s="2033"/>
      <c r="E1487" s="2000"/>
      <c r="F1487" s="2000"/>
      <c r="G1487" s="2000"/>
      <c r="H1487" s="2000"/>
      <c r="I1487" s="1968"/>
      <c r="J1487" s="1968"/>
      <c r="K1487" s="2000"/>
      <c r="L1487" s="2000"/>
      <c r="M1487" s="1968"/>
      <c r="N1487" s="1968"/>
      <c r="O1487" s="1968"/>
      <c r="P1487" s="1968"/>
      <c r="Q1487" s="1968"/>
      <c r="R1487" s="1968"/>
      <c r="S1487" s="1968"/>
      <c r="T1487" s="1968"/>
    </row>
    <row r="1488" spans="1:20" x14ac:dyDescent="0.2">
      <c r="A1488" s="2031"/>
      <c r="B1488" s="1968"/>
      <c r="C1488" s="2032"/>
      <c r="D1488" s="2033"/>
      <c r="E1488" s="2000"/>
      <c r="F1488" s="2000"/>
      <c r="G1488" s="2000"/>
      <c r="H1488" s="2000"/>
      <c r="I1488" s="1968"/>
      <c r="J1488" s="1968"/>
      <c r="K1488" s="2000"/>
      <c r="L1488" s="2000"/>
      <c r="M1488" s="1968"/>
      <c r="N1488" s="1968"/>
      <c r="O1488" s="1968"/>
      <c r="P1488" s="1968"/>
      <c r="Q1488" s="1968"/>
      <c r="R1488" s="1968"/>
      <c r="S1488" s="1968"/>
      <c r="T1488" s="1968"/>
    </row>
    <row r="1489" spans="1:20" x14ac:dyDescent="0.2">
      <c r="A1489" s="2031"/>
      <c r="B1489" s="1968"/>
      <c r="C1489" s="2032"/>
      <c r="D1489" s="2033"/>
      <c r="E1489" s="2000"/>
      <c r="F1489" s="2000"/>
      <c r="G1489" s="2000"/>
      <c r="H1489" s="2000"/>
      <c r="I1489" s="1968"/>
      <c r="J1489" s="1968"/>
      <c r="K1489" s="2000"/>
      <c r="L1489" s="2000"/>
      <c r="M1489" s="1968"/>
      <c r="N1489" s="1968"/>
      <c r="O1489" s="1968"/>
      <c r="P1489" s="1968"/>
      <c r="Q1489" s="1968"/>
      <c r="R1489" s="1968"/>
      <c r="S1489" s="1968"/>
      <c r="T1489" s="1968"/>
    </row>
    <row r="1490" spans="1:20" x14ac:dyDescent="0.2">
      <c r="A1490" s="2031"/>
      <c r="B1490" s="1968"/>
      <c r="C1490" s="2032"/>
      <c r="D1490" s="2033"/>
      <c r="E1490" s="2000"/>
      <c r="F1490" s="2000"/>
      <c r="G1490" s="2000"/>
      <c r="H1490" s="2000"/>
      <c r="I1490" s="1968"/>
      <c r="J1490" s="1968"/>
      <c r="K1490" s="2000"/>
      <c r="L1490" s="2000"/>
      <c r="M1490" s="1968"/>
      <c r="N1490" s="1968"/>
      <c r="O1490" s="1968"/>
      <c r="P1490" s="1968"/>
      <c r="Q1490" s="1968"/>
      <c r="R1490" s="1968"/>
      <c r="S1490" s="1968"/>
      <c r="T1490" s="1968"/>
    </row>
    <row r="1491" spans="1:20" x14ac:dyDescent="0.2">
      <c r="A1491" s="2031"/>
      <c r="B1491" s="1968"/>
      <c r="C1491" s="2032"/>
      <c r="D1491" s="2033"/>
      <c r="E1491" s="2000"/>
      <c r="F1491" s="2000"/>
      <c r="G1491" s="2000"/>
      <c r="H1491" s="2000"/>
      <c r="I1491" s="1968"/>
      <c r="J1491" s="1968"/>
      <c r="K1491" s="2000"/>
      <c r="L1491" s="2000"/>
      <c r="M1491" s="1968"/>
      <c r="N1491" s="1968"/>
      <c r="O1491" s="1968"/>
      <c r="P1491" s="1968"/>
      <c r="Q1491" s="1968"/>
      <c r="R1491" s="1968"/>
      <c r="S1491" s="1968"/>
      <c r="T1491" s="1968"/>
    </row>
    <row r="1492" spans="1:20" x14ac:dyDescent="0.2">
      <c r="A1492" s="2031"/>
      <c r="B1492" s="1968"/>
      <c r="C1492" s="2032"/>
      <c r="D1492" s="2033"/>
      <c r="E1492" s="2000"/>
      <c r="F1492" s="2000"/>
      <c r="G1492" s="2000"/>
      <c r="H1492" s="2000"/>
      <c r="I1492" s="1968"/>
      <c r="J1492" s="1968"/>
      <c r="K1492" s="2000"/>
      <c r="L1492" s="2000"/>
      <c r="M1492" s="1968"/>
      <c r="N1492" s="1968"/>
      <c r="O1492" s="1968"/>
      <c r="P1492" s="1968"/>
      <c r="Q1492" s="1968"/>
      <c r="R1492" s="1968"/>
      <c r="S1492" s="1968"/>
      <c r="T1492" s="1968"/>
    </row>
    <row r="1493" spans="1:20" x14ac:dyDescent="0.2">
      <c r="A1493" s="2031"/>
      <c r="B1493" s="1968"/>
      <c r="C1493" s="2032"/>
      <c r="D1493" s="2033"/>
      <c r="E1493" s="2000"/>
      <c r="F1493" s="2000"/>
      <c r="G1493" s="2000"/>
      <c r="H1493" s="2000"/>
      <c r="I1493" s="1968"/>
      <c r="J1493" s="1968"/>
      <c r="K1493" s="2000"/>
      <c r="L1493" s="2000"/>
      <c r="M1493" s="1968"/>
      <c r="N1493" s="1968"/>
      <c r="O1493" s="1968"/>
      <c r="P1493" s="1968"/>
      <c r="Q1493" s="1968"/>
      <c r="R1493" s="1968"/>
      <c r="S1493" s="1968"/>
      <c r="T1493" s="1968"/>
    </row>
    <row r="1494" spans="1:20" x14ac:dyDescent="0.2">
      <c r="A1494" s="2031"/>
      <c r="B1494" s="1968"/>
      <c r="C1494" s="2032"/>
      <c r="D1494" s="2033"/>
      <c r="E1494" s="2000"/>
      <c r="F1494" s="2000"/>
      <c r="G1494" s="2000"/>
      <c r="H1494" s="2000"/>
      <c r="I1494" s="1968"/>
      <c r="J1494" s="1968"/>
      <c r="K1494" s="2000"/>
      <c r="L1494" s="2000"/>
      <c r="M1494" s="1968"/>
      <c r="N1494" s="1968"/>
      <c r="O1494" s="1968"/>
      <c r="P1494" s="1968"/>
      <c r="Q1494" s="1968"/>
      <c r="R1494" s="1968"/>
      <c r="S1494" s="1968"/>
      <c r="T1494" s="1968"/>
    </row>
    <row r="1495" spans="1:20" x14ac:dyDescent="0.2">
      <c r="A1495" s="2031"/>
      <c r="B1495" s="1968"/>
      <c r="C1495" s="2032"/>
      <c r="D1495" s="2033"/>
      <c r="E1495" s="2000"/>
      <c r="F1495" s="2000"/>
      <c r="G1495" s="2000"/>
      <c r="H1495" s="2000"/>
      <c r="I1495" s="1968"/>
      <c r="J1495" s="1968"/>
      <c r="K1495" s="2000"/>
      <c r="L1495" s="2000"/>
      <c r="M1495" s="1968"/>
      <c r="N1495" s="1968"/>
      <c r="O1495" s="1968"/>
      <c r="P1495" s="1968"/>
      <c r="Q1495" s="1968"/>
      <c r="R1495" s="1968"/>
      <c r="S1495" s="1968"/>
      <c r="T1495" s="1968"/>
    </row>
    <row r="1496" spans="1:20" x14ac:dyDescent="0.2">
      <c r="A1496" s="2031"/>
      <c r="B1496" s="1968"/>
      <c r="C1496" s="2032"/>
      <c r="D1496" s="2033"/>
      <c r="E1496" s="2000"/>
      <c r="F1496" s="2000"/>
      <c r="G1496" s="2000"/>
      <c r="H1496" s="2000"/>
      <c r="I1496" s="1968"/>
      <c r="J1496" s="1968"/>
      <c r="K1496" s="2000"/>
      <c r="L1496" s="2000"/>
      <c r="M1496" s="1968"/>
      <c r="N1496" s="1968"/>
      <c r="O1496" s="1968"/>
      <c r="P1496" s="1968"/>
      <c r="Q1496" s="1968"/>
      <c r="R1496" s="1968"/>
      <c r="S1496" s="1968"/>
      <c r="T1496" s="1968"/>
    </row>
    <row r="1497" spans="1:20" x14ac:dyDescent="0.2">
      <c r="A1497" s="2031"/>
      <c r="B1497" s="1968"/>
      <c r="C1497" s="2032"/>
      <c r="D1497" s="2033"/>
      <c r="E1497" s="2000"/>
      <c r="F1497" s="2000"/>
      <c r="G1497" s="2000"/>
      <c r="H1497" s="2000"/>
      <c r="I1497" s="1968"/>
      <c r="J1497" s="1968"/>
      <c r="K1497" s="2000"/>
      <c r="L1497" s="2000"/>
      <c r="M1497" s="1968"/>
      <c r="N1497" s="1968"/>
      <c r="O1497" s="1968"/>
      <c r="P1497" s="1968"/>
      <c r="Q1497" s="1968"/>
      <c r="R1497" s="1968"/>
      <c r="S1497" s="1968"/>
      <c r="T1497" s="1968"/>
    </row>
    <row r="1498" spans="1:20" x14ac:dyDescent="0.2">
      <c r="A1498" s="2031"/>
      <c r="B1498" s="1968"/>
      <c r="C1498" s="2032"/>
      <c r="D1498" s="2033"/>
      <c r="E1498" s="2000"/>
      <c r="F1498" s="2000"/>
      <c r="G1498" s="2000"/>
      <c r="H1498" s="2000"/>
      <c r="I1498" s="1968"/>
      <c r="J1498" s="1968"/>
      <c r="K1498" s="2000"/>
      <c r="L1498" s="2000"/>
      <c r="M1498" s="1968"/>
      <c r="N1498" s="1968"/>
      <c r="O1498" s="1968"/>
      <c r="P1498" s="1968"/>
      <c r="Q1498" s="1968"/>
      <c r="R1498" s="1968"/>
      <c r="S1498" s="1968"/>
      <c r="T1498" s="1968"/>
    </row>
    <row r="1499" spans="1:20" x14ac:dyDescent="0.2">
      <c r="A1499" s="2031"/>
      <c r="B1499" s="1968"/>
      <c r="C1499" s="2032"/>
      <c r="D1499" s="2033"/>
      <c r="E1499" s="2000"/>
      <c r="F1499" s="2000"/>
      <c r="G1499" s="2000"/>
      <c r="H1499" s="2000"/>
      <c r="I1499" s="1968"/>
      <c r="J1499" s="1968"/>
      <c r="K1499" s="2000"/>
      <c r="L1499" s="2000"/>
      <c r="M1499" s="1968"/>
      <c r="N1499" s="1968"/>
      <c r="O1499" s="1968"/>
      <c r="P1499" s="1968"/>
      <c r="Q1499" s="1968"/>
      <c r="R1499" s="1968"/>
      <c r="S1499" s="1968"/>
      <c r="T1499" s="1968"/>
    </row>
    <row r="1500" spans="1:20" x14ac:dyDescent="0.2">
      <c r="A1500" s="2031"/>
      <c r="B1500" s="1968"/>
      <c r="C1500" s="2032"/>
      <c r="D1500" s="2033"/>
      <c r="E1500" s="2000"/>
      <c r="F1500" s="2000"/>
      <c r="G1500" s="2000"/>
      <c r="H1500" s="2000"/>
      <c r="I1500" s="1968"/>
      <c r="J1500" s="1968"/>
      <c r="K1500" s="2000"/>
      <c r="L1500" s="2000"/>
      <c r="M1500" s="1968"/>
      <c r="N1500" s="1968"/>
      <c r="O1500" s="1968"/>
      <c r="P1500" s="1968"/>
      <c r="Q1500" s="1968"/>
      <c r="R1500" s="1968"/>
      <c r="S1500" s="1968"/>
      <c r="T1500" s="1968"/>
    </row>
    <row r="1501" spans="1:20" x14ac:dyDescent="0.2">
      <c r="A1501" s="2031"/>
      <c r="B1501" s="1968"/>
      <c r="C1501" s="2032"/>
      <c r="D1501" s="2033"/>
      <c r="E1501" s="2000"/>
      <c r="F1501" s="2000"/>
      <c r="G1501" s="2000"/>
      <c r="H1501" s="2000"/>
      <c r="I1501" s="1968"/>
      <c r="J1501" s="1968"/>
      <c r="K1501" s="2000"/>
      <c r="L1501" s="2000"/>
      <c r="M1501" s="1968"/>
      <c r="N1501" s="1968"/>
      <c r="O1501" s="1968"/>
      <c r="P1501" s="1968"/>
      <c r="Q1501" s="1968"/>
      <c r="R1501" s="1968"/>
      <c r="S1501" s="1968"/>
      <c r="T1501" s="1968"/>
    </row>
    <row r="1502" spans="1:20" x14ac:dyDescent="0.2">
      <c r="A1502" s="2031"/>
      <c r="B1502" s="1968"/>
      <c r="C1502" s="2032"/>
      <c r="D1502" s="2033"/>
      <c r="E1502" s="2000"/>
      <c r="F1502" s="2000"/>
      <c r="G1502" s="2000"/>
      <c r="H1502" s="2000"/>
      <c r="I1502" s="1968"/>
      <c r="J1502" s="1968"/>
      <c r="K1502" s="2000"/>
      <c r="L1502" s="2000"/>
      <c r="M1502" s="1968"/>
      <c r="N1502" s="1968"/>
      <c r="O1502" s="1968"/>
      <c r="P1502" s="1968"/>
      <c r="Q1502" s="1968"/>
      <c r="R1502" s="1968"/>
      <c r="S1502" s="1968"/>
      <c r="T1502" s="1968"/>
    </row>
    <row r="1503" spans="1:20" x14ac:dyDescent="0.2">
      <c r="A1503" s="2031"/>
      <c r="B1503" s="1968"/>
      <c r="C1503" s="2032"/>
      <c r="D1503" s="2033"/>
      <c r="E1503" s="2000"/>
      <c r="F1503" s="2000"/>
      <c r="G1503" s="2000"/>
      <c r="H1503" s="2000"/>
      <c r="I1503" s="1968"/>
      <c r="J1503" s="1968"/>
      <c r="K1503" s="2000"/>
      <c r="L1503" s="2000"/>
      <c r="M1503" s="1968"/>
      <c r="N1503" s="1968"/>
      <c r="O1503" s="1968"/>
      <c r="P1503" s="1968"/>
      <c r="Q1503" s="1968"/>
      <c r="R1503" s="1968"/>
      <c r="S1503" s="1968"/>
      <c r="T1503" s="1968"/>
    </row>
    <row r="1504" spans="1:20" x14ac:dyDescent="0.2">
      <c r="A1504" s="2031"/>
      <c r="B1504" s="1968"/>
      <c r="C1504" s="2032"/>
      <c r="D1504" s="2033"/>
      <c r="E1504" s="2000"/>
      <c r="F1504" s="2000"/>
      <c r="G1504" s="2000"/>
      <c r="H1504" s="2000"/>
      <c r="I1504" s="1968"/>
      <c r="J1504" s="1968"/>
      <c r="K1504" s="2000"/>
      <c r="L1504" s="2000"/>
      <c r="M1504" s="1968"/>
      <c r="N1504" s="1968"/>
      <c r="O1504" s="1968"/>
      <c r="P1504" s="1968"/>
      <c r="Q1504" s="1968"/>
      <c r="R1504" s="1968"/>
      <c r="S1504" s="1968"/>
      <c r="T1504" s="1968"/>
    </row>
    <row r="1505" spans="1:20" x14ac:dyDescent="0.2">
      <c r="A1505" s="2031"/>
      <c r="B1505" s="1968"/>
      <c r="C1505" s="2032"/>
      <c r="D1505" s="2033"/>
      <c r="E1505" s="2000"/>
      <c r="F1505" s="2000"/>
      <c r="G1505" s="2000"/>
      <c r="H1505" s="2000"/>
      <c r="I1505" s="1968"/>
      <c r="J1505" s="1968"/>
      <c r="K1505" s="2000"/>
      <c r="L1505" s="2000"/>
      <c r="M1505" s="1968"/>
      <c r="N1505" s="1968"/>
      <c r="O1505" s="1968"/>
      <c r="P1505" s="1968"/>
      <c r="Q1505" s="1968"/>
      <c r="R1505" s="1968"/>
      <c r="S1505" s="1968"/>
      <c r="T1505" s="1968"/>
    </row>
    <row r="1506" spans="1:20" x14ac:dyDescent="0.2">
      <c r="A1506" s="2031"/>
      <c r="B1506" s="1968"/>
      <c r="C1506" s="2032"/>
      <c r="D1506" s="2033"/>
      <c r="E1506" s="2000"/>
      <c r="F1506" s="2000"/>
      <c r="G1506" s="2000"/>
      <c r="H1506" s="2000"/>
      <c r="I1506" s="1968"/>
      <c r="J1506" s="1968"/>
      <c r="K1506" s="2000"/>
      <c r="L1506" s="2000"/>
      <c r="M1506" s="1968"/>
      <c r="N1506" s="1968"/>
      <c r="O1506" s="1968"/>
      <c r="P1506" s="1968"/>
      <c r="Q1506" s="1968"/>
      <c r="R1506" s="1968"/>
      <c r="S1506" s="1968"/>
      <c r="T1506" s="1968"/>
    </row>
    <row r="1507" spans="1:20" x14ac:dyDescent="0.2">
      <c r="A1507" s="2031"/>
      <c r="B1507" s="1968"/>
      <c r="C1507" s="2032"/>
      <c r="D1507" s="2033"/>
      <c r="E1507" s="2000"/>
      <c r="F1507" s="2000"/>
      <c r="G1507" s="2000"/>
      <c r="H1507" s="2000"/>
      <c r="I1507" s="1968"/>
      <c r="J1507" s="1968"/>
      <c r="K1507" s="2000"/>
      <c r="L1507" s="2000"/>
      <c r="M1507" s="1968"/>
      <c r="N1507" s="1968"/>
      <c r="O1507" s="1968"/>
      <c r="P1507" s="1968"/>
      <c r="Q1507" s="1968"/>
      <c r="R1507" s="1968"/>
      <c r="S1507" s="1968"/>
      <c r="T1507" s="1968"/>
    </row>
    <row r="1508" spans="1:20" x14ac:dyDescent="0.2">
      <c r="A1508" s="2031"/>
      <c r="B1508" s="1968"/>
      <c r="C1508" s="2032"/>
      <c r="D1508" s="2033"/>
      <c r="E1508" s="2000"/>
      <c r="F1508" s="2000"/>
      <c r="G1508" s="2000"/>
      <c r="H1508" s="2000"/>
      <c r="I1508" s="1968"/>
      <c r="J1508" s="1968"/>
      <c r="K1508" s="2000"/>
      <c r="L1508" s="2000"/>
      <c r="M1508" s="1968"/>
      <c r="N1508" s="1968"/>
      <c r="O1508" s="1968"/>
      <c r="P1508" s="1968"/>
      <c r="Q1508" s="1968"/>
      <c r="R1508" s="1968"/>
      <c r="S1508" s="1968"/>
      <c r="T1508" s="1968"/>
    </row>
    <row r="1509" spans="1:20" x14ac:dyDescent="0.2">
      <c r="A1509" s="2031"/>
      <c r="B1509" s="1968"/>
      <c r="C1509" s="2032"/>
      <c r="D1509" s="2033"/>
      <c r="E1509" s="2000"/>
      <c r="F1509" s="2000"/>
      <c r="G1509" s="2000"/>
      <c r="H1509" s="2000"/>
      <c r="I1509" s="1968"/>
      <c r="J1509" s="1968"/>
      <c r="K1509" s="2000"/>
      <c r="L1509" s="2000"/>
      <c r="M1509" s="1968"/>
      <c r="N1509" s="1968"/>
      <c r="O1509" s="1968"/>
      <c r="P1509" s="1968"/>
      <c r="Q1509" s="1968"/>
      <c r="R1509" s="1968"/>
      <c r="S1509" s="1968"/>
      <c r="T1509" s="1968"/>
    </row>
    <row r="1510" spans="1:20" x14ac:dyDescent="0.2">
      <c r="A1510" s="2031"/>
      <c r="B1510" s="1968"/>
      <c r="C1510" s="2032"/>
      <c r="D1510" s="2033"/>
      <c r="E1510" s="2000"/>
      <c r="F1510" s="2000"/>
      <c r="G1510" s="2000"/>
      <c r="H1510" s="2000"/>
      <c r="I1510" s="1968"/>
      <c r="J1510" s="1968"/>
      <c r="K1510" s="2000"/>
      <c r="L1510" s="2000"/>
      <c r="M1510" s="1968"/>
      <c r="N1510" s="1968"/>
      <c r="O1510" s="1968"/>
      <c r="P1510" s="1968"/>
      <c r="Q1510" s="1968"/>
      <c r="R1510" s="1968"/>
      <c r="S1510" s="1968"/>
      <c r="T1510" s="1968"/>
    </row>
    <row r="1511" spans="1:20" x14ac:dyDescent="0.2">
      <c r="A1511" s="2031"/>
      <c r="B1511" s="1968"/>
      <c r="C1511" s="2032"/>
      <c r="D1511" s="2033"/>
      <c r="E1511" s="2000"/>
      <c r="F1511" s="2000"/>
      <c r="G1511" s="2000"/>
      <c r="H1511" s="2000"/>
      <c r="I1511" s="1968"/>
      <c r="J1511" s="1968"/>
      <c r="K1511" s="2000"/>
      <c r="L1511" s="2000"/>
      <c r="M1511" s="1968"/>
      <c r="N1511" s="1968"/>
      <c r="O1511" s="1968"/>
      <c r="P1511" s="1968"/>
      <c r="Q1511" s="1968"/>
      <c r="R1511" s="1968"/>
      <c r="S1511" s="1968"/>
      <c r="T1511" s="1968"/>
    </row>
    <row r="1512" spans="1:20" x14ac:dyDescent="0.2">
      <c r="A1512" s="2031"/>
      <c r="B1512" s="1968"/>
      <c r="C1512" s="2032"/>
      <c r="D1512" s="2033"/>
      <c r="E1512" s="2000"/>
      <c r="F1512" s="2000"/>
      <c r="G1512" s="2000"/>
      <c r="H1512" s="2000"/>
      <c r="I1512" s="1968"/>
      <c r="J1512" s="1968"/>
      <c r="K1512" s="2000"/>
      <c r="L1512" s="2000"/>
      <c r="M1512" s="1968"/>
      <c r="N1512" s="1968"/>
      <c r="O1512" s="1968"/>
      <c r="P1512" s="1968"/>
      <c r="Q1512" s="1968"/>
      <c r="R1512" s="1968"/>
      <c r="S1512" s="1968"/>
      <c r="T1512" s="1968"/>
    </row>
    <row r="1513" spans="1:20" x14ac:dyDescent="0.2">
      <c r="A1513" s="2031"/>
      <c r="B1513" s="1968"/>
      <c r="C1513" s="2032"/>
      <c r="D1513" s="2033"/>
      <c r="E1513" s="2000"/>
      <c r="F1513" s="2000"/>
      <c r="G1513" s="2000"/>
      <c r="H1513" s="2000"/>
      <c r="I1513" s="1968"/>
      <c r="J1513" s="1968"/>
      <c r="K1513" s="2000"/>
      <c r="L1513" s="2000"/>
      <c r="M1513" s="1968"/>
      <c r="N1513" s="1968"/>
      <c r="O1513" s="1968"/>
      <c r="P1513" s="1968"/>
      <c r="Q1513" s="1968"/>
      <c r="R1513" s="1968"/>
      <c r="S1513" s="1968"/>
      <c r="T1513" s="1968"/>
    </row>
    <row r="1514" spans="1:20" x14ac:dyDescent="0.2">
      <c r="A1514" s="2031"/>
      <c r="B1514" s="1968"/>
      <c r="C1514" s="2032"/>
      <c r="D1514" s="2033"/>
      <c r="E1514" s="2000"/>
      <c r="F1514" s="2000"/>
      <c r="G1514" s="2000"/>
      <c r="H1514" s="2000"/>
      <c r="I1514" s="1968"/>
      <c r="J1514" s="1968"/>
      <c r="K1514" s="2000"/>
      <c r="L1514" s="2000"/>
      <c r="M1514" s="1968"/>
      <c r="N1514" s="1968"/>
      <c r="O1514" s="1968"/>
      <c r="P1514" s="1968"/>
      <c r="Q1514" s="1968"/>
      <c r="R1514" s="1968"/>
      <c r="S1514" s="1968"/>
      <c r="T1514" s="1968"/>
    </row>
    <row r="1515" spans="1:20" x14ac:dyDescent="0.2">
      <c r="A1515" s="2031"/>
      <c r="B1515" s="1968"/>
      <c r="C1515" s="2032"/>
      <c r="D1515" s="2033"/>
      <c r="E1515" s="2000"/>
      <c r="F1515" s="2000"/>
      <c r="G1515" s="2000"/>
      <c r="H1515" s="2000"/>
      <c r="I1515" s="1968"/>
      <c r="J1515" s="1968"/>
      <c r="K1515" s="2000"/>
      <c r="L1515" s="2000"/>
      <c r="M1515" s="1968"/>
      <c r="N1515" s="1968"/>
      <c r="O1515" s="1968"/>
      <c r="P1515" s="1968"/>
      <c r="Q1515" s="1968"/>
      <c r="R1515" s="1968"/>
      <c r="S1515" s="1968"/>
      <c r="T1515" s="1968"/>
    </row>
    <row r="1516" spans="1:20" x14ac:dyDescent="0.2">
      <c r="A1516" s="2031"/>
      <c r="B1516" s="1968"/>
      <c r="C1516" s="2032"/>
      <c r="D1516" s="2033"/>
      <c r="E1516" s="2000"/>
      <c r="F1516" s="2000"/>
      <c r="G1516" s="2000"/>
      <c r="H1516" s="2000"/>
      <c r="I1516" s="1968"/>
      <c r="J1516" s="1968"/>
      <c r="K1516" s="2000"/>
      <c r="L1516" s="2000"/>
      <c r="M1516" s="1968"/>
      <c r="N1516" s="1968"/>
      <c r="O1516" s="1968"/>
      <c r="P1516" s="1968"/>
      <c r="Q1516" s="1968"/>
      <c r="R1516" s="1968"/>
      <c r="S1516" s="1968"/>
      <c r="T1516" s="1968"/>
    </row>
    <row r="1517" spans="1:20" x14ac:dyDescent="0.2">
      <c r="A1517" s="2031"/>
      <c r="B1517" s="1968"/>
      <c r="C1517" s="2032"/>
      <c r="D1517" s="2033"/>
      <c r="E1517" s="2000"/>
      <c r="F1517" s="2000"/>
      <c r="G1517" s="2000"/>
      <c r="H1517" s="2000"/>
      <c r="I1517" s="1968"/>
      <c r="J1517" s="1968"/>
      <c r="K1517" s="2000"/>
      <c r="L1517" s="2000"/>
      <c r="M1517" s="1968"/>
      <c r="N1517" s="1968"/>
      <c r="O1517" s="1968"/>
      <c r="P1517" s="1968"/>
      <c r="Q1517" s="1968"/>
      <c r="R1517" s="1968"/>
      <c r="S1517" s="1968"/>
      <c r="T1517" s="1968"/>
    </row>
    <row r="1518" spans="1:20" x14ac:dyDescent="0.2">
      <c r="A1518" s="2031"/>
      <c r="B1518" s="1968"/>
      <c r="C1518" s="2032"/>
      <c r="D1518" s="2033"/>
      <c r="E1518" s="2000"/>
      <c r="F1518" s="2000"/>
      <c r="G1518" s="2000"/>
      <c r="H1518" s="2000"/>
      <c r="I1518" s="1968"/>
      <c r="J1518" s="1968"/>
      <c r="K1518" s="2000"/>
      <c r="L1518" s="2000"/>
      <c r="M1518" s="1968"/>
      <c r="N1518" s="1968"/>
      <c r="O1518" s="1968"/>
      <c r="P1518" s="1968"/>
      <c r="Q1518" s="1968"/>
      <c r="R1518" s="1968"/>
      <c r="S1518" s="1968"/>
      <c r="T1518" s="1968"/>
    </row>
    <row r="1519" spans="1:20" x14ac:dyDescent="0.2">
      <c r="A1519" s="2031"/>
      <c r="B1519" s="1968"/>
      <c r="C1519" s="2032"/>
      <c r="D1519" s="2033"/>
      <c r="E1519" s="2000"/>
      <c r="F1519" s="2000"/>
      <c r="G1519" s="2000"/>
      <c r="H1519" s="2000"/>
      <c r="I1519" s="1968"/>
      <c r="J1519" s="1968"/>
      <c r="K1519" s="2000"/>
      <c r="L1519" s="2000"/>
      <c r="M1519" s="1968"/>
      <c r="N1519" s="1968"/>
      <c r="O1519" s="1968"/>
      <c r="P1519" s="1968"/>
      <c r="Q1519" s="1968"/>
      <c r="R1519" s="1968"/>
      <c r="S1519" s="1968"/>
      <c r="T1519" s="1968"/>
    </row>
    <row r="1520" spans="1:20" x14ac:dyDescent="0.2">
      <c r="A1520" s="2031"/>
      <c r="B1520" s="1968"/>
      <c r="C1520" s="2032"/>
      <c r="D1520" s="2033"/>
      <c r="E1520" s="2000"/>
      <c r="F1520" s="2000"/>
      <c r="G1520" s="2000"/>
      <c r="H1520" s="2000"/>
      <c r="I1520" s="1968"/>
      <c r="J1520" s="1968"/>
      <c r="K1520" s="2000"/>
      <c r="L1520" s="2000"/>
      <c r="M1520" s="1968"/>
      <c r="N1520" s="1968"/>
      <c r="O1520" s="1968"/>
      <c r="P1520" s="1968"/>
      <c r="Q1520" s="1968"/>
      <c r="R1520" s="1968"/>
      <c r="S1520" s="1968"/>
      <c r="T1520" s="1968"/>
    </row>
    <row r="1521" spans="1:20" x14ac:dyDescent="0.2">
      <c r="A1521" s="2031"/>
      <c r="B1521" s="1968"/>
      <c r="C1521" s="2032"/>
      <c r="D1521" s="2033"/>
      <c r="E1521" s="2000"/>
      <c r="F1521" s="2000"/>
      <c r="G1521" s="2000"/>
      <c r="H1521" s="2000"/>
      <c r="I1521" s="1968"/>
      <c r="J1521" s="1968"/>
      <c r="K1521" s="2000"/>
      <c r="L1521" s="2000"/>
      <c r="M1521" s="1968"/>
      <c r="N1521" s="1968"/>
      <c r="O1521" s="1968"/>
      <c r="P1521" s="1968"/>
      <c r="Q1521" s="1968"/>
      <c r="R1521" s="1968"/>
      <c r="S1521" s="1968"/>
      <c r="T1521" s="1968"/>
    </row>
    <row r="1522" spans="1:20" x14ac:dyDescent="0.2">
      <c r="A1522" s="2031"/>
      <c r="B1522" s="1968"/>
      <c r="C1522" s="2032"/>
      <c r="D1522" s="2033"/>
      <c r="E1522" s="2000"/>
      <c r="F1522" s="2000"/>
      <c r="G1522" s="2000"/>
      <c r="H1522" s="2000"/>
      <c r="I1522" s="1968"/>
      <c r="J1522" s="1968"/>
      <c r="K1522" s="2000"/>
      <c r="L1522" s="2000"/>
      <c r="M1522" s="1968"/>
      <c r="N1522" s="1968"/>
      <c r="O1522" s="1968"/>
      <c r="P1522" s="1968"/>
      <c r="Q1522" s="1968"/>
      <c r="R1522" s="1968"/>
      <c r="S1522" s="1968"/>
      <c r="T1522" s="1968"/>
    </row>
    <row r="1523" spans="1:20" x14ac:dyDescent="0.2">
      <c r="A1523" s="2031"/>
      <c r="B1523" s="1968"/>
      <c r="C1523" s="2032"/>
      <c r="D1523" s="2033"/>
      <c r="E1523" s="2000"/>
      <c r="F1523" s="2000"/>
      <c r="G1523" s="2000"/>
      <c r="H1523" s="2000"/>
      <c r="I1523" s="1968"/>
      <c r="J1523" s="1968"/>
      <c r="K1523" s="2000"/>
      <c r="L1523" s="2000"/>
      <c r="M1523" s="1968"/>
      <c r="N1523" s="1968"/>
      <c r="O1523" s="1968"/>
      <c r="P1523" s="1968"/>
      <c r="Q1523" s="1968"/>
      <c r="R1523" s="1968"/>
      <c r="S1523" s="1968"/>
      <c r="T1523" s="1968"/>
    </row>
    <row r="1524" spans="1:20" x14ac:dyDescent="0.2">
      <c r="A1524" s="2031"/>
      <c r="B1524" s="1968"/>
      <c r="C1524" s="2032"/>
      <c r="D1524" s="2033"/>
      <c r="E1524" s="2000"/>
      <c r="F1524" s="2000"/>
      <c r="G1524" s="2000"/>
      <c r="H1524" s="2000"/>
      <c r="I1524" s="1968"/>
      <c r="J1524" s="1968"/>
      <c r="K1524" s="2000"/>
      <c r="L1524" s="2000"/>
      <c r="M1524" s="1968"/>
      <c r="N1524" s="1968"/>
      <c r="O1524" s="1968"/>
      <c r="P1524" s="1968"/>
      <c r="Q1524" s="1968"/>
      <c r="R1524" s="1968"/>
      <c r="S1524" s="1968"/>
      <c r="T1524" s="1968"/>
    </row>
    <row r="1525" spans="1:20" x14ac:dyDescent="0.2">
      <c r="A1525" s="2031"/>
      <c r="B1525" s="1968"/>
      <c r="C1525" s="2032"/>
      <c r="D1525" s="2033"/>
      <c r="E1525" s="2000"/>
      <c r="F1525" s="2000"/>
      <c r="G1525" s="2000"/>
      <c r="H1525" s="2000"/>
      <c r="I1525" s="1968"/>
      <c r="J1525" s="1968"/>
      <c r="K1525" s="2000"/>
      <c r="L1525" s="2000"/>
      <c r="M1525" s="1968"/>
      <c r="N1525" s="1968"/>
      <c r="O1525" s="1968"/>
      <c r="P1525" s="1968"/>
      <c r="Q1525" s="1968"/>
      <c r="R1525" s="1968"/>
      <c r="S1525" s="1968"/>
      <c r="T1525" s="1968"/>
    </row>
    <row r="1526" spans="1:20" x14ac:dyDescent="0.2">
      <c r="A1526" s="2031"/>
      <c r="B1526" s="1968"/>
      <c r="C1526" s="2032"/>
      <c r="D1526" s="2033"/>
      <c r="E1526" s="2000"/>
      <c r="F1526" s="2000"/>
      <c r="G1526" s="2000"/>
      <c r="H1526" s="2000"/>
      <c r="I1526" s="1968"/>
      <c r="J1526" s="1968"/>
      <c r="K1526" s="2000"/>
      <c r="L1526" s="2000"/>
      <c r="M1526" s="1968"/>
      <c r="N1526" s="1968"/>
      <c r="O1526" s="1968"/>
      <c r="P1526" s="1968"/>
      <c r="Q1526" s="1968"/>
      <c r="R1526" s="1968"/>
      <c r="S1526" s="1968"/>
      <c r="T1526" s="1968"/>
    </row>
    <row r="1527" spans="1:20" x14ac:dyDescent="0.2">
      <c r="A1527" s="2031"/>
      <c r="B1527" s="1968"/>
      <c r="C1527" s="2032"/>
      <c r="D1527" s="2033"/>
      <c r="E1527" s="2000"/>
      <c r="F1527" s="2000"/>
      <c r="G1527" s="2000"/>
      <c r="H1527" s="2000"/>
      <c r="I1527" s="1968"/>
      <c r="J1527" s="1968"/>
      <c r="K1527" s="2000"/>
      <c r="L1527" s="2000"/>
      <c r="M1527" s="1968"/>
      <c r="N1527" s="1968"/>
      <c r="O1527" s="1968"/>
      <c r="P1527" s="1968"/>
      <c r="Q1527" s="1968"/>
      <c r="R1527" s="1968"/>
      <c r="S1527" s="1968"/>
      <c r="T1527" s="1968"/>
    </row>
    <row r="1528" spans="1:20" x14ac:dyDescent="0.2">
      <c r="A1528" s="2031"/>
      <c r="B1528" s="1968"/>
      <c r="C1528" s="2032"/>
      <c r="D1528" s="2033"/>
      <c r="E1528" s="2000"/>
      <c r="F1528" s="2000"/>
      <c r="G1528" s="2000"/>
      <c r="H1528" s="2000"/>
      <c r="I1528" s="1968"/>
      <c r="J1528" s="1968"/>
      <c r="K1528" s="2000"/>
      <c r="L1528" s="2000"/>
      <c r="M1528" s="1968"/>
      <c r="N1528" s="1968"/>
      <c r="O1528" s="1968"/>
      <c r="P1528" s="1968"/>
      <c r="Q1528" s="1968"/>
      <c r="R1528" s="1968"/>
      <c r="S1528" s="1968"/>
      <c r="T1528" s="1968"/>
    </row>
    <row r="1529" spans="1:20" x14ac:dyDescent="0.2">
      <c r="A1529" s="2031"/>
      <c r="B1529" s="1968"/>
      <c r="C1529" s="2032"/>
      <c r="D1529" s="2033"/>
      <c r="E1529" s="2000"/>
      <c r="F1529" s="2000"/>
      <c r="G1529" s="2000"/>
      <c r="H1529" s="2000"/>
      <c r="I1529" s="1968"/>
      <c r="J1529" s="1968"/>
      <c r="K1529" s="2000"/>
      <c r="L1529" s="2000"/>
      <c r="M1529" s="1968"/>
      <c r="N1529" s="1968"/>
      <c r="O1529" s="1968"/>
      <c r="P1529" s="1968"/>
      <c r="Q1529" s="1968"/>
      <c r="R1529" s="1968"/>
      <c r="S1529" s="1968"/>
      <c r="T1529" s="1968"/>
    </row>
    <row r="1530" spans="1:20" x14ac:dyDescent="0.2">
      <c r="A1530" s="2031"/>
      <c r="B1530" s="1968"/>
      <c r="C1530" s="2032"/>
      <c r="D1530" s="2033"/>
      <c r="E1530" s="2000"/>
      <c r="F1530" s="2000"/>
      <c r="G1530" s="2000"/>
      <c r="H1530" s="2000"/>
      <c r="I1530" s="1968"/>
      <c r="J1530" s="1968"/>
      <c r="K1530" s="2000"/>
      <c r="L1530" s="2000"/>
      <c r="M1530" s="1968"/>
      <c r="N1530" s="1968"/>
      <c r="O1530" s="1968"/>
      <c r="P1530" s="1968"/>
      <c r="Q1530" s="1968"/>
      <c r="R1530" s="1968"/>
      <c r="S1530" s="1968"/>
      <c r="T1530" s="1968"/>
    </row>
    <row r="1531" spans="1:20" x14ac:dyDescent="0.2">
      <c r="A1531" s="2031"/>
      <c r="B1531" s="1968"/>
      <c r="C1531" s="2032"/>
      <c r="D1531" s="2033"/>
      <c r="E1531" s="2000"/>
      <c r="F1531" s="2000"/>
      <c r="G1531" s="2000"/>
      <c r="H1531" s="2000"/>
      <c r="I1531" s="1968"/>
      <c r="J1531" s="1968"/>
      <c r="K1531" s="2000"/>
      <c r="L1531" s="2000"/>
      <c r="M1531" s="1968"/>
      <c r="N1531" s="1968"/>
      <c r="O1531" s="1968"/>
      <c r="P1531" s="1968"/>
      <c r="Q1531" s="1968"/>
      <c r="R1531" s="1968"/>
      <c r="S1531" s="1968"/>
      <c r="T1531" s="1968"/>
    </row>
    <row r="1532" spans="1:20" x14ac:dyDescent="0.2">
      <c r="A1532" s="2031"/>
      <c r="B1532" s="1968"/>
      <c r="C1532" s="2032"/>
      <c r="D1532" s="2033"/>
      <c r="E1532" s="2000"/>
      <c r="F1532" s="2000"/>
      <c r="G1532" s="2000"/>
      <c r="H1532" s="2000"/>
      <c r="I1532" s="1968"/>
      <c r="J1532" s="1968"/>
      <c r="K1532" s="2000"/>
      <c r="L1532" s="2000"/>
      <c r="M1532" s="1968"/>
      <c r="N1532" s="1968"/>
      <c r="O1532" s="1968"/>
      <c r="P1532" s="1968"/>
      <c r="Q1532" s="1968"/>
      <c r="R1532" s="1968"/>
      <c r="S1532" s="1968"/>
      <c r="T1532" s="1968"/>
    </row>
    <row r="1533" spans="1:20" x14ac:dyDescent="0.2">
      <c r="A1533" s="2031"/>
      <c r="B1533" s="1968"/>
      <c r="C1533" s="2032"/>
      <c r="D1533" s="2033"/>
      <c r="E1533" s="2000"/>
      <c r="F1533" s="2000"/>
      <c r="G1533" s="2000"/>
      <c r="H1533" s="2000"/>
      <c r="I1533" s="1968"/>
      <c r="J1533" s="1968"/>
      <c r="K1533" s="2000"/>
      <c r="L1533" s="2000"/>
      <c r="M1533" s="1968"/>
      <c r="N1533" s="1968"/>
      <c r="O1533" s="1968"/>
      <c r="P1533" s="1968"/>
      <c r="Q1533" s="1968"/>
      <c r="R1533" s="1968"/>
      <c r="S1533" s="1968"/>
      <c r="T1533" s="1968"/>
    </row>
    <row r="1534" spans="1:20" x14ac:dyDescent="0.2">
      <c r="A1534" s="2031"/>
      <c r="B1534" s="1968"/>
      <c r="C1534" s="2032"/>
      <c r="D1534" s="2033"/>
      <c r="E1534" s="2000"/>
      <c r="F1534" s="2000"/>
      <c r="G1534" s="2000"/>
      <c r="H1534" s="2000"/>
      <c r="I1534" s="1968"/>
      <c r="J1534" s="1968"/>
      <c r="K1534" s="2000"/>
      <c r="L1534" s="2000"/>
      <c r="M1534" s="1968"/>
      <c r="N1534" s="1968"/>
      <c r="O1534" s="1968"/>
      <c r="P1534" s="1968"/>
      <c r="Q1534" s="1968"/>
      <c r="R1534" s="1968"/>
      <c r="S1534" s="1968"/>
      <c r="T1534" s="1968"/>
    </row>
    <row r="1535" spans="1:20" x14ac:dyDescent="0.2">
      <c r="A1535" s="2031"/>
      <c r="B1535" s="1968"/>
      <c r="C1535" s="2032"/>
      <c r="D1535" s="2033"/>
      <c r="E1535" s="2000"/>
      <c r="F1535" s="2000"/>
      <c r="G1535" s="2000"/>
      <c r="H1535" s="2000"/>
      <c r="I1535" s="1968"/>
      <c r="J1535" s="1968"/>
      <c r="K1535" s="2000"/>
      <c r="L1535" s="2000"/>
      <c r="M1535" s="1968"/>
      <c r="N1535" s="1968"/>
      <c r="O1535" s="1968"/>
      <c r="P1535" s="1968"/>
      <c r="Q1535" s="1968"/>
      <c r="R1535" s="1968"/>
      <c r="S1535" s="1968"/>
      <c r="T1535" s="1968"/>
    </row>
    <row r="1536" spans="1:20" x14ac:dyDescent="0.2">
      <c r="A1536" s="2031"/>
      <c r="B1536" s="1968"/>
      <c r="C1536" s="2032"/>
      <c r="D1536" s="2033"/>
      <c r="E1536" s="2000"/>
      <c r="F1536" s="2000"/>
      <c r="G1536" s="2000"/>
      <c r="H1536" s="2000"/>
      <c r="I1536" s="1968"/>
      <c r="J1536" s="1968"/>
      <c r="K1536" s="2000"/>
      <c r="L1536" s="2000"/>
      <c r="M1536" s="1968"/>
      <c r="N1536" s="1968"/>
      <c r="O1536" s="1968"/>
      <c r="P1536" s="1968"/>
      <c r="Q1536" s="1968"/>
      <c r="R1536" s="1968"/>
      <c r="S1536" s="1968"/>
      <c r="T1536" s="1968"/>
    </row>
    <row r="1537" spans="1:20" x14ac:dyDescent="0.2">
      <c r="A1537" s="2031"/>
      <c r="B1537" s="1968"/>
      <c r="C1537" s="2032"/>
      <c r="D1537" s="2033"/>
      <c r="E1537" s="2000"/>
      <c r="F1537" s="2000"/>
      <c r="G1537" s="2000"/>
      <c r="H1537" s="2000"/>
      <c r="I1537" s="1968"/>
      <c r="J1537" s="1968"/>
      <c r="K1537" s="2000"/>
      <c r="L1537" s="2000"/>
      <c r="M1537" s="1968"/>
      <c r="N1537" s="1968"/>
      <c r="O1537" s="1968"/>
      <c r="P1537" s="1968"/>
      <c r="Q1537" s="1968"/>
      <c r="R1537" s="1968"/>
      <c r="S1537" s="1968"/>
      <c r="T1537" s="1968"/>
    </row>
    <row r="1538" spans="1:20" x14ac:dyDescent="0.2">
      <c r="A1538" s="2031"/>
      <c r="B1538" s="1968"/>
      <c r="C1538" s="2032"/>
      <c r="D1538" s="2033"/>
      <c r="E1538" s="2000"/>
      <c r="F1538" s="2000"/>
      <c r="G1538" s="2000"/>
      <c r="H1538" s="2000"/>
      <c r="I1538" s="1968"/>
      <c r="J1538" s="1968"/>
      <c r="K1538" s="2000"/>
      <c r="L1538" s="2000"/>
      <c r="M1538" s="1968"/>
      <c r="N1538" s="1968"/>
      <c r="O1538" s="1968"/>
      <c r="P1538" s="1968"/>
      <c r="Q1538" s="1968"/>
      <c r="R1538" s="1968"/>
      <c r="S1538" s="1968"/>
      <c r="T1538" s="1968"/>
    </row>
    <row r="1539" spans="1:20" x14ac:dyDescent="0.2">
      <c r="A1539" s="2031"/>
      <c r="B1539" s="1968"/>
      <c r="C1539" s="2032"/>
      <c r="D1539" s="2033"/>
      <c r="E1539" s="2000"/>
      <c r="F1539" s="2000"/>
      <c r="G1539" s="2000"/>
      <c r="H1539" s="2000"/>
      <c r="I1539" s="1968"/>
      <c r="J1539" s="1968"/>
      <c r="K1539" s="2000"/>
      <c r="L1539" s="2000"/>
      <c r="M1539" s="1968"/>
      <c r="N1539" s="1968"/>
      <c r="O1539" s="1968"/>
      <c r="P1539" s="1968"/>
      <c r="Q1539" s="1968"/>
      <c r="R1539" s="1968"/>
      <c r="S1539" s="1968"/>
      <c r="T1539" s="1968"/>
    </row>
    <row r="1540" spans="1:20" x14ac:dyDescent="0.2">
      <c r="A1540" s="2031"/>
      <c r="B1540" s="1968"/>
      <c r="C1540" s="2032"/>
      <c r="D1540" s="2033"/>
      <c r="E1540" s="2000"/>
      <c r="F1540" s="2000"/>
      <c r="G1540" s="2000"/>
      <c r="H1540" s="2000"/>
      <c r="I1540" s="1968"/>
      <c r="J1540" s="1968"/>
      <c r="K1540" s="2000"/>
      <c r="L1540" s="2000"/>
      <c r="M1540" s="1968"/>
      <c r="N1540" s="1968"/>
      <c r="O1540" s="1968"/>
      <c r="P1540" s="1968"/>
      <c r="Q1540" s="1968"/>
      <c r="R1540" s="1968"/>
      <c r="S1540" s="1968"/>
      <c r="T1540" s="1968"/>
    </row>
    <row r="1541" spans="1:20" x14ac:dyDescent="0.2">
      <c r="A1541" s="2031"/>
      <c r="B1541" s="1968"/>
      <c r="C1541" s="2032"/>
      <c r="D1541" s="2033"/>
      <c r="E1541" s="2000"/>
      <c r="F1541" s="2000"/>
      <c r="G1541" s="2000"/>
      <c r="H1541" s="2000"/>
      <c r="I1541" s="1968"/>
      <c r="J1541" s="1968"/>
      <c r="K1541" s="2000"/>
      <c r="L1541" s="2000"/>
      <c r="M1541" s="1968"/>
      <c r="N1541" s="1968"/>
      <c r="O1541" s="1968"/>
      <c r="P1541" s="1968"/>
      <c r="Q1541" s="1968"/>
      <c r="R1541" s="1968"/>
      <c r="S1541" s="1968"/>
      <c r="T1541" s="1968"/>
    </row>
    <row r="1542" spans="1:20" x14ac:dyDescent="0.2">
      <c r="A1542" s="2031"/>
      <c r="B1542" s="1968"/>
      <c r="C1542" s="2032"/>
      <c r="D1542" s="2033"/>
      <c r="E1542" s="2000"/>
      <c r="F1542" s="2000"/>
      <c r="G1542" s="2000"/>
      <c r="H1542" s="2000"/>
      <c r="I1542" s="1968"/>
      <c r="J1542" s="1968"/>
      <c r="K1542" s="2000"/>
      <c r="L1542" s="2000"/>
      <c r="M1542" s="1968"/>
      <c r="N1542" s="1968"/>
      <c r="O1542" s="1968"/>
      <c r="P1542" s="1968"/>
      <c r="Q1542" s="1968"/>
      <c r="R1542" s="1968"/>
      <c r="S1542" s="1968"/>
      <c r="T1542" s="1968"/>
    </row>
    <row r="1543" spans="1:20" x14ac:dyDescent="0.2">
      <c r="A1543" s="2031"/>
      <c r="B1543" s="1968"/>
      <c r="C1543" s="2032"/>
      <c r="D1543" s="2033"/>
      <c r="E1543" s="2000"/>
      <c r="F1543" s="2000"/>
      <c r="G1543" s="2000"/>
      <c r="H1543" s="2000"/>
      <c r="I1543" s="1968"/>
      <c r="J1543" s="1968"/>
      <c r="K1543" s="2000"/>
      <c r="L1543" s="2000"/>
      <c r="M1543" s="1968"/>
      <c r="N1543" s="1968"/>
      <c r="O1543" s="1968"/>
      <c r="P1543" s="1968"/>
      <c r="Q1543" s="1968"/>
      <c r="R1543" s="1968"/>
      <c r="S1543" s="1968"/>
      <c r="T1543" s="1968"/>
    </row>
    <row r="1544" spans="1:20" x14ac:dyDescent="0.2">
      <c r="A1544" s="2031"/>
      <c r="B1544" s="1968"/>
      <c r="C1544" s="2032"/>
      <c r="D1544" s="2033"/>
      <c r="E1544" s="2000"/>
      <c r="F1544" s="2000"/>
      <c r="G1544" s="2000"/>
      <c r="H1544" s="2000"/>
      <c r="I1544" s="1968"/>
      <c r="J1544" s="1968"/>
      <c r="K1544" s="2000"/>
      <c r="L1544" s="2000"/>
      <c r="M1544" s="1968"/>
      <c r="N1544" s="1968"/>
      <c r="O1544" s="1968"/>
      <c r="P1544" s="1968"/>
      <c r="Q1544" s="1968"/>
      <c r="R1544" s="1968"/>
      <c r="S1544" s="1968"/>
      <c r="T1544" s="1968"/>
    </row>
    <row r="1545" spans="1:20" x14ac:dyDescent="0.2">
      <c r="A1545" s="2031"/>
      <c r="B1545" s="1968"/>
      <c r="C1545" s="2032"/>
      <c r="D1545" s="2033"/>
      <c r="E1545" s="2000"/>
      <c r="F1545" s="2000"/>
      <c r="G1545" s="2000"/>
      <c r="H1545" s="2000"/>
      <c r="I1545" s="1968"/>
      <c r="J1545" s="1968"/>
      <c r="K1545" s="2000"/>
      <c r="L1545" s="2000"/>
      <c r="M1545" s="1968"/>
      <c r="N1545" s="1968"/>
      <c r="O1545" s="1968"/>
      <c r="P1545" s="1968"/>
      <c r="Q1545" s="1968"/>
      <c r="R1545" s="1968"/>
      <c r="S1545" s="1968"/>
      <c r="T1545" s="1968"/>
    </row>
    <row r="1546" spans="1:20" x14ac:dyDescent="0.2">
      <c r="A1546" s="2031"/>
      <c r="B1546" s="1968"/>
      <c r="C1546" s="2032"/>
      <c r="D1546" s="2033"/>
      <c r="E1546" s="2000"/>
      <c r="F1546" s="2000"/>
      <c r="G1546" s="2000"/>
      <c r="H1546" s="2000"/>
      <c r="I1546" s="1968"/>
      <c r="J1546" s="1968"/>
      <c r="K1546" s="2000"/>
      <c r="L1546" s="2000"/>
      <c r="M1546" s="1968"/>
      <c r="N1546" s="1968"/>
      <c r="O1546" s="1968"/>
      <c r="P1546" s="1968"/>
      <c r="Q1546" s="1968"/>
      <c r="R1546" s="1968"/>
      <c r="S1546" s="1968"/>
      <c r="T1546" s="1968"/>
    </row>
    <row r="1547" spans="1:20" x14ac:dyDescent="0.2">
      <c r="A1547" s="2031"/>
      <c r="B1547" s="1968"/>
      <c r="C1547" s="2032"/>
      <c r="D1547" s="2033"/>
      <c r="E1547" s="2000"/>
      <c r="F1547" s="2000"/>
      <c r="G1547" s="2000"/>
      <c r="H1547" s="2000"/>
      <c r="I1547" s="1968"/>
      <c r="J1547" s="1968"/>
      <c r="K1547" s="2000"/>
      <c r="L1547" s="2000"/>
      <c r="M1547" s="1968"/>
      <c r="N1547" s="1968"/>
      <c r="O1547" s="1968"/>
      <c r="P1547" s="1968"/>
      <c r="Q1547" s="1968"/>
      <c r="R1547" s="1968"/>
      <c r="S1547" s="1968"/>
      <c r="T1547" s="1968"/>
    </row>
    <row r="1548" spans="1:20" x14ac:dyDescent="0.2">
      <c r="A1548" s="2031"/>
      <c r="B1548" s="1968"/>
      <c r="C1548" s="2032"/>
      <c r="D1548" s="2033"/>
      <c r="E1548" s="2000"/>
      <c r="F1548" s="2000"/>
      <c r="G1548" s="2000"/>
      <c r="H1548" s="2000"/>
      <c r="I1548" s="1968"/>
      <c r="J1548" s="1968"/>
      <c r="K1548" s="2000"/>
      <c r="L1548" s="2000"/>
      <c r="M1548" s="1968"/>
      <c r="N1548" s="1968"/>
      <c r="O1548" s="1968"/>
      <c r="P1548" s="1968"/>
      <c r="Q1548" s="1968"/>
      <c r="R1548" s="1968"/>
      <c r="S1548" s="1968"/>
      <c r="T1548" s="1968"/>
    </row>
    <row r="1549" spans="1:20" x14ac:dyDescent="0.2">
      <c r="A1549" s="2031"/>
      <c r="B1549" s="1968"/>
      <c r="C1549" s="2032"/>
      <c r="D1549" s="2033"/>
      <c r="E1549" s="2000"/>
      <c r="F1549" s="2000"/>
      <c r="G1549" s="2000"/>
      <c r="H1549" s="2000"/>
      <c r="I1549" s="1968"/>
      <c r="J1549" s="1968"/>
      <c r="K1549" s="2000"/>
      <c r="L1549" s="2000"/>
      <c r="M1549" s="1968"/>
      <c r="N1549" s="1968"/>
      <c r="O1549" s="1968"/>
      <c r="P1549" s="1968"/>
      <c r="Q1549" s="1968"/>
      <c r="R1549" s="1968"/>
      <c r="S1549" s="1968"/>
      <c r="T1549" s="1968"/>
    </row>
    <row r="1550" spans="1:20" x14ac:dyDescent="0.2">
      <c r="A1550" s="2031"/>
      <c r="B1550" s="1968"/>
      <c r="C1550" s="2032"/>
      <c r="D1550" s="2033"/>
      <c r="E1550" s="2000"/>
      <c r="F1550" s="2000"/>
      <c r="G1550" s="2000"/>
      <c r="H1550" s="2000"/>
      <c r="I1550" s="1968"/>
      <c r="J1550" s="1968"/>
      <c r="K1550" s="2000"/>
      <c r="L1550" s="2000"/>
      <c r="M1550" s="1968"/>
      <c r="N1550" s="1968"/>
      <c r="O1550" s="1968"/>
      <c r="P1550" s="1968"/>
      <c r="Q1550" s="1968"/>
      <c r="R1550" s="1968"/>
      <c r="S1550" s="1968"/>
      <c r="T1550" s="1968"/>
    </row>
    <row r="1551" spans="1:20" x14ac:dyDescent="0.2">
      <c r="A1551" s="2031"/>
      <c r="B1551" s="1968"/>
      <c r="C1551" s="2032"/>
      <c r="D1551" s="2033"/>
      <c r="E1551" s="2000"/>
      <c r="F1551" s="2000"/>
      <c r="G1551" s="2000"/>
      <c r="H1551" s="2000"/>
      <c r="I1551" s="1968"/>
      <c r="J1551" s="1968"/>
      <c r="K1551" s="2000"/>
      <c r="L1551" s="2000"/>
      <c r="M1551" s="1968"/>
      <c r="N1551" s="1968"/>
      <c r="O1551" s="1968"/>
      <c r="P1551" s="1968"/>
      <c r="Q1551" s="1968"/>
      <c r="R1551" s="1968"/>
      <c r="S1551" s="1968"/>
      <c r="T1551" s="1968"/>
    </row>
    <row r="1552" spans="1:20" x14ac:dyDescent="0.2">
      <c r="A1552" s="2031"/>
      <c r="B1552" s="1968"/>
      <c r="C1552" s="2032"/>
      <c r="D1552" s="2033"/>
      <c r="E1552" s="2000"/>
      <c r="F1552" s="2000"/>
      <c r="G1552" s="2000"/>
      <c r="H1552" s="2000"/>
      <c r="I1552" s="1968"/>
      <c r="J1552" s="1968"/>
      <c r="K1552" s="2000"/>
      <c r="L1552" s="2000"/>
      <c r="M1552" s="1968"/>
      <c r="N1552" s="1968"/>
      <c r="O1552" s="1968"/>
      <c r="P1552" s="1968"/>
      <c r="Q1552" s="1968"/>
      <c r="R1552" s="1968"/>
      <c r="S1552" s="1968"/>
      <c r="T1552" s="1968"/>
    </row>
    <row r="1553" spans="1:20" x14ac:dyDescent="0.2">
      <c r="A1553" s="2031"/>
      <c r="B1553" s="1968"/>
      <c r="C1553" s="2032"/>
      <c r="D1553" s="2033"/>
      <c r="E1553" s="2000"/>
      <c r="F1553" s="2000"/>
      <c r="G1553" s="2000"/>
      <c r="H1553" s="2000"/>
      <c r="I1553" s="1968"/>
      <c r="J1553" s="1968"/>
      <c r="K1553" s="2000"/>
      <c r="L1553" s="2000"/>
      <c r="M1553" s="1968"/>
      <c r="N1553" s="1968"/>
      <c r="O1553" s="1968"/>
      <c r="P1553" s="1968"/>
      <c r="Q1553" s="1968"/>
      <c r="R1553" s="1968"/>
      <c r="S1553" s="1968"/>
      <c r="T1553" s="1968"/>
    </row>
    <row r="1554" spans="1:20" x14ac:dyDescent="0.2">
      <c r="A1554" s="2031"/>
      <c r="B1554" s="1968"/>
      <c r="C1554" s="2032"/>
      <c r="D1554" s="2033"/>
      <c r="E1554" s="2000"/>
      <c r="F1554" s="2000"/>
      <c r="G1554" s="2000"/>
      <c r="H1554" s="2000"/>
      <c r="I1554" s="1968"/>
      <c r="J1554" s="1968"/>
      <c r="K1554" s="2000"/>
      <c r="L1554" s="2000"/>
      <c r="M1554" s="1968"/>
      <c r="N1554" s="1968"/>
      <c r="O1554" s="1968"/>
      <c r="P1554" s="1968"/>
      <c r="Q1554" s="1968"/>
      <c r="R1554" s="1968"/>
      <c r="S1554" s="1968"/>
      <c r="T1554" s="1968"/>
    </row>
    <row r="1555" spans="1:20" x14ac:dyDescent="0.2">
      <c r="A1555" s="2031"/>
      <c r="B1555" s="1968"/>
      <c r="C1555" s="2032"/>
      <c r="D1555" s="2033"/>
      <c r="E1555" s="2000"/>
      <c r="F1555" s="2000"/>
      <c r="G1555" s="2000"/>
      <c r="H1555" s="2000"/>
      <c r="I1555" s="1968"/>
      <c r="J1555" s="1968"/>
      <c r="K1555" s="2000"/>
      <c r="L1555" s="2000"/>
      <c r="M1555" s="1968"/>
      <c r="N1555" s="1968"/>
      <c r="O1555" s="1968"/>
      <c r="P1555" s="1968"/>
      <c r="Q1555" s="1968"/>
      <c r="R1555" s="1968"/>
      <c r="S1555" s="1968"/>
      <c r="T1555" s="1968"/>
    </row>
    <row r="1556" spans="1:20" x14ac:dyDescent="0.2">
      <c r="A1556" s="2031"/>
      <c r="B1556" s="1968"/>
      <c r="C1556" s="2032"/>
      <c r="D1556" s="2033"/>
      <c r="E1556" s="2000"/>
      <c r="F1556" s="2000"/>
      <c r="G1556" s="2000"/>
      <c r="H1556" s="2000"/>
      <c r="I1556" s="1968"/>
      <c r="J1556" s="1968"/>
      <c r="K1556" s="2000"/>
      <c r="L1556" s="2000"/>
      <c r="M1556" s="1968"/>
      <c r="N1556" s="1968"/>
      <c r="O1556" s="1968"/>
      <c r="P1556" s="1968"/>
      <c r="Q1556" s="1968"/>
      <c r="R1556" s="1968"/>
      <c r="S1556" s="1968"/>
      <c r="T1556" s="1968"/>
    </row>
    <row r="1557" spans="1:20" x14ac:dyDescent="0.2">
      <c r="A1557" s="2031"/>
      <c r="B1557" s="1968"/>
      <c r="C1557" s="2032"/>
      <c r="D1557" s="2033"/>
      <c r="E1557" s="2000"/>
      <c r="F1557" s="2000"/>
      <c r="G1557" s="2000"/>
      <c r="H1557" s="2000"/>
      <c r="I1557" s="1968"/>
      <c r="J1557" s="1968"/>
      <c r="K1557" s="2000"/>
      <c r="L1557" s="2000"/>
      <c r="M1557" s="1968"/>
      <c r="N1557" s="1968"/>
      <c r="O1557" s="1968"/>
      <c r="P1557" s="1968"/>
      <c r="Q1557" s="1968"/>
      <c r="R1557" s="1968"/>
      <c r="S1557" s="1968"/>
      <c r="T1557" s="1968"/>
    </row>
    <row r="1558" spans="1:20" x14ac:dyDescent="0.2">
      <c r="A1558" s="2031"/>
      <c r="B1558" s="1968"/>
      <c r="C1558" s="2032"/>
      <c r="D1558" s="2033"/>
      <c r="E1558" s="2000"/>
      <c r="F1558" s="2000"/>
      <c r="G1558" s="2000"/>
      <c r="H1558" s="2000"/>
      <c r="I1558" s="1968"/>
      <c r="J1558" s="1968"/>
      <c r="K1558" s="2000"/>
      <c r="L1558" s="2000"/>
      <c r="M1558" s="1968"/>
      <c r="N1558" s="1968"/>
      <c r="O1558" s="1968"/>
      <c r="P1558" s="1968"/>
      <c r="Q1558" s="1968"/>
      <c r="R1558" s="1968"/>
      <c r="S1558" s="1968"/>
      <c r="T1558" s="1968"/>
    </row>
    <row r="1559" spans="1:20" x14ac:dyDescent="0.2">
      <c r="A1559" s="2031"/>
      <c r="B1559" s="1968"/>
      <c r="C1559" s="2032"/>
      <c r="D1559" s="2033"/>
      <c r="E1559" s="2000"/>
      <c r="F1559" s="2000"/>
      <c r="G1559" s="2000"/>
      <c r="H1559" s="2000"/>
      <c r="I1559" s="1968"/>
      <c r="J1559" s="1968"/>
      <c r="K1559" s="2000"/>
      <c r="L1559" s="2000"/>
      <c r="M1559" s="1968"/>
      <c r="N1559" s="1968"/>
      <c r="O1559" s="1968"/>
      <c r="P1559" s="1968"/>
      <c r="Q1559" s="1968"/>
      <c r="R1559" s="1968"/>
      <c r="S1559" s="1968"/>
      <c r="T1559" s="1968"/>
    </row>
    <row r="1560" spans="1:20" x14ac:dyDescent="0.2">
      <c r="A1560" s="2031"/>
      <c r="B1560" s="1968"/>
      <c r="C1560" s="2032"/>
      <c r="D1560" s="2033"/>
      <c r="E1560" s="2000"/>
      <c r="F1560" s="2000"/>
      <c r="G1560" s="2000"/>
      <c r="H1560" s="2000"/>
      <c r="I1560" s="1968"/>
      <c r="J1560" s="1968"/>
      <c r="K1560" s="2000"/>
      <c r="L1560" s="2000"/>
      <c r="M1560" s="1968"/>
      <c r="N1560" s="1968"/>
      <c r="O1560" s="1968"/>
      <c r="P1560" s="1968"/>
      <c r="Q1560" s="1968"/>
      <c r="R1560" s="1968"/>
      <c r="S1560" s="1968"/>
      <c r="T1560" s="1968"/>
    </row>
    <row r="1561" spans="1:20" x14ac:dyDescent="0.2">
      <c r="A1561" s="2031"/>
      <c r="B1561" s="1968"/>
      <c r="C1561" s="2032"/>
      <c r="D1561" s="2033"/>
      <c r="E1561" s="2000"/>
      <c r="F1561" s="2000"/>
      <c r="G1561" s="2000"/>
      <c r="H1561" s="2000"/>
      <c r="I1561" s="1968"/>
      <c r="J1561" s="1968"/>
      <c r="K1561" s="2000"/>
      <c r="L1561" s="2000"/>
      <c r="M1561" s="1968"/>
      <c r="N1561" s="1968"/>
      <c r="O1561" s="1968"/>
      <c r="P1561" s="1968"/>
      <c r="Q1561" s="1968"/>
      <c r="R1561" s="1968"/>
      <c r="S1561" s="1968"/>
      <c r="T1561" s="1968"/>
    </row>
    <row r="1562" spans="1:20" x14ac:dyDescent="0.2">
      <c r="A1562" s="2031"/>
      <c r="B1562" s="1968"/>
      <c r="C1562" s="2032"/>
      <c r="D1562" s="2033"/>
      <c r="E1562" s="2000"/>
      <c r="F1562" s="2000"/>
      <c r="G1562" s="2000"/>
      <c r="H1562" s="2000"/>
      <c r="I1562" s="1968"/>
      <c r="J1562" s="1968"/>
      <c r="K1562" s="2000"/>
      <c r="L1562" s="2000"/>
      <c r="M1562" s="1968"/>
      <c r="N1562" s="1968"/>
      <c r="O1562" s="1968"/>
      <c r="P1562" s="1968"/>
      <c r="Q1562" s="1968"/>
      <c r="R1562" s="1968"/>
      <c r="S1562" s="1968"/>
      <c r="T1562" s="1968"/>
    </row>
    <row r="1563" spans="1:20" x14ac:dyDescent="0.2">
      <c r="A1563" s="2031"/>
      <c r="B1563" s="1968"/>
      <c r="C1563" s="2032"/>
      <c r="D1563" s="2033"/>
      <c r="E1563" s="2000"/>
      <c r="F1563" s="2000"/>
      <c r="G1563" s="2000"/>
      <c r="H1563" s="2000"/>
      <c r="I1563" s="1968"/>
      <c r="J1563" s="1968"/>
      <c r="K1563" s="2000"/>
      <c r="L1563" s="2000"/>
      <c r="M1563" s="1968"/>
      <c r="N1563" s="1968"/>
      <c r="O1563" s="1968"/>
      <c r="P1563" s="1968"/>
      <c r="Q1563" s="1968"/>
      <c r="R1563" s="1968"/>
      <c r="S1563" s="1968"/>
      <c r="T1563" s="1968"/>
    </row>
    <row r="1564" spans="1:20" x14ac:dyDescent="0.2">
      <c r="A1564" s="2031"/>
      <c r="B1564" s="1968"/>
      <c r="C1564" s="2032"/>
      <c r="D1564" s="2033"/>
      <c r="E1564" s="2000"/>
      <c r="F1564" s="2000"/>
      <c r="G1564" s="2000"/>
      <c r="H1564" s="2000"/>
      <c r="I1564" s="1968"/>
      <c r="J1564" s="1968"/>
      <c r="K1564" s="2000"/>
      <c r="L1564" s="2000"/>
      <c r="M1564" s="1968"/>
      <c r="N1564" s="1968"/>
      <c r="O1564" s="1968"/>
      <c r="P1564" s="1968"/>
      <c r="Q1564" s="1968"/>
      <c r="R1564" s="1968"/>
      <c r="S1564" s="1968"/>
      <c r="T1564" s="1968"/>
    </row>
    <row r="1565" spans="1:20" x14ac:dyDescent="0.2">
      <c r="A1565" s="2031"/>
      <c r="B1565" s="1968"/>
      <c r="C1565" s="2032"/>
      <c r="D1565" s="2033"/>
      <c r="E1565" s="2000"/>
      <c r="F1565" s="2000"/>
      <c r="G1565" s="2000"/>
      <c r="H1565" s="2000"/>
      <c r="I1565" s="1968"/>
      <c r="J1565" s="1968"/>
      <c r="K1565" s="2000"/>
      <c r="L1565" s="2000"/>
      <c r="M1565" s="1968"/>
      <c r="N1565" s="1968"/>
      <c r="O1565" s="1968"/>
      <c r="P1565" s="1968"/>
      <c r="Q1565" s="1968"/>
      <c r="R1565" s="1968"/>
      <c r="S1565" s="1968"/>
      <c r="T1565" s="1968"/>
    </row>
    <row r="1566" spans="1:20" x14ac:dyDescent="0.2">
      <c r="A1566" s="2031"/>
      <c r="B1566" s="1968"/>
      <c r="C1566" s="2032"/>
      <c r="D1566" s="2033"/>
      <c r="E1566" s="2000"/>
      <c r="F1566" s="2000"/>
      <c r="G1566" s="2000"/>
      <c r="H1566" s="2000"/>
      <c r="I1566" s="1968"/>
      <c r="J1566" s="1968"/>
      <c r="K1566" s="2000"/>
      <c r="L1566" s="2000"/>
      <c r="M1566" s="1968"/>
      <c r="N1566" s="1968"/>
      <c r="O1566" s="1968"/>
      <c r="P1566" s="1968"/>
      <c r="Q1566" s="1968"/>
      <c r="R1566" s="1968"/>
      <c r="S1566" s="1968"/>
      <c r="T1566" s="1968"/>
    </row>
    <row r="1567" spans="1:20" x14ac:dyDescent="0.2">
      <c r="A1567" s="2031"/>
      <c r="B1567" s="1968"/>
      <c r="C1567" s="2032"/>
      <c r="D1567" s="2033"/>
      <c r="E1567" s="2000"/>
      <c r="F1567" s="2000"/>
      <c r="G1567" s="2000"/>
      <c r="H1567" s="2000"/>
      <c r="I1567" s="1968"/>
      <c r="J1567" s="1968"/>
      <c r="K1567" s="2000"/>
      <c r="L1567" s="2000"/>
      <c r="M1567" s="1968"/>
      <c r="N1567" s="1968"/>
      <c r="O1567" s="1968"/>
      <c r="P1567" s="1968"/>
      <c r="Q1567" s="1968"/>
      <c r="R1567" s="1968"/>
      <c r="S1567" s="1968"/>
      <c r="T1567" s="1968"/>
    </row>
    <row r="1568" spans="1:20" x14ac:dyDescent="0.2">
      <c r="A1568" s="2031"/>
      <c r="B1568" s="1968"/>
      <c r="C1568" s="2032"/>
      <c r="D1568" s="2033"/>
      <c r="E1568" s="2000"/>
      <c r="F1568" s="2000"/>
      <c r="G1568" s="2000"/>
      <c r="H1568" s="2000"/>
      <c r="I1568" s="1968"/>
      <c r="J1568" s="1968"/>
      <c r="K1568" s="2000"/>
      <c r="L1568" s="2000"/>
      <c r="M1568" s="1968"/>
      <c r="N1568" s="1968"/>
      <c r="O1568" s="1968"/>
      <c r="P1568" s="1968"/>
      <c r="Q1568" s="1968"/>
      <c r="R1568" s="1968"/>
      <c r="S1568" s="1968"/>
      <c r="T1568" s="1968"/>
    </row>
    <row r="1569" spans="1:20" x14ac:dyDescent="0.2">
      <c r="A1569" s="2031"/>
      <c r="B1569" s="1968"/>
      <c r="C1569" s="2032"/>
      <c r="D1569" s="2033"/>
      <c r="E1569" s="2000"/>
      <c r="F1569" s="2000"/>
      <c r="G1569" s="2000"/>
      <c r="H1569" s="2000"/>
      <c r="I1569" s="1968"/>
      <c r="J1569" s="1968"/>
      <c r="K1569" s="2000"/>
      <c r="L1569" s="2000"/>
      <c r="M1569" s="1968"/>
      <c r="N1569" s="1968"/>
      <c r="O1569" s="1968"/>
      <c r="P1569" s="1968"/>
      <c r="Q1569" s="1968"/>
      <c r="R1569" s="1968"/>
      <c r="S1569" s="1968"/>
      <c r="T1569" s="1968"/>
    </row>
    <row r="1570" spans="1:20" x14ac:dyDescent="0.2">
      <c r="A1570" s="2031"/>
      <c r="B1570" s="1968"/>
      <c r="C1570" s="2032"/>
      <c r="D1570" s="2033"/>
      <c r="E1570" s="2000"/>
      <c r="F1570" s="2000"/>
      <c r="G1570" s="2000"/>
      <c r="H1570" s="2000"/>
      <c r="I1570" s="1968"/>
      <c r="J1570" s="1968"/>
      <c r="K1570" s="2000"/>
      <c r="L1570" s="2000"/>
      <c r="M1570" s="1968"/>
      <c r="N1570" s="1968"/>
      <c r="O1570" s="1968"/>
      <c r="P1570" s="1968"/>
      <c r="Q1570" s="1968"/>
      <c r="R1570" s="1968"/>
      <c r="S1570" s="1968"/>
      <c r="T1570" s="1968"/>
    </row>
    <row r="1571" spans="1:20" x14ac:dyDescent="0.2">
      <c r="A1571" s="2031"/>
      <c r="B1571" s="1968"/>
      <c r="C1571" s="2032"/>
      <c r="D1571" s="2033"/>
      <c r="E1571" s="2000"/>
      <c r="F1571" s="2000"/>
      <c r="G1571" s="2000"/>
      <c r="H1571" s="2000"/>
      <c r="I1571" s="1968"/>
      <c r="J1571" s="1968"/>
      <c r="K1571" s="2000"/>
      <c r="L1571" s="2000"/>
      <c r="M1571" s="1968"/>
      <c r="N1571" s="1968"/>
      <c r="O1571" s="1968"/>
      <c r="P1571" s="1968"/>
      <c r="Q1571" s="1968"/>
      <c r="R1571" s="1968"/>
      <c r="S1571" s="1968"/>
      <c r="T1571" s="1968"/>
    </row>
    <row r="1572" spans="1:20" x14ac:dyDescent="0.2">
      <c r="A1572" s="2031"/>
      <c r="B1572" s="1968"/>
      <c r="C1572" s="2032"/>
      <c r="D1572" s="2033"/>
      <c r="E1572" s="2000"/>
      <c r="F1572" s="2000"/>
      <c r="G1572" s="2000"/>
      <c r="H1572" s="2000"/>
      <c r="I1572" s="1968"/>
      <c r="J1572" s="1968"/>
      <c r="K1572" s="2000"/>
      <c r="L1572" s="2000"/>
      <c r="M1572" s="1968"/>
      <c r="N1572" s="1968"/>
      <c r="O1572" s="1968"/>
      <c r="P1572" s="1968"/>
      <c r="Q1572" s="1968"/>
      <c r="R1572" s="1968"/>
      <c r="S1572" s="1968"/>
      <c r="T1572" s="1968"/>
    </row>
    <row r="1573" spans="1:20" x14ac:dyDescent="0.2">
      <c r="A1573" s="2031"/>
      <c r="B1573" s="1968"/>
      <c r="C1573" s="2032"/>
      <c r="D1573" s="2033"/>
      <c r="E1573" s="2000"/>
      <c r="F1573" s="2000"/>
      <c r="G1573" s="2000"/>
      <c r="H1573" s="2000"/>
      <c r="I1573" s="1968"/>
      <c r="J1573" s="1968"/>
      <c r="K1573" s="2000"/>
      <c r="L1573" s="2000"/>
      <c r="M1573" s="1968"/>
      <c r="N1573" s="1968"/>
      <c r="O1573" s="1968"/>
      <c r="P1573" s="1968"/>
      <c r="Q1573" s="1968"/>
      <c r="R1573" s="1968"/>
      <c r="S1573" s="1968"/>
      <c r="T1573" s="1968"/>
    </row>
    <row r="1574" spans="1:20" x14ac:dyDescent="0.2">
      <c r="A1574" s="2031"/>
      <c r="B1574" s="1968"/>
      <c r="C1574" s="2032"/>
      <c r="D1574" s="2033"/>
      <c r="E1574" s="2000"/>
      <c r="F1574" s="2000"/>
      <c r="G1574" s="2000"/>
      <c r="H1574" s="2000"/>
      <c r="I1574" s="1968"/>
      <c r="J1574" s="1968"/>
      <c r="K1574" s="2000"/>
      <c r="L1574" s="2000"/>
      <c r="M1574" s="1968"/>
      <c r="N1574" s="1968"/>
      <c r="O1574" s="1968"/>
      <c r="P1574" s="1968"/>
      <c r="Q1574" s="1968"/>
      <c r="R1574" s="1968"/>
      <c r="S1574" s="1968"/>
      <c r="T1574" s="1968"/>
    </row>
    <row r="1575" spans="1:20" x14ac:dyDescent="0.2">
      <c r="A1575" s="2031"/>
      <c r="B1575" s="1968"/>
      <c r="C1575" s="2032"/>
      <c r="D1575" s="2033"/>
      <c r="E1575" s="2000"/>
      <c r="F1575" s="2000"/>
      <c r="G1575" s="2000"/>
      <c r="H1575" s="2000"/>
      <c r="I1575" s="1968"/>
      <c r="J1575" s="1968"/>
      <c r="K1575" s="2000"/>
      <c r="L1575" s="2000"/>
      <c r="M1575" s="1968"/>
      <c r="N1575" s="1968"/>
      <c r="O1575" s="1968"/>
      <c r="P1575" s="1968"/>
      <c r="Q1575" s="1968"/>
      <c r="R1575" s="1968"/>
      <c r="S1575" s="1968"/>
      <c r="T1575" s="1968"/>
    </row>
    <row r="1576" spans="1:20" x14ac:dyDescent="0.2">
      <c r="A1576" s="2031"/>
      <c r="B1576" s="1968"/>
      <c r="C1576" s="2032"/>
      <c r="D1576" s="2033"/>
      <c r="E1576" s="2000"/>
      <c r="F1576" s="2000"/>
      <c r="G1576" s="2000"/>
      <c r="H1576" s="2000"/>
      <c r="I1576" s="1968"/>
      <c r="J1576" s="1968"/>
      <c r="K1576" s="2000"/>
      <c r="L1576" s="2000"/>
      <c r="M1576" s="1968"/>
      <c r="N1576" s="1968"/>
      <c r="O1576" s="1968"/>
      <c r="P1576" s="1968"/>
      <c r="Q1576" s="1968"/>
      <c r="R1576" s="1968"/>
      <c r="S1576" s="1968"/>
      <c r="T1576" s="1968"/>
    </row>
    <row r="1577" spans="1:20" x14ac:dyDescent="0.2">
      <c r="A1577" s="2031"/>
      <c r="B1577" s="1968"/>
      <c r="C1577" s="2032"/>
      <c r="D1577" s="2033"/>
      <c r="E1577" s="2000"/>
      <c r="F1577" s="2000"/>
      <c r="G1577" s="2000"/>
      <c r="H1577" s="2000"/>
      <c r="I1577" s="1968"/>
      <c r="J1577" s="1968"/>
      <c r="K1577" s="2000"/>
      <c r="L1577" s="2000"/>
      <c r="M1577" s="1968"/>
      <c r="N1577" s="1968"/>
      <c r="O1577" s="1968"/>
      <c r="P1577" s="1968"/>
      <c r="Q1577" s="1968"/>
      <c r="R1577" s="1968"/>
      <c r="S1577" s="1968"/>
      <c r="T1577" s="1968"/>
    </row>
    <row r="1578" spans="1:20" x14ac:dyDescent="0.2">
      <c r="A1578" s="2031"/>
      <c r="B1578" s="1968"/>
      <c r="C1578" s="2032"/>
      <c r="D1578" s="2033"/>
      <c r="E1578" s="2000"/>
      <c r="F1578" s="2000"/>
      <c r="G1578" s="2000"/>
      <c r="H1578" s="2000"/>
      <c r="I1578" s="1968"/>
      <c r="J1578" s="1968"/>
      <c r="K1578" s="2000"/>
      <c r="L1578" s="2000"/>
      <c r="M1578" s="1968"/>
      <c r="N1578" s="1968"/>
      <c r="O1578" s="1968"/>
      <c r="P1578" s="1968"/>
      <c r="Q1578" s="1968"/>
      <c r="R1578" s="1968"/>
      <c r="S1578" s="1968"/>
      <c r="T1578" s="1968"/>
    </row>
    <row r="1579" spans="1:20" x14ac:dyDescent="0.2">
      <c r="A1579" s="2031"/>
      <c r="B1579" s="1968"/>
      <c r="C1579" s="2032"/>
      <c r="D1579" s="2033"/>
      <c r="E1579" s="2000"/>
      <c r="F1579" s="2000"/>
      <c r="G1579" s="2000"/>
      <c r="H1579" s="2000"/>
      <c r="I1579" s="1968"/>
      <c r="J1579" s="1968"/>
      <c r="K1579" s="2000"/>
      <c r="L1579" s="2000"/>
      <c r="M1579" s="1968"/>
      <c r="N1579" s="1968"/>
      <c r="O1579" s="1968"/>
      <c r="P1579" s="1968"/>
      <c r="Q1579" s="1968"/>
      <c r="R1579" s="1968"/>
      <c r="S1579" s="1968"/>
      <c r="T1579" s="1968"/>
    </row>
    <row r="1580" spans="1:20" x14ac:dyDescent="0.2">
      <c r="A1580" s="2031"/>
      <c r="B1580" s="1968"/>
      <c r="C1580" s="2032"/>
      <c r="D1580" s="2033"/>
      <c r="E1580" s="2000"/>
      <c r="F1580" s="2000"/>
      <c r="G1580" s="2000"/>
      <c r="H1580" s="2000"/>
      <c r="I1580" s="1968"/>
      <c r="J1580" s="1968"/>
      <c r="K1580" s="2000"/>
      <c r="L1580" s="2000"/>
      <c r="M1580" s="1968"/>
      <c r="N1580" s="1968"/>
      <c r="O1580" s="1968"/>
      <c r="P1580" s="1968"/>
      <c r="Q1580" s="1968"/>
      <c r="R1580" s="1968"/>
      <c r="S1580" s="1968"/>
      <c r="T1580" s="1968"/>
    </row>
    <row r="1581" spans="1:20" x14ac:dyDescent="0.2">
      <c r="A1581" s="2031"/>
      <c r="B1581" s="1968"/>
      <c r="C1581" s="2032"/>
      <c r="D1581" s="2033"/>
      <c r="E1581" s="2000"/>
      <c r="F1581" s="2000"/>
      <c r="G1581" s="2000"/>
      <c r="H1581" s="2000"/>
      <c r="I1581" s="1968"/>
      <c r="J1581" s="1968"/>
      <c r="K1581" s="2000"/>
      <c r="L1581" s="2000"/>
      <c r="M1581" s="1968"/>
      <c r="N1581" s="1968"/>
      <c r="O1581" s="1968"/>
      <c r="P1581" s="1968"/>
      <c r="Q1581" s="1968"/>
      <c r="R1581" s="1968"/>
      <c r="S1581" s="1968"/>
      <c r="T1581" s="1968"/>
    </row>
    <row r="1582" spans="1:20" x14ac:dyDescent="0.2">
      <c r="A1582" s="2031"/>
      <c r="B1582" s="1968"/>
      <c r="C1582" s="2032"/>
      <c r="D1582" s="2033"/>
      <c r="E1582" s="2000"/>
      <c r="F1582" s="2000"/>
      <c r="G1582" s="2000"/>
      <c r="H1582" s="2000"/>
      <c r="I1582" s="1968"/>
      <c r="J1582" s="1968"/>
      <c r="K1582" s="2000"/>
      <c r="L1582" s="2000"/>
      <c r="M1582" s="1968"/>
      <c r="N1582" s="1968"/>
      <c r="O1582" s="1968"/>
      <c r="P1582" s="1968"/>
      <c r="Q1582" s="1968"/>
      <c r="R1582" s="1968"/>
      <c r="S1582" s="1968"/>
      <c r="T1582" s="1968"/>
    </row>
    <row r="1583" spans="1:20" x14ac:dyDescent="0.2">
      <c r="A1583" s="2031"/>
      <c r="B1583" s="1968"/>
      <c r="C1583" s="2032"/>
      <c r="D1583" s="2033"/>
      <c r="E1583" s="2000"/>
      <c r="F1583" s="2000"/>
      <c r="G1583" s="2000"/>
      <c r="H1583" s="2000"/>
      <c r="I1583" s="1968"/>
      <c r="J1583" s="1968"/>
      <c r="K1583" s="2000"/>
      <c r="L1583" s="2000"/>
      <c r="M1583" s="1968"/>
      <c r="N1583" s="1968"/>
      <c r="O1583" s="1968"/>
      <c r="P1583" s="1968"/>
      <c r="Q1583" s="1968"/>
      <c r="R1583" s="1968"/>
      <c r="S1583" s="1968"/>
      <c r="T1583" s="1968"/>
    </row>
    <row r="1584" spans="1:20" x14ac:dyDescent="0.2">
      <c r="A1584" s="2031"/>
      <c r="B1584" s="1968"/>
      <c r="C1584" s="2032"/>
      <c r="D1584" s="2033"/>
      <c r="E1584" s="2000"/>
      <c r="F1584" s="2000"/>
      <c r="G1584" s="2000"/>
      <c r="H1584" s="2000"/>
      <c r="I1584" s="1968"/>
      <c r="J1584" s="1968"/>
      <c r="K1584" s="2000"/>
      <c r="L1584" s="2000"/>
      <c r="M1584" s="1968"/>
      <c r="N1584" s="1968"/>
      <c r="O1584" s="1968"/>
      <c r="P1584" s="1968"/>
      <c r="Q1584" s="1968"/>
      <c r="R1584" s="1968"/>
      <c r="S1584" s="1968"/>
      <c r="T1584" s="1968"/>
    </row>
    <row r="1585" spans="1:20" x14ac:dyDescent="0.2">
      <c r="A1585" s="2031"/>
      <c r="B1585" s="1968"/>
      <c r="C1585" s="2032"/>
      <c r="D1585" s="2033"/>
      <c r="E1585" s="2000"/>
      <c r="F1585" s="2000"/>
      <c r="G1585" s="2000"/>
      <c r="H1585" s="2000"/>
      <c r="I1585" s="1968"/>
      <c r="J1585" s="1968"/>
      <c r="K1585" s="2000"/>
      <c r="L1585" s="2000"/>
      <c r="M1585" s="1968"/>
      <c r="N1585" s="1968"/>
      <c r="O1585" s="1968"/>
      <c r="P1585" s="1968"/>
      <c r="Q1585" s="1968"/>
      <c r="R1585" s="1968"/>
      <c r="S1585" s="1968"/>
      <c r="T1585" s="1968"/>
    </row>
    <row r="1586" spans="1:20" x14ac:dyDescent="0.2">
      <c r="A1586" s="2031"/>
      <c r="B1586" s="1968"/>
      <c r="C1586" s="2032"/>
      <c r="D1586" s="2033"/>
      <c r="E1586" s="2000"/>
      <c r="F1586" s="2000"/>
      <c r="G1586" s="2000"/>
      <c r="H1586" s="2000"/>
      <c r="I1586" s="1968"/>
      <c r="J1586" s="1968"/>
      <c r="K1586" s="2000"/>
      <c r="L1586" s="2000"/>
      <c r="M1586" s="1968"/>
      <c r="N1586" s="1968"/>
      <c r="O1586" s="1968"/>
      <c r="P1586" s="1968"/>
      <c r="Q1586" s="1968"/>
      <c r="R1586" s="1968"/>
      <c r="S1586" s="1968"/>
      <c r="T1586" s="1968"/>
    </row>
    <row r="1587" spans="1:20" x14ac:dyDescent="0.2">
      <c r="A1587" s="2031"/>
      <c r="B1587" s="1968"/>
      <c r="C1587" s="2032"/>
      <c r="D1587" s="2033"/>
      <c r="E1587" s="2000"/>
      <c r="F1587" s="2000"/>
      <c r="G1587" s="2000"/>
      <c r="H1587" s="2000"/>
      <c r="I1587" s="1968"/>
      <c r="J1587" s="1968"/>
      <c r="K1587" s="2000"/>
      <c r="L1587" s="2000"/>
      <c r="M1587" s="1968"/>
      <c r="N1587" s="1968"/>
      <c r="O1587" s="1968"/>
      <c r="P1587" s="1968"/>
      <c r="Q1587" s="1968"/>
      <c r="R1587" s="1968"/>
      <c r="S1587" s="1968"/>
      <c r="T1587" s="1968"/>
    </row>
    <row r="1588" spans="1:20" x14ac:dyDescent="0.2">
      <c r="A1588" s="2031"/>
      <c r="B1588" s="1968"/>
      <c r="C1588" s="2032"/>
      <c r="D1588" s="2033"/>
      <c r="E1588" s="2000"/>
      <c r="F1588" s="2000"/>
      <c r="G1588" s="2000"/>
      <c r="H1588" s="2000"/>
      <c r="I1588" s="1968"/>
      <c r="J1588" s="1968"/>
      <c r="K1588" s="2000"/>
      <c r="L1588" s="2000"/>
      <c r="M1588" s="1968"/>
      <c r="N1588" s="1968"/>
      <c r="O1588" s="1968"/>
      <c r="P1588" s="1968"/>
      <c r="Q1588" s="1968"/>
      <c r="R1588" s="1968"/>
      <c r="S1588" s="1968"/>
      <c r="T1588" s="1968"/>
    </row>
    <row r="1589" spans="1:20" x14ac:dyDescent="0.2">
      <c r="A1589" s="2031"/>
      <c r="B1589" s="1968"/>
      <c r="C1589" s="2032"/>
      <c r="D1589" s="2033"/>
      <c r="E1589" s="2000"/>
      <c r="F1589" s="2000"/>
      <c r="G1589" s="2000"/>
      <c r="H1589" s="2000"/>
      <c r="I1589" s="1968"/>
      <c r="J1589" s="1968"/>
      <c r="K1589" s="2000"/>
      <c r="L1589" s="2000"/>
      <c r="M1589" s="1968"/>
      <c r="N1589" s="1968"/>
      <c r="O1589" s="1968"/>
      <c r="P1589" s="1968"/>
      <c r="Q1589" s="1968"/>
      <c r="R1589" s="1968"/>
      <c r="S1589" s="1968"/>
      <c r="T1589" s="1968"/>
    </row>
    <row r="1590" spans="1:20" x14ac:dyDescent="0.2">
      <c r="A1590" s="2031"/>
      <c r="B1590" s="1968"/>
      <c r="C1590" s="2032"/>
      <c r="D1590" s="2033"/>
      <c r="E1590" s="2000"/>
      <c r="F1590" s="2000"/>
      <c r="G1590" s="2000"/>
      <c r="H1590" s="2000"/>
      <c r="I1590" s="1968"/>
      <c r="J1590" s="1968"/>
      <c r="K1590" s="2000"/>
      <c r="L1590" s="2000"/>
      <c r="M1590" s="1968"/>
      <c r="N1590" s="1968"/>
      <c r="O1590" s="1968"/>
      <c r="P1590" s="1968"/>
      <c r="Q1590" s="1968"/>
      <c r="R1590" s="1968"/>
      <c r="S1590" s="1968"/>
      <c r="T1590" s="1968"/>
    </row>
    <row r="1591" spans="1:20" x14ac:dyDescent="0.2">
      <c r="A1591" s="2031"/>
      <c r="B1591" s="1968"/>
      <c r="C1591" s="2032"/>
      <c r="D1591" s="2033"/>
      <c r="E1591" s="2000"/>
      <c r="F1591" s="2000"/>
      <c r="G1591" s="2000"/>
      <c r="H1591" s="2000"/>
      <c r="I1591" s="1968"/>
      <c r="J1591" s="1968"/>
      <c r="K1591" s="2000"/>
      <c r="L1591" s="2000"/>
      <c r="M1591" s="1968"/>
      <c r="N1591" s="1968"/>
      <c r="O1591" s="1968"/>
      <c r="P1591" s="1968"/>
      <c r="Q1591" s="1968"/>
      <c r="R1591" s="1968"/>
      <c r="S1591" s="1968"/>
      <c r="T1591" s="1968"/>
    </row>
    <row r="1592" spans="1:20" x14ac:dyDescent="0.2">
      <c r="A1592" s="2031"/>
      <c r="B1592" s="1968"/>
      <c r="C1592" s="2032"/>
      <c r="D1592" s="2033"/>
      <c r="E1592" s="2000"/>
      <c r="F1592" s="2000"/>
      <c r="G1592" s="2000"/>
      <c r="H1592" s="2000"/>
      <c r="I1592" s="1968"/>
      <c r="J1592" s="1968"/>
      <c r="K1592" s="2000"/>
      <c r="L1592" s="2000"/>
      <c r="M1592" s="1968"/>
      <c r="N1592" s="1968"/>
      <c r="O1592" s="1968"/>
      <c r="P1592" s="1968"/>
      <c r="Q1592" s="1968"/>
      <c r="R1592" s="1968"/>
      <c r="S1592" s="1968"/>
      <c r="T1592" s="1968"/>
    </row>
    <row r="1593" spans="1:20" x14ac:dyDescent="0.2">
      <c r="A1593" s="2031"/>
      <c r="B1593" s="1968"/>
      <c r="C1593" s="2032"/>
      <c r="D1593" s="2033"/>
      <c r="E1593" s="2000"/>
      <c r="F1593" s="2000"/>
      <c r="G1593" s="2000"/>
      <c r="H1593" s="2000"/>
      <c r="I1593" s="1968"/>
      <c r="J1593" s="1968"/>
      <c r="K1593" s="2000"/>
      <c r="L1593" s="2000"/>
      <c r="M1593" s="1968"/>
      <c r="N1593" s="1968"/>
      <c r="O1593" s="1968"/>
      <c r="P1593" s="1968"/>
      <c r="Q1593" s="1968"/>
      <c r="R1593" s="1968"/>
      <c r="S1593" s="1968"/>
      <c r="T1593" s="1968"/>
    </row>
    <row r="1594" spans="1:20" x14ac:dyDescent="0.2">
      <c r="A1594" s="2031"/>
      <c r="B1594" s="1968"/>
      <c r="C1594" s="2032"/>
      <c r="D1594" s="2033"/>
      <c r="E1594" s="2000"/>
      <c r="F1594" s="2000"/>
      <c r="G1594" s="2000"/>
      <c r="H1594" s="2000"/>
      <c r="I1594" s="1968"/>
      <c r="J1594" s="1968"/>
      <c r="K1594" s="2000"/>
      <c r="L1594" s="2000"/>
      <c r="M1594" s="1968"/>
      <c r="N1594" s="1968"/>
      <c r="O1594" s="1968"/>
      <c r="P1594" s="1968"/>
      <c r="Q1594" s="1968"/>
      <c r="R1594" s="1968"/>
      <c r="S1594" s="1968"/>
      <c r="T1594" s="1968"/>
    </row>
    <row r="1595" spans="1:20" x14ac:dyDescent="0.2">
      <c r="A1595" s="2031"/>
      <c r="B1595" s="1968"/>
      <c r="C1595" s="2032"/>
      <c r="D1595" s="2033"/>
      <c r="E1595" s="2000"/>
      <c r="F1595" s="2000"/>
      <c r="G1595" s="2000"/>
      <c r="H1595" s="2000"/>
      <c r="I1595" s="1968"/>
      <c r="J1595" s="1968"/>
      <c r="K1595" s="2000"/>
      <c r="L1595" s="2000"/>
      <c r="M1595" s="1968"/>
      <c r="N1595" s="1968"/>
      <c r="O1595" s="1968"/>
      <c r="P1595" s="1968"/>
      <c r="Q1595" s="1968"/>
      <c r="R1595" s="1968"/>
      <c r="S1595" s="1968"/>
      <c r="T1595" s="1968"/>
    </row>
    <row r="1596" spans="1:20" x14ac:dyDescent="0.2">
      <c r="A1596" s="2031"/>
      <c r="B1596" s="1968"/>
      <c r="C1596" s="2032"/>
      <c r="D1596" s="2033"/>
      <c r="E1596" s="2000"/>
      <c r="F1596" s="2000"/>
      <c r="G1596" s="2000"/>
      <c r="H1596" s="2000"/>
      <c r="I1596" s="1968"/>
      <c r="J1596" s="1968"/>
      <c r="K1596" s="2000"/>
      <c r="L1596" s="2000"/>
      <c r="M1596" s="1968"/>
      <c r="N1596" s="1968"/>
      <c r="O1596" s="1968"/>
      <c r="P1596" s="1968"/>
      <c r="Q1596" s="1968"/>
      <c r="R1596" s="1968"/>
      <c r="S1596" s="1968"/>
      <c r="T1596" s="1968"/>
    </row>
    <row r="1597" spans="1:20" x14ac:dyDescent="0.2">
      <c r="A1597" s="2031"/>
      <c r="B1597" s="1968"/>
      <c r="C1597" s="2032"/>
      <c r="D1597" s="2033"/>
      <c r="E1597" s="2000"/>
      <c r="F1597" s="2000"/>
      <c r="G1597" s="2000"/>
      <c r="H1597" s="2000"/>
      <c r="I1597" s="1968"/>
      <c r="J1597" s="1968"/>
      <c r="K1597" s="2000"/>
      <c r="L1597" s="2000"/>
      <c r="M1597" s="1968"/>
      <c r="N1597" s="1968"/>
      <c r="O1597" s="1968"/>
      <c r="P1597" s="1968"/>
      <c r="Q1597" s="1968"/>
      <c r="R1597" s="1968"/>
      <c r="S1597" s="1968"/>
      <c r="T1597" s="1968"/>
    </row>
    <row r="1598" spans="1:20" x14ac:dyDescent="0.2">
      <c r="A1598" s="2031"/>
      <c r="B1598" s="1968"/>
      <c r="C1598" s="2032"/>
      <c r="D1598" s="2033"/>
      <c r="E1598" s="2000"/>
      <c r="F1598" s="2000"/>
      <c r="G1598" s="2000"/>
      <c r="H1598" s="2000"/>
      <c r="I1598" s="1968"/>
      <c r="J1598" s="1968"/>
      <c r="K1598" s="2000"/>
      <c r="L1598" s="2000"/>
      <c r="M1598" s="1968"/>
      <c r="N1598" s="1968"/>
      <c r="O1598" s="1968"/>
      <c r="P1598" s="1968"/>
      <c r="Q1598" s="1968"/>
      <c r="R1598" s="1968"/>
      <c r="S1598" s="1968"/>
      <c r="T1598" s="1968"/>
    </row>
    <row r="1599" spans="1:20" x14ac:dyDescent="0.2">
      <c r="A1599" s="2031"/>
      <c r="B1599" s="1968"/>
      <c r="C1599" s="2032"/>
      <c r="D1599" s="2033"/>
      <c r="E1599" s="2000"/>
      <c r="F1599" s="2000"/>
      <c r="G1599" s="2000"/>
      <c r="H1599" s="2000"/>
      <c r="I1599" s="1968"/>
      <c r="J1599" s="1968"/>
      <c r="K1599" s="2000"/>
      <c r="L1599" s="2000"/>
      <c r="M1599" s="1968"/>
      <c r="N1599" s="1968"/>
      <c r="O1599" s="1968"/>
      <c r="P1599" s="1968"/>
      <c r="Q1599" s="1968"/>
      <c r="R1599" s="1968"/>
      <c r="S1599" s="1968"/>
      <c r="T1599" s="1968"/>
    </row>
    <row r="1600" spans="1:20" x14ac:dyDescent="0.2">
      <c r="A1600" s="2031"/>
      <c r="B1600" s="1968"/>
      <c r="C1600" s="2032"/>
      <c r="D1600" s="2033"/>
      <c r="E1600" s="2000"/>
      <c r="F1600" s="2000"/>
      <c r="G1600" s="2000"/>
      <c r="H1600" s="2000"/>
      <c r="I1600" s="1968"/>
      <c r="J1600" s="1968"/>
      <c r="K1600" s="2000"/>
      <c r="L1600" s="2000"/>
      <c r="M1600" s="1968"/>
      <c r="N1600" s="1968"/>
      <c r="O1600" s="1968"/>
      <c r="P1600" s="1968"/>
      <c r="Q1600" s="1968"/>
      <c r="R1600" s="1968"/>
      <c r="S1600" s="1968"/>
      <c r="T1600" s="1968"/>
    </row>
    <row r="1601" spans="1:20" x14ac:dyDescent="0.2">
      <c r="A1601" s="2031"/>
      <c r="B1601" s="1968"/>
      <c r="C1601" s="2032"/>
      <c r="D1601" s="2033"/>
      <c r="E1601" s="2000"/>
      <c r="F1601" s="2000"/>
      <c r="G1601" s="2000"/>
      <c r="H1601" s="2000"/>
      <c r="I1601" s="1968"/>
      <c r="J1601" s="1968"/>
      <c r="K1601" s="2000"/>
      <c r="L1601" s="2000"/>
      <c r="M1601" s="1968"/>
      <c r="N1601" s="1968"/>
      <c r="O1601" s="1968"/>
      <c r="P1601" s="1968"/>
      <c r="Q1601" s="1968"/>
      <c r="R1601" s="1968"/>
      <c r="S1601" s="1968"/>
      <c r="T1601" s="1968"/>
    </row>
    <row r="1602" spans="1:20" x14ac:dyDescent="0.2">
      <c r="A1602" s="2031"/>
      <c r="B1602" s="1968"/>
      <c r="C1602" s="2032"/>
      <c r="D1602" s="2033"/>
      <c r="E1602" s="2000"/>
      <c r="F1602" s="2000"/>
      <c r="G1602" s="2000"/>
      <c r="H1602" s="2000"/>
      <c r="I1602" s="1968"/>
      <c r="J1602" s="1968"/>
      <c r="K1602" s="2000"/>
      <c r="L1602" s="2000"/>
      <c r="M1602" s="1968"/>
      <c r="N1602" s="1968"/>
      <c r="O1602" s="1968"/>
      <c r="P1602" s="1968"/>
      <c r="Q1602" s="1968"/>
      <c r="R1602" s="1968"/>
      <c r="S1602" s="1968"/>
      <c r="T1602" s="1968"/>
    </row>
    <row r="1603" spans="1:20" x14ac:dyDescent="0.2">
      <c r="A1603" s="2031"/>
      <c r="B1603" s="1968"/>
      <c r="C1603" s="2032"/>
      <c r="D1603" s="2033"/>
      <c r="E1603" s="2000"/>
      <c r="F1603" s="2000"/>
      <c r="G1603" s="2000"/>
      <c r="H1603" s="2000"/>
      <c r="I1603" s="1968"/>
      <c r="J1603" s="1968"/>
      <c r="K1603" s="2000"/>
      <c r="L1603" s="2000"/>
      <c r="M1603" s="1968"/>
      <c r="N1603" s="1968"/>
      <c r="O1603" s="1968"/>
      <c r="P1603" s="1968"/>
      <c r="Q1603" s="1968"/>
      <c r="R1603" s="1968"/>
      <c r="S1603" s="1968"/>
      <c r="T1603" s="1968"/>
    </row>
    <row r="1604" spans="1:20" x14ac:dyDescent="0.2">
      <c r="A1604" s="2031"/>
      <c r="B1604" s="1968"/>
      <c r="C1604" s="2032"/>
      <c r="D1604" s="2033"/>
      <c r="E1604" s="2000"/>
      <c r="F1604" s="2000"/>
      <c r="G1604" s="2000"/>
      <c r="H1604" s="2000"/>
      <c r="I1604" s="1968"/>
      <c r="J1604" s="1968"/>
      <c r="K1604" s="2000"/>
      <c r="L1604" s="2000"/>
      <c r="M1604" s="1968"/>
      <c r="N1604" s="1968"/>
      <c r="O1604" s="1968"/>
      <c r="P1604" s="1968"/>
      <c r="Q1604" s="1968"/>
      <c r="R1604" s="1968"/>
      <c r="S1604" s="1968"/>
      <c r="T1604" s="1968"/>
    </row>
    <row r="1605" spans="1:20" x14ac:dyDescent="0.2">
      <c r="A1605" s="2031"/>
      <c r="B1605" s="1968"/>
      <c r="C1605" s="2032"/>
      <c r="D1605" s="2033"/>
      <c r="E1605" s="2000"/>
      <c r="F1605" s="2000"/>
      <c r="G1605" s="2000"/>
      <c r="H1605" s="2000"/>
      <c r="I1605" s="1968"/>
      <c r="J1605" s="1968"/>
      <c r="K1605" s="2000"/>
      <c r="L1605" s="2000"/>
      <c r="M1605" s="1968"/>
      <c r="N1605" s="1968"/>
      <c r="O1605" s="1968"/>
      <c r="P1605" s="1968"/>
      <c r="Q1605" s="1968"/>
      <c r="R1605" s="1968"/>
      <c r="S1605" s="1968"/>
      <c r="T1605" s="1968"/>
    </row>
    <row r="1606" spans="1:20" x14ac:dyDescent="0.2">
      <c r="A1606" s="2031"/>
      <c r="B1606" s="1968"/>
      <c r="C1606" s="2032"/>
      <c r="D1606" s="2033"/>
      <c r="E1606" s="2000"/>
      <c r="F1606" s="2000"/>
      <c r="G1606" s="2000"/>
      <c r="H1606" s="2000"/>
      <c r="I1606" s="1968"/>
      <c r="J1606" s="1968"/>
      <c r="K1606" s="2000"/>
      <c r="L1606" s="2000"/>
      <c r="M1606" s="1968"/>
      <c r="N1606" s="1968"/>
      <c r="O1606" s="1968"/>
      <c r="P1606" s="1968"/>
      <c r="Q1606" s="1968"/>
      <c r="R1606" s="1968"/>
      <c r="S1606" s="1968"/>
      <c r="T1606" s="1968"/>
    </row>
    <row r="1607" spans="1:20" x14ac:dyDescent="0.2">
      <c r="A1607" s="2031"/>
      <c r="B1607" s="1968"/>
      <c r="C1607" s="2032"/>
      <c r="D1607" s="2033"/>
      <c r="E1607" s="2000"/>
      <c r="F1607" s="2000"/>
      <c r="G1607" s="2000"/>
      <c r="H1607" s="2000"/>
      <c r="I1607" s="1968"/>
      <c r="J1607" s="1968"/>
      <c r="K1607" s="2000"/>
      <c r="L1607" s="2000"/>
      <c r="M1607" s="1968"/>
      <c r="N1607" s="1968"/>
      <c r="O1607" s="1968"/>
      <c r="P1607" s="1968"/>
      <c r="Q1607" s="1968"/>
      <c r="R1607" s="1968"/>
      <c r="S1607" s="1968"/>
      <c r="T1607" s="1968"/>
    </row>
    <row r="1608" spans="1:20" x14ac:dyDescent="0.2">
      <c r="A1608" s="2031"/>
      <c r="B1608" s="1968"/>
      <c r="C1608" s="2032"/>
      <c r="D1608" s="2033"/>
      <c r="E1608" s="2000"/>
      <c r="F1608" s="2000"/>
      <c r="G1608" s="2000"/>
      <c r="H1608" s="2000"/>
      <c r="I1608" s="1968"/>
      <c r="J1608" s="1968"/>
      <c r="K1608" s="2000"/>
      <c r="L1608" s="2000"/>
      <c r="M1608" s="1968"/>
      <c r="N1608" s="1968"/>
      <c r="O1608" s="1968"/>
      <c r="P1608" s="1968"/>
      <c r="Q1608" s="1968"/>
      <c r="R1608" s="1968"/>
      <c r="S1608" s="1968"/>
      <c r="T1608" s="1968"/>
    </row>
    <row r="1609" spans="1:20" x14ac:dyDescent="0.2">
      <c r="A1609" s="2031"/>
      <c r="B1609" s="1968"/>
      <c r="C1609" s="2032"/>
      <c r="D1609" s="2033"/>
      <c r="E1609" s="2000"/>
      <c r="F1609" s="2000"/>
      <c r="G1609" s="2000"/>
      <c r="H1609" s="2000"/>
      <c r="I1609" s="1968"/>
      <c r="J1609" s="1968"/>
      <c r="K1609" s="2000"/>
      <c r="L1609" s="2000"/>
      <c r="M1609" s="1968"/>
      <c r="N1609" s="1968"/>
      <c r="O1609" s="1968"/>
      <c r="P1609" s="1968"/>
      <c r="Q1609" s="1968"/>
      <c r="R1609" s="1968"/>
      <c r="S1609" s="1968"/>
      <c r="T1609" s="1968"/>
    </row>
    <row r="1610" spans="1:20" x14ac:dyDescent="0.2">
      <c r="A1610" s="2031"/>
      <c r="B1610" s="1968"/>
      <c r="C1610" s="2032"/>
      <c r="D1610" s="2033"/>
      <c r="E1610" s="2000"/>
      <c r="F1610" s="2000"/>
      <c r="G1610" s="2000"/>
      <c r="H1610" s="2000"/>
      <c r="I1610" s="1968"/>
      <c r="J1610" s="1968"/>
      <c r="K1610" s="2000"/>
      <c r="L1610" s="2000"/>
      <c r="M1610" s="1968"/>
      <c r="N1610" s="1968"/>
      <c r="O1610" s="1968"/>
      <c r="P1610" s="1968"/>
      <c r="Q1610" s="1968"/>
      <c r="R1610" s="1968"/>
      <c r="S1610" s="1968"/>
      <c r="T1610" s="1968"/>
    </row>
    <row r="1611" spans="1:20" x14ac:dyDescent="0.2">
      <c r="A1611" s="2031"/>
      <c r="B1611" s="1968"/>
      <c r="C1611" s="2032"/>
      <c r="D1611" s="2033"/>
      <c r="E1611" s="2000"/>
      <c r="F1611" s="2000"/>
      <c r="G1611" s="2000"/>
      <c r="H1611" s="2000"/>
      <c r="I1611" s="1968"/>
      <c r="J1611" s="1968"/>
      <c r="K1611" s="2000"/>
      <c r="L1611" s="2000"/>
      <c r="M1611" s="1968"/>
      <c r="N1611" s="1968"/>
      <c r="O1611" s="1968"/>
      <c r="P1611" s="1968"/>
      <c r="Q1611" s="1968"/>
      <c r="R1611" s="1968"/>
      <c r="S1611" s="1968"/>
      <c r="T1611" s="1968"/>
    </row>
    <row r="1612" spans="1:20" x14ac:dyDescent="0.2">
      <c r="A1612" s="2031"/>
      <c r="B1612" s="1968"/>
      <c r="C1612" s="2032"/>
      <c r="D1612" s="2033"/>
      <c r="E1612" s="2000"/>
      <c r="F1612" s="2000"/>
      <c r="G1612" s="2000"/>
      <c r="H1612" s="2000"/>
      <c r="I1612" s="1968"/>
      <c r="J1612" s="1968"/>
      <c r="K1612" s="2000"/>
      <c r="L1612" s="2000"/>
      <c r="M1612" s="1968"/>
      <c r="N1612" s="1968"/>
      <c r="O1612" s="1968"/>
      <c r="P1612" s="1968"/>
      <c r="Q1612" s="1968"/>
      <c r="R1612" s="1968"/>
      <c r="S1612" s="1968"/>
      <c r="T1612" s="1968"/>
    </row>
    <row r="1613" spans="1:20" x14ac:dyDescent="0.2">
      <c r="A1613" s="2031"/>
      <c r="B1613" s="1968"/>
      <c r="C1613" s="2032"/>
      <c r="D1613" s="2033"/>
      <c r="E1613" s="2000"/>
      <c r="F1613" s="2000"/>
      <c r="G1613" s="2000"/>
      <c r="H1613" s="2000"/>
      <c r="I1613" s="1968"/>
      <c r="J1613" s="1968"/>
      <c r="K1613" s="2000"/>
      <c r="L1613" s="2000"/>
      <c r="M1613" s="1968"/>
      <c r="N1613" s="1968"/>
      <c r="O1613" s="1968"/>
      <c r="P1613" s="1968"/>
      <c r="Q1613" s="1968"/>
      <c r="R1613" s="1968"/>
      <c r="S1613" s="1968"/>
      <c r="T1613" s="1968"/>
    </row>
    <row r="1614" spans="1:20" x14ac:dyDescent="0.2">
      <c r="A1614" s="2031"/>
      <c r="B1614" s="1968"/>
      <c r="C1614" s="2032"/>
      <c r="D1614" s="2033"/>
      <c r="E1614" s="2000"/>
      <c r="F1614" s="2000"/>
      <c r="G1614" s="2000"/>
      <c r="H1614" s="2000"/>
      <c r="I1614" s="1968"/>
      <c r="J1614" s="1968"/>
      <c r="K1614" s="2000"/>
      <c r="L1614" s="2000"/>
      <c r="M1614" s="1968"/>
      <c r="N1614" s="1968"/>
      <c r="O1614" s="1968"/>
      <c r="P1614" s="1968"/>
      <c r="Q1614" s="1968"/>
      <c r="R1614" s="1968"/>
      <c r="S1614" s="1968"/>
      <c r="T1614" s="1968"/>
    </row>
    <row r="1615" spans="1:20" x14ac:dyDescent="0.2">
      <c r="A1615" s="2031"/>
      <c r="B1615" s="1968"/>
      <c r="C1615" s="2032"/>
      <c r="D1615" s="2033"/>
      <c r="E1615" s="2000"/>
      <c r="F1615" s="2000"/>
      <c r="G1615" s="2000"/>
      <c r="H1615" s="2000"/>
      <c r="I1615" s="1968"/>
      <c r="J1615" s="1968"/>
      <c r="K1615" s="2000"/>
      <c r="L1615" s="2000"/>
      <c r="M1615" s="1968"/>
      <c r="N1615" s="1968"/>
      <c r="O1615" s="1968"/>
      <c r="P1615" s="1968"/>
      <c r="Q1615" s="1968"/>
      <c r="R1615" s="1968"/>
      <c r="S1615" s="1968"/>
      <c r="T1615" s="1968"/>
    </row>
    <row r="1616" spans="1:20" x14ac:dyDescent="0.2">
      <c r="A1616" s="2031"/>
      <c r="B1616" s="1968"/>
      <c r="C1616" s="2032"/>
      <c r="D1616" s="2033"/>
      <c r="E1616" s="2000"/>
      <c r="F1616" s="2000"/>
      <c r="G1616" s="2000"/>
      <c r="H1616" s="2000"/>
      <c r="I1616" s="1968"/>
      <c r="J1616" s="1968"/>
      <c r="K1616" s="2000"/>
      <c r="L1616" s="2000"/>
      <c r="M1616" s="1968"/>
      <c r="N1616" s="1968"/>
      <c r="O1616" s="1968"/>
      <c r="P1616" s="1968"/>
      <c r="Q1616" s="1968"/>
      <c r="R1616" s="1968"/>
      <c r="S1616" s="1968"/>
      <c r="T1616" s="1968"/>
    </row>
    <row r="1617" spans="1:20" x14ac:dyDescent="0.2">
      <c r="A1617" s="2031"/>
      <c r="B1617" s="1968"/>
      <c r="C1617" s="2032"/>
      <c r="D1617" s="2033"/>
      <c r="E1617" s="2000"/>
      <c r="F1617" s="2000"/>
      <c r="G1617" s="2000"/>
      <c r="H1617" s="2000"/>
      <c r="I1617" s="1968"/>
      <c r="J1617" s="1968"/>
      <c r="K1617" s="2000"/>
      <c r="L1617" s="2000"/>
      <c r="M1617" s="1968"/>
      <c r="N1617" s="1968"/>
      <c r="O1617" s="1968"/>
      <c r="P1617" s="1968"/>
      <c r="Q1617" s="1968"/>
      <c r="R1617" s="1968"/>
      <c r="S1617" s="1968"/>
      <c r="T1617" s="1968"/>
    </row>
    <row r="1618" spans="1:20" x14ac:dyDescent="0.2">
      <c r="A1618" s="2031"/>
      <c r="B1618" s="1968"/>
      <c r="C1618" s="2032"/>
      <c r="D1618" s="2033"/>
      <c r="E1618" s="2000"/>
      <c r="F1618" s="2000"/>
      <c r="G1618" s="2000"/>
      <c r="H1618" s="2000"/>
      <c r="I1618" s="1968"/>
      <c r="J1618" s="1968"/>
      <c r="K1618" s="2000"/>
      <c r="L1618" s="2000"/>
      <c r="M1618" s="1968"/>
      <c r="N1618" s="1968"/>
      <c r="O1618" s="1968"/>
      <c r="P1618" s="1968"/>
      <c r="Q1618" s="1968"/>
      <c r="R1618" s="1968"/>
      <c r="S1618" s="1968"/>
      <c r="T1618" s="1968"/>
    </row>
    <row r="1619" spans="1:20" x14ac:dyDescent="0.2">
      <c r="A1619" s="2031"/>
      <c r="B1619" s="1968"/>
      <c r="C1619" s="2032"/>
      <c r="D1619" s="2033"/>
      <c r="E1619" s="2000"/>
      <c r="F1619" s="2000"/>
      <c r="G1619" s="2000"/>
      <c r="H1619" s="2000"/>
      <c r="I1619" s="1968"/>
      <c r="J1619" s="1968"/>
      <c r="K1619" s="2000"/>
      <c r="L1619" s="2000"/>
      <c r="M1619" s="1968"/>
      <c r="N1619" s="1968"/>
      <c r="O1619" s="1968"/>
      <c r="P1619" s="1968"/>
      <c r="Q1619" s="1968"/>
      <c r="R1619" s="1968"/>
      <c r="S1619" s="1968"/>
      <c r="T1619" s="1968"/>
    </row>
    <row r="1620" spans="1:20" x14ac:dyDescent="0.2">
      <c r="A1620" s="2031"/>
      <c r="B1620" s="1968"/>
      <c r="C1620" s="2032"/>
      <c r="D1620" s="2033"/>
      <c r="E1620" s="2000"/>
      <c r="F1620" s="2000"/>
      <c r="G1620" s="2000"/>
      <c r="H1620" s="2000"/>
      <c r="I1620" s="1968"/>
      <c r="J1620" s="1968"/>
      <c r="K1620" s="2000"/>
      <c r="L1620" s="2000"/>
      <c r="M1620" s="1968"/>
      <c r="N1620" s="1968"/>
      <c r="O1620" s="1968"/>
      <c r="P1620" s="1968"/>
      <c r="Q1620" s="1968"/>
      <c r="R1620" s="1968"/>
      <c r="S1620" s="1968"/>
      <c r="T1620" s="1968"/>
    </row>
    <row r="1621" spans="1:20" x14ac:dyDescent="0.2">
      <c r="A1621" s="2031"/>
      <c r="B1621" s="1968"/>
      <c r="C1621" s="2032"/>
      <c r="D1621" s="2033"/>
      <c r="E1621" s="2000"/>
      <c r="F1621" s="2000"/>
      <c r="G1621" s="2000"/>
      <c r="H1621" s="2000"/>
      <c r="I1621" s="1968"/>
      <c r="J1621" s="1968"/>
      <c r="K1621" s="2000"/>
      <c r="L1621" s="2000"/>
      <c r="M1621" s="1968"/>
      <c r="N1621" s="1968"/>
      <c r="O1621" s="1968"/>
      <c r="P1621" s="1968"/>
      <c r="Q1621" s="1968"/>
      <c r="R1621" s="1968"/>
      <c r="S1621" s="1968"/>
      <c r="T1621" s="1968"/>
    </row>
    <row r="1622" spans="1:20" x14ac:dyDescent="0.2">
      <c r="A1622" s="2031"/>
      <c r="B1622" s="1968"/>
      <c r="C1622" s="2032"/>
      <c r="D1622" s="2033"/>
      <c r="E1622" s="2000"/>
      <c r="F1622" s="2000"/>
      <c r="G1622" s="2000"/>
      <c r="H1622" s="2000"/>
      <c r="I1622" s="1968"/>
      <c r="J1622" s="1968"/>
      <c r="K1622" s="2000"/>
      <c r="L1622" s="2000"/>
      <c r="M1622" s="1968"/>
      <c r="N1622" s="1968"/>
      <c r="O1622" s="1968"/>
      <c r="P1622" s="1968"/>
      <c r="Q1622" s="1968"/>
      <c r="R1622" s="1968"/>
      <c r="S1622" s="1968"/>
      <c r="T1622" s="1968"/>
    </row>
    <row r="1623" spans="1:20" x14ac:dyDescent="0.2">
      <c r="A1623" s="2031"/>
      <c r="B1623" s="1968"/>
      <c r="C1623" s="2032"/>
      <c r="D1623" s="2033"/>
      <c r="E1623" s="2000"/>
      <c r="F1623" s="2000"/>
      <c r="G1623" s="2000"/>
      <c r="H1623" s="2000"/>
      <c r="I1623" s="1968"/>
      <c r="J1623" s="1968"/>
      <c r="K1623" s="2000"/>
      <c r="L1623" s="2000"/>
      <c r="M1623" s="1968"/>
      <c r="N1623" s="1968"/>
      <c r="O1623" s="1968"/>
      <c r="P1623" s="1968"/>
      <c r="Q1623" s="1968"/>
      <c r="R1623" s="1968"/>
      <c r="S1623" s="1968"/>
      <c r="T1623" s="1968"/>
    </row>
    <row r="1624" spans="1:20" x14ac:dyDescent="0.2">
      <c r="A1624" s="2031"/>
      <c r="B1624" s="1968"/>
      <c r="C1624" s="2032"/>
      <c r="D1624" s="2033"/>
      <c r="E1624" s="2000"/>
      <c r="F1624" s="2000"/>
      <c r="G1624" s="2000"/>
      <c r="H1624" s="2000"/>
      <c r="I1624" s="1968"/>
      <c r="J1624" s="1968"/>
      <c r="K1624" s="2000"/>
      <c r="L1624" s="2000"/>
      <c r="M1624" s="1968"/>
      <c r="N1624" s="1968"/>
      <c r="O1624" s="1968"/>
      <c r="P1624" s="1968"/>
      <c r="Q1624" s="1968"/>
      <c r="R1624" s="1968"/>
      <c r="S1624" s="1968"/>
      <c r="T1624" s="1968"/>
    </row>
    <row r="1625" spans="1:20" x14ac:dyDescent="0.2">
      <c r="A1625" s="2031"/>
      <c r="B1625" s="1968"/>
      <c r="C1625" s="2032"/>
      <c r="D1625" s="2033"/>
      <c r="E1625" s="2000"/>
      <c r="F1625" s="2000"/>
      <c r="G1625" s="2000"/>
      <c r="H1625" s="2000"/>
      <c r="I1625" s="1968"/>
      <c r="J1625" s="1968"/>
      <c r="K1625" s="2000"/>
      <c r="L1625" s="2000"/>
      <c r="M1625" s="1968"/>
      <c r="N1625" s="1968"/>
      <c r="O1625" s="1968"/>
      <c r="P1625" s="1968"/>
      <c r="Q1625" s="1968"/>
      <c r="R1625" s="1968"/>
      <c r="S1625" s="1968"/>
      <c r="T1625" s="1968"/>
    </row>
    <row r="1626" spans="1:20" x14ac:dyDescent="0.2">
      <c r="A1626" s="2031"/>
      <c r="B1626" s="1968"/>
      <c r="C1626" s="2032"/>
      <c r="D1626" s="2033"/>
      <c r="E1626" s="2000"/>
      <c r="F1626" s="2000"/>
      <c r="G1626" s="2000"/>
      <c r="H1626" s="2000"/>
      <c r="I1626" s="1968"/>
      <c r="J1626" s="1968"/>
      <c r="K1626" s="2000"/>
      <c r="L1626" s="2000"/>
      <c r="M1626" s="1968"/>
      <c r="N1626" s="1968"/>
      <c r="O1626" s="1968"/>
      <c r="P1626" s="1968"/>
      <c r="Q1626" s="1968"/>
      <c r="R1626" s="1968"/>
      <c r="S1626" s="1968"/>
      <c r="T1626" s="1968"/>
    </row>
    <row r="1627" spans="1:20" x14ac:dyDescent="0.2">
      <c r="A1627" s="2031"/>
      <c r="B1627" s="1968"/>
      <c r="C1627" s="2032"/>
      <c r="D1627" s="2033"/>
      <c r="E1627" s="2000"/>
      <c r="F1627" s="2000"/>
      <c r="G1627" s="2000"/>
      <c r="H1627" s="2000"/>
      <c r="I1627" s="1968"/>
      <c r="J1627" s="1968"/>
      <c r="K1627" s="2000"/>
      <c r="L1627" s="2000"/>
      <c r="M1627" s="1968"/>
      <c r="N1627" s="1968"/>
      <c r="O1627" s="1968"/>
      <c r="P1627" s="1968"/>
      <c r="Q1627" s="1968"/>
      <c r="R1627" s="1968"/>
      <c r="S1627" s="1968"/>
      <c r="T1627" s="1968"/>
    </row>
    <row r="1628" spans="1:20" x14ac:dyDescent="0.2">
      <c r="A1628" s="2031"/>
      <c r="B1628" s="1968"/>
      <c r="C1628" s="2032"/>
      <c r="D1628" s="2033"/>
      <c r="E1628" s="2000"/>
      <c r="F1628" s="2000"/>
      <c r="G1628" s="2000"/>
      <c r="H1628" s="2000"/>
      <c r="I1628" s="1968"/>
      <c r="J1628" s="1968"/>
      <c r="K1628" s="2000"/>
      <c r="L1628" s="2000"/>
      <c r="M1628" s="1968"/>
      <c r="N1628" s="1968"/>
      <c r="O1628" s="1968"/>
      <c r="P1628" s="1968"/>
      <c r="Q1628" s="1968"/>
      <c r="R1628" s="1968"/>
      <c r="S1628" s="1968"/>
      <c r="T1628" s="1968"/>
    </row>
    <row r="1629" spans="1:20" x14ac:dyDescent="0.2">
      <c r="A1629" s="2031"/>
      <c r="B1629" s="1968"/>
      <c r="C1629" s="2032"/>
      <c r="D1629" s="2033"/>
      <c r="E1629" s="2000"/>
      <c r="F1629" s="2000"/>
      <c r="G1629" s="2000"/>
      <c r="H1629" s="2000"/>
      <c r="I1629" s="1968"/>
      <c r="J1629" s="1968"/>
      <c r="K1629" s="2000"/>
      <c r="L1629" s="2000"/>
      <c r="M1629" s="1968"/>
      <c r="N1629" s="1968"/>
      <c r="O1629" s="1968"/>
      <c r="P1629" s="1968"/>
      <c r="Q1629" s="1968"/>
      <c r="R1629" s="1968"/>
      <c r="S1629" s="1968"/>
      <c r="T1629" s="1968"/>
    </row>
    <row r="1630" spans="1:20" x14ac:dyDescent="0.2">
      <c r="A1630" s="2031"/>
      <c r="B1630" s="1968"/>
      <c r="C1630" s="2032"/>
      <c r="D1630" s="2033"/>
      <c r="E1630" s="2000"/>
      <c r="F1630" s="2000"/>
      <c r="G1630" s="2000"/>
      <c r="H1630" s="2000"/>
      <c r="I1630" s="1968"/>
      <c r="J1630" s="1968"/>
      <c r="K1630" s="2000"/>
      <c r="L1630" s="2000"/>
      <c r="M1630" s="1968"/>
      <c r="N1630" s="1968"/>
      <c r="O1630" s="1968"/>
      <c r="P1630" s="1968"/>
      <c r="Q1630" s="1968"/>
      <c r="R1630" s="1968"/>
      <c r="S1630" s="1968"/>
      <c r="T1630" s="1968"/>
    </row>
    <row r="1631" spans="1:20" x14ac:dyDescent="0.2">
      <c r="A1631" s="2031"/>
      <c r="B1631" s="1968"/>
      <c r="C1631" s="2032"/>
      <c r="D1631" s="2033"/>
      <c r="E1631" s="2000"/>
      <c r="F1631" s="2000"/>
      <c r="G1631" s="2000"/>
      <c r="H1631" s="2000"/>
      <c r="I1631" s="1968"/>
      <c r="J1631" s="1968"/>
      <c r="K1631" s="2000"/>
      <c r="L1631" s="2000"/>
      <c r="M1631" s="1968"/>
      <c r="N1631" s="1968"/>
      <c r="O1631" s="1968"/>
      <c r="P1631" s="1968"/>
      <c r="Q1631" s="1968"/>
      <c r="R1631" s="1968"/>
      <c r="S1631" s="1968"/>
      <c r="T1631" s="1968"/>
    </row>
    <row r="1632" spans="1:20" x14ac:dyDescent="0.2">
      <c r="A1632" s="2031"/>
      <c r="B1632" s="1968"/>
      <c r="C1632" s="2032"/>
      <c r="D1632" s="2033"/>
      <c r="E1632" s="2000"/>
      <c r="F1632" s="2000"/>
      <c r="G1632" s="2000"/>
      <c r="H1632" s="2000"/>
      <c r="I1632" s="1968"/>
      <c r="J1632" s="1968"/>
      <c r="K1632" s="2000"/>
      <c r="L1632" s="2000"/>
      <c r="M1632" s="1968"/>
      <c r="N1632" s="1968"/>
      <c r="O1632" s="1968"/>
      <c r="P1632" s="1968"/>
      <c r="Q1632" s="1968"/>
      <c r="R1632" s="1968"/>
      <c r="S1632" s="1968"/>
      <c r="T1632" s="1968"/>
    </row>
    <row r="1633" spans="1:20" x14ac:dyDescent="0.2">
      <c r="A1633" s="2031"/>
      <c r="B1633" s="1968"/>
      <c r="C1633" s="2032"/>
      <c r="D1633" s="2033"/>
      <c r="E1633" s="2000"/>
      <c r="F1633" s="2000"/>
      <c r="G1633" s="2000"/>
      <c r="H1633" s="2000"/>
      <c r="I1633" s="1968"/>
      <c r="J1633" s="1968"/>
      <c r="K1633" s="2000"/>
      <c r="L1633" s="2000"/>
      <c r="M1633" s="1968"/>
      <c r="N1633" s="1968"/>
      <c r="O1633" s="1968"/>
      <c r="P1633" s="1968"/>
      <c r="Q1633" s="1968"/>
      <c r="R1633" s="1968"/>
      <c r="S1633" s="1968"/>
      <c r="T1633" s="1968"/>
    </row>
    <row r="1634" spans="1:20" x14ac:dyDescent="0.2">
      <c r="A1634" s="2031"/>
      <c r="B1634" s="1968"/>
      <c r="C1634" s="2032"/>
      <c r="D1634" s="2033"/>
      <c r="E1634" s="2000"/>
      <c r="F1634" s="2000"/>
      <c r="G1634" s="2000"/>
      <c r="H1634" s="2000"/>
      <c r="I1634" s="1968"/>
      <c r="J1634" s="1968"/>
      <c r="K1634" s="2000"/>
      <c r="L1634" s="2000"/>
      <c r="M1634" s="1968"/>
      <c r="N1634" s="1968"/>
      <c r="O1634" s="1968"/>
      <c r="P1634" s="1968"/>
      <c r="Q1634" s="1968"/>
      <c r="R1634" s="1968"/>
      <c r="S1634" s="1968"/>
      <c r="T1634" s="1968"/>
    </row>
    <row r="1635" spans="1:20" x14ac:dyDescent="0.2">
      <c r="A1635" s="2031"/>
      <c r="B1635" s="1968"/>
      <c r="C1635" s="2032"/>
      <c r="D1635" s="2033"/>
      <c r="E1635" s="2000"/>
      <c r="F1635" s="2000"/>
      <c r="G1635" s="2000"/>
      <c r="H1635" s="2000"/>
      <c r="I1635" s="1968"/>
      <c r="J1635" s="1968"/>
      <c r="K1635" s="2000"/>
      <c r="L1635" s="2000"/>
      <c r="M1635" s="1968"/>
      <c r="N1635" s="1968"/>
      <c r="O1635" s="1968"/>
      <c r="P1635" s="1968"/>
      <c r="Q1635" s="1968"/>
      <c r="R1635" s="1968"/>
      <c r="S1635" s="1968"/>
      <c r="T1635" s="1968"/>
    </row>
    <row r="1636" spans="1:20" x14ac:dyDescent="0.2">
      <c r="A1636" s="2031"/>
      <c r="B1636" s="1968"/>
      <c r="C1636" s="2032"/>
      <c r="D1636" s="2033"/>
      <c r="E1636" s="2000"/>
      <c r="F1636" s="2000"/>
      <c r="G1636" s="2000"/>
      <c r="H1636" s="2000"/>
      <c r="I1636" s="1968"/>
      <c r="J1636" s="1968"/>
      <c r="K1636" s="2000"/>
      <c r="L1636" s="2000"/>
      <c r="M1636" s="1968"/>
      <c r="N1636" s="1968"/>
      <c r="O1636" s="1968"/>
      <c r="P1636" s="1968"/>
      <c r="Q1636" s="1968"/>
      <c r="R1636" s="1968"/>
      <c r="S1636" s="1968"/>
      <c r="T1636" s="1968"/>
    </row>
    <row r="1637" spans="1:20" x14ac:dyDescent="0.2">
      <c r="A1637" s="2031"/>
      <c r="B1637" s="1968"/>
      <c r="C1637" s="2032"/>
      <c r="D1637" s="2033"/>
      <c r="E1637" s="2000"/>
      <c r="F1637" s="2000"/>
      <c r="G1637" s="2000"/>
      <c r="H1637" s="2000"/>
      <c r="I1637" s="1968"/>
      <c r="J1637" s="1968"/>
      <c r="K1637" s="2000"/>
      <c r="L1637" s="2000"/>
      <c r="M1637" s="1968"/>
      <c r="N1637" s="1968"/>
      <c r="O1637" s="1968"/>
      <c r="P1637" s="1968"/>
      <c r="Q1637" s="1968"/>
      <c r="R1637" s="1968"/>
      <c r="S1637" s="1968"/>
      <c r="T1637" s="1968"/>
    </row>
    <row r="1638" spans="1:20" x14ac:dyDescent="0.2">
      <c r="A1638" s="2031"/>
      <c r="B1638" s="1968"/>
      <c r="C1638" s="2032"/>
      <c r="D1638" s="2033"/>
      <c r="E1638" s="2000"/>
      <c r="F1638" s="2000"/>
      <c r="G1638" s="2000"/>
      <c r="H1638" s="2000"/>
      <c r="I1638" s="1968"/>
      <c r="J1638" s="1968"/>
      <c r="K1638" s="2000"/>
      <c r="L1638" s="2000"/>
      <c r="M1638" s="1968"/>
      <c r="N1638" s="1968"/>
      <c r="O1638" s="1968"/>
      <c r="P1638" s="1968"/>
      <c r="Q1638" s="1968"/>
      <c r="R1638" s="1968"/>
      <c r="S1638" s="1968"/>
      <c r="T1638" s="1968"/>
    </row>
    <row r="1639" spans="1:20" x14ac:dyDescent="0.2">
      <c r="A1639" s="2031"/>
      <c r="B1639" s="1968"/>
      <c r="C1639" s="2032"/>
      <c r="D1639" s="2033"/>
      <c r="E1639" s="2000"/>
      <c r="F1639" s="2000"/>
      <c r="G1639" s="2000"/>
      <c r="H1639" s="2000"/>
      <c r="I1639" s="1968"/>
      <c r="J1639" s="1968"/>
      <c r="K1639" s="2000"/>
      <c r="L1639" s="2000"/>
      <c r="M1639" s="1968"/>
      <c r="N1639" s="1968"/>
      <c r="O1639" s="1968"/>
      <c r="P1639" s="1968"/>
      <c r="Q1639" s="1968"/>
      <c r="R1639" s="1968"/>
      <c r="S1639" s="1968"/>
      <c r="T1639" s="1968"/>
    </row>
    <row r="1640" spans="1:20" x14ac:dyDescent="0.2">
      <c r="A1640" s="2031"/>
      <c r="B1640" s="1968"/>
      <c r="C1640" s="2032"/>
      <c r="D1640" s="2033"/>
      <c r="E1640" s="2000"/>
      <c r="F1640" s="2000"/>
      <c r="G1640" s="2000"/>
      <c r="H1640" s="2000"/>
      <c r="I1640" s="1968"/>
      <c r="J1640" s="1968"/>
      <c r="K1640" s="2000"/>
      <c r="L1640" s="2000"/>
      <c r="M1640" s="1968"/>
      <c r="N1640" s="1968"/>
      <c r="O1640" s="1968"/>
      <c r="P1640" s="1968"/>
      <c r="Q1640" s="1968"/>
      <c r="R1640" s="1968"/>
      <c r="S1640" s="1968"/>
      <c r="T1640" s="1968"/>
    </row>
    <row r="1641" spans="1:20" x14ac:dyDescent="0.2">
      <c r="A1641" s="2031"/>
      <c r="B1641" s="1968"/>
      <c r="C1641" s="2032"/>
      <c r="D1641" s="2033"/>
      <c r="E1641" s="2000"/>
      <c r="F1641" s="2000"/>
      <c r="G1641" s="2000"/>
      <c r="H1641" s="2000"/>
      <c r="I1641" s="1968"/>
      <c r="J1641" s="1968"/>
      <c r="K1641" s="2000"/>
      <c r="L1641" s="2000"/>
      <c r="M1641" s="1968"/>
      <c r="N1641" s="1968"/>
      <c r="O1641" s="1968"/>
      <c r="P1641" s="1968"/>
      <c r="Q1641" s="1968"/>
      <c r="R1641" s="1968"/>
      <c r="S1641" s="1968"/>
      <c r="T1641" s="1968"/>
    </row>
    <row r="1642" spans="1:20" x14ac:dyDescent="0.2">
      <c r="A1642" s="2031"/>
      <c r="B1642" s="1968"/>
      <c r="C1642" s="2032"/>
      <c r="D1642" s="2033"/>
      <c r="E1642" s="2000"/>
      <c r="F1642" s="2000"/>
      <c r="G1642" s="2000"/>
      <c r="H1642" s="2000"/>
      <c r="I1642" s="1968"/>
      <c r="J1642" s="1968"/>
      <c r="K1642" s="2000"/>
      <c r="L1642" s="2000"/>
      <c r="M1642" s="1968"/>
      <c r="N1642" s="1968"/>
      <c r="O1642" s="1968"/>
      <c r="P1642" s="1968"/>
      <c r="Q1642" s="1968"/>
      <c r="R1642" s="1968"/>
      <c r="S1642" s="1968"/>
      <c r="T1642" s="1968"/>
    </row>
    <row r="1643" spans="1:20" x14ac:dyDescent="0.2">
      <c r="A1643" s="2031"/>
      <c r="B1643" s="1968"/>
      <c r="C1643" s="2032"/>
      <c r="D1643" s="2033"/>
      <c r="E1643" s="2000"/>
      <c r="F1643" s="2000"/>
      <c r="G1643" s="2000"/>
      <c r="H1643" s="2000"/>
      <c r="I1643" s="1968"/>
      <c r="J1643" s="1968"/>
      <c r="K1643" s="2000"/>
      <c r="L1643" s="2000"/>
      <c r="M1643" s="1968"/>
      <c r="N1643" s="1968"/>
      <c r="O1643" s="1968"/>
      <c r="P1643" s="1968"/>
      <c r="Q1643" s="1968"/>
      <c r="R1643" s="1968"/>
      <c r="S1643" s="1968"/>
      <c r="T1643" s="1968"/>
    </row>
    <row r="1644" spans="1:20" x14ac:dyDescent="0.2">
      <c r="A1644" s="2031"/>
      <c r="B1644" s="1968"/>
      <c r="C1644" s="2032"/>
      <c r="D1644" s="2033"/>
      <c r="E1644" s="2000"/>
      <c r="F1644" s="2000"/>
      <c r="G1644" s="2000"/>
      <c r="H1644" s="2000"/>
      <c r="I1644" s="1968"/>
      <c r="J1644" s="1968"/>
      <c r="K1644" s="2000"/>
      <c r="L1644" s="2000"/>
      <c r="M1644" s="1968"/>
      <c r="N1644" s="1968"/>
      <c r="O1644" s="1968"/>
      <c r="P1644" s="1968"/>
      <c r="Q1644" s="1968"/>
      <c r="R1644" s="1968"/>
      <c r="S1644" s="1968"/>
      <c r="T1644" s="1968"/>
    </row>
    <row r="1645" spans="1:20" x14ac:dyDescent="0.2">
      <c r="A1645" s="2031"/>
      <c r="B1645" s="1968"/>
      <c r="C1645" s="2032"/>
      <c r="D1645" s="2033"/>
      <c r="E1645" s="2000"/>
      <c r="F1645" s="2000"/>
      <c r="G1645" s="2000"/>
      <c r="H1645" s="2000"/>
      <c r="I1645" s="1968"/>
      <c r="J1645" s="1968"/>
      <c r="K1645" s="2000"/>
      <c r="L1645" s="2000"/>
      <c r="M1645" s="1968"/>
      <c r="N1645" s="1968"/>
      <c r="O1645" s="1968"/>
      <c r="P1645" s="1968"/>
      <c r="Q1645" s="1968"/>
      <c r="R1645" s="1968"/>
      <c r="S1645" s="1968"/>
      <c r="T1645" s="1968"/>
    </row>
    <row r="1646" spans="1:20" x14ac:dyDescent="0.2">
      <c r="A1646" s="2031"/>
      <c r="B1646" s="1968"/>
      <c r="C1646" s="2032"/>
      <c r="D1646" s="2033"/>
      <c r="E1646" s="2000"/>
      <c r="F1646" s="2000"/>
      <c r="G1646" s="2000"/>
      <c r="H1646" s="2000"/>
      <c r="I1646" s="1968"/>
      <c r="J1646" s="1968"/>
      <c r="K1646" s="2000"/>
      <c r="L1646" s="2000"/>
      <c r="M1646" s="1968"/>
      <c r="N1646" s="1968"/>
      <c r="O1646" s="1968"/>
      <c r="P1646" s="1968"/>
      <c r="Q1646" s="1968"/>
      <c r="R1646" s="1968"/>
      <c r="S1646" s="1968"/>
      <c r="T1646" s="1968"/>
    </row>
    <row r="1647" spans="1:20" x14ac:dyDescent="0.2">
      <c r="A1647" s="2031"/>
      <c r="B1647" s="1968"/>
      <c r="C1647" s="2032"/>
      <c r="D1647" s="2033"/>
      <c r="E1647" s="2000"/>
      <c r="F1647" s="2000"/>
      <c r="G1647" s="2000"/>
      <c r="H1647" s="2000"/>
      <c r="I1647" s="1968"/>
      <c r="J1647" s="1968"/>
      <c r="K1647" s="2000"/>
      <c r="L1647" s="2000"/>
      <c r="M1647" s="1968"/>
      <c r="N1647" s="1968"/>
      <c r="O1647" s="1968"/>
      <c r="P1647" s="1968"/>
      <c r="Q1647" s="1968"/>
      <c r="R1647" s="1968"/>
      <c r="S1647" s="1968"/>
      <c r="T1647" s="1968"/>
    </row>
    <row r="1648" spans="1:20" x14ac:dyDescent="0.2">
      <c r="A1648" s="2031"/>
      <c r="B1648" s="1968"/>
      <c r="C1648" s="2032"/>
      <c r="D1648" s="2033"/>
      <c r="E1648" s="2000"/>
      <c r="F1648" s="2000"/>
      <c r="G1648" s="2000"/>
      <c r="H1648" s="2000"/>
      <c r="I1648" s="1968"/>
      <c r="J1648" s="1968"/>
      <c r="K1648" s="2000"/>
      <c r="L1648" s="2000"/>
      <c r="M1648" s="1968"/>
      <c r="N1648" s="1968"/>
      <c r="O1648" s="1968"/>
      <c r="P1648" s="1968"/>
      <c r="Q1648" s="1968"/>
      <c r="R1648" s="1968"/>
      <c r="S1648" s="1968"/>
      <c r="T1648" s="1968"/>
    </row>
    <row r="1649" spans="1:20" x14ac:dyDescent="0.2">
      <c r="A1649" s="2031"/>
      <c r="B1649" s="1968"/>
      <c r="C1649" s="2032"/>
      <c r="D1649" s="2033"/>
      <c r="E1649" s="2000"/>
      <c r="F1649" s="2000"/>
      <c r="G1649" s="2000"/>
      <c r="H1649" s="2000"/>
      <c r="I1649" s="1968"/>
      <c r="J1649" s="1968"/>
      <c r="K1649" s="2000"/>
      <c r="L1649" s="2000"/>
      <c r="M1649" s="1968"/>
      <c r="N1649" s="1968"/>
      <c r="O1649" s="1968"/>
      <c r="P1649" s="1968"/>
      <c r="Q1649" s="1968"/>
      <c r="R1649" s="1968"/>
      <c r="S1649" s="1968"/>
      <c r="T1649" s="1968"/>
    </row>
    <row r="1650" spans="1:20" x14ac:dyDescent="0.2">
      <c r="A1650" s="2031"/>
      <c r="B1650" s="1968"/>
      <c r="C1650" s="2032"/>
      <c r="D1650" s="2033"/>
      <c r="E1650" s="2000"/>
      <c r="F1650" s="2000"/>
      <c r="G1650" s="2000"/>
      <c r="H1650" s="2000"/>
      <c r="I1650" s="1968"/>
      <c r="J1650" s="1968"/>
      <c r="K1650" s="2000"/>
      <c r="L1650" s="2000"/>
      <c r="M1650" s="1968"/>
      <c r="N1650" s="1968"/>
      <c r="O1650" s="1968"/>
      <c r="P1650" s="1968"/>
      <c r="Q1650" s="1968"/>
      <c r="R1650" s="1968"/>
      <c r="S1650" s="1968"/>
      <c r="T1650" s="1968"/>
    </row>
    <row r="1651" spans="1:20" x14ac:dyDescent="0.2">
      <c r="A1651" s="2031"/>
      <c r="B1651" s="1968"/>
      <c r="C1651" s="2032"/>
      <c r="D1651" s="2033"/>
      <c r="E1651" s="2000"/>
      <c r="F1651" s="2000"/>
      <c r="G1651" s="2000"/>
      <c r="H1651" s="2000"/>
      <c r="I1651" s="1968"/>
      <c r="J1651" s="1968"/>
      <c r="K1651" s="2000"/>
      <c r="L1651" s="2000"/>
      <c r="M1651" s="1968"/>
      <c r="N1651" s="1968"/>
      <c r="O1651" s="1968"/>
      <c r="P1651" s="1968"/>
      <c r="Q1651" s="1968"/>
      <c r="R1651" s="1968"/>
      <c r="S1651" s="1968"/>
      <c r="T1651" s="1968"/>
    </row>
    <row r="1652" spans="1:20" x14ac:dyDescent="0.2">
      <c r="A1652" s="2031"/>
      <c r="B1652" s="1968"/>
      <c r="C1652" s="2032"/>
      <c r="D1652" s="2033"/>
      <c r="E1652" s="2000"/>
      <c r="F1652" s="2000"/>
      <c r="G1652" s="2000"/>
      <c r="H1652" s="2000"/>
      <c r="I1652" s="1968"/>
      <c r="J1652" s="1968"/>
      <c r="K1652" s="2000"/>
      <c r="L1652" s="2000"/>
      <c r="M1652" s="1968"/>
      <c r="N1652" s="1968"/>
      <c r="O1652" s="1968"/>
      <c r="P1652" s="1968"/>
      <c r="Q1652" s="1968"/>
      <c r="R1652" s="1968"/>
      <c r="S1652" s="1968"/>
      <c r="T1652" s="1968"/>
    </row>
    <row r="1653" spans="1:20" x14ac:dyDescent="0.2">
      <c r="A1653" s="2031"/>
      <c r="B1653" s="1968"/>
      <c r="C1653" s="2032"/>
      <c r="D1653" s="2033"/>
      <c r="E1653" s="2000"/>
      <c r="F1653" s="2000"/>
      <c r="G1653" s="2000"/>
      <c r="H1653" s="2000"/>
      <c r="I1653" s="1968"/>
      <c r="J1653" s="1968"/>
      <c r="K1653" s="2000"/>
      <c r="L1653" s="2000"/>
      <c r="M1653" s="1968"/>
      <c r="N1653" s="1968"/>
      <c r="O1653" s="1968"/>
      <c r="P1653" s="1968"/>
      <c r="Q1653" s="1968"/>
      <c r="R1653" s="1968"/>
      <c r="S1653" s="1968"/>
      <c r="T1653" s="1968"/>
    </row>
    <row r="1654" spans="1:20" x14ac:dyDescent="0.2">
      <c r="A1654" s="2031"/>
      <c r="B1654" s="1968"/>
      <c r="C1654" s="2032"/>
      <c r="D1654" s="2033"/>
      <c r="E1654" s="2000"/>
      <c r="F1654" s="2000"/>
      <c r="G1654" s="2000"/>
      <c r="H1654" s="2000"/>
      <c r="I1654" s="1968"/>
      <c r="J1654" s="1968"/>
      <c r="K1654" s="2000"/>
      <c r="L1654" s="2000"/>
      <c r="M1654" s="1968"/>
      <c r="N1654" s="1968"/>
      <c r="O1654" s="1968"/>
      <c r="P1654" s="1968"/>
      <c r="Q1654" s="1968"/>
      <c r="R1654" s="1968"/>
      <c r="S1654" s="1968"/>
      <c r="T1654" s="1968"/>
    </row>
    <row r="1655" spans="1:20" x14ac:dyDescent="0.2">
      <c r="A1655" s="2031"/>
      <c r="B1655" s="1968"/>
      <c r="C1655" s="2032"/>
      <c r="D1655" s="2033"/>
      <c r="E1655" s="2000"/>
      <c r="F1655" s="2000"/>
      <c r="G1655" s="2000"/>
      <c r="H1655" s="2000"/>
      <c r="I1655" s="1968"/>
      <c r="J1655" s="1968"/>
      <c r="K1655" s="2000"/>
      <c r="L1655" s="2000"/>
      <c r="M1655" s="1968"/>
      <c r="N1655" s="1968"/>
      <c r="O1655" s="1968"/>
      <c r="P1655" s="1968"/>
      <c r="Q1655" s="1968"/>
      <c r="R1655" s="1968"/>
      <c r="S1655" s="1968"/>
      <c r="T1655" s="1968"/>
    </row>
    <row r="1656" spans="1:20" x14ac:dyDescent="0.2">
      <c r="A1656" s="2031"/>
      <c r="B1656" s="1968"/>
      <c r="C1656" s="2032"/>
      <c r="D1656" s="2033"/>
      <c r="E1656" s="2000"/>
      <c r="F1656" s="2000"/>
      <c r="G1656" s="2000"/>
      <c r="H1656" s="2000"/>
      <c r="I1656" s="1968"/>
      <c r="J1656" s="1968"/>
      <c r="K1656" s="2000"/>
      <c r="L1656" s="2000"/>
      <c r="M1656" s="1968"/>
      <c r="N1656" s="1968"/>
      <c r="O1656" s="1968"/>
      <c r="P1656" s="1968"/>
      <c r="Q1656" s="1968"/>
      <c r="R1656" s="1968"/>
      <c r="S1656" s="1968"/>
      <c r="T1656" s="1968"/>
    </row>
    <row r="1657" spans="1:20" x14ac:dyDescent="0.2">
      <c r="A1657" s="2031"/>
      <c r="B1657" s="1968"/>
      <c r="C1657" s="2032"/>
      <c r="D1657" s="2033"/>
      <c r="E1657" s="2000"/>
      <c r="F1657" s="2000"/>
      <c r="G1657" s="2000"/>
      <c r="H1657" s="2000"/>
      <c r="I1657" s="1968"/>
      <c r="J1657" s="1968"/>
      <c r="K1657" s="2000"/>
      <c r="L1657" s="2000"/>
      <c r="M1657" s="1968"/>
      <c r="N1657" s="1968"/>
      <c r="O1657" s="1968"/>
      <c r="P1657" s="1968"/>
      <c r="Q1657" s="1968"/>
      <c r="R1657" s="1968"/>
      <c r="S1657" s="1968"/>
      <c r="T1657" s="1968"/>
    </row>
    <row r="1658" spans="1:20" x14ac:dyDescent="0.2">
      <c r="A1658" s="2031"/>
      <c r="B1658" s="1968"/>
      <c r="C1658" s="2032"/>
      <c r="D1658" s="2033"/>
      <c r="E1658" s="2000"/>
      <c r="F1658" s="2000"/>
      <c r="G1658" s="2000"/>
      <c r="H1658" s="2000"/>
      <c r="I1658" s="1968"/>
      <c r="J1658" s="1968"/>
      <c r="K1658" s="2000"/>
      <c r="L1658" s="2000"/>
      <c r="M1658" s="1968"/>
      <c r="N1658" s="1968"/>
      <c r="O1658" s="1968"/>
      <c r="P1658" s="1968"/>
      <c r="Q1658" s="1968"/>
      <c r="R1658" s="1968"/>
      <c r="S1658" s="1968"/>
      <c r="T1658" s="1968"/>
    </row>
    <row r="1659" spans="1:20" x14ac:dyDescent="0.2">
      <c r="A1659" s="2031"/>
      <c r="B1659" s="1968"/>
      <c r="C1659" s="2032"/>
      <c r="D1659" s="2033"/>
      <c r="E1659" s="2000"/>
      <c r="F1659" s="2000"/>
      <c r="G1659" s="2000"/>
      <c r="H1659" s="2000"/>
      <c r="I1659" s="1968"/>
      <c r="J1659" s="1968"/>
      <c r="K1659" s="2000"/>
      <c r="L1659" s="2000"/>
      <c r="M1659" s="1968"/>
      <c r="N1659" s="1968"/>
      <c r="O1659" s="1968"/>
      <c r="P1659" s="1968"/>
      <c r="Q1659" s="1968"/>
      <c r="R1659" s="1968"/>
      <c r="S1659" s="1968"/>
      <c r="T1659" s="1968"/>
    </row>
    <row r="1660" spans="1:20" x14ac:dyDescent="0.2">
      <c r="A1660" s="2031"/>
      <c r="B1660" s="1968"/>
      <c r="C1660" s="2032"/>
      <c r="D1660" s="2033"/>
      <c r="E1660" s="2000"/>
      <c r="F1660" s="2000"/>
      <c r="G1660" s="2000"/>
      <c r="H1660" s="2000"/>
      <c r="I1660" s="1968"/>
      <c r="J1660" s="1968"/>
      <c r="K1660" s="2000"/>
      <c r="L1660" s="2000"/>
      <c r="M1660" s="1968"/>
      <c r="N1660" s="1968"/>
      <c r="O1660" s="1968"/>
      <c r="P1660" s="1968"/>
      <c r="Q1660" s="1968"/>
      <c r="R1660" s="1968"/>
      <c r="S1660" s="1968"/>
      <c r="T1660" s="1968"/>
    </row>
    <row r="1661" spans="1:20" x14ac:dyDescent="0.2">
      <c r="A1661" s="2031"/>
      <c r="B1661" s="1968"/>
      <c r="C1661" s="2032"/>
      <c r="D1661" s="2033"/>
      <c r="E1661" s="2000"/>
      <c r="F1661" s="2000"/>
      <c r="G1661" s="2000"/>
      <c r="H1661" s="2000"/>
      <c r="I1661" s="1968"/>
      <c r="J1661" s="1968"/>
      <c r="K1661" s="2000"/>
      <c r="L1661" s="2000"/>
      <c r="M1661" s="1968"/>
      <c r="N1661" s="1968"/>
      <c r="O1661" s="1968"/>
      <c r="P1661" s="1968"/>
      <c r="Q1661" s="1968"/>
      <c r="R1661" s="1968"/>
      <c r="S1661" s="1968"/>
      <c r="T1661" s="1968"/>
    </row>
    <row r="1662" spans="1:20" x14ac:dyDescent="0.2">
      <c r="A1662" s="2031"/>
      <c r="B1662" s="1968"/>
      <c r="C1662" s="2032"/>
      <c r="D1662" s="2033"/>
      <c r="E1662" s="2000"/>
      <c r="F1662" s="2000"/>
      <c r="G1662" s="2000"/>
      <c r="H1662" s="2000"/>
      <c r="I1662" s="1968"/>
      <c r="J1662" s="1968"/>
      <c r="K1662" s="2000"/>
      <c r="L1662" s="2000"/>
      <c r="M1662" s="1968"/>
      <c r="N1662" s="1968"/>
      <c r="O1662" s="1968"/>
      <c r="P1662" s="1968"/>
      <c r="Q1662" s="1968"/>
      <c r="R1662" s="1968"/>
      <c r="S1662" s="1968"/>
      <c r="T1662" s="1968"/>
    </row>
    <row r="1663" spans="1:20" x14ac:dyDescent="0.2">
      <c r="A1663" s="2031"/>
      <c r="B1663" s="1968"/>
      <c r="C1663" s="2032"/>
      <c r="D1663" s="2033"/>
      <c r="E1663" s="2000"/>
      <c r="F1663" s="2000"/>
      <c r="G1663" s="2000"/>
      <c r="H1663" s="2000"/>
      <c r="I1663" s="1968"/>
      <c r="J1663" s="1968"/>
      <c r="K1663" s="2000"/>
      <c r="L1663" s="2000"/>
      <c r="M1663" s="1968"/>
      <c r="N1663" s="1968"/>
      <c r="O1663" s="1968"/>
      <c r="P1663" s="1968"/>
      <c r="Q1663" s="1968"/>
      <c r="R1663" s="1968"/>
      <c r="S1663" s="1968"/>
      <c r="T1663" s="1968"/>
    </row>
    <row r="1664" spans="1:20" x14ac:dyDescent="0.2">
      <c r="A1664" s="2031"/>
      <c r="B1664" s="1968"/>
      <c r="C1664" s="2032"/>
      <c r="D1664" s="2033"/>
      <c r="E1664" s="2000"/>
      <c r="F1664" s="2000"/>
      <c r="G1664" s="2000"/>
      <c r="H1664" s="2000"/>
      <c r="I1664" s="1968"/>
      <c r="J1664" s="1968"/>
      <c r="K1664" s="2000"/>
      <c r="L1664" s="2000"/>
      <c r="M1664" s="1968"/>
      <c r="N1664" s="1968"/>
      <c r="O1664" s="1968"/>
      <c r="P1664" s="1968"/>
      <c r="Q1664" s="1968"/>
      <c r="R1664" s="1968"/>
      <c r="S1664" s="1968"/>
      <c r="T1664" s="1968"/>
    </row>
    <row r="1665" spans="1:20" x14ac:dyDescent="0.2">
      <c r="A1665" s="2031"/>
      <c r="B1665" s="1968"/>
      <c r="C1665" s="2032"/>
      <c r="D1665" s="2033"/>
      <c r="E1665" s="2000"/>
      <c r="F1665" s="2000"/>
      <c r="G1665" s="2000"/>
      <c r="H1665" s="2000"/>
      <c r="I1665" s="1968"/>
      <c r="J1665" s="1968"/>
      <c r="K1665" s="2000"/>
      <c r="L1665" s="2000"/>
      <c r="M1665" s="1968"/>
      <c r="N1665" s="1968"/>
      <c r="O1665" s="1968"/>
      <c r="P1665" s="1968"/>
      <c r="Q1665" s="1968"/>
      <c r="R1665" s="1968"/>
      <c r="S1665" s="1968"/>
      <c r="T1665" s="1968"/>
    </row>
    <row r="1666" spans="1:20" x14ac:dyDescent="0.2">
      <c r="A1666" s="2031"/>
      <c r="B1666" s="1968"/>
      <c r="C1666" s="2032"/>
      <c r="D1666" s="2033"/>
      <c r="E1666" s="2000"/>
      <c r="F1666" s="2000"/>
      <c r="G1666" s="2000"/>
      <c r="H1666" s="2000"/>
      <c r="I1666" s="1968"/>
      <c r="J1666" s="1968"/>
      <c r="K1666" s="2000"/>
      <c r="L1666" s="2000"/>
      <c r="M1666" s="1968"/>
      <c r="N1666" s="1968"/>
      <c r="O1666" s="1968"/>
      <c r="P1666" s="1968"/>
      <c r="Q1666" s="1968"/>
      <c r="R1666" s="1968"/>
      <c r="S1666" s="1968"/>
      <c r="T1666" s="1968"/>
    </row>
    <row r="1667" spans="1:20" x14ac:dyDescent="0.2">
      <c r="A1667" s="2031"/>
      <c r="B1667" s="1968"/>
      <c r="C1667" s="2032"/>
      <c r="D1667" s="2033"/>
      <c r="E1667" s="2000"/>
      <c r="F1667" s="2000"/>
      <c r="G1667" s="2000"/>
      <c r="H1667" s="2000"/>
      <c r="I1667" s="1968"/>
      <c r="J1667" s="1968"/>
      <c r="K1667" s="2000"/>
      <c r="L1667" s="2000"/>
      <c r="M1667" s="1968"/>
      <c r="N1667" s="1968"/>
      <c r="O1667" s="1968"/>
      <c r="P1667" s="1968"/>
      <c r="Q1667" s="1968"/>
      <c r="R1667" s="1968"/>
      <c r="S1667" s="1968"/>
      <c r="T1667" s="1968"/>
    </row>
    <row r="1668" spans="1:20" x14ac:dyDescent="0.2">
      <c r="A1668" s="2031"/>
      <c r="B1668" s="1968"/>
      <c r="C1668" s="2032"/>
      <c r="D1668" s="2033"/>
      <c r="E1668" s="2000"/>
      <c r="F1668" s="2000"/>
      <c r="G1668" s="2000"/>
      <c r="H1668" s="2000"/>
      <c r="I1668" s="1968"/>
      <c r="J1668" s="1968"/>
      <c r="K1668" s="2000"/>
      <c r="L1668" s="2000"/>
      <c r="M1668" s="1968"/>
      <c r="N1668" s="1968"/>
      <c r="O1668" s="1968"/>
      <c r="P1668" s="1968"/>
      <c r="Q1668" s="1968"/>
      <c r="R1668" s="1968"/>
      <c r="S1668" s="1968"/>
      <c r="T1668" s="1968"/>
    </row>
    <row r="1669" spans="1:20" x14ac:dyDescent="0.2">
      <c r="A1669" s="2031"/>
      <c r="B1669" s="1968"/>
      <c r="C1669" s="2032"/>
      <c r="D1669" s="2033"/>
      <c r="E1669" s="2000"/>
      <c r="F1669" s="2000"/>
      <c r="G1669" s="2000"/>
      <c r="H1669" s="2000"/>
      <c r="I1669" s="1968"/>
      <c r="J1669" s="1968"/>
      <c r="K1669" s="2000"/>
      <c r="L1669" s="2000"/>
      <c r="M1669" s="1968"/>
      <c r="N1669" s="1968"/>
      <c r="O1669" s="1968"/>
      <c r="P1669" s="1968"/>
      <c r="Q1669" s="1968"/>
      <c r="R1669" s="1968"/>
      <c r="S1669" s="1968"/>
      <c r="T1669" s="1968"/>
    </row>
    <row r="1670" spans="1:20" x14ac:dyDescent="0.2">
      <c r="A1670" s="2031"/>
      <c r="B1670" s="1968"/>
      <c r="C1670" s="2032"/>
      <c r="D1670" s="2033"/>
      <c r="E1670" s="2000"/>
      <c r="F1670" s="2000"/>
      <c r="G1670" s="2000"/>
      <c r="H1670" s="2000"/>
      <c r="I1670" s="1968"/>
      <c r="J1670" s="1968"/>
      <c r="K1670" s="2000"/>
      <c r="L1670" s="2000"/>
      <c r="M1670" s="1968"/>
      <c r="N1670" s="1968"/>
      <c r="O1670" s="1968"/>
      <c r="P1670" s="1968"/>
      <c r="Q1670" s="1968"/>
      <c r="R1670" s="1968"/>
      <c r="S1670" s="1968"/>
      <c r="T1670" s="1968"/>
    </row>
    <row r="1671" spans="1:20" x14ac:dyDescent="0.2">
      <c r="A1671" s="2031"/>
      <c r="B1671" s="1968"/>
      <c r="C1671" s="2032"/>
      <c r="D1671" s="2033"/>
      <c r="E1671" s="2000"/>
      <c r="F1671" s="2000"/>
      <c r="G1671" s="2000"/>
      <c r="H1671" s="2000"/>
      <c r="I1671" s="1968"/>
      <c r="J1671" s="1968"/>
      <c r="K1671" s="2000"/>
      <c r="L1671" s="2000"/>
      <c r="M1671" s="1968"/>
      <c r="N1671" s="1968"/>
      <c r="O1671" s="1968"/>
      <c r="P1671" s="1968"/>
      <c r="Q1671" s="1968"/>
      <c r="R1671" s="1968"/>
      <c r="S1671" s="1968"/>
      <c r="T1671" s="1968"/>
    </row>
    <row r="1672" spans="1:20" x14ac:dyDescent="0.2">
      <c r="A1672" s="2031"/>
      <c r="B1672" s="1968"/>
      <c r="C1672" s="2032"/>
      <c r="D1672" s="2033"/>
      <c r="E1672" s="2000"/>
      <c r="F1672" s="2000"/>
      <c r="G1672" s="2000"/>
      <c r="H1672" s="2000"/>
      <c r="I1672" s="1968"/>
      <c r="J1672" s="1968"/>
      <c r="K1672" s="2000"/>
      <c r="L1672" s="2000"/>
      <c r="M1672" s="1968"/>
      <c r="N1672" s="1968"/>
      <c r="O1672" s="1968"/>
      <c r="P1672" s="1968"/>
      <c r="Q1672" s="1968"/>
      <c r="R1672" s="1968"/>
      <c r="S1672" s="1968"/>
      <c r="T1672" s="1968"/>
    </row>
    <row r="1673" spans="1:20" x14ac:dyDescent="0.2">
      <c r="A1673" s="2031"/>
      <c r="B1673" s="1968"/>
      <c r="C1673" s="2032"/>
      <c r="D1673" s="2033"/>
      <c r="E1673" s="2000"/>
      <c r="F1673" s="2000"/>
      <c r="G1673" s="2000"/>
      <c r="H1673" s="2000"/>
      <c r="I1673" s="1968"/>
      <c r="J1673" s="1968"/>
      <c r="K1673" s="2000"/>
      <c r="L1673" s="2000"/>
      <c r="M1673" s="1968"/>
      <c r="N1673" s="1968"/>
      <c r="O1673" s="1968"/>
      <c r="P1673" s="1968"/>
      <c r="Q1673" s="1968"/>
      <c r="R1673" s="1968"/>
      <c r="S1673" s="1968"/>
      <c r="T1673" s="1968"/>
    </row>
    <row r="1674" spans="1:20" x14ac:dyDescent="0.2">
      <c r="A1674" s="2031"/>
      <c r="B1674" s="1968"/>
      <c r="C1674" s="2032"/>
      <c r="D1674" s="2033"/>
      <c r="E1674" s="2000"/>
      <c r="F1674" s="2000"/>
      <c r="G1674" s="2000"/>
      <c r="H1674" s="2000"/>
      <c r="I1674" s="1968"/>
      <c r="J1674" s="1968"/>
      <c r="K1674" s="2000"/>
      <c r="L1674" s="2000"/>
      <c r="M1674" s="1968"/>
      <c r="N1674" s="1968"/>
      <c r="O1674" s="1968"/>
      <c r="P1674" s="1968"/>
      <c r="Q1674" s="1968"/>
      <c r="R1674" s="1968"/>
      <c r="S1674" s="1968"/>
      <c r="T1674" s="1968"/>
    </row>
    <row r="1675" spans="1:20" x14ac:dyDescent="0.2">
      <c r="A1675" s="2031"/>
      <c r="B1675" s="1968"/>
      <c r="C1675" s="2032"/>
      <c r="D1675" s="2033"/>
      <c r="E1675" s="2000"/>
      <c r="F1675" s="2000"/>
      <c r="G1675" s="2000"/>
      <c r="H1675" s="2000"/>
      <c r="I1675" s="1968"/>
      <c r="J1675" s="1968"/>
      <c r="K1675" s="2000"/>
      <c r="L1675" s="2000"/>
      <c r="M1675" s="1968"/>
      <c r="N1675" s="1968"/>
      <c r="O1675" s="1968"/>
      <c r="P1675" s="1968"/>
      <c r="Q1675" s="1968"/>
      <c r="R1675" s="1968"/>
      <c r="S1675" s="1968"/>
      <c r="T1675" s="1968"/>
    </row>
    <row r="1676" spans="1:20" x14ac:dyDescent="0.2">
      <c r="A1676" s="2031"/>
      <c r="B1676" s="1968"/>
      <c r="C1676" s="2032"/>
      <c r="D1676" s="2033"/>
      <c r="E1676" s="2000"/>
      <c r="F1676" s="2000"/>
      <c r="G1676" s="2000"/>
      <c r="H1676" s="2000"/>
      <c r="I1676" s="1968"/>
      <c r="J1676" s="1968"/>
      <c r="K1676" s="2000"/>
      <c r="L1676" s="2000"/>
      <c r="M1676" s="1968"/>
      <c r="N1676" s="1968"/>
      <c r="O1676" s="1968"/>
      <c r="P1676" s="1968"/>
      <c r="Q1676" s="1968"/>
      <c r="R1676" s="1968"/>
      <c r="S1676" s="1968"/>
      <c r="T1676" s="1968"/>
    </row>
    <row r="1677" spans="1:20" x14ac:dyDescent="0.2">
      <c r="A1677" s="2031"/>
      <c r="B1677" s="1968"/>
      <c r="C1677" s="2032"/>
      <c r="D1677" s="2033"/>
      <c r="E1677" s="2000"/>
      <c r="F1677" s="2000"/>
      <c r="G1677" s="2000"/>
      <c r="H1677" s="2000"/>
      <c r="I1677" s="1968"/>
      <c r="J1677" s="1968"/>
      <c r="K1677" s="2000"/>
      <c r="L1677" s="2000"/>
      <c r="M1677" s="1968"/>
      <c r="N1677" s="1968"/>
      <c r="O1677" s="1968"/>
      <c r="P1677" s="1968"/>
      <c r="Q1677" s="1968"/>
      <c r="R1677" s="1968"/>
      <c r="S1677" s="1968"/>
      <c r="T1677" s="1968"/>
    </row>
    <row r="1678" spans="1:20" x14ac:dyDescent="0.2">
      <c r="A1678" s="2031"/>
      <c r="B1678" s="1968"/>
      <c r="C1678" s="2032"/>
      <c r="D1678" s="2033"/>
      <c r="E1678" s="2000"/>
      <c r="F1678" s="2000"/>
      <c r="G1678" s="2000"/>
      <c r="H1678" s="2000"/>
      <c r="I1678" s="1968"/>
      <c r="J1678" s="1968"/>
      <c r="K1678" s="2000"/>
      <c r="L1678" s="2000"/>
      <c r="M1678" s="1968"/>
      <c r="N1678" s="1968"/>
      <c r="O1678" s="1968"/>
      <c r="P1678" s="1968"/>
      <c r="Q1678" s="1968"/>
      <c r="R1678" s="1968"/>
      <c r="S1678" s="1968"/>
      <c r="T1678" s="1968"/>
    </row>
    <row r="1679" spans="1:20" x14ac:dyDescent="0.2">
      <c r="A1679" s="2031"/>
      <c r="B1679" s="1968"/>
      <c r="C1679" s="2032"/>
      <c r="D1679" s="2033"/>
      <c r="E1679" s="2000"/>
      <c r="F1679" s="2000"/>
      <c r="G1679" s="2000"/>
      <c r="H1679" s="2000"/>
      <c r="I1679" s="1968"/>
      <c r="J1679" s="1968"/>
      <c r="K1679" s="2000"/>
      <c r="L1679" s="2000"/>
      <c r="M1679" s="1968"/>
      <c r="N1679" s="1968"/>
      <c r="O1679" s="1968"/>
      <c r="P1679" s="1968"/>
      <c r="Q1679" s="1968"/>
      <c r="R1679" s="1968"/>
      <c r="S1679" s="1968"/>
      <c r="T1679" s="1968"/>
    </row>
    <row r="1680" spans="1:20" x14ac:dyDescent="0.2">
      <c r="A1680" s="2031"/>
      <c r="B1680" s="1968"/>
      <c r="C1680" s="2032"/>
      <c r="D1680" s="2033"/>
      <c r="E1680" s="2000"/>
      <c r="F1680" s="2000"/>
      <c r="G1680" s="2000"/>
      <c r="H1680" s="2000"/>
      <c r="I1680" s="1968"/>
      <c r="J1680" s="1968"/>
      <c r="K1680" s="2000"/>
      <c r="L1680" s="2000"/>
      <c r="M1680" s="1968"/>
      <c r="N1680" s="1968"/>
      <c r="O1680" s="1968"/>
      <c r="P1680" s="1968"/>
      <c r="Q1680" s="1968"/>
      <c r="R1680" s="1968"/>
      <c r="S1680" s="1968"/>
      <c r="T1680" s="1968"/>
    </row>
    <row r="1681" spans="1:20" x14ac:dyDescent="0.2">
      <c r="A1681" s="2031"/>
      <c r="B1681" s="1968"/>
      <c r="C1681" s="2032"/>
      <c r="D1681" s="2033"/>
      <c r="E1681" s="2000"/>
      <c r="F1681" s="2000"/>
      <c r="G1681" s="2000"/>
      <c r="H1681" s="2000"/>
      <c r="I1681" s="1968"/>
      <c r="J1681" s="1968"/>
      <c r="K1681" s="2000"/>
      <c r="L1681" s="2000"/>
      <c r="M1681" s="1968"/>
      <c r="N1681" s="1968"/>
      <c r="O1681" s="1968"/>
      <c r="P1681" s="1968"/>
      <c r="Q1681" s="1968"/>
      <c r="R1681" s="1968"/>
      <c r="S1681" s="1968"/>
      <c r="T1681" s="1968"/>
    </row>
    <row r="1682" spans="1:20" x14ac:dyDescent="0.2">
      <c r="A1682" s="2031"/>
      <c r="B1682" s="1968"/>
      <c r="C1682" s="2032"/>
      <c r="D1682" s="2033"/>
      <c r="E1682" s="2000"/>
      <c r="F1682" s="2000"/>
      <c r="G1682" s="2000"/>
      <c r="H1682" s="2000"/>
      <c r="I1682" s="1968"/>
      <c r="J1682" s="1968"/>
      <c r="K1682" s="2000"/>
      <c r="L1682" s="2000"/>
      <c r="M1682" s="1968"/>
      <c r="N1682" s="1968"/>
      <c r="O1682" s="1968"/>
      <c r="P1682" s="1968"/>
      <c r="Q1682" s="1968"/>
      <c r="R1682" s="1968"/>
      <c r="S1682" s="1968"/>
      <c r="T1682" s="1968"/>
    </row>
    <row r="1683" spans="1:20" x14ac:dyDescent="0.2">
      <c r="A1683" s="2031"/>
      <c r="B1683" s="1968"/>
      <c r="C1683" s="2032"/>
      <c r="D1683" s="2033"/>
      <c r="E1683" s="2000"/>
      <c r="F1683" s="2000"/>
      <c r="G1683" s="2000"/>
      <c r="H1683" s="2000"/>
      <c r="I1683" s="1968"/>
      <c r="J1683" s="1968"/>
      <c r="K1683" s="2000"/>
      <c r="L1683" s="2000"/>
      <c r="M1683" s="1968"/>
      <c r="N1683" s="1968"/>
      <c r="O1683" s="1968"/>
      <c r="P1683" s="1968"/>
      <c r="Q1683" s="1968"/>
      <c r="R1683" s="1968"/>
      <c r="S1683" s="1968"/>
      <c r="T1683" s="1968"/>
    </row>
    <row r="1684" spans="1:20" x14ac:dyDescent="0.2">
      <c r="A1684" s="2031"/>
      <c r="B1684" s="1968"/>
      <c r="C1684" s="2032"/>
      <c r="D1684" s="2033"/>
      <c r="E1684" s="2000"/>
      <c r="F1684" s="2000"/>
      <c r="G1684" s="2000"/>
      <c r="H1684" s="2000"/>
      <c r="I1684" s="1968"/>
      <c r="J1684" s="1968"/>
      <c r="K1684" s="2000"/>
      <c r="L1684" s="2000"/>
      <c r="M1684" s="1968"/>
      <c r="N1684" s="1968"/>
      <c r="O1684" s="1968"/>
      <c r="P1684" s="1968"/>
      <c r="Q1684" s="1968"/>
      <c r="R1684" s="1968"/>
      <c r="S1684" s="1968"/>
      <c r="T1684" s="1968"/>
    </row>
    <row r="1685" spans="1:20" x14ac:dyDescent="0.2">
      <c r="A1685" s="2031"/>
      <c r="B1685" s="1968"/>
      <c r="C1685" s="2032"/>
      <c r="D1685" s="2033"/>
      <c r="E1685" s="2000"/>
      <c r="F1685" s="2000"/>
      <c r="G1685" s="2000"/>
      <c r="H1685" s="2000"/>
      <c r="I1685" s="1968"/>
      <c r="J1685" s="1968"/>
      <c r="K1685" s="2000"/>
      <c r="L1685" s="2000"/>
      <c r="M1685" s="1968"/>
      <c r="N1685" s="1968"/>
      <c r="O1685" s="1968"/>
      <c r="P1685" s="1968"/>
      <c r="Q1685" s="1968"/>
      <c r="R1685" s="1968"/>
      <c r="S1685" s="1968"/>
      <c r="T1685" s="1968"/>
    </row>
    <row r="1686" spans="1:20" x14ac:dyDescent="0.2">
      <c r="A1686" s="2031"/>
      <c r="B1686" s="1968"/>
      <c r="C1686" s="2032"/>
      <c r="D1686" s="2033"/>
      <c r="E1686" s="2000"/>
      <c r="F1686" s="2000"/>
      <c r="G1686" s="2000"/>
      <c r="H1686" s="2000"/>
      <c r="I1686" s="1968"/>
      <c r="J1686" s="1968"/>
      <c r="K1686" s="2000"/>
      <c r="L1686" s="2000"/>
      <c r="M1686" s="1968"/>
      <c r="N1686" s="1968"/>
      <c r="O1686" s="1968"/>
      <c r="P1686" s="1968"/>
      <c r="Q1686" s="1968"/>
      <c r="R1686" s="1968"/>
      <c r="S1686" s="1968"/>
      <c r="T1686" s="1968"/>
    </row>
    <row r="1687" spans="1:20" x14ac:dyDescent="0.2">
      <c r="A1687" s="2031"/>
      <c r="B1687" s="1968"/>
      <c r="C1687" s="2032"/>
      <c r="D1687" s="2033"/>
      <c r="E1687" s="2000"/>
      <c r="F1687" s="2000"/>
      <c r="G1687" s="2000"/>
      <c r="H1687" s="2000"/>
      <c r="I1687" s="1968"/>
      <c r="J1687" s="1968"/>
      <c r="K1687" s="2000"/>
      <c r="L1687" s="2000"/>
      <c r="M1687" s="1968"/>
      <c r="N1687" s="1968"/>
      <c r="O1687" s="1968"/>
      <c r="P1687" s="1968"/>
      <c r="Q1687" s="1968"/>
      <c r="R1687" s="1968"/>
      <c r="S1687" s="1968"/>
      <c r="T1687" s="1968"/>
    </row>
    <row r="1688" spans="1:20" x14ac:dyDescent="0.2">
      <c r="A1688" s="2031"/>
      <c r="B1688" s="1968"/>
      <c r="C1688" s="2032"/>
      <c r="D1688" s="2033"/>
      <c r="E1688" s="2000"/>
      <c r="F1688" s="2000"/>
      <c r="G1688" s="2000"/>
      <c r="H1688" s="2000"/>
      <c r="I1688" s="1968"/>
      <c r="J1688" s="1968"/>
      <c r="K1688" s="2000"/>
      <c r="L1688" s="2000"/>
      <c r="M1688" s="1968"/>
      <c r="N1688" s="1968"/>
      <c r="O1688" s="1968"/>
      <c r="P1688" s="1968"/>
      <c r="Q1688" s="1968"/>
      <c r="R1688" s="1968"/>
      <c r="S1688" s="1968"/>
      <c r="T1688" s="1968"/>
    </row>
    <row r="1689" spans="1:20" x14ac:dyDescent="0.2">
      <c r="A1689" s="2031"/>
      <c r="B1689" s="1968"/>
      <c r="C1689" s="2032"/>
      <c r="D1689" s="2033"/>
      <c r="E1689" s="2000"/>
      <c r="F1689" s="2000"/>
      <c r="G1689" s="2000"/>
      <c r="H1689" s="2000"/>
      <c r="I1689" s="1968"/>
      <c r="J1689" s="1968"/>
      <c r="K1689" s="2000"/>
      <c r="L1689" s="2000"/>
      <c r="M1689" s="1968"/>
      <c r="N1689" s="1968"/>
      <c r="O1689" s="1968"/>
      <c r="P1689" s="1968"/>
      <c r="Q1689" s="1968"/>
      <c r="R1689" s="1968"/>
      <c r="S1689" s="1968"/>
      <c r="T1689" s="1968"/>
    </row>
    <row r="1690" spans="1:20" x14ac:dyDescent="0.2">
      <c r="A1690" s="2031"/>
      <c r="B1690" s="1968"/>
      <c r="C1690" s="2032"/>
      <c r="D1690" s="2033"/>
      <c r="E1690" s="2000"/>
      <c r="F1690" s="2000"/>
      <c r="G1690" s="2000"/>
      <c r="H1690" s="2000"/>
      <c r="I1690" s="1968"/>
      <c r="J1690" s="1968"/>
      <c r="K1690" s="2000"/>
      <c r="L1690" s="2000"/>
      <c r="M1690" s="1968"/>
      <c r="N1690" s="1968"/>
      <c r="O1690" s="1968"/>
      <c r="P1690" s="1968"/>
      <c r="Q1690" s="1968"/>
      <c r="R1690" s="1968"/>
      <c r="S1690" s="1968"/>
      <c r="T1690" s="1968"/>
    </row>
    <row r="1691" spans="1:20" x14ac:dyDescent="0.2">
      <c r="A1691" s="2031"/>
      <c r="B1691" s="1968"/>
      <c r="C1691" s="2032"/>
      <c r="D1691" s="2033"/>
      <c r="E1691" s="2000"/>
      <c r="F1691" s="2000"/>
      <c r="G1691" s="2000"/>
      <c r="H1691" s="2000"/>
      <c r="I1691" s="1968"/>
      <c r="J1691" s="1968"/>
      <c r="K1691" s="2000"/>
      <c r="L1691" s="2000"/>
      <c r="M1691" s="1968"/>
      <c r="N1691" s="1968"/>
      <c r="O1691" s="1968"/>
      <c r="P1691" s="1968"/>
      <c r="Q1691" s="1968"/>
      <c r="R1691" s="1968"/>
      <c r="S1691" s="1968"/>
      <c r="T1691" s="1968"/>
    </row>
    <row r="1692" spans="1:20" x14ac:dyDescent="0.2">
      <c r="A1692" s="2031"/>
      <c r="B1692" s="1968"/>
      <c r="C1692" s="2032"/>
      <c r="D1692" s="2033"/>
      <c r="E1692" s="2000"/>
      <c r="F1692" s="2000"/>
      <c r="G1692" s="2000"/>
      <c r="H1692" s="2000"/>
      <c r="I1692" s="1968"/>
      <c r="J1692" s="1968"/>
      <c r="K1692" s="2000"/>
      <c r="L1692" s="2000"/>
      <c r="M1692" s="1968"/>
      <c r="N1692" s="1968"/>
      <c r="O1692" s="1968"/>
      <c r="P1692" s="1968"/>
      <c r="Q1692" s="1968"/>
      <c r="R1692" s="1968"/>
      <c r="S1692" s="1968"/>
      <c r="T1692" s="1968"/>
    </row>
    <row r="1693" spans="1:20" x14ac:dyDescent="0.2">
      <c r="A1693" s="2031"/>
      <c r="B1693" s="1968"/>
      <c r="C1693" s="2032"/>
      <c r="D1693" s="2033"/>
      <c r="E1693" s="2000"/>
      <c r="F1693" s="2000"/>
      <c r="G1693" s="2000"/>
      <c r="H1693" s="2000"/>
      <c r="I1693" s="1968"/>
      <c r="J1693" s="1968"/>
      <c r="K1693" s="2000"/>
      <c r="L1693" s="2000"/>
      <c r="M1693" s="1968"/>
      <c r="N1693" s="1968"/>
      <c r="O1693" s="1968"/>
      <c r="P1693" s="1968"/>
      <c r="Q1693" s="1968"/>
      <c r="R1693" s="1968"/>
      <c r="S1693" s="1968"/>
      <c r="T1693" s="1968"/>
    </row>
    <row r="1694" spans="1:20" x14ac:dyDescent="0.2">
      <c r="A1694" s="2031"/>
      <c r="B1694" s="1968"/>
      <c r="C1694" s="2032"/>
      <c r="D1694" s="2033"/>
      <c r="E1694" s="2000"/>
      <c r="F1694" s="2000"/>
      <c r="G1694" s="2000"/>
      <c r="H1694" s="2000"/>
      <c r="I1694" s="1968"/>
      <c r="J1694" s="1968"/>
      <c r="K1694" s="2000"/>
      <c r="L1694" s="2000"/>
      <c r="M1694" s="1968"/>
      <c r="N1694" s="1968"/>
      <c r="O1694" s="1968"/>
      <c r="P1694" s="1968"/>
      <c r="Q1694" s="1968"/>
      <c r="R1694" s="1968"/>
      <c r="S1694" s="1968"/>
      <c r="T1694" s="1968"/>
    </row>
    <row r="1695" spans="1:20" x14ac:dyDescent="0.2">
      <c r="A1695" s="2031"/>
      <c r="B1695" s="1968"/>
      <c r="C1695" s="2032"/>
      <c r="D1695" s="2033"/>
      <c r="E1695" s="2000"/>
      <c r="F1695" s="2000"/>
      <c r="G1695" s="2000"/>
      <c r="H1695" s="2000"/>
      <c r="I1695" s="1968"/>
      <c r="J1695" s="1968"/>
      <c r="K1695" s="2000"/>
      <c r="L1695" s="2000"/>
      <c r="M1695" s="1968"/>
      <c r="N1695" s="1968"/>
      <c r="O1695" s="1968"/>
      <c r="P1695" s="1968"/>
      <c r="Q1695" s="1968"/>
      <c r="R1695" s="1968"/>
      <c r="S1695" s="1968"/>
      <c r="T1695" s="1968"/>
    </row>
    <row r="1696" spans="1:20" x14ac:dyDescent="0.2">
      <c r="A1696" s="2031"/>
      <c r="B1696" s="1968"/>
      <c r="C1696" s="2032"/>
      <c r="D1696" s="2033"/>
      <c r="E1696" s="2000"/>
      <c r="F1696" s="2000"/>
      <c r="G1696" s="2000"/>
      <c r="H1696" s="2000"/>
      <c r="I1696" s="1968"/>
      <c r="J1696" s="1968"/>
      <c r="K1696" s="2000"/>
      <c r="L1696" s="2000"/>
      <c r="M1696" s="1968"/>
      <c r="N1696" s="1968"/>
      <c r="O1696" s="1968"/>
      <c r="P1696" s="1968"/>
      <c r="Q1696" s="1968"/>
      <c r="R1696" s="1968"/>
      <c r="S1696" s="1968"/>
      <c r="T1696" s="1968"/>
    </row>
    <row r="1697" spans="1:20" x14ac:dyDescent="0.2">
      <c r="A1697" s="2031"/>
      <c r="B1697" s="1968"/>
      <c r="C1697" s="2032"/>
      <c r="D1697" s="2033"/>
      <c r="E1697" s="2000"/>
      <c r="F1697" s="2000"/>
      <c r="G1697" s="2000"/>
      <c r="H1697" s="2000"/>
      <c r="I1697" s="1968"/>
      <c r="J1697" s="1968"/>
      <c r="K1697" s="2000"/>
      <c r="L1697" s="2000"/>
      <c r="M1697" s="1968"/>
      <c r="N1697" s="1968"/>
      <c r="O1697" s="1968"/>
      <c r="P1697" s="1968"/>
      <c r="Q1697" s="1968"/>
      <c r="R1697" s="1968"/>
      <c r="S1697" s="1968"/>
      <c r="T1697" s="1968"/>
    </row>
    <row r="1698" spans="1:20" x14ac:dyDescent="0.2">
      <c r="A1698" s="2031"/>
      <c r="B1698" s="1968"/>
      <c r="C1698" s="2032"/>
      <c r="D1698" s="2033"/>
      <c r="E1698" s="2000"/>
      <c r="F1698" s="2000"/>
      <c r="G1698" s="2000"/>
      <c r="H1698" s="2000"/>
      <c r="I1698" s="1968"/>
      <c r="J1698" s="1968"/>
      <c r="K1698" s="2000"/>
      <c r="L1698" s="2000"/>
      <c r="M1698" s="1968"/>
      <c r="N1698" s="1968"/>
      <c r="O1698" s="1968"/>
      <c r="P1698" s="1968"/>
      <c r="Q1698" s="1968"/>
      <c r="R1698" s="1968"/>
      <c r="S1698" s="1968"/>
      <c r="T1698" s="1968"/>
    </row>
    <row r="1699" spans="1:20" x14ac:dyDescent="0.2">
      <c r="A1699" s="2031"/>
      <c r="B1699" s="1968"/>
      <c r="C1699" s="2032"/>
      <c r="D1699" s="2033"/>
      <c r="E1699" s="2000"/>
      <c r="F1699" s="2000"/>
      <c r="G1699" s="2000"/>
      <c r="H1699" s="2000"/>
      <c r="I1699" s="1968"/>
      <c r="J1699" s="1968"/>
      <c r="K1699" s="2000"/>
      <c r="L1699" s="2000"/>
      <c r="M1699" s="1968"/>
      <c r="N1699" s="1968"/>
      <c r="O1699" s="1968"/>
      <c r="P1699" s="1968"/>
      <c r="Q1699" s="1968"/>
      <c r="R1699" s="1968"/>
      <c r="S1699" s="1968"/>
      <c r="T1699" s="1968"/>
    </row>
    <row r="1700" spans="1:20" x14ac:dyDescent="0.2">
      <c r="A1700" s="2031"/>
      <c r="B1700" s="1968"/>
      <c r="C1700" s="2032"/>
      <c r="D1700" s="2033"/>
      <c r="E1700" s="2000"/>
      <c r="F1700" s="2000"/>
      <c r="G1700" s="2000"/>
      <c r="H1700" s="2000"/>
      <c r="I1700" s="1968"/>
      <c r="J1700" s="1968"/>
      <c r="K1700" s="2000"/>
      <c r="L1700" s="2000"/>
      <c r="M1700" s="1968"/>
      <c r="N1700" s="1968"/>
      <c r="O1700" s="1968"/>
      <c r="P1700" s="1968"/>
      <c r="Q1700" s="1968"/>
      <c r="R1700" s="1968"/>
      <c r="S1700" s="1968"/>
      <c r="T1700" s="1968"/>
    </row>
    <row r="1701" spans="1:20" x14ac:dyDescent="0.2">
      <c r="A1701" s="2031"/>
      <c r="B1701" s="1968"/>
      <c r="C1701" s="2032"/>
      <c r="D1701" s="2033"/>
      <c r="E1701" s="2000"/>
      <c r="F1701" s="2000"/>
      <c r="G1701" s="2000"/>
      <c r="H1701" s="2000"/>
      <c r="I1701" s="1968"/>
      <c r="J1701" s="1968"/>
      <c r="K1701" s="2000"/>
      <c r="L1701" s="2000"/>
      <c r="M1701" s="1968"/>
      <c r="N1701" s="1968"/>
      <c r="O1701" s="1968"/>
      <c r="P1701" s="1968"/>
      <c r="Q1701" s="1968"/>
      <c r="R1701" s="1968"/>
      <c r="S1701" s="1968"/>
      <c r="T1701" s="1968"/>
    </row>
    <row r="1702" spans="1:20" x14ac:dyDescent="0.2">
      <c r="D1702" s="673"/>
      <c r="E1702" s="674"/>
      <c r="F1702" s="674"/>
      <c r="G1702" s="674"/>
      <c r="H1702" s="674"/>
      <c r="I1702" s="675"/>
      <c r="J1702" s="675"/>
      <c r="K1702" s="674"/>
      <c r="L1702" s="674"/>
      <c r="M1702" s="675"/>
    </row>
    <row r="1703" spans="1:20" x14ac:dyDescent="0.2">
      <c r="D1703" s="673"/>
      <c r="E1703" s="674"/>
      <c r="F1703" s="674"/>
      <c r="G1703" s="674"/>
      <c r="H1703" s="674"/>
      <c r="I1703" s="675"/>
      <c r="J1703" s="675"/>
      <c r="K1703" s="674"/>
      <c r="L1703" s="674"/>
      <c r="M1703" s="675"/>
    </row>
    <row r="1704" spans="1:20" x14ac:dyDescent="0.2">
      <c r="D1704" s="673"/>
      <c r="E1704" s="674"/>
      <c r="F1704" s="674"/>
      <c r="G1704" s="674"/>
      <c r="H1704" s="674"/>
      <c r="I1704" s="675"/>
      <c r="J1704" s="675"/>
      <c r="K1704" s="674"/>
      <c r="L1704" s="674"/>
      <c r="M1704" s="675"/>
    </row>
    <row r="1705" spans="1:20" x14ac:dyDescent="0.2">
      <c r="D1705" s="673"/>
      <c r="E1705" s="674"/>
      <c r="F1705" s="674"/>
      <c r="G1705" s="674"/>
      <c r="H1705" s="674"/>
      <c r="I1705" s="675"/>
      <c r="J1705" s="675"/>
      <c r="K1705" s="674"/>
      <c r="L1705" s="674"/>
      <c r="M1705" s="675"/>
    </row>
    <row r="1706" spans="1:20" x14ac:dyDescent="0.2">
      <c r="D1706" s="673"/>
      <c r="E1706" s="674"/>
      <c r="F1706" s="674"/>
      <c r="G1706" s="674"/>
      <c r="H1706" s="674"/>
      <c r="I1706" s="675"/>
      <c r="J1706" s="675"/>
      <c r="K1706" s="674"/>
      <c r="L1706" s="674"/>
      <c r="M1706" s="675"/>
    </row>
    <row r="1707" spans="1:20" x14ac:dyDescent="0.2">
      <c r="D1707" s="673"/>
      <c r="E1707" s="674"/>
      <c r="F1707" s="674"/>
      <c r="G1707" s="674"/>
      <c r="H1707" s="674"/>
      <c r="I1707" s="675"/>
      <c r="J1707" s="675"/>
      <c r="K1707" s="674"/>
      <c r="L1707" s="674"/>
      <c r="M1707" s="675"/>
    </row>
    <row r="1708" spans="1:20" x14ac:dyDescent="0.2">
      <c r="D1708" s="673"/>
      <c r="E1708" s="674"/>
      <c r="F1708" s="674"/>
      <c r="G1708" s="674"/>
      <c r="H1708" s="674"/>
      <c r="I1708" s="675"/>
      <c r="J1708" s="675"/>
      <c r="K1708" s="674"/>
      <c r="L1708" s="674"/>
      <c r="M1708" s="675"/>
    </row>
    <row r="1709" spans="1:20" x14ac:dyDescent="0.2">
      <c r="D1709" s="673"/>
      <c r="E1709" s="674"/>
      <c r="F1709" s="674"/>
      <c r="G1709" s="674"/>
      <c r="H1709" s="674"/>
      <c r="I1709" s="675"/>
      <c r="J1709" s="675"/>
      <c r="K1709" s="674"/>
      <c r="L1709" s="674"/>
      <c r="M1709" s="675"/>
    </row>
    <row r="1710" spans="1:20" x14ac:dyDescent="0.2">
      <c r="D1710" s="673"/>
      <c r="E1710" s="674"/>
      <c r="F1710" s="674"/>
      <c r="G1710" s="674"/>
      <c r="H1710" s="674"/>
      <c r="I1710" s="675"/>
      <c r="J1710" s="675"/>
      <c r="K1710" s="674"/>
      <c r="L1710" s="674"/>
      <c r="M1710" s="675"/>
    </row>
    <row r="1711" spans="1:20" x14ac:dyDescent="0.2">
      <c r="D1711" s="673"/>
      <c r="E1711" s="674"/>
      <c r="F1711" s="674"/>
      <c r="G1711" s="674"/>
      <c r="H1711" s="674"/>
      <c r="I1711" s="675"/>
      <c r="J1711" s="675"/>
      <c r="K1711" s="674"/>
      <c r="L1711" s="674"/>
      <c r="M1711" s="675"/>
    </row>
    <row r="1712" spans="1:20" x14ac:dyDescent="0.2">
      <c r="D1712" s="673"/>
      <c r="E1712" s="674"/>
      <c r="F1712" s="674"/>
      <c r="G1712" s="674"/>
      <c r="H1712" s="674"/>
      <c r="I1712" s="675"/>
      <c r="J1712" s="675"/>
      <c r="K1712" s="674"/>
      <c r="L1712" s="674"/>
      <c r="M1712" s="675"/>
    </row>
    <row r="1713" spans="4:13" x14ac:dyDescent="0.2">
      <c r="D1713" s="673"/>
      <c r="E1713" s="674"/>
      <c r="F1713" s="674"/>
      <c r="G1713" s="674"/>
      <c r="H1713" s="674"/>
      <c r="I1713" s="675"/>
      <c r="J1713" s="675"/>
      <c r="K1713" s="674"/>
      <c r="L1713" s="674"/>
      <c r="M1713" s="675"/>
    </row>
    <row r="1714" spans="4:13" x14ac:dyDescent="0.2">
      <c r="D1714" s="673"/>
      <c r="E1714" s="674"/>
      <c r="F1714" s="674"/>
      <c r="G1714" s="674"/>
      <c r="H1714" s="674"/>
      <c r="I1714" s="675"/>
      <c r="J1714" s="675"/>
      <c r="K1714" s="674"/>
      <c r="L1714" s="674"/>
      <c r="M1714" s="675"/>
    </row>
    <row r="1715" spans="4:13" x14ac:dyDescent="0.2">
      <c r="D1715" s="673"/>
      <c r="E1715" s="674"/>
      <c r="F1715" s="674"/>
      <c r="G1715" s="674"/>
      <c r="H1715" s="674"/>
      <c r="I1715" s="675"/>
      <c r="J1715" s="675"/>
      <c r="K1715" s="674"/>
      <c r="L1715" s="674"/>
      <c r="M1715" s="675"/>
    </row>
    <row r="1716" spans="4:13" x14ac:dyDescent="0.2">
      <c r="D1716" s="673"/>
      <c r="E1716" s="674"/>
      <c r="F1716" s="674"/>
      <c r="G1716" s="674"/>
      <c r="H1716" s="674"/>
      <c r="I1716" s="675"/>
      <c r="J1716" s="675"/>
      <c r="K1716" s="674"/>
      <c r="L1716" s="674"/>
      <c r="M1716" s="675"/>
    </row>
    <row r="1717" spans="4:13" x14ac:dyDescent="0.2">
      <c r="D1717" s="673"/>
      <c r="E1717" s="674"/>
      <c r="F1717" s="674"/>
      <c r="G1717" s="674"/>
      <c r="H1717" s="674"/>
      <c r="I1717" s="675"/>
      <c r="J1717" s="675"/>
      <c r="K1717" s="674"/>
      <c r="L1717" s="674"/>
      <c r="M1717" s="675"/>
    </row>
    <row r="1718" spans="4:13" x14ac:dyDescent="0.2">
      <c r="D1718" s="673"/>
      <c r="E1718" s="674"/>
      <c r="F1718" s="674"/>
      <c r="G1718" s="674"/>
      <c r="H1718" s="674"/>
      <c r="I1718" s="675"/>
      <c r="J1718" s="675"/>
      <c r="K1718" s="674"/>
      <c r="L1718" s="674"/>
      <c r="M1718" s="675"/>
    </row>
    <row r="1719" spans="4:13" x14ac:dyDescent="0.2">
      <c r="D1719" s="673"/>
      <c r="E1719" s="674"/>
      <c r="F1719" s="674"/>
      <c r="G1719" s="674"/>
      <c r="H1719" s="674"/>
      <c r="I1719" s="675"/>
      <c r="J1719" s="675"/>
      <c r="K1719" s="674"/>
      <c r="L1719" s="674"/>
      <c r="M1719" s="675"/>
    </row>
    <row r="1720" spans="4:13" x14ac:dyDescent="0.2">
      <c r="D1720" s="673"/>
      <c r="E1720" s="674"/>
      <c r="F1720" s="674"/>
      <c r="G1720" s="674"/>
      <c r="H1720" s="674"/>
      <c r="I1720" s="675"/>
      <c r="J1720" s="675"/>
      <c r="K1720" s="674"/>
      <c r="L1720" s="674"/>
      <c r="M1720" s="675"/>
    </row>
    <row r="1721" spans="4:13" x14ac:dyDescent="0.2">
      <c r="D1721" s="673"/>
      <c r="E1721" s="674"/>
      <c r="F1721" s="674"/>
      <c r="G1721" s="674"/>
      <c r="H1721" s="674"/>
      <c r="I1721" s="675"/>
      <c r="J1721" s="675"/>
      <c r="K1721" s="674"/>
      <c r="L1721" s="674"/>
      <c r="M1721" s="675"/>
    </row>
    <row r="1722" spans="4:13" x14ac:dyDescent="0.2">
      <c r="D1722" s="673"/>
      <c r="E1722" s="674"/>
      <c r="F1722" s="674"/>
      <c r="G1722" s="674"/>
      <c r="H1722" s="674"/>
      <c r="I1722" s="675"/>
      <c r="J1722" s="675"/>
      <c r="K1722" s="674"/>
      <c r="L1722" s="674"/>
      <c r="M1722" s="675"/>
    </row>
    <row r="1723" spans="4:13" x14ac:dyDescent="0.2">
      <c r="D1723" s="673"/>
      <c r="E1723" s="674"/>
      <c r="F1723" s="674"/>
      <c r="G1723" s="674"/>
      <c r="H1723" s="674"/>
      <c r="I1723" s="675"/>
      <c r="J1723" s="675"/>
      <c r="K1723" s="674"/>
      <c r="L1723" s="674"/>
      <c r="M1723" s="675"/>
    </row>
    <row r="1724" spans="4:13" x14ac:dyDescent="0.2">
      <c r="D1724" s="673"/>
      <c r="E1724" s="674"/>
      <c r="F1724" s="674"/>
      <c r="G1724" s="674"/>
      <c r="H1724" s="674"/>
      <c r="I1724" s="675"/>
      <c r="J1724" s="675"/>
      <c r="K1724" s="674"/>
      <c r="L1724" s="674"/>
      <c r="M1724" s="675"/>
    </row>
    <row r="1725" spans="4:13" x14ac:dyDescent="0.2">
      <c r="D1725" s="673"/>
      <c r="E1725" s="674"/>
      <c r="F1725" s="674"/>
      <c r="G1725" s="674"/>
      <c r="H1725" s="674"/>
      <c r="I1725" s="675"/>
      <c r="J1725" s="675"/>
      <c r="K1725" s="674"/>
      <c r="L1725" s="674"/>
      <c r="M1725" s="675"/>
    </row>
    <row r="1726" spans="4:13" x14ac:dyDescent="0.2">
      <c r="D1726" s="673"/>
      <c r="E1726" s="674"/>
      <c r="F1726" s="674"/>
      <c r="G1726" s="674"/>
      <c r="H1726" s="674"/>
      <c r="I1726" s="675"/>
      <c r="J1726" s="675"/>
      <c r="K1726" s="674"/>
      <c r="L1726" s="674"/>
      <c r="M1726" s="675"/>
    </row>
    <row r="1727" spans="4:13" x14ac:dyDescent="0.2">
      <c r="D1727" s="673"/>
      <c r="E1727" s="674"/>
      <c r="F1727" s="674"/>
      <c r="G1727" s="674"/>
      <c r="H1727" s="674"/>
      <c r="I1727" s="675"/>
      <c r="J1727" s="675"/>
      <c r="K1727" s="674"/>
      <c r="L1727" s="674"/>
      <c r="M1727" s="675"/>
    </row>
    <row r="1728" spans="4:13" x14ac:dyDescent="0.2">
      <c r="D1728" s="673"/>
      <c r="E1728" s="674"/>
      <c r="F1728" s="674"/>
      <c r="G1728" s="674"/>
      <c r="H1728" s="674"/>
      <c r="I1728" s="675"/>
      <c r="J1728" s="675"/>
      <c r="K1728" s="674"/>
      <c r="L1728" s="674"/>
      <c r="M1728" s="675"/>
    </row>
    <row r="1729" spans="4:13" x14ac:dyDescent="0.2">
      <c r="D1729" s="673"/>
      <c r="E1729" s="674"/>
      <c r="F1729" s="674"/>
      <c r="G1729" s="674"/>
      <c r="H1729" s="674"/>
      <c r="I1729" s="675"/>
      <c r="J1729" s="675"/>
      <c r="K1729" s="674"/>
      <c r="L1729" s="674"/>
      <c r="M1729" s="675"/>
    </row>
    <row r="1730" spans="4:13" x14ac:dyDescent="0.2">
      <c r="D1730" s="673"/>
      <c r="E1730" s="674"/>
      <c r="F1730" s="674"/>
      <c r="G1730" s="674"/>
      <c r="H1730" s="674"/>
      <c r="I1730" s="675"/>
      <c r="J1730" s="675"/>
      <c r="K1730" s="674"/>
      <c r="L1730" s="674"/>
      <c r="M1730" s="675"/>
    </row>
    <row r="1731" spans="4:13" x14ac:dyDescent="0.2">
      <c r="D1731" s="673"/>
      <c r="E1731" s="674"/>
      <c r="F1731" s="674"/>
      <c r="G1731" s="674"/>
      <c r="H1731" s="674"/>
      <c r="I1731" s="675"/>
      <c r="J1731" s="675"/>
      <c r="K1731" s="674"/>
      <c r="L1731" s="674"/>
      <c r="M1731" s="675"/>
    </row>
    <row r="1732" spans="4:13" x14ac:dyDescent="0.2">
      <c r="D1732" s="673"/>
      <c r="E1732" s="674"/>
      <c r="F1732" s="674"/>
      <c r="G1732" s="674"/>
      <c r="H1732" s="674"/>
      <c r="I1732" s="675"/>
      <c r="J1732" s="675"/>
      <c r="K1732" s="674"/>
      <c r="L1732" s="674"/>
      <c r="M1732" s="675"/>
    </row>
    <row r="1733" spans="4:13" x14ac:dyDescent="0.2">
      <c r="D1733" s="673"/>
      <c r="E1733" s="674"/>
      <c r="F1733" s="674"/>
      <c r="G1733" s="674"/>
      <c r="H1733" s="674"/>
      <c r="I1733" s="675"/>
      <c r="J1733" s="675"/>
      <c r="K1733" s="674"/>
      <c r="L1733" s="674"/>
      <c r="M1733" s="675"/>
    </row>
    <row r="1734" spans="4:13" x14ac:dyDescent="0.2">
      <c r="D1734" s="673"/>
      <c r="E1734" s="674"/>
      <c r="F1734" s="674"/>
      <c r="G1734" s="674"/>
      <c r="H1734" s="674"/>
      <c r="I1734" s="675"/>
      <c r="J1734" s="675"/>
      <c r="K1734" s="674"/>
      <c r="L1734" s="674"/>
      <c r="M1734" s="675"/>
    </row>
    <row r="1735" spans="4:13" x14ac:dyDescent="0.2">
      <c r="D1735" s="673"/>
      <c r="E1735" s="674"/>
      <c r="F1735" s="674"/>
      <c r="G1735" s="674"/>
      <c r="H1735" s="674"/>
      <c r="I1735" s="675"/>
      <c r="J1735" s="675"/>
      <c r="K1735" s="674"/>
      <c r="L1735" s="674"/>
      <c r="M1735" s="675"/>
    </row>
    <row r="1736" spans="4:13" x14ac:dyDescent="0.2">
      <c r="D1736" s="673"/>
      <c r="E1736" s="674"/>
      <c r="F1736" s="674"/>
      <c r="G1736" s="674"/>
      <c r="H1736" s="674"/>
      <c r="I1736" s="675"/>
      <c r="J1736" s="675"/>
      <c r="K1736" s="674"/>
      <c r="L1736" s="674"/>
      <c r="M1736" s="675"/>
    </row>
    <row r="1737" spans="4:13" x14ac:dyDescent="0.2">
      <c r="D1737" s="673"/>
      <c r="E1737" s="674"/>
      <c r="F1737" s="674"/>
      <c r="G1737" s="674"/>
      <c r="H1737" s="674"/>
      <c r="I1737" s="675"/>
      <c r="J1737" s="675"/>
      <c r="K1737" s="674"/>
      <c r="L1737" s="674"/>
      <c r="M1737" s="675"/>
    </row>
    <row r="1738" spans="4:13" x14ac:dyDescent="0.2">
      <c r="D1738" s="673"/>
      <c r="E1738" s="674"/>
      <c r="F1738" s="674"/>
      <c r="G1738" s="674"/>
      <c r="H1738" s="674"/>
      <c r="I1738" s="675"/>
      <c r="J1738" s="675"/>
      <c r="K1738" s="674"/>
      <c r="L1738" s="674"/>
      <c r="M1738" s="675"/>
    </row>
    <row r="1739" spans="4:13" x14ac:dyDescent="0.2">
      <c r="D1739" s="673"/>
      <c r="E1739" s="674"/>
      <c r="F1739" s="674"/>
      <c r="G1739" s="674"/>
      <c r="H1739" s="674"/>
      <c r="I1739" s="675"/>
      <c r="J1739" s="675"/>
      <c r="K1739" s="674"/>
      <c r="L1739" s="674"/>
      <c r="M1739" s="675"/>
    </row>
    <row r="1740" spans="4:13" x14ac:dyDescent="0.2">
      <c r="D1740" s="673"/>
      <c r="E1740" s="674"/>
      <c r="F1740" s="674"/>
      <c r="G1740" s="674"/>
      <c r="H1740" s="674"/>
      <c r="I1740" s="675"/>
      <c r="J1740" s="675"/>
      <c r="K1740" s="674"/>
      <c r="L1740" s="674"/>
      <c r="M1740" s="675"/>
    </row>
    <row r="1741" spans="4:13" x14ac:dyDescent="0.2">
      <c r="D1741" s="673"/>
      <c r="E1741" s="674"/>
      <c r="F1741" s="674"/>
      <c r="G1741" s="674"/>
      <c r="H1741" s="674"/>
      <c r="I1741" s="675"/>
      <c r="J1741" s="675"/>
      <c r="K1741" s="674"/>
      <c r="L1741" s="674"/>
      <c r="M1741" s="675"/>
    </row>
    <row r="1742" spans="4:13" x14ac:dyDescent="0.2">
      <c r="D1742" s="673"/>
      <c r="E1742" s="674"/>
      <c r="F1742" s="674"/>
      <c r="G1742" s="674"/>
      <c r="H1742" s="674"/>
      <c r="I1742" s="675"/>
      <c r="J1742" s="675"/>
      <c r="K1742" s="674"/>
      <c r="L1742" s="674"/>
      <c r="M1742" s="675"/>
    </row>
    <row r="1743" spans="4:13" x14ac:dyDescent="0.2">
      <c r="D1743" s="673"/>
      <c r="E1743" s="674"/>
      <c r="F1743" s="674"/>
      <c r="G1743" s="674"/>
      <c r="H1743" s="674"/>
      <c r="I1743" s="675"/>
      <c r="J1743" s="675"/>
      <c r="K1743" s="674"/>
      <c r="L1743" s="674"/>
      <c r="M1743" s="675"/>
    </row>
    <row r="1744" spans="4:13" x14ac:dyDescent="0.2">
      <c r="D1744" s="673"/>
      <c r="E1744" s="674"/>
      <c r="F1744" s="674"/>
      <c r="G1744" s="674"/>
      <c r="H1744" s="674"/>
      <c r="I1744" s="675"/>
      <c r="J1744" s="675"/>
      <c r="K1744" s="674"/>
      <c r="L1744" s="674"/>
      <c r="M1744" s="675"/>
    </row>
    <row r="1745" spans="4:13" x14ac:dyDescent="0.2">
      <c r="D1745" s="673"/>
      <c r="E1745" s="674"/>
      <c r="F1745" s="674"/>
      <c r="G1745" s="674"/>
      <c r="H1745" s="674"/>
      <c r="I1745" s="675"/>
      <c r="J1745" s="675"/>
      <c r="K1745" s="674"/>
      <c r="L1745" s="674"/>
      <c r="M1745" s="675"/>
    </row>
    <row r="1746" spans="4:13" x14ac:dyDescent="0.2">
      <c r="D1746" s="673"/>
      <c r="E1746" s="674"/>
      <c r="F1746" s="674"/>
      <c r="G1746" s="674"/>
      <c r="H1746" s="674"/>
      <c r="I1746" s="675"/>
      <c r="J1746" s="675"/>
      <c r="K1746" s="674"/>
      <c r="L1746" s="674"/>
      <c r="M1746" s="675"/>
    </row>
    <row r="1747" spans="4:13" x14ac:dyDescent="0.2">
      <c r="D1747" s="673"/>
      <c r="E1747" s="674"/>
      <c r="F1747" s="674"/>
      <c r="G1747" s="674"/>
      <c r="H1747" s="674"/>
      <c r="I1747" s="675"/>
      <c r="J1747" s="675"/>
      <c r="K1747" s="674"/>
      <c r="L1747" s="674"/>
      <c r="M1747" s="675"/>
    </row>
    <row r="1748" spans="4:13" x14ac:dyDescent="0.2">
      <c r="D1748" s="673"/>
      <c r="E1748" s="674"/>
      <c r="F1748" s="674"/>
      <c r="G1748" s="674"/>
      <c r="H1748" s="674"/>
      <c r="I1748" s="675"/>
      <c r="J1748" s="675"/>
      <c r="K1748" s="674"/>
      <c r="L1748" s="674"/>
      <c r="M1748" s="675"/>
    </row>
    <row r="1749" spans="4:13" x14ac:dyDescent="0.2">
      <c r="D1749" s="673"/>
      <c r="E1749" s="674"/>
      <c r="F1749" s="674"/>
      <c r="G1749" s="674"/>
      <c r="H1749" s="674"/>
      <c r="I1749" s="675"/>
      <c r="J1749" s="675"/>
      <c r="K1749" s="674"/>
      <c r="L1749" s="674"/>
      <c r="M1749" s="675"/>
    </row>
    <row r="1750" spans="4:13" x14ac:dyDescent="0.2">
      <c r="D1750" s="673"/>
      <c r="E1750" s="674"/>
      <c r="F1750" s="674"/>
      <c r="G1750" s="674"/>
      <c r="H1750" s="674"/>
      <c r="I1750" s="675"/>
      <c r="J1750" s="675"/>
      <c r="K1750" s="674"/>
      <c r="L1750" s="674"/>
      <c r="M1750" s="675"/>
    </row>
    <row r="1751" spans="4:13" x14ac:dyDescent="0.2">
      <c r="D1751" s="673"/>
      <c r="E1751" s="674"/>
      <c r="F1751" s="674"/>
      <c r="G1751" s="674"/>
      <c r="H1751" s="674"/>
      <c r="I1751" s="675"/>
      <c r="J1751" s="675"/>
      <c r="K1751" s="674"/>
      <c r="L1751" s="674"/>
      <c r="M1751" s="675"/>
    </row>
    <row r="1752" spans="4:13" x14ac:dyDescent="0.2">
      <c r="D1752" s="673"/>
      <c r="E1752" s="674"/>
      <c r="F1752" s="674"/>
      <c r="G1752" s="674"/>
      <c r="H1752" s="674"/>
      <c r="I1752" s="675"/>
      <c r="J1752" s="675"/>
      <c r="K1752" s="674"/>
      <c r="L1752" s="674"/>
      <c r="M1752" s="675"/>
    </row>
    <row r="1753" spans="4:13" x14ac:dyDescent="0.2">
      <c r="D1753" s="673"/>
      <c r="E1753" s="674"/>
      <c r="F1753" s="674"/>
      <c r="G1753" s="674"/>
      <c r="H1753" s="674"/>
      <c r="I1753" s="675"/>
      <c r="J1753" s="675"/>
      <c r="K1753" s="674"/>
      <c r="L1753" s="674"/>
      <c r="M1753" s="675"/>
    </row>
    <row r="1754" spans="4:13" x14ac:dyDescent="0.2">
      <c r="D1754" s="673"/>
      <c r="E1754" s="674"/>
      <c r="F1754" s="674"/>
      <c r="G1754" s="674"/>
      <c r="H1754" s="674"/>
      <c r="I1754" s="675"/>
      <c r="J1754" s="675"/>
      <c r="K1754" s="674"/>
      <c r="L1754" s="674"/>
      <c r="M1754" s="675"/>
    </row>
    <row r="1755" spans="4:13" x14ac:dyDescent="0.2">
      <c r="D1755" s="673"/>
      <c r="E1755" s="674"/>
      <c r="F1755" s="674"/>
      <c r="G1755" s="674"/>
      <c r="H1755" s="674"/>
      <c r="I1755" s="675"/>
      <c r="J1755" s="675"/>
      <c r="K1755" s="674"/>
      <c r="L1755" s="674"/>
      <c r="M1755" s="675"/>
    </row>
    <row r="1756" spans="4:13" x14ac:dyDescent="0.2">
      <c r="D1756" s="673"/>
      <c r="E1756" s="674"/>
      <c r="F1756" s="674"/>
      <c r="G1756" s="674"/>
      <c r="H1756" s="674"/>
      <c r="I1756" s="675"/>
      <c r="J1756" s="675"/>
      <c r="K1756" s="674"/>
      <c r="L1756" s="674"/>
      <c r="M1756" s="675"/>
    </row>
    <row r="1757" spans="4:13" x14ac:dyDescent="0.2">
      <c r="D1757" s="673"/>
      <c r="E1757" s="674"/>
      <c r="F1757" s="674"/>
      <c r="G1757" s="674"/>
      <c r="H1757" s="674"/>
      <c r="I1757" s="675"/>
      <c r="J1757" s="675"/>
      <c r="K1757" s="674"/>
      <c r="L1757" s="674"/>
      <c r="M1757" s="675"/>
    </row>
    <row r="1758" spans="4:13" x14ac:dyDescent="0.2">
      <c r="D1758" s="673"/>
      <c r="E1758" s="674"/>
      <c r="F1758" s="674"/>
      <c r="G1758" s="674"/>
      <c r="H1758" s="674"/>
      <c r="I1758" s="675"/>
      <c r="J1758" s="675"/>
      <c r="K1758" s="674"/>
      <c r="L1758" s="674"/>
      <c r="M1758" s="675"/>
    </row>
    <row r="1759" spans="4:13" x14ac:dyDescent="0.2">
      <c r="D1759" s="673"/>
      <c r="E1759" s="674"/>
      <c r="F1759" s="674"/>
      <c r="G1759" s="674"/>
      <c r="H1759" s="674"/>
      <c r="I1759" s="675"/>
      <c r="J1759" s="675"/>
      <c r="K1759" s="674"/>
      <c r="L1759" s="674"/>
      <c r="M1759" s="675"/>
    </row>
    <row r="1760" spans="4:13" x14ac:dyDescent="0.2">
      <c r="D1760" s="673"/>
      <c r="E1760" s="674"/>
      <c r="F1760" s="674"/>
      <c r="G1760" s="674"/>
      <c r="H1760" s="674"/>
      <c r="I1760" s="675"/>
      <c r="J1760" s="675"/>
      <c r="K1760" s="674"/>
      <c r="L1760" s="674"/>
      <c r="M1760" s="675"/>
    </row>
    <row r="1761" spans="4:13" x14ac:dyDescent="0.2">
      <c r="D1761" s="673"/>
      <c r="E1761" s="674"/>
      <c r="F1761" s="674"/>
      <c r="G1761" s="674"/>
      <c r="H1761" s="674"/>
      <c r="I1761" s="675"/>
      <c r="J1761" s="675"/>
      <c r="K1761" s="674"/>
      <c r="L1761" s="674"/>
      <c r="M1761" s="675"/>
    </row>
    <row r="1762" spans="4:13" x14ac:dyDescent="0.2">
      <c r="D1762" s="673"/>
      <c r="E1762" s="674"/>
      <c r="F1762" s="674"/>
      <c r="G1762" s="674"/>
      <c r="H1762" s="674"/>
      <c r="I1762" s="675"/>
      <c r="J1762" s="675"/>
      <c r="K1762" s="674"/>
      <c r="L1762" s="674"/>
      <c r="M1762" s="675"/>
    </row>
    <row r="1763" spans="4:13" x14ac:dyDescent="0.2">
      <c r="D1763" s="673"/>
      <c r="E1763" s="674"/>
      <c r="F1763" s="674"/>
      <c r="G1763" s="674"/>
      <c r="H1763" s="674"/>
      <c r="I1763" s="675"/>
      <c r="J1763" s="675"/>
      <c r="K1763" s="674"/>
      <c r="L1763" s="674"/>
      <c r="M1763" s="675"/>
    </row>
    <row r="1764" spans="4:13" x14ac:dyDescent="0.2">
      <c r="D1764" s="673"/>
      <c r="E1764" s="674"/>
      <c r="F1764" s="674"/>
      <c r="G1764" s="674"/>
      <c r="H1764" s="674"/>
      <c r="I1764" s="675"/>
      <c r="J1764" s="675"/>
      <c r="K1764" s="674"/>
      <c r="L1764" s="674"/>
      <c r="M1764" s="675"/>
    </row>
    <row r="1765" spans="4:13" x14ac:dyDescent="0.2">
      <c r="D1765" s="673"/>
      <c r="E1765" s="674"/>
      <c r="F1765" s="674"/>
      <c r="G1765" s="674"/>
      <c r="H1765" s="674"/>
      <c r="I1765" s="675"/>
      <c r="J1765" s="675"/>
      <c r="K1765" s="674"/>
      <c r="L1765" s="674"/>
      <c r="M1765" s="675"/>
    </row>
    <row r="1766" spans="4:13" x14ac:dyDescent="0.2">
      <c r="D1766" s="673"/>
      <c r="E1766" s="674"/>
      <c r="F1766" s="674"/>
      <c r="G1766" s="674"/>
      <c r="H1766" s="674"/>
      <c r="I1766" s="675"/>
      <c r="J1766" s="675"/>
      <c r="K1766" s="674"/>
      <c r="L1766" s="674"/>
      <c r="M1766" s="675"/>
    </row>
    <row r="1767" spans="4:13" x14ac:dyDescent="0.2">
      <c r="D1767" s="673"/>
      <c r="E1767" s="674"/>
      <c r="F1767" s="674"/>
      <c r="G1767" s="674"/>
      <c r="H1767" s="674"/>
      <c r="I1767" s="675"/>
      <c r="J1767" s="675"/>
      <c r="K1767" s="674"/>
      <c r="L1767" s="674"/>
      <c r="M1767" s="675"/>
    </row>
    <row r="1768" spans="4:13" x14ac:dyDescent="0.2">
      <c r="D1768" s="673"/>
      <c r="E1768" s="674"/>
      <c r="F1768" s="674"/>
      <c r="G1768" s="674"/>
      <c r="H1768" s="674"/>
      <c r="I1768" s="675"/>
      <c r="J1768" s="675"/>
      <c r="K1768" s="674"/>
      <c r="L1768" s="674"/>
      <c r="M1768" s="675"/>
    </row>
    <row r="1769" spans="4:13" x14ac:dyDescent="0.2">
      <c r="D1769" s="673"/>
      <c r="E1769" s="674"/>
      <c r="F1769" s="674"/>
      <c r="G1769" s="674"/>
      <c r="H1769" s="674"/>
      <c r="I1769" s="675"/>
      <c r="J1769" s="675"/>
      <c r="K1769" s="674"/>
      <c r="L1769" s="674"/>
      <c r="M1769" s="675"/>
    </row>
    <row r="1770" spans="4:13" x14ac:dyDescent="0.2">
      <c r="D1770" s="673"/>
      <c r="E1770" s="674"/>
      <c r="F1770" s="674"/>
      <c r="G1770" s="674"/>
      <c r="H1770" s="674"/>
      <c r="I1770" s="675"/>
      <c r="J1770" s="675"/>
      <c r="K1770" s="674"/>
      <c r="L1770" s="674"/>
      <c r="M1770" s="675"/>
    </row>
    <row r="1771" spans="4:13" x14ac:dyDescent="0.2">
      <c r="D1771" s="673"/>
      <c r="E1771" s="674"/>
      <c r="F1771" s="674"/>
      <c r="G1771" s="674"/>
      <c r="H1771" s="674"/>
      <c r="I1771" s="675"/>
      <c r="J1771" s="675"/>
      <c r="K1771" s="674"/>
      <c r="L1771" s="674"/>
      <c r="M1771" s="675"/>
    </row>
    <row r="1772" spans="4:13" x14ac:dyDescent="0.2">
      <c r="D1772" s="673"/>
      <c r="E1772" s="674"/>
      <c r="F1772" s="674"/>
      <c r="G1772" s="674"/>
      <c r="H1772" s="674"/>
      <c r="I1772" s="675"/>
      <c r="J1772" s="675"/>
      <c r="K1772" s="674"/>
      <c r="L1772" s="674"/>
      <c r="M1772" s="675"/>
    </row>
    <row r="1773" spans="4:13" x14ac:dyDescent="0.2">
      <c r="D1773" s="673"/>
      <c r="E1773" s="674"/>
      <c r="F1773" s="674"/>
      <c r="G1773" s="674"/>
      <c r="H1773" s="674"/>
      <c r="I1773" s="675"/>
      <c r="J1773" s="675"/>
      <c r="K1773" s="674"/>
      <c r="L1773" s="674"/>
      <c r="M1773" s="675"/>
    </row>
    <row r="1774" spans="4:13" x14ac:dyDescent="0.2">
      <c r="D1774" s="673"/>
      <c r="E1774" s="674"/>
      <c r="F1774" s="674"/>
      <c r="G1774" s="674"/>
      <c r="H1774" s="674"/>
      <c r="I1774" s="675"/>
      <c r="J1774" s="675"/>
      <c r="K1774" s="674"/>
      <c r="L1774" s="674"/>
      <c r="M1774" s="675"/>
    </row>
    <row r="1775" spans="4:13" x14ac:dyDescent="0.2">
      <c r="D1775" s="673"/>
      <c r="E1775" s="674"/>
      <c r="F1775" s="674"/>
      <c r="G1775" s="674"/>
      <c r="H1775" s="674"/>
      <c r="I1775" s="675"/>
      <c r="J1775" s="675"/>
      <c r="K1775" s="674"/>
      <c r="L1775" s="674"/>
      <c r="M1775" s="675"/>
    </row>
    <row r="1776" spans="4:13" x14ac:dyDescent="0.2">
      <c r="D1776" s="673"/>
      <c r="E1776" s="674"/>
      <c r="F1776" s="674"/>
      <c r="G1776" s="674"/>
      <c r="H1776" s="674"/>
      <c r="I1776" s="675"/>
      <c r="J1776" s="675"/>
      <c r="K1776" s="674"/>
      <c r="L1776" s="674"/>
      <c r="M1776" s="675"/>
    </row>
    <row r="1777" spans="4:13" x14ac:dyDescent="0.2">
      <c r="D1777" s="673"/>
      <c r="E1777" s="674"/>
      <c r="F1777" s="674"/>
      <c r="G1777" s="674"/>
      <c r="H1777" s="674"/>
      <c r="I1777" s="675"/>
      <c r="J1777" s="675"/>
      <c r="K1777" s="674"/>
      <c r="L1777" s="674"/>
      <c r="M1777" s="675"/>
    </row>
    <row r="1778" spans="4:13" x14ac:dyDescent="0.2">
      <c r="D1778" s="673"/>
      <c r="E1778" s="674"/>
      <c r="F1778" s="674"/>
      <c r="G1778" s="674"/>
      <c r="H1778" s="674"/>
      <c r="I1778" s="675"/>
      <c r="J1778" s="675"/>
      <c r="K1778" s="674"/>
      <c r="L1778" s="674"/>
      <c r="M1778" s="675"/>
    </row>
    <row r="1779" spans="4:13" x14ac:dyDescent="0.2">
      <c r="D1779" s="673"/>
      <c r="E1779" s="674"/>
      <c r="F1779" s="674"/>
      <c r="G1779" s="674"/>
      <c r="H1779" s="674"/>
      <c r="I1779" s="675"/>
      <c r="J1779" s="675"/>
      <c r="K1779" s="674"/>
      <c r="L1779" s="674"/>
      <c r="M1779" s="675"/>
    </row>
    <row r="1780" spans="4:13" x14ac:dyDescent="0.2">
      <c r="D1780" s="673"/>
      <c r="E1780" s="674"/>
      <c r="F1780" s="674"/>
      <c r="G1780" s="674"/>
      <c r="H1780" s="674"/>
      <c r="I1780" s="675"/>
      <c r="J1780" s="675"/>
      <c r="K1780" s="674"/>
      <c r="L1780" s="674"/>
      <c r="M1780" s="675"/>
    </row>
    <row r="1781" spans="4:13" x14ac:dyDescent="0.2">
      <c r="D1781" s="673"/>
      <c r="E1781" s="674"/>
      <c r="F1781" s="674"/>
      <c r="G1781" s="674"/>
      <c r="H1781" s="674"/>
      <c r="I1781" s="675"/>
      <c r="J1781" s="675"/>
      <c r="K1781" s="674"/>
      <c r="L1781" s="674"/>
      <c r="M1781" s="675"/>
    </row>
    <row r="1782" spans="4:13" x14ac:dyDescent="0.2">
      <c r="D1782" s="673"/>
      <c r="E1782" s="674"/>
      <c r="F1782" s="674"/>
      <c r="G1782" s="674"/>
      <c r="H1782" s="674"/>
      <c r="I1782" s="675"/>
      <c r="J1782" s="675"/>
      <c r="K1782" s="674"/>
      <c r="L1782" s="674"/>
      <c r="M1782" s="675"/>
    </row>
    <row r="1783" spans="4:13" x14ac:dyDescent="0.2">
      <c r="D1783" s="673"/>
      <c r="E1783" s="674"/>
      <c r="F1783" s="674"/>
      <c r="G1783" s="674"/>
      <c r="H1783" s="674"/>
      <c r="I1783" s="675"/>
      <c r="J1783" s="675"/>
      <c r="K1783" s="674"/>
      <c r="L1783" s="674"/>
      <c r="M1783" s="675"/>
    </row>
    <row r="1784" spans="4:13" x14ac:dyDescent="0.2">
      <c r="D1784" s="673"/>
      <c r="E1784" s="674"/>
      <c r="F1784" s="674"/>
      <c r="G1784" s="674"/>
      <c r="H1784" s="674"/>
      <c r="I1784" s="675"/>
      <c r="J1784" s="675"/>
      <c r="K1784" s="674"/>
      <c r="L1784" s="674"/>
      <c r="M1784" s="675"/>
    </row>
    <row r="1785" spans="4:13" x14ac:dyDescent="0.2">
      <c r="D1785" s="673"/>
      <c r="E1785" s="674"/>
      <c r="F1785" s="674"/>
      <c r="G1785" s="674"/>
      <c r="H1785" s="674"/>
      <c r="I1785" s="675"/>
      <c r="J1785" s="675"/>
      <c r="K1785" s="674"/>
      <c r="L1785" s="674"/>
      <c r="M1785" s="675"/>
    </row>
    <row r="1786" spans="4:13" x14ac:dyDescent="0.2">
      <c r="D1786" s="673"/>
      <c r="E1786" s="674"/>
      <c r="F1786" s="674"/>
      <c r="G1786" s="674"/>
      <c r="H1786" s="674"/>
      <c r="I1786" s="675"/>
      <c r="J1786" s="675"/>
      <c r="K1786" s="674"/>
      <c r="L1786" s="674"/>
      <c r="M1786" s="675"/>
    </row>
    <row r="1787" spans="4:13" x14ac:dyDescent="0.2">
      <c r="D1787" s="673"/>
      <c r="E1787" s="674"/>
      <c r="F1787" s="674"/>
      <c r="G1787" s="674"/>
      <c r="H1787" s="674"/>
      <c r="I1787" s="675"/>
      <c r="J1787" s="675"/>
      <c r="K1787" s="674"/>
      <c r="L1787" s="674"/>
      <c r="M1787" s="675"/>
    </row>
    <row r="1788" spans="4:13" x14ac:dyDescent="0.2">
      <c r="D1788" s="673"/>
      <c r="E1788" s="674"/>
      <c r="F1788" s="674"/>
      <c r="G1788" s="674"/>
      <c r="H1788" s="674"/>
      <c r="I1788" s="675"/>
      <c r="J1788" s="675"/>
      <c r="K1788" s="674"/>
      <c r="L1788" s="674"/>
      <c r="M1788" s="675"/>
    </row>
    <row r="1789" spans="4:13" x14ac:dyDescent="0.2">
      <c r="D1789" s="673"/>
      <c r="E1789" s="674"/>
      <c r="F1789" s="674"/>
      <c r="G1789" s="674"/>
      <c r="H1789" s="674"/>
      <c r="I1789" s="675"/>
      <c r="J1789" s="675"/>
      <c r="K1789" s="674"/>
      <c r="L1789" s="674"/>
      <c r="M1789" s="675"/>
    </row>
    <row r="1790" spans="4:13" x14ac:dyDescent="0.2">
      <c r="D1790" s="673"/>
      <c r="E1790" s="674"/>
      <c r="F1790" s="674"/>
      <c r="G1790" s="674"/>
      <c r="H1790" s="674"/>
      <c r="I1790" s="675"/>
      <c r="J1790" s="675"/>
      <c r="K1790" s="674"/>
      <c r="L1790" s="674"/>
      <c r="M1790" s="675"/>
    </row>
    <row r="1791" spans="4:13" x14ac:dyDescent="0.2">
      <c r="D1791" s="673"/>
      <c r="E1791" s="674"/>
      <c r="F1791" s="674"/>
      <c r="G1791" s="674"/>
      <c r="H1791" s="674"/>
      <c r="I1791" s="675"/>
      <c r="J1791" s="675"/>
      <c r="K1791" s="674"/>
      <c r="L1791" s="674"/>
      <c r="M1791" s="675"/>
    </row>
    <row r="1792" spans="4:13" x14ac:dyDescent="0.2">
      <c r="D1792" s="673"/>
      <c r="E1792" s="674"/>
      <c r="F1792" s="674"/>
      <c r="G1792" s="674"/>
      <c r="H1792" s="674"/>
      <c r="I1792" s="675"/>
      <c r="J1792" s="675"/>
      <c r="K1792" s="674"/>
      <c r="L1792" s="674"/>
      <c r="M1792" s="675"/>
    </row>
    <row r="1793" spans="4:13" x14ac:dyDescent="0.2">
      <c r="D1793" s="673"/>
      <c r="E1793" s="674"/>
      <c r="F1793" s="674"/>
      <c r="G1793" s="674"/>
      <c r="H1793" s="674"/>
      <c r="I1793" s="675"/>
      <c r="J1793" s="675"/>
      <c r="K1793" s="674"/>
      <c r="L1793" s="674"/>
      <c r="M1793" s="675"/>
    </row>
    <row r="1794" spans="4:13" x14ac:dyDescent="0.2">
      <c r="D1794" s="673"/>
      <c r="E1794" s="674"/>
      <c r="F1794" s="674"/>
      <c r="G1794" s="674"/>
      <c r="H1794" s="674"/>
      <c r="I1794" s="675"/>
      <c r="J1794" s="675"/>
      <c r="K1794" s="674"/>
      <c r="L1794" s="674"/>
      <c r="M1794" s="675"/>
    </row>
    <row r="1795" spans="4:13" x14ac:dyDescent="0.2">
      <c r="D1795" s="673"/>
      <c r="E1795" s="674"/>
      <c r="F1795" s="674"/>
      <c r="G1795" s="674"/>
      <c r="H1795" s="674"/>
      <c r="I1795" s="675"/>
      <c r="J1795" s="675"/>
      <c r="K1795" s="674"/>
      <c r="L1795" s="674"/>
      <c r="M1795" s="675"/>
    </row>
    <row r="1796" spans="4:13" x14ac:dyDescent="0.2">
      <c r="D1796" s="673"/>
      <c r="E1796" s="674"/>
      <c r="F1796" s="674"/>
      <c r="G1796" s="674"/>
      <c r="H1796" s="674"/>
      <c r="I1796" s="675"/>
      <c r="J1796" s="675"/>
      <c r="K1796" s="674"/>
      <c r="L1796" s="674"/>
      <c r="M1796" s="675"/>
    </row>
    <row r="1797" spans="4:13" x14ac:dyDescent="0.2">
      <c r="D1797" s="673"/>
      <c r="E1797" s="674"/>
      <c r="F1797" s="674"/>
      <c r="G1797" s="674"/>
      <c r="H1797" s="674"/>
      <c r="I1797" s="675"/>
      <c r="J1797" s="675"/>
      <c r="K1797" s="674"/>
      <c r="L1797" s="674"/>
      <c r="M1797" s="675"/>
    </row>
    <row r="1798" spans="4:13" x14ac:dyDescent="0.2">
      <c r="D1798" s="673"/>
      <c r="E1798" s="674"/>
      <c r="F1798" s="674"/>
      <c r="G1798" s="674"/>
      <c r="H1798" s="674"/>
      <c r="I1798" s="675"/>
      <c r="J1798" s="675"/>
      <c r="K1798" s="674"/>
      <c r="L1798" s="674"/>
      <c r="M1798" s="675"/>
    </row>
    <row r="1799" spans="4:13" x14ac:dyDescent="0.2">
      <c r="D1799" s="673"/>
      <c r="E1799" s="674"/>
      <c r="F1799" s="674"/>
      <c r="G1799" s="674"/>
      <c r="H1799" s="674"/>
      <c r="I1799" s="675"/>
      <c r="J1799" s="675"/>
      <c r="K1799" s="674"/>
      <c r="L1799" s="674"/>
      <c r="M1799" s="675"/>
    </row>
    <row r="1800" spans="4:13" x14ac:dyDescent="0.2">
      <c r="D1800" s="673"/>
      <c r="E1800" s="674"/>
      <c r="F1800" s="674"/>
      <c r="G1800" s="674"/>
      <c r="H1800" s="674"/>
      <c r="I1800" s="675"/>
      <c r="J1800" s="675"/>
      <c r="K1800" s="674"/>
      <c r="L1800" s="674"/>
      <c r="M1800" s="675"/>
    </row>
    <row r="1801" spans="4:13" x14ac:dyDescent="0.2">
      <c r="D1801" s="673"/>
      <c r="E1801" s="674"/>
      <c r="F1801" s="674"/>
      <c r="G1801" s="674"/>
      <c r="H1801" s="674"/>
      <c r="I1801" s="675"/>
      <c r="J1801" s="675"/>
      <c r="K1801" s="674"/>
      <c r="L1801" s="674"/>
      <c r="M1801" s="675"/>
    </row>
    <row r="1802" spans="4:13" x14ac:dyDescent="0.2">
      <c r="D1802" s="673"/>
      <c r="E1802" s="674"/>
      <c r="F1802" s="674"/>
      <c r="G1802" s="674"/>
      <c r="H1802" s="674"/>
      <c r="I1802" s="675"/>
      <c r="J1802" s="675"/>
      <c r="K1802" s="674"/>
      <c r="L1802" s="674"/>
      <c r="M1802" s="675"/>
    </row>
    <row r="1803" spans="4:13" x14ac:dyDescent="0.2">
      <c r="D1803" s="673"/>
      <c r="E1803" s="674"/>
      <c r="F1803" s="674"/>
      <c r="G1803" s="674"/>
      <c r="H1803" s="674"/>
      <c r="I1803" s="675"/>
      <c r="J1803" s="675"/>
      <c r="K1803" s="674"/>
      <c r="L1803" s="674"/>
      <c r="M1803" s="675"/>
    </row>
    <row r="1804" spans="4:13" x14ac:dyDescent="0.2">
      <c r="D1804" s="673"/>
      <c r="E1804" s="674"/>
      <c r="F1804" s="674"/>
      <c r="G1804" s="674"/>
      <c r="H1804" s="674"/>
      <c r="I1804" s="675"/>
      <c r="J1804" s="675"/>
      <c r="K1804" s="674"/>
      <c r="L1804" s="674"/>
      <c r="M1804" s="675"/>
    </row>
    <row r="1805" spans="4:13" x14ac:dyDescent="0.2">
      <c r="D1805" s="673"/>
      <c r="E1805" s="674"/>
      <c r="F1805" s="674"/>
      <c r="G1805" s="674"/>
      <c r="H1805" s="674"/>
      <c r="I1805" s="675"/>
      <c r="J1805" s="675"/>
      <c r="K1805" s="674"/>
      <c r="L1805" s="674"/>
      <c r="M1805" s="675"/>
    </row>
    <row r="1806" spans="4:13" x14ac:dyDescent="0.2">
      <c r="D1806" s="673"/>
      <c r="E1806" s="674"/>
      <c r="F1806" s="674"/>
      <c r="G1806" s="674"/>
      <c r="H1806" s="674"/>
      <c r="I1806" s="675"/>
      <c r="J1806" s="675"/>
      <c r="K1806" s="674"/>
      <c r="L1806" s="674"/>
      <c r="M1806" s="675"/>
    </row>
    <row r="1807" spans="4:13" x14ac:dyDescent="0.2">
      <c r="D1807" s="673"/>
      <c r="E1807" s="674"/>
      <c r="F1807" s="674"/>
      <c r="G1807" s="674"/>
      <c r="H1807" s="674"/>
      <c r="I1807" s="675"/>
      <c r="J1807" s="675"/>
      <c r="K1807" s="674"/>
      <c r="L1807" s="674"/>
      <c r="M1807" s="675"/>
    </row>
    <row r="1808" spans="4:13" x14ac:dyDescent="0.2">
      <c r="D1808" s="673"/>
      <c r="E1808" s="674"/>
      <c r="F1808" s="674"/>
      <c r="G1808" s="674"/>
      <c r="H1808" s="674"/>
      <c r="I1808" s="675"/>
      <c r="J1808" s="675"/>
      <c r="K1808" s="674"/>
      <c r="L1808" s="674"/>
      <c r="M1808" s="675"/>
    </row>
    <row r="1809" spans="4:13" x14ac:dyDescent="0.2">
      <c r="D1809" s="673"/>
      <c r="E1809" s="674"/>
      <c r="F1809" s="674"/>
      <c r="G1809" s="674"/>
      <c r="H1809" s="674"/>
      <c r="I1809" s="675"/>
      <c r="J1809" s="675"/>
      <c r="K1809" s="674"/>
      <c r="L1809" s="674"/>
      <c r="M1809" s="675"/>
    </row>
    <row r="1810" spans="4:13" x14ac:dyDescent="0.2">
      <c r="D1810" s="673"/>
      <c r="E1810" s="674"/>
      <c r="F1810" s="674"/>
      <c r="G1810" s="674"/>
      <c r="H1810" s="674"/>
      <c r="I1810" s="675"/>
      <c r="J1810" s="675"/>
      <c r="K1810" s="674"/>
      <c r="L1810" s="674"/>
      <c r="M1810" s="675"/>
    </row>
    <row r="1811" spans="4:13" x14ac:dyDescent="0.2">
      <c r="D1811" s="673"/>
      <c r="E1811" s="674"/>
      <c r="F1811" s="674"/>
      <c r="G1811" s="674"/>
      <c r="H1811" s="674"/>
      <c r="I1811" s="675"/>
      <c r="J1811" s="675"/>
      <c r="K1811" s="674"/>
      <c r="L1811" s="674"/>
      <c r="M1811" s="675"/>
    </row>
    <row r="1812" spans="4:13" x14ac:dyDescent="0.2">
      <c r="D1812" s="673"/>
      <c r="E1812" s="674"/>
      <c r="F1812" s="674"/>
      <c r="G1812" s="674"/>
      <c r="H1812" s="674"/>
      <c r="I1812" s="675"/>
      <c r="J1812" s="675"/>
      <c r="K1812" s="674"/>
      <c r="L1812" s="674"/>
      <c r="M1812" s="675"/>
    </row>
    <row r="1813" spans="4:13" x14ac:dyDescent="0.2">
      <c r="D1813" s="673"/>
      <c r="E1813" s="674"/>
      <c r="F1813" s="674"/>
      <c r="G1813" s="674"/>
      <c r="H1813" s="674"/>
      <c r="I1813" s="675"/>
      <c r="J1813" s="675"/>
      <c r="K1813" s="674"/>
      <c r="L1813" s="674"/>
      <c r="M1813" s="675"/>
    </row>
    <row r="1814" spans="4:13" x14ac:dyDescent="0.2">
      <c r="D1814" s="673"/>
      <c r="E1814" s="674"/>
      <c r="F1814" s="674"/>
      <c r="G1814" s="674"/>
      <c r="H1814" s="674"/>
      <c r="I1814" s="675"/>
      <c r="J1814" s="675"/>
      <c r="K1814" s="674"/>
      <c r="L1814" s="674"/>
      <c r="M1814" s="675"/>
    </row>
    <row r="1815" spans="4:13" x14ac:dyDescent="0.2">
      <c r="D1815" s="673"/>
      <c r="E1815" s="674"/>
      <c r="F1815" s="674"/>
      <c r="G1815" s="674"/>
      <c r="H1815" s="674"/>
      <c r="I1815" s="675"/>
      <c r="J1815" s="675"/>
      <c r="K1815" s="674"/>
      <c r="L1815" s="674"/>
      <c r="M1815" s="675"/>
    </row>
    <row r="1816" spans="4:13" x14ac:dyDescent="0.2">
      <c r="D1816" s="673"/>
      <c r="E1816" s="674"/>
      <c r="F1816" s="674"/>
      <c r="G1816" s="674"/>
      <c r="H1816" s="674"/>
      <c r="I1816" s="675"/>
      <c r="J1816" s="675"/>
      <c r="K1816" s="674"/>
      <c r="L1816" s="674"/>
      <c r="M1816" s="675"/>
    </row>
    <row r="1817" spans="4:13" x14ac:dyDescent="0.2">
      <c r="D1817" s="673"/>
      <c r="E1817" s="674"/>
      <c r="F1817" s="674"/>
      <c r="G1817" s="674"/>
      <c r="H1817" s="674"/>
      <c r="I1817" s="675"/>
      <c r="J1817" s="675"/>
      <c r="K1817" s="674"/>
      <c r="L1817" s="674"/>
      <c r="M1817" s="675"/>
    </row>
    <row r="1818" spans="4:13" x14ac:dyDescent="0.2">
      <c r="D1818" s="673"/>
      <c r="E1818" s="674"/>
      <c r="F1818" s="674"/>
      <c r="G1818" s="674"/>
      <c r="H1818" s="674"/>
      <c r="I1818" s="675"/>
      <c r="J1818" s="675"/>
      <c r="K1818" s="674"/>
      <c r="L1818" s="674"/>
      <c r="M1818" s="675"/>
    </row>
    <row r="1819" spans="4:13" x14ac:dyDescent="0.2">
      <c r="D1819" s="673"/>
      <c r="E1819" s="674"/>
      <c r="F1819" s="674"/>
      <c r="G1819" s="674"/>
      <c r="H1819" s="674"/>
      <c r="I1819" s="675"/>
      <c r="J1819" s="675"/>
      <c r="K1819" s="674"/>
      <c r="L1819" s="674"/>
      <c r="M1819" s="675"/>
    </row>
    <row r="1820" spans="4:13" x14ac:dyDescent="0.2">
      <c r="D1820" s="673"/>
      <c r="E1820" s="674"/>
      <c r="F1820" s="674"/>
      <c r="G1820" s="674"/>
      <c r="H1820" s="674"/>
      <c r="I1820" s="675"/>
      <c r="J1820" s="675"/>
      <c r="K1820" s="674"/>
      <c r="L1820" s="674"/>
      <c r="M1820" s="675"/>
    </row>
    <row r="1821" spans="4:13" x14ac:dyDescent="0.2">
      <c r="D1821" s="673"/>
      <c r="E1821" s="674"/>
      <c r="F1821" s="674"/>
      <c r="G1821" s="674"/>
      <c r="H1821" s="674"/>
      <c r="I1821" s="675"/>
      <c r="J1821" s="675"/>
      <c r="K1821" s="674"/>
      <c r="L1821" s="674"/>
      <c r="M1821" s="675"/>
    </row>
    <row r="1822" spans="4:13" x14ac:dyDescent="0.2">
      <c r="D1822" s="673"/>
      <c r="E1822" s="674"/>
      <c r="F1822" s="674"/>
      <c r="G1822" s="674"/>
      <c r="H1822" s="674"/>
      <c r="I1822" s="675"/>
      <c r="J1822" s="675"/>
      <c r="K1822" s="674"/>
      <c r="L1822" s="674"/>
      <c r="M1822" s="675"/>
    </row>
    <row r="1823" spans="4:13" x14ac:dyDescent="0.2">
      <c r="D1823" s="673"/>
      <c r="E1823" s="674"/>
      <c r="F1823" s="674"/>
      <c r="G1823" s="674"/>
      <c r="H1823" s="674"/>
      <c r="I1823" s="675"/>
      <c r="J1823" s="675"/>
      <c r="K1823" s="674"/>
      <c r="L1823" s="674"/>
      <c r="M1823" s="675"/>
    </row>
    <row r="1824" spans="4:13" x14ac:dyDescent="0.2">
      <c r="D1824" s="673"/>
      <c r="E1824" s="674"/>
      <c r="F1824" s="674"/>
      <c r="G1824" s="674"/>
      <c r="H1824" s="674"/>
      <c r="I1824" s="675"/>
      <c r="J1824" s="675"/>
      <c r="K1824" s="674"/>
      <c r="L1824" s="674"/>
      <c r="M1824" s="675"/>
    </row>
    <row r="1825" spans="4:13" x14ac:dyDescent="0.2">
      <c r="D1825" s="673"/>
      <c r="E1825" s="674"/>
      <c r="F1825" s="674"/>
      <c r="G1825" s="674"/>
      <c r="H1825" s="674"/>
      <c r="I1825" s="675"/>
      <c r="J1825" s="675"/>
      <c r="K1825" s="674"/>
      <c r="L1825" s="674"/>
      <c r="M1825" s="675"/>
    </row>
    <row r="1826" spans="4:13" x14ac:dyDescent="0.2">
      <c r="D1826" s="673"/>
      <c r="E1826" s="674"/>
      <c r="F1826" s="674"/>
      <c r="G1826" s="674"/>
      <c r="H1826" s="674"/>
      <c r="I1826" s="675"/>
      <c r="J1826" s="675"/>
      <c r="K1826" s="674"/>
      <c r="L1826" s="674"/>
      <c r="M1826" s="675"/>
    </row>
    <row r="1827" spans="4:13" x14ac:dyDescent="0.2">
      <c r="D1827" s="673"/>
      <c r="E1827" s="674"/>
      <c r="F1827" s="674"/>
      <c r="G1827" s="674"/>
      <c r="H1827" s="674"/>
      <c r="I1827" s="675"/>
      <c r="J1827" s="675"/>
      <c r="K1827" s="674"/>
      <c r="L1827" s="674"/>
      <c r="M1827" s="675"/>
    </row>
    <row r="1828" spans="4:13" x14ac:dyDescent="0.2">
      <c r="D1828" s="673"/>
      <c r="E1828" s="674"/>
      <c r="F1828" s="674"/>
      <c r="G1828" s="674"/>
      <c r="H1828" s="674"/>
      <c r="I1828" s="675"/>
      <c r="J1828" s="675"/>
      <c r="K1828" s="674"/>
      <c r="L1828" s="674"/>
      <c r="M1828" s="675"/>
    </row>
    <row r="1829" spans="4:13" x14ac:dyDescent="0.2">
      <c r="D1829" s="673"/>
      <c r="E1829" s="674"/>
      <c r="F1829" s="674"/>
      <c r="G1829" s="674"/>
      <c r="H1829" s="674"/>
      <c r="I1829" s="675"/>
      <c r="J1829" s="675"/>
      <c r="K1829" s="674"/>
      <c r="L1829" s="674"/>
      <c r="M1829" s="675"/>
    </row>
    <row r="1830" spans="4:13" x14ac:dyDescent="0.2">
      <c r="D1830" s="673"/>
      <c r="E1830" s="674"/>
      <c r="F1830" s="674"/>
      <c r="G1830" s="674"/>
      <c r="H1830" s="674"/>
      <c r="I1830" s="675"/>
      <c r="J1830" s="675"/>
      <c r="K1830" s="674"/>
      <c r="L1830" s="674"/>
      <c r="M1830" s="675"/>
    </row>
    <row r="1831" spans="4:13" x14ac:dyDescent="0.2">
      <c r="D1831" s="673"/>
      <c r="E1831" s="674"/>
      <c r="F1831" s="674"/>
      <c r="G1831" s="674"/>
      <c r="H1831" s="674"/>
      <c r="I1831" s="675"/>
      <c r="J1831" s="675"/>
      <c r="K1831" s="674"/>
      <c r="L1831" s="674"/>
      <c r="M1831" s="675"/>
    </row>
    <row r="1832" spans="4:13" x14ac:dyDescent="0.2">
      <c r="D1832" s="673"/>
      <c r="E1832" s="674"/>
      <c r="F1832" s="674"/>
      <c r="G1832" s="674"/>
      <c r="H1832" s="674"/>
      <c r="I1832" s="675"/>
      <c r="J1832" s="675"/>
      <c r="K1832" s="674"/>
      <c r="L1832" s="674"/>
      <c r="M1832" s="675"/>
    </row>
    <row r="1833" spans="4:13" x14ac:dyDescent="0.2">
      <c r="D1833" s="673"/>
      <c r="E1833" s="674"/>
      <c r="F1833" s="674"/>
      <c r="G1833" s="674"/>
      <c r="H1833" s="674"/>
      <c r="I1833" s="675"/>
      <c r="J1833" s="675"/>
      <c r="K1833" s="674"/>
      <c r="L1833" s="674"/>
      <c r="M1833" s="675"/>
    </row>
    <row r="1834" spans="4:13" x14ac:dyDescent="0.2">
      <c r="D1834" s="673"/>
      <c r="E1834" s="674"/>
      <c r="F1834" s="674"/>
      <c r="G1834" s="674"/>
      <c r="H1834" s="674"/>
      <c r="I1834" s="675"/>
      <c r="J1834" s="675"/>
      <c r="K1834" s="674"/>
      <c r="L1834" s="674"/>
      <c r="M1834" s="675"/>
    </row>
    <row r="1835" spans="4:13" x14ac:dyDescent="0.2">
      <c r="D1835" s="673"/>
      <c r="E1835" s="674"/>
      <c r="F1835" s="674"/>
      <c r="G1835" s="674"/>
      <c r="H1835" s="674"/>
      <c r="I1835" s="675"/>
      <c r="J1835" s="675"/>
      <c r="K1835" s="674"/>
      <c r="L1835" s="674"/>
      <c r="M1835" s="675"/>
    </row>
    <row r="1836" spans="4:13" x14ac:dyDescent="0.2">
      <c r="D1836" s="673"/>
      <c r="E1836" s="674"/>
      <c r="F1836" s="674"/>
      <c r="G1836" s="674"/>
      <c r="H1836" s="674"/>
      <c r="I1836" s="675"/>
      <c r="J1836" s="675"/>
      <c r="K1836" s="674"/>
      <c r="L1836" s="674"/>
      <c r="M1836" s="675"/>
    </row>
    <row r="1837" spans="4:13" x14ac:dyDescent="0.2">
      <c r="D1837" s="673"/>
      <c r="E1837" s="674"/>
      <c r="F1837" s="674"/>
      <c r="G1837" s="674"/>
      <c r="H1837" s="674"/>
      <c r="I1837" s="675"/>
      <c r="J1837" s="675"/>
      <c r="K1837" s="674"/>
      <c r="L1837" s="674"/>
      <c r="M1837" s="675"/>
    </row>
    <row r="1838" spans="4:13" x14ac:dyDescent="0.2">
      <c r="D1838" s="673"/>
      <c r="E1838" s="674"/>
      <c r="F1838" s="674"/>
      <c r="G1838" s="674"/>
      <c r="H1838" s="674"/>
      <c r="I1838" s="675"/>
      <c r="J1838" s="675"/>
      <c r="K1838" s="674"/>
      <c r="L1838" s="674"/>
      <c r="M1838" s="675"/>
    </row>
    <row r="1839" spans="4:13" x14ac:dyDescent="0.2">
      <c r="D1839" s="673"/>
      <c r="E1839" s="674"/>
      <c r="F1839" s="674"/>
      <c r="G1839" s="674"/>
      <c r="H1839" s="674"/>
      <c r="I1839" s="675"/>
      <c r="J1839" s="675"/>
      <c r="K1839" s="674"/>
      <c r="L1839" s="674"/>
      <c r="M1839" s="675"/>
    </row>
    <row r="1840" spans="4:13" x14ac:dyDescent="0.2">
      <c r="D1840" s="673"/>
      <c r="E1840" s="674"/>
      <c r="F1840" s="674"/>
      <c r="G1840" s="674"/>
      <c r="H1840" s="674"/>
      <c r="I1840" s="675"/>
      <c r="J1840" s="675"/>
      <c r="K1840" s="674"/>
      <c r="L1840" s="674"/>
      <c r="M1840" s="675"/>
    </row>
    <row r="1841" spans="4:13" x14ac:dyDescent="0.2">
      <c r="D1841" s="673"/>
      <c r="E1841" s="674"/>
      <c r="F1841" s="674"/>
      <c r="G1841" s="674"/>
      <c r="H1841" s="674"/>
      <c r="I1841" s="675"/>
      <c r="J1841" s="675"/>
      <c r="K1841" s="674"/>
      <c r="L1841" s="674"/>
      <c r="M1841" s="675"/>
    </row>
    <row r="1842" spans="4:13" x14ac:dyDescent="0.2">
      <c r="D1842" s="673"/>
      <c r="E1842" s="674"/>
      <c r="F1842" s="674"/>
      <c r="G1842" s="674"/>
      <c r="H1842" s="674"/>
      <c r="I1842" s="675"/>
      <c r="J1842" s="675"/>
      <c r="K1842" s="674"/>
      <c r="L1842" s="674"/>
      <c r="M1842" s="675"/>
    </row>
    <row r="1843" spans="4:13" x14ac:dyDescent="0.2">
      <c r="D1843" s="673"/>
      <c r="E1843" s="674"/>
      <c r="F1843" s="674"/>
      <c r="G1843" s="674"/>
      <c r="H1843" s="674"/>
      <c r="I1843" s="675"/>
      <c r="J1843" s="675"/>
      <c r="K1843" s="674"/>
      <c r="L1843" s="674"/>
      <c r="M1843" s="675"/>
    </row>
    <row r="1844" spans="4:13" x14ac:dyDescent="0.2">
      <c r="D1844" s="673"/>
      <c r="E1844" s="674"/>
      <c r="F1844" s="674"/>
      <c r="G1844" s="674"/>
      <c r="H1844" s="674"/>
      <c r="I1844" s="675"/>
      <c r="J1844" s="675"/>
      <c r="K1844" s="674"/>
      <c r="L1844" s="674"/>
      <c r="M1844" s="675"/>
    </row>
    <row r="1845" spans="4:13" x14ac:dyDescent="0.2">
      <c r="D1845" s="673"/>
      <c r="E1845" s="674"/>
      <c r="F1845" s="674"/>
      <c r="G1845" s="674"/>
      <c r="H1845" s="674"/>
      <c r="I1845" s="675"/>
      <c r="J1845" s="675"/>
      <c r="K1845" s="674"/>
      <c r="L1845" s="674"/>
      <c r="M1845" s="675"/>
    </row>
    <row r="1846" spans="4:13" x14ac:dyDescent="0.2">
      <c r="D1846" s="673"/>
      <c r="E1846" s="674"/>
      <c r="F1846" s="674"/>
      <c r="G1846" s="674"/>
      <c r="H1846" s="674"/>
      <c r="I1846" s="675"/>
      <c r="J1846" s="675"/>
      <c r="K1846" s="674"/>
      <c r="L1846" s="674"/>
      <c r="M1846" s="675"/>
    </row>
    <row r="1847" spans="4:13" x14ac:dyDescent="0.2">
      <c r="D1847" s="673"/>
      <c r="E1847" s="674"/>
      <c r="F1847" s="674"/>
      <c r="G1847" s="674"/>
      <c r="H1847" s="674"/>
      <c r="I1847" s="675"/>
      <c r="J1847" s="675"/>
      <c r="K1847" s="674"/>
      <c r="L1847" s="674"/>
      <c r="M1847" s="675"/>
    </row>
    <row r="1848" spans="4:13" x14ac:dyDescent="0.2">
      <c r="D1848" s="673"/>
      <c r="E1848" s="674"/>
      <c r="F1848" s="674"/>
      <c r="G1848" s="674"/>
      <c r="H1848" s="674"/>
      <c r="I1848" s="675"/>
      <c r="J1848" s="675"/>
      <c r="K1848" s="674"/>
      <c r="L1848" s="674"/>
      <c r="M1848" s="675"/>
    </row>
    <row r="1849" spans="4:13" x14ac:dyDescent="0.2">
      <c r="D1849" s="673"/>
      <c r="E1849" s="674"/>
      <c r="F1849" s="674"/>
      <c r="G1849" s="674"/>
      <c r="H1849" s="674"/>
      <c r="I1849" s="675"/>
      <c r="J1849" s="675"/>
      <c r="K1849" s="674"/>
      <c r="L1849" s="674"/>
      <c r="M1849" s="675"/>
    </row>
    <row r="1850" spans="4:13" x14ac:dyDescent="0.2">
      <c r="D1850" s="673"/>
      <c r="E1850" s="674"/>
      <c r="F1850" s="674"/>
      <c r="G1850" s="674"/>
      <c r="H1850" s="674"/>
      <c r="I1850" s="675"/>
      <c r="J1850" s="675"/>
      <c r="K1850" s="674"/>
      <c r="L1850" s="674"/>
      <c r="M1850" s="675"/>
    </row>
    <row r="1851" spans="4:13" x14ac:dyDescent="0.2">
      <c r="D1851" s="673"/>
      <c r="E1851" s="674"/>
      <c r="F1851" s="674"/>
      <c r="G1851" s="674"/>
      <c r="H1851" s="674"/>
      <c r="I1851" s="675"/>
      <c r="J1851" s="675"/>
      <c r="K1851" s="674"/>
      <c r="L1851" s="674"/>
      <c r="M1851" s="675"/>
    </row>
    <row r="1852" spans="4:13" x14ac:dyDescent="0.2">
      <c r="D1852" s="673"/>
      <c r="E1852" s="674"/>
      <c r="F1852" s="674"/>
      <c r="G1852" s="674"/>
      <c r="H1852" s="674"/>
      <c r="I1852" s="675"/>
      <c r="J1852" s="675"/>
      <c r="K1852" s="674"/>
      <c r="L1852" s="674"/>
      <c r="M1852" s="675"/>
    </row>
    <row r="1853" spans="4:13" x14ac:dyDescent="0.2">
      <c r="D1853" s="673"/>
      <c r="E1853" s="674"/>
      <c r="F1853" s="674"/>
      <c r="G1853" s="674"/>
      <c r="H1853" s="674"/>
      <c r="I1853" s="675"/>
      <c r="J1853" s="675"/>
      <c r="K1853" s="674"/>
      <c r="L1853" s="674"/>
      <c r="M1853" s="675"/>
    </row>
    <row r="1854" spans="4:13" x14ac:dyDescent="0.2">
      <c r="D1854" s="673"/>
      <c r="E1854" s="674"/>
      <c r="F1854" s="674"/>
      <c r="G1854" s="674"/>
      <c r="H1854" s="674"/>
      <c r="I1854" s="675"/>
      <c r="J1854" s="675"/>
      <c r="K1854" s="674"/>
      <c r="L1854" s="674"/>
      <c r="M1854" s="675"/>
    </row>
    <row r="1855" spans="4:13" x14ac:dyDescent="0.2">
      <c r="D1855" s="673"/>
      <c r="E1855" s="674"/>
      <c r="F1855" s="674"/>
      <c r="G1855" s="674"/>
      <c r="H1855" s="674"/>
      <c r="I1855" s="675"/>
      <c r="J1855" s="675"/>
      <c r="K1855" s="674"/>
      <c r="L1855" s="674"/>
      <c r="M1855" s="675"/>
    </row>
    <row r="1856" spans="4:13" x14ac:dyDescent="0.2">
      <c r="D1856" s="673"/>
      <c r="E1856" s="674"/>
      <c r="F1856" s="674"/>
      <c r="G1856" s="674"/>
      <c r="H1856" s="674"/>
      <c r="I1856" s="675"/>
      <c r="J1856" s="675"/>
      <c r="K1856" s="674"/>
      <c r="L1856" s="674"/>
      <c r="M1856" s="675"/>
    </row>
    <row r="1857" spans="4:13" x14ac:dyDescent="0.2">
      <c r="D1857" s="673"/>
      <c r="E1857" s="674"/>
      <c r="F1857" s="674"/>
      <c r="G1857" s="674"/>
      <c r="H1857" s="674"/>
      <c r="I1857" s="675"/>
      <c r="J1857" s="675"/>
      <c r="K1857" s="674"/>
      <c r="L1857" s="674"/>
      <c r="M1857" s="675"/>
    </row>
    <row r="1858" spans="4:13" x14ac:dyDescent="0.2">
      <c r="D1858" s="673"/>
      <c r="E1858" s="674"/>
      <c r="F1858" s="674"/>
      <c r="G1858" s="674"/>
      <c r="H1858" s="674"/>
      <c r="I1858" s="675"/>
      <c r="J1858" s="675"/>
      <c r="K1858" s="674"/>
      <c r="L1858" s="674"/>
      <c r="M1858" s="675"/>
    </row>
    <row r="1859" spans="4:13" x14ac:dyDescent="0.2">
      <c r="D1859" s="673"/>
      <c r="E1859" s="674"/>
      <c r="F1859" s="674"/>
      <c r="G1859" s="674"/>
      <c r="H1859" s="674"/>
      <c r="I1859" s="675"/>
      <c r="J1859" s="675"/>
      <c r="K1859" s="674"/>
      <c r="L1859" s="674"/>
      <c r="M1859" s="675"/>
    </row>
    <row r="1860" spans="4:13" x14ac:dyDescent="0.2">
      <c r="D1860" s="673"/>
      <c r="E1860" s="674"/>
      <c r="F1860" s="674"/>
      <c r="G1860" s="674"/>
      <c r="H1860" s="674"/>
      <c r="I1860" s="675"/>
      <c r="J1860" s="675"/>
      <c r="K1860" s="674"/>
      <c r="L1860" s="674"/>
      <c r="M1860" s="675"/>
    </row>
    <row r="1861" spans="4:13" x14ac:dyDescent="0.2">
      <c r="D1861" s="673"/>
      <c r="E1861" s="674"/>
      <c r="F1861" s="674"/>
      <c r="G1861" s="674"/>
      <c r="H1861" s="674"/>
      <c r="I1861" s="675"/>
      <c r="J1861" s="675"/>
      <c r="K1861" s="674"/>
      <c r="L1861" s="674"/>
      <c r="M1861" s="675"/>
    </row>
    <row r="1862" spans="4:13" x14ac:dyDescent="0.2">
      <c r="D1862" s="673"/>
      <c r="E1862" s="674"/>
      <c r="F1862" s="674"/>
      <c r="G1862" s="674"/>
      <c r="H1862" s="674"/>
      <c r="I1862" s="675"/>
      <c r="J1862" s="675"/>
      <c r="K1862" s="674"/>
      <c r="L1862" s="674"/>
      <c r="M1862" s="675"/>
    </row>
    <row r="1863" spans="4:13" x14ac:dyDescent="0.2">
      <c r="D1863" s="673"/>
      <c r="E1863" s="674"/>
      <c r="F1863" s="674"/>
      <c r="G1863" s="674"/>
      <c r="H1863" s="674"/>
      <c r="I1863" s="675"/>
      <c r="J1863" s="675"/>
      <c r="K1863" s="674"/>
      <c r="L1863" s="674"/>
      <c r="M1863" s="675"/>
    </row>
    <row r="1864" spans="4:13" x14ac:dyDescent="0.2">
      <c r="D1864" s="673"/>
      <c r="E1864" s="674"/>
      <c r="F1864" s="674"/>
      <c r="G1864" s="674"/>
      <c r="H1864" s="674"/>
      <c r="I1864" s="675"/>
      <c r="J1864" s="675"/>
      <c r="K1864" s="674"/>
      <c r="L1864" s="674"/>
      <c r="M1864" s="675"/>
    </row>
    <row r="1865" spans="4:13" x14ac:dyDescent="0.2">
      <c r="D1865" s="673"/>
      <c r="E1865" s="674"/>
      <c r="F1865" s="674"/>
      <c r="G1865" s="674"/>
      <c r="H1865" s="674"/>
      <c r="I1865" s="675"/>
      <c r="J1865" s="675"/>
      <c r="K1865" s="674"/>
      <c r="L1865" s="674"/>
      <c r="M1865" s="675"/>
    </row>
    <row r="1866" spans="4:13" x14ac:dyDescent="0.2">
      <c r="D1866" s="673"/>
      <c r="E1866" s="674"/>
      <c r="F1866" s="674"/>
      <c r="G1866" s="674"/>
      <c r="H1866" s="674"/>
      <c r="I1866" s="675"/>
      <c r="J1866" s="675"/>
      <c r="K1866" s="674"/>
      <c r="L1866" s="674"/>
      <c r="M1866" s="675"/>
    </row>
    <row r="1867" spans="4:13" x14ac:dyDescent="0.2">
      <c r="D1867" s="673"/>
      <c r="E1867" s="674"/>
      <c r="F1867" s="674"/>
      <c r="G1867" s="674"/>
      <c r="H1867" s="674"/>
      <c r="I1867" s="675"/>
      <c r="J1867" s="675"/>
      <c r="K1867" s="674"/>
      <c r="L1867" s="674"/>
      <c r="M1867" s="675"/>
    </row>
    <row r="1868" spans="4:13" x14ac:dyDescent="0.2">
      <c r="D1868" s="673"/>
      <c r="E1868" s="674"/>
      <c r="F1868" s="674"/>
      <c r="G1868" s="674"/>
      <c r="H1868" s="674"/>
      <c r="I1868" s="675"/>
      <c r="J1868" s="675"/>
      <c r="K1868" s="674"/>
      <c r="L1868" s="674"/>
      <c r="M1868" s="675"/>
    </row>
    <row r="1869" spans="4:13" x14ac:dyDescent="0.2">
      <c r="D1869" s="673"/>
      <c r="E1869" s="674"/>
      <c r="F1869" s="674"/>
      <c r="G1869" s="674"/>
      <c r="H1869" s="674"/>
      <c r="I1869" s="675"/>
      <c r="J1869" s="675"/>
      <c r="K1869" s="674"/>
      <c r="L1869" s="674"/>
      <c r="M1869" s="675"/>
    </row>
    <row r="1870" spans="4:13" x14ac:dyDescent="0.2">
      <c r="D1870" s="673"/>
      <c r="E1870" s="674"/>
      <c r="F1870" s="674"/>
      <c r="G1870" s="674"/>
      <c r="H1870" s="674"/>
      <c r="I1870" s="675"/>
      <c r="J1870" s="675"/>
      <c r="K1870" s="674"/>
      <c r="L1870" s="674"/>
      <c r="M1870" s="675"/>
    </row>
    <row r="1871" spans="4:13" x14ac:dyDescent="0.2">
      <c r="D1871" s="673"/>
      <c r="E1871" s="674"/>
      <c r="F1871" s="674"/>
      <c r="G1871" s="674"/>
      <c r="H1871" s="674"/>
      <c r="I1871" s="675"/>
      <c r="J1871" s="675"/>
      <c r="K1871" s="674"/>
      <c r="L1871" s="674"/>
      <c r="M1871" s="675"/>
    </row>
    <row r="1872" spans="4:13" x14ac:dyDescent="0.2">
      <c r="D1872" s="673"/>
      <c r="E1872" s="674"/>
      <c r="F1872" s="674"/>
      <c r="G1872" s="674"/>
      <c r="H1872" s="674"/>
      <c r="I1872" s="675"/>
      <c r="J1872" s="675"/>
      <c r="K1872" s="674"/>
      <c r="L1872" s="674"/>
      <c r="M1872" s="675"/>
    </row>
    <row r="1873" spans="4:13" x14ac:dyDescent="0.2">
      <c r="D1873" s="673"/>
      <c r="E1873" s="674"/>
      <c r="F1873" s="674"/>
      <c r="G1873" s="674"/>
      <c r="H1873" s="674"/>
      <c r="I1873" s="675"/>
      <c r="J1873" s="675"/>
      <c r="K1873" s="674"/>
      <c r="L1873" s="674"/>
      <c r="M1873" s="675"/>
    </row>
    <row r="1874" spans="4:13" x14ac:dyDescent="0.2">
      <c r="D1874" s="673"/>
      <c r="E1874" s="674"/>
      <c r="F1874" s="674"/>
      <c r="G1874" s="674"/>
      <c r="H1874" s="674"/>
      <c r="I1874" s="675"/>
      <c r="J1874" s="675"/>
      <c r="K1874" s="674"/>
      <c r="L1874" s="674"/>
      <c r="M1874" s="675"/>
    </row>
    <row r="1875" spans="4:13" x14ac:dyDescent="0.2">
      <c r="D1875" s="673"/>
      <c r="E1875" s="674"/>
      <c r="F1875" s="674"/>
      <c r="G1875" s="674"/>
      <c r="H1875" s="674"/>
      <c r="I1875" s="675"/>
      <c r="J1875" s="675"/>
      <c r="K1875" s="674"/>
      <c r="L1875" s="674"/>
      <c r="M1875" s="675"/>
    </row>
    <row r="1876" spans="4:13" x14ac:dyDescent="0.2">
      <c r="D1876" s="673"/>
      <c r="E1876" s="674"/>
      <c r="F1876" s="674"/>
      <c r="G1876" s="674"/>
      <c r="H1876" s="674"/>
      <c r="I1876" s="675"/>
      <c r="J1876" s="675"/>
      <c r="K1876" s="674"/>
      <c r="L1876" s="674"/>
      <c r="M1876" s="675"/>
    </row>
    <row r="1877" spans="4:13" x14ac:dyDescent="0.2">
      <c r="D1877" s="673"/>
      <c r="E1877" s="674"/>
      <c r="F1877" s="674"/>
      <c r="G1877" s="674"/>
      <c r="H1877" s="674"/>
      <c r="I1877" s="675"/>
      <c r="J1877" s="675"/>
      <c r="K1877" s="674"/>
      <c r="L1877" s="674"/>
      <c r="M1877" s="675"/>
    </row>
    <row r="1878" spans="4:13" x14ac:dyDescent="0.2">
      <c r="D1878" s="673"/>
      <c r="E1878" s="674"/>
      <c r="F1878" s="674"/>
      <c r="G1878" s="674"/>
      <c r="H1878" s="674"/>
      <c r="I1878" s="675"/>
      <c r="J1878" s="675"/>
      <c r="K1878" s="674"/>
      <c r="L1878" s="674"/>
      <c r="M1878" s="675"/>
    </row>
    <row r="1879" spans="4:13" x14ac:dyDescent="0.2">
      <c r="D1879" s="673"/>
      <c r="E1879" s="674"/>
      <c r="F1879" s="674"/>
      <c r="G1879" s="674"/>
      <c r="H1879" s="674"/>
      <c r="I1879" s="675"/>
      <c r="J1879" s="675"/>
      <c r="K1879" s="674"/>
      <c r="L1879" s="674"/>
      <c r="M1879" s="675"/>
    </row>
    <row r="1880" spans="4:13" x14ac:dyDescent="0.2">
      <c r="D1880" s="673"/>
      <c r="E1880" s="674"/>
      <c r="F1880" s="674"/>
      <c r="G1880" s="674"/>
      <c r="H1880" s="674"/>
      <c r="I1880" s="675"/>
      <c r="J1880" s="675"/>
      <c r="K1880" s="674"/>
      <c r="L1880" s="674"/>
      <c r="M1880" s="675"/>
    </row>
    <row r="1881" spans="4:13" x14ac:dyDescent="0.2">
      <c r="D1881" s="673"/>
      <c r="E1881" s="674"/>
      <c r="F1881" s="674"/>
      <c r="G1881" s="674"/>
      <c r="H1881" s="674"/>
      <c r="I1881" s="675"/>
      <c r="J1881" s="675"/>
      <c r="K1881" s="674"/>
      <c r="L1881" s="674"/>
      <c r="M1881" s="675"/>
    </row>
    <row r="1882" spans="4:13" x14ac:dyDescent="0.2">
      <c r="D1882" s="673"/>
      <c r="E1882" s="674"/>
      <c r="F1882" s="674"/>
      <c r="G1882" s="674"/>
      <c r="H1882" s="674"/>
      <c r="I1882" s="675"/>
      <c r="J1882" s="675"/>
      <c r="K1882" s="674"/>
      <c r="L1882" s="674"/>
      <c r="M1882" s="675"/>
    </row>
    <row r="1883" spans="4:13" x14ac:dyDescent="0.2">
      <c r="D1883" s="673"/>
      <c r="E1883" s="674"/>
      <c r="F1883" s="674"/>
      <c r="G1883" s="674"/>
      <c r="H1883" s="674"/>
      <c r="I1883" s="675"/>
      <c r="J1883" s="675"/>
      <c r="K1883" s="674"/>
      <c r="L1883" s="674"/>
      <c r="M1883" s="675"/>
    </row>
    <row r="1884" spans="4:13" x14ac:dyDescent="0.2">
      <c r="D1884" s="673"/>
      <c r="E1884" s="674"/>
      <c r="F1884" s="674"/>
      <c r="G1884" s="674"/>
      <c r="H1884" s="674"/>
      <c r="I1884" s="675"/>
      <c r="J1884" s="675"/>
      <c r="K1884" s="674"/>
      <c r="L1884" s="674"/>
      <c r="M1884" s="675"/>
    </row>
    <row r="1885" spans="4:13" x14ac:dyDescent="0.2">
      <c r="D1885" s="673"/>
      <c r="E1885" s="674"/>
      <c r="F1885" s="674"/>
      <c r="G1885" s="674"/>
      <c r="H1885" s="674"/>
      <c r="I1885" s="675"/>
      <c r="J1885" s="675"/>
      <c r="K1885" s="674"/>
      <c r="L1885" s="674"/>
      <c r="M1885" s="675"/>
    </row>
    <row r="1886" spans="4:13" x14ac:dyDescent="0.2">
      <c r="D1886" s="673"/>
      <c r="E1886" s="674"/>
      <c r="F1886" s="674"/>
      <c r="G1886" s="674"/>
      <c r="H1886" s="674"/>
      <c r="I1886" s="675"/>
      <c r="J1886" s="675"/>
      <c r="K1886" s="674"/>
      <c r="L1886" s="674"/>
      <c r="M1886" s="675"/>
    </row>
    <row r="1887" spans="4:13" x14ac:dyDescent="0.2">
      <c r="D1887" s="673"/>
      <c r="E1887" s="674"/>
      <c r="F1887" s="674"/>
      <c r="G1887" s="674"/>
      <c r="H1887" s="674"/>
      <c r="I1887" s="675"/>
      <c r="J1887" s="675"/>
      <c r="K1887" s="674"/>
      <c r="L1887" s="674"/>
      <c r="M1887" s="675"/>
    </row>
    <row r="1888" spans="4:13" x14ac:dyDescent="0.2">
      <c r="D1888" s="673"/>
      <c r="E1888" s="674"/>
      <c r="F1888" s="674"/>
      <c r="G1888" s="674"/>
      <c r="H1888" s="674"/>
      <c r="I1888" s="675"/>
      <c r="J1888" s="675"/>
      <c r="K1888" s="674"/>
      <c r="L1888" s="674"/>
      <c r="M1888" s="675"/>
    </row>
    <row r="1889" spans="4:13" x14ac:dyDescent="0.2">
      <c r="D1889" s="673"/>
      <c r="E1889" s="674"/>
      <c r="F1889" s="674"/>
      <c r="G1889" s="674"/>
      <c r="H1889" s="674"/>
      <c r="I1889" s="675"/>
      <c r="J1889" s="675"/>
      <c r="K1889" s="674"/>
      <c r="L1889" s="674"/>
      <c r="M1889" s="675"/>
    </row>
    <row r="1890" spans="4:13" x14ac:dyDescent="0.2">
      <c r="D1890" s="673"/>
      <c r="E1890" s="674"/>
      <c r="F1890" s="674"/>
      <c r="G1890" s="674"/>
      <c r="H1890" s="674"/>
      <c r="I1890" s="675"/>
      <c r="J1890" s="675"/>
      <c r="K1890" s="674"/>
      <c r="L1890" s="674"/>
      <c r="M1890" s="675"/>
    </row>
    <row r="1891" spans="4:13" x14ac:dyDescent="0.2">
      <c r="D1891" s="673"/>
      <c r="E1891" s="674"/>
      <c r="F1891" s="674"/>
      <c r="G1891" s="674"/>
      <c r="H1891" s="674"/>
      <c r="I1891" s="675"/>
      <c r="J1891" s="675"/>
      <c r="K1891" s="674"/>
      <c r="L1891" s="674"/>
      <c r="M1891" s="675"/>
    </row>
    <row r="1892" spans="4:13" x14ac:dyDescent="0.2">
      <c r="D1892" s="673"/>
      <c r="E1892" s="674"/>
      <c r="F1892" s="674"/>
      <c r="G1892" s="674"/>
      <c r="H1892" s="674"/>
      <c r="I1892" s="675"/>
      <c r="J1892" s="675"/>
      <c r="K1892" s="674"/>
      <c r="L1892" s="674"/>
      <c r="M1892" s="675"/>
    </row>
    <row r="1893" spans="4:13" x14ac:dyDescent="0.2">
      <c r="D1893" s="673"/>
      <c r="E1893" s="674"/>
      <c r="F1893" s="674"/>
      <c r="G1893" s="674"/>
      <c r="H1893" s="674"/>
      <c r="I1893" s="675"/>
      <c r="J1893" s="675"/>
      <c r="K1893" s="674"/>
      <c r="L1893" s="674"/>
      <c r="M1893" s="675"/>
    </row>
    <row r="1894" spans="4:13" x14ac:dyDescent="0.2">
      <c r="D1894" s="673"/>
      <c r="E1894" s="674"/>
      <c r="F1894" s="674"/>
      <c r="G1894" s="674"/>
      <c r="H1894" s="674"/>
      <c r="I1894" s="675"/>
      <c r="J1894" s="675"/>
      <c r="K1894" s="674"/>
      <c r="L1894" s="674"/>
      <c r="M1894" s="675"/>
    </row>
    <row r="1895" spans="4:13" x14ac:dyDescent="0.2">
      <c r="D1895" s="673"/>
      <c r="E1895" s="674"/>
      <c r="F1895" s="674"/>
      <c r="G1895" s="674"/>
      <c r="H1895" s="674"/>
      <c r="I1895" s="675"/>
      <c r="J1895" s="675"/>
      <c r="K1895" s="674"/>
      <c r="L1895" s="674"/>
      <c r="M1895" s="675"/>
    </row>
    <row r="1896" spans="4:13" x14ac:dyDescent="0.2">
      <c r="D1896" s="673"/>
      <c r="E1896" s="674"/>
      <c r="F1896" s="674"/>
      <c r="G1896" s="674"/>
      <c r="H1896" s="674"/>
      <c r="I1896" s="675"/>
      <c r="J1896" s="675"/>
      <c r="K1896" s="674"/>
      <c r="L1896" s="674"/>
      <c r="M1896" s="675"/>
    </row>
    <row r="1897" spans="4:13" x14ac:dyDescent="0.2">
      <c r="D1897" s="673"/>
      <c r="E1897" s="674"/>
      <c r="F1897" s="674"/>
      <c r="G1897" s="674"/>
      <c r="H1897" s="674"/>
      <c r="I1897" s="675"/>
      <c r="J1897" s="675"/>
      <c r="K1897" s="674"/>
      <c r="L1897" s="674"/>
      <c r="M1897" s="675"/>
    </row>
    <row r="1898" spans="4:13" x14ac:dyDescent="0.2">
      <c r="D1898" s="673"/>
      <c r="E1898" s="674"/>
      <c r="F1898" s="674"/>
      <c r="G1898" s="674"/>
      <c r="H1898" s="674"/>
      <c r="I1898" s="675"/>
      <c r="J1898" s="675"/>
      <c r="K1898" s="674"/>
      <c r="L1898" s="674"/>
      <c r="M1898" s="675"/>
    </row>
    <row r="1899" spans="4:13" x14ac:dyDescent="0.2">
      <c r="D1899" s="673"/>
      <c r="E1899" s="674"/>
      <c r="F1899" s="674"/>
      <c r="G1899" s="674"/>
      <c r="H1899" s="674"/>
      <c r="I1899" s="675"/>
      <c r="J1899" s="675"/>
      <c r="K1899" s="674"/>
      <c r="L1899" s="674"/>
      <c r="M1899" s="675"/>
    </row>
    <row r="1900" spans="4:13" x14ac:dyDescent="0.2">
      <c r="D1900" s="673"/>
      <c r="E1900" s="674"/>
      <c r="F1900" s="674"/>
      <c r="G1900" s="674"/>
      <c r="H1900" s="674"/>
      <c r="I1900" s="675"/>
      <c r="J1900" s="675"/>
      <c r="K1900" s="674"/>
      <c r="L1900" s="674"/>
      <c r="M1900" s="675"/>
    </row>
    <row r="1901" spans="4:13" x14ac:dyDescent="0.2">
      <c r="D1901" s="673"/>
      <c r="E1901" s="674"/>
      <c r="F1901" s="674"/>
      <c r="G1901" s="674"/>
      <c r="H1901" s="674"/>
      <c r="I1901" s="675"/>
      <c r="J1901" s="675"/>
      <c r="K1901" s="674"/>
      <c r="L1901" s="674"/>
      <c r="M1901" s="675"/>
    </row>
    <row r="1902" spans="4:13" x14ac:dyDescent="0.2">
      <c r="D1902" s="673"/>
      <c r="E1902" s="674"/>
      <c r="F1902" s="674"/>
      <c r="G1902" s="674"/>
      <c r="H1902" s="674"/>
      <c r="I1902" s="675"/>
      <c r="J1902" s="675"/>
      <c r="K1902" s="674"/>
      <c r="L1902" s="674"/>
      <c r="M1902" s="675"/>
    </row>
    <row r="1903" spans="4:13" x14ac:dyDescent="0.2">
      <c r="D1903" s="673"/>
      <c r="E1903" s="674"/>
      <c r="F1903" s="674"/>
      <c r="G1903" s="674"/>
      <c r="H1903" s="674"/>
      <c r="I1903" s="675"/>
      <c r="J1903" s="675"/>
      <c r="K1903" s="674"/>
      <c r="L1903" s="674"/>
      <c r="M1903" s="675"/>
    </row>
    <row r="1904" spans="4:13" x14ac:dyDescent="0.2">
      <c r="D1904" s="673"/>
      <c r="E1904" s="674"/>
      <c r="F1904" s="674"/>
      <c r="G1904" s="674"/>
      <c r="H1904" s="674"/>
      <c r="I1904" s="675"/>
      <c r="J1904" s="675"/>
      <c r="K1904" s="674"/>
      <c r="L1904" s="674"/>
      <c r="M1904" s="675"/>
    </row>
    <row r="1905" spans="4:13" x14ac:dyDescent="0.2">
      <c r="D1905" s="673"/>
      <c r="E1905" s="674"/>
      <c r="F1905" s="674"/>
      <c r="G1905" s="674"/>
      <c r="H1905" s="674"/>
      <c r="I1905" s="675"/>
      <c r="J1905" s="675"/>
      <c r="K1905" s="674"/>
      <c r="L1905" s="674"/>
      <c r="M1905" s="675"/>
    </row>
    <row r="1906" spans="4:13" x14ac:dyDescent="0.2">
      <c r="D1906" s="673"/>
      <c r="E1906" s="674"/>
      <c r="F1906" s="674"/>
      <c r="G1906" s="674"/>
      <c r="H1906" s="674"/>
      <c r="I1906" s="675"/>
      <c r="J1906" s="675"/>
      <c r="K1906" s="674"/>
      <c r="L1906" s="674"/>
      <c r="M1906" s="675"/>
    </row>
    <row r="1907" spans="4:13" x14ac:dyDescent="0.2">
      <c r="D1907" s="673"/>
      <c r="E1907" s="674"/>
      <c r="F1907" s="674"/>
      <c r="G1907" s="674"/>
      <c r="H1907" s="674"/>
      <c r="I1907" s="675"/>
      <c r="J1907" s="675"/>
      <c r="K1907" s="674"/>
      <c r="L1907" s="674"/>
      <c r="M1907" s="675"/>
    </row>
    <row r="1908" spans="4:13" x14ac:dyDescent="0.2">
      <c r="D1908" s="673"/>
      <c r="E1908" s="674"/>
      <c r="F1908" s="674"/>
      <c r="G1908" s="674"/>
      <c r="H1908" s="674"/>
      <c r="I1908" s="675"/>
      <c r="J1908" s="675"/>
      <c r="K1908" s="674"/>
      <c r="L1908" s="674"/>
      <c r="M1908" s="675"/>
    </row>
    <row r="1909" spans="4:13" x14ac:dyDescent="0.2">
      <c r="D1909" s="673"/>
      <c r="E1909" s="674"/>
      <c r="F1909" s="674"/>
      <c r="G1909" s="674"/>
      <c r="H1909" s="674"/>
      <c r="I1909" s="675"/>
      <c r="J1909" s="675"/>
      <c r="K1909" s="674"/>
      <c r="L1909" s="674"/>
      <c r="M1909" s="675"/>
    </row>
    <row r="1910" spans="4:13" x14ac:dyDescent="0.2">
      <c r="D1910" s="673"/>
      <c r="E1910" s="674"/>
      <c r="F1910" s="674"/>
      <c r="G1910" s="674"/>
      <c r="H1910" s="674"/>
      <c r="I1910" s="675"/>
      <c r="J1910" s="675"/>
      <c r="K1910" s="674"/>
      <c r="L1910" s="674"/>
      <c r="M1910" s="675"/>
    </row>
    <row r="1911" spans="4:13" x14ac:dyDescent="0.2">
      <c r="D1911" s="673"/>
      <c r="E1911" s="674"/>
      <c r="F1911" s="674"/>
      <c r="G1911" s="674"/>
      <c r="H1911" s="674"/>
      <c r="I1911" s="675"/>
      <c r="J1911" s="675"/>
      <c r="K1911" s="674"/>
      <c r="L1911" s="674"/>
      <c r="M1911" s="675"/>
    </row>
    <row r="1912" spans="4:13" x14ac:dyDescent="0.2">
      <c r="D1912" s="673"/>
      <c r="E1912" s="674"/>
      <c r="F1912" s="674"/>
      <c r="G1912" s="674"/>
      <c r="H1912" s="674"/>
      <c r="I1912" s="675"/>
      <c r="J1912" s="675"/>
      <c r="K1912" s="674"/>
      <c r="L1912" s="674"/>
      <c r="M1912" s="675"/>
    </row>
    <row r="1913" spans="4:13" x14ac:dyDescent="0.2">
      <c r="D1913" s="673"/>
      <c r="E1913" s="674"/>
      <c r="F1913" s="674"/>
      <c r="G1913" s="674"/>
      <c r="H1913" s="674"/>
      <c r="I1913" s="675"/>
      <c r="J1913" s="675"/>
      <c r="K1913" s="674"/>
      <c r="L1913" s="674"/>
      <c r="M1913" s="675"/>
    </row>
    <row r="1914" spans="4:13" x14ac:dyDescent="0.2">
      <c r="D1914" s="673"/>
      <c r="E1914" s="674"/>
      <c r="F1914" s="674"/>
      <c r="G1914" s="674"/>
      <c r="H1914" s="674"/>
      <c r="I1914" s="675"/>
      <c r="J1914" s="675"/>
      <c r="K1914" s="674"/>
      <c r="L1914" s="674"/>
      <c r="M1914" s="675"/>
    </row>
    <row r="1915" spans="4:13" x14ac:dyDescent="0.2">
      <c r="D1915" s="673"/>
      <c r="E1915" s="674"/>
      <c r="F1915" s="674"/>
      <c r="G1915" s="674"/>
      <c r="H1915" s="674"/>
      <c r="I1915" s="675"/>
      <c r="J1915" s="675"/>
      <c r="K1915" s="674"/>
      <c r="L1915" s="674"/>
      <c r="M1915" s="675"/>
    </row>
    <row r="1916" spans="4:13" x14ac:dyDescent="0.2">
      <c r="D1916" s="673"/>
      <c r="E1916" s="674"/>
      <c r="F1916" s="674"/>
      <c r="G1916" s="674"/>
      <c r="H1916" s="674"/>
      <c r="I1916" s="675"/>
      <c r="J1916" s="675"/>
      <c r="K1916" s="674"/>
      <c r="L1916" s="674"/>
      <c r="M1916" s="675"/>
    </row>
    <row r="1917" spans="4:13" x14ac:dyDescent="0.2">
      <c r="D1917" s="673"/>
      <c r="E1917" s="674"/>
      <c r="F1917" s="674"/>
      <c r="G1917" s="674"/>
      <c r="H1917" s="674"/>
      <c r="I1917" s="675"/>
      <c r="J1917" s="675"/>
      <c r="K1917" s="674"/>
      <c r="L1917" s="674"/>
      <c r="M1917" s="675"/>
    </row>
    <row r="1918" spans="4:13" x14ac:dyDescent="0.2">
      <c r="D1918" s="673"/>
      <c r="E1918" s="674"/>
      <c r="F1918" s="674"/>
      <c r="G1918" s="674"/>
      <c r="H1918" s="674"/>
      <c r="I1918" s="675"/>
      <c r="J1918" s="675"/>
      <c r="K1918" s="674"/>
      <c r="L1918" s="674"/>
      <c r="M1918" s="675"/>
    </row>
    <row r="1919" spans="4:13" x14ac:dyDescent="0.2">
      <c r="D1919" s="673"/>
      <c r="E1919" s="674"/>
      <c r="F1919" s="674"/>
      <c r="G1919" s="674"/>
      <c r="H1919" s="674"/>
      <c r="I1919" s="675"/>
      <c r="J1919" s="675"/>
      <c r="K1919" s="674"/>
      <c r="L1919" s="674"/>
      <c r="M1919" s="675"/>
    </row>
    <row r="1920" spans="4:13" x14ac:dyDescent="0.2">
      <c r="D1920" s="673"/>
      <c r="E1920" s="674"/>
      <c r="F1920" s="674"/>
      <c r="G1920" s="674"/>
      <c r="H1920" s="674"/>
      <c r="I1920" s="675"/>
      <c r="J1920" s="675"/>
      <c r="K1920" s="674"/>
      <c r="L1920" s="674"/>
      <c r="M1920" s="675"/>
    </row>
    <row r="1921" spans="4:13" x14ac:dyDescent="0.2">
      <c r="D1921" s="673"/>
      <c r="E1921" s="674"/>
      <c r="F1921" s="674"/>
      <c r="G1921" s="674"/>
      <c r="H1921" s="674"/>
      <c r="I1921" s="675"/>
      <c r="J1921" s="675"/>
      <c r="K1921" s="674"/>
      <c r="L1921" s="674"/>
      <c r="M1921" s="675"/>
    </row>
    <row r="1922" spans="4:13" x14ac:dyDescent="0.2">
      <c r="D1922" s="673"/>
      <c r="E1922" s="674"/>
      <c r="F1922" s="674"/>
      <c r="G1922" s="674"/>
      <c r="H1922" s="674"/>
      <c r="I1922" s="675"/>
      <c r="J1922" s="675"/>
      <c r="K1922" s="674"/>
      <c r="L1922" s="674"/>
      <c r="M1922" s="675"/>
    </row>
    <row r="1923" spans="4:13" x14ac:dyDescent="0.2">
      <c r="D1923" s="673"/>
      <c r="E1923" s="674"/>
      <c r="F1923" s="674"/>
      <c r="G1923" s="674"/>
      <c r="H1923" s="674"/>
      <c r="I1923" s="675"/>
      <c r="J1923" s="675"/>
      <c r="K1923" s="674"/>
      <c r="L1923" s="674"/>
      <c r="M1923" s="675"/>
    </row>
    <row r="1924" spans="4:13" x14ac:dyDescent="0.2">
      <c r="D1924" s="673"/>
      <c r="E1924" s="674"/>
      <c r="F1924" s="674"/>
      <c r="G1924" s="674"/>
      <c r="H1924" s="674"/>
      <c r="I1924" s="675"/>
      <c r="J1924" s="675"/>
      <c r="K1924" s="674"/>
      <c r="L1924" s="674"/>
      <c r="M1924" s="675"/>
    </row>
    <row r="1925" spans="4:13" x14ac:dyDescent="0.2">
      <c r="D1925" s="673"/>
      <c r="E1925" s="674"/>
      <c r="F1925" s="674"/>
      <c r="G1925" s="674"/>
      <c r="H1925" s="674"/>
      <c r="I1925" s="675"/>
      <c r="J1925" s="675"/>
      <c r="K1925" s="674"/>
      <c r="L1925" s="674"/>
      <c r="M1925" s="675"/>
    </row>
    <row r="1926" spans="4:13" x14ac:dyDescent="0.2">
      <c r="D1926" s="673"/>
      <c r="E1926" s="674"/>
      <c r="F1926" s="674"/>
      <c r="G1926" s="674"/>
      <c r="H1926" s="674"/>
      <c r="I1926" s="675"/>
      <c r="J1926" s="675"/>
      <c r="K1926" s="674"/>
      <c r="L1926" s="674"/>
      <c r="M1926" s="675"/>
    </row>
    <row r="1927" spans="4:13" x14ac:dyDescent="0.2">
      <c r="D1927" s="673"/>
      <c r="E1927" s="674"/>
      <c r="F1927" s="674"/>
      <c r="G1927" s="674"/>
      <c r="H1927" s="674"/>
      <c r="I1927" s="675"/>
      <c r="J1927" s="675"/>
      <c r="K1927" s="674"/>
      <c r="L1927" s="674"/>
      <c r="M1927" s="675"/>
    </row>
    <row r="1928" spans="4:13" x14ac:dyDescent="0.2">
      <c r="D1928" s="673"/>
      <c r="E1928" s="674"/>
      <c r="F1928" s="674"/>
      <c r="G1928" s="674"/>
      <c r="H1928" s="674"/>
      <c r="I1928" s="675"/>
      <c r="J1928" s="675"/>
      <c r="K1928" s="674"/>
      <c r="L1928" s="674"/>
      <c r="M1928" s="675"/>
    </row>
    <row r="1929" spans="4:13" x14ac:dyDescent="0.2">
      <c r="D1929" s="673"/>
      <c r="E1929" s="674"/>
      <c r="F1929" s="674"/>
      <c r="G1929" s="674"/>
      <c r="H1929" s="674"/>
      <c r="I1929" s="675"/>
      <c r="J1929" s="675"/>
      <c r="K1929" s="674"/>
      <c r="L1929" s="674"/>
      <c r="M1929" s="675"/>
    </row>
    <row r="1930" spans="4:13" x14ac:dyDescent="0.2">
      <c r="D1930" s="673"/>
      <c r="E1930" s="674"/>
      <c r="F1930" s="674"/>
      <c r="G1930" s="674"/>
      <c r="H1930" s="674"/>
      <c r="I1930" s="675"/>
      <c r="J1930" s="675"/>
      <c r="K1930" s="674"/>
      <c r="L1930" s="674"/>
      <c r="M1930" s="675"/>
    </row>
    <row r="1931" spans="4:13" x14ac:dyDescent="0.2">
      <c r="D1931" s="673"/>
      <c r="E1931" s="674"/>
      <c r="F1931" s="674"/>
      <c r="G1931" s="674"/>
      <c r="H1931" s="674"/>
      <c r="I1931" s="675"/>
      <c r="J1931" s="675"/>
      <c r="K1931" s="674"/>
      <c r="L1931" s="674"/>
      <c r="M1931" s="675"/>
    </row>
    <row r="1932" spans="4:13" x14ac:dyDescent="0.2">
      <c r="D1932" s="673"/>
      <c r="E1932" s="674"/>
      <c r="F1932" s="674"/>
      <c r="G1932" s="674"/>
      <c r="H1932" s="674"/>
      <c r="I1932" s="675"/>
      <c r="J1932" s="675"/>
      <c r="K1932" s="674"/>
      <c r="L1932" s="674"/>
      <c r="M1932" s="675"/>
    </row>
    <row r="1933" spans="4:13" x14ac:dyDescent="0.2">
      <c r="D1933" s="673"/>
      <c r="E1933" s="674"/>
      <c r="F1933" s="674"/>
      <c r="G1933" s="674"/>
      <c r="H1933" s="674"/>
      <c r="I1933" s="675"/>
      <c r="J1933" s="675"/>
      <c r="K1933" s="674"/>
      <c r="L1933" s="674"/>
      <c r="M1933" s="675"/>
    </row>
    <row r="1934" spans="4:13" x14ac:dyDescent="0.2">
      <c r="D1934" s="673"/>
      <c r="E1934" s="674"/>
      <c r="F1934" s="674"/>
      <c r="G1934" s="674"/>
      <c r="H1934" s="674"/>
      <c r="I1934" s="675"/>
      <c r="J1934" s="675"/>
      <c r="K1934" s="674"/>
      <c r="L1934" s="674"/>
      <c r="M1934" s="675"/>
    </row>
    <row r="1935" spans="4:13" x14ac:dyDescent="0.2">
      <c r="D1935" s="673"/>
      <c r="E1935" s="674"/>
      <c r="F1935" s="674"/>
      <c r="G1935" s="674"/>
      <c r="H1935" s="674"/>
      <c r="I1935" s="675"/>
      <c r="J1935" s="675"/>
      <c r="K1935" s="674"/>
      <c r="L1935" s="674"/>
      <c r="M1935" s="675"/>
    </row>
    <row r="1936" spans="4:13" x14ac:dyDescent="0.2">
      <c r="D1936" s="673"/>
      <c r="E1936" s="674"/>
      <c r="F1936" s="674"/>
      <c r="G1936" s="674"/>
      <c r="H1936" s="674"/>
      <c r="I1936" s="675"/>
      <c r="J1936" s="675"/>
      <c r="K1936" s="674"/>
      <c r="L1936" s="674"/>
      <c r="M1936" s="675"/>
    </row>
    <row r="1937" spans="4:13" x14ac:dyDescent="0.2">
      <c r="D1937" s="673"/>
      <c r="E1937" s="674"/>
      <c r="F1937" s="674"/>
      <c r="G1937" s="674"/>
      <c r="H1937" s="674"/>
      <c r="I1937" s="675"/>
      <c r="J1937" s="675"/>
      <c r="K1937" s="674"/>
      <c r="L1937" s="674"/>
      <c r="M1937" s="675"/>
    </row>
    <row r="1938" spans="4:13" x14ac:dyDescent="0.2">
      <c r="D1938" s="673"/>
      <c r="E1938" s="674"/>
      <c r="F1938" s="674"/>
      <c r="G1938" s="674"/>
      <c r="H1938" s="674"/>
      <c r="I1938" s="675"/>
      <c r="J1938" s="675"/>
      <c r="K1938" s="674"/>
      <c r="L1938" s="674"/>
      <c r="M1938" s="675"/>
    </row>
    <row r="1939" spans="4:13" x14ac:dyDescent="0.2">
      <c r="D1939" s="673"/>
      <c r="E1939" s="674"/>
      <c r="F1939" s="674"/>
      <c r="G1939" s="674"/>
      <c r="H1939" s="674"/>
      <c r="I1939" s="675"/>
      <c r="J1939" s="675"/>
      <c r="K1939" s="674"/>
      <c r="L1939" s="674"/>
      <c r="M1939" s="675"/>
    </row>
    <row r="1940" spans="4:13" x14ac:dyDescent="0.2">
      <c r="D1940" s="673"/>
      <c r="E1940" s="674"/>
      <c r="F1940" s="674"/>
      <c r="G1940" s="674"/>
      <c r="H1940" s="674"/>
      <c r="I1940" s="675"/>
      <c r="J1940" s="675"/>
      <c r="K1940" s="674"/>
      <c r="L1940" s="674"/>
      <c r="M1940" s="675"/>
    </row>
    <row r="1941" spans="4:13" x14ac:dyDescent="0.2">
      <c r="D1941" s="673"/>
      <c r="E1941" s="674"/>
      <c r="F1941" s="674"/>
      <c r="G1941" s="674"/>
      <c r="H1941" s="674"/>
      <c r="I1941" s="675"/>
      <c r="J1941" s="675"/>
      <c r="K1941" s="674"/>
      <c r="L1941" s="674"/>
      <c r="M1941" s="675"/>
    </row>
    <row r="1942" spans="4:13" x14ac:dyDescent="0.2">
      <c r="D1942" s="673"/>
      <c r="E1942" s="674"/>
      <c r="F1942" s="674"/>
      <c r="G1942" s="674"/>
      <c r="H1942" s="674"/>
      <c r="I1942" s="675"/>
      <c r="J1942" s="675"/>
      <c r="K1942" s="674"/>
      <c r="L1942" s="674"/>
      <c r="M1942" s="675"/>
    </row>
    <row r="1943" spans="4:13" x14ac:dyDescent="0.2">
      <c r="D1943" s="673"/>
      <c r="E1943" s="674"/>
      <c r="F1943" s="674"/>
      <c r="G1943" s="674"/>
      <c r="H1943" s="674"/>
      <c r="I1943" s="675"/>
      <c r="J1943" s="675"/>
      <c r="K1943" s="674"/>
      <c r="L1943" s="674"/>
      <c r="M1943" s="675"/>
    </row>
    <row r="1944" spans="4:13" x14ac:dyDescent="0.2">
      <c r="D1944" s="673"/>
      <c r="E1944" s="674"/>
      <c r="F1944" s="674"/>
      <c r="G1944" s="674"/>
      <c r="H1944" s="674"/>
      <c r="I1944" s="675"/>
      <c r="J1944" s="675"/>
      <c r="K1944" s="674"/>
      <c r="L1944" s="674"/>
      <c r="M1944" s="675"/>
    </row>
    <row r="1945" spans="4:13" x14ac:dyDescent="0.2">
      <c r="D1945" s="673"/>
      <c r="E1945" s="674"/>
      <c r="F1945" s="674"/>
      <c r="G1945" s="674"/>
      <c r="H1945" s="674"/>
      <c r="I1945" s="675"/>
      <c r="J1945" s="675"/>
      <c r="K1945" s="674"/>
      <c r="L1945" s="674"/>
      <c r="M1945" s="675"/>
    </row>
    <row r="1946" spans="4:13" x14ac:dyDescent="0.2">
      <c r="D1946" s="673"/>
      <c r="E1946" s="674"/>
      <c r="F1946" s="674"/>
      <c r="G1946" s="674"/>
      <c r="H1946" s="674"/>
      <c r="I1946" s="675"/>
      <c r="J1946" s="675"/>
      <c r="K1946" s="674"/>
      <c r="L1946" s="674"/>
      <c r="M1946" s="675"/>
    </row>
    <row r="1947" spans="4:13" x14ac:dyDescent="0.2">
      <c r="D1947" s="673"/>
      <c r="E1947" s="674"/>
      <c r="F1947" s="674"/>
      <c r="G1947" s="674"/>
      <c r="H1947" s="674"/>
      <c r="I1947" s="675"/>
      <c r="J1947" s="675"/>
      <c r="K1947" s="674"/>
      <c r="L1947" s="674"/>
      <c r="M1947" s="675"/>
    </row>
    <row r="1948" spans="4:13" x14ac:dyDescent="0.2">
      <c r="D1948" s="673"/>
      <c r="E1948" s="674"/>
      <c r="F1948" s="674"/>
      <c r="G1948" s="674"/>
      <c r="H1948" s="674"/>
      <c r="I1948" s="675"/>
      <c r="J1948" s="675"/>
      <c r="K1948" s="674"/>
      <c r="L1948" s="674"/>
      <c r="M1948" s="675"/>
    </row>
    <row r="1949" spans="4:13" x14ac:dyDescent="0.2">
      <c r="D1949" s="673"/>
      <c r="E1949" s="674"/>
      <c r="F1949" s="674"/>
      <c r="G1949" s="674"/>
      <c r="H1949" s="674"/>
      <c r="I1949" s="675"/>
      <c r="J1949" s="675"/>
      <c r="K1949" s="674"/>
      <c r="L1949" s="674"/>
      <c r="M1949" s="675"/>
    </row>
    <row r="1950" spans="4:13" x14ac:dyDescent="0.2">
      <c r="D1950" s="673"/>
      <c r="E1950" s="674"/>
      <c r="F1950" s="674"/>
      <c r="G1950" s="674"/>
      <c r="H1950" s="674"/>
      <c r="I1950" s="675"/>
      <c r="J1950" s="675"/>
      <c r="K1950" s="674"/>
      <c r="L1950" s="674"/>
      <c r="M1950" s="675"/>
    </row>
    <row r="1951" spans="4:13" x14ac:dyDescent="0.2">
      <c r="D1951" s="673"/>
      <c r="E1951" s="674"/>
      <c r="F1951" s="674"/>
      <c r="G1951" s="674"/>
      <c r="H1951" s="674"/>
      <c r="I1951" s="675"/>
      <c r="J1951" s="675"/>
      <c r="K1951" s="674"/>
      <c r="L1951" s="674"/>
      <c r="M1951" s="675"/>
    </row>
    <row r="1952" spans="4:13" x14ac:dyDescent="0.2">
      <c r="D1952" s="673"/>
      <c r="E1952" s="674"/>
      <c r="F1952" s="674"/>
      <c r="G1952" s="674"/>
      <c r="H1952" s="674"/>
      <c r="I1952" s="675"/>
      <c r="J1952" s="675"/>
      <c r="K1952" s="674"/>
      <c r="L1952" s="674"/>
      <c r="M1952" s="675"/>
    </row>
    <row r="1953" spans="4:13" x14ac:dyDescent="0.2">
      <c r="D1953" s="673"/>
      <c r="E1953" s="674"/>
      <c r="F1953" s="674"/>
      <c r="G1953" s="674"/>
      <c r="H1953" s="674"/>
      <c r="I1953" s="675"/>
      <c r="J1953" s="675"/>
      <c r="K1953" s="674"/>
      <c r="L1953" s="674"/>
      <c r="M1953" s="675"/>
    </row>
    <row r="1954" spans="4:13" x14ac:dyDescent="0.2">
      <c r="D1954" s="673"/>
      <c r="E1954" s="674"/>
      <c r="F1954" s="674"/>
      <c r="G1954" s="674"/>
      <c r="H1954" s="674"/>
      <c r="I1954" s="675"/>
      <c r="J1954" s="675"/>
      <c r="K1954" s="674"/>
      <c r="L1954" s="674"/>
      <c r="M1954" s="675"/>
    </row>
    <row r="1955" spans="4:13" x14ac:dyDescent="0.2">
      <c r="D1955" s="673"/>
      <c r="E1955" s="674"/>
      <c r="F1955" s="674"/>
      <c r="G1955" s="674"/>
      <c r="H1955" s="674"/>
      <c r="I1955" s="675"/>
      <c r="J1955" s="675"/>
      <c r="K1955" s="674"/>
      <c r="L1955" s="674"/>
      <c r="M1955" s="675"/>
    </row>
    <row r="1956" spans="4:13" x14ac:dyDescent="0.2">
      <c r="D1956" s="673"/>
      <c r="E1956" s="674"/>
      <c r="F1956" s="674"/>
      <c r="G1956" s="674"/>
      <c r="H1956" s="674"/>
      <c r="I1956" s="675"/>
      <c r="J1956" s="675"/>
      <c r="K1956" s="674"/>
      <c r="L1956" s="674"/>
      <c r="M1956" s="675"/>
    </row>
    <row r="1957" spans="4:13" x14ac:dyDescent="0.2">
      <c r="D1957" s="673"/>
      <c r="E1957" s="674"/>
      <c r="F1957" s="674"/>
      <c r="G1957" s="674"/>
      <c r="H1957" s="674"/>
      <c r="I1957" s="675"/>
      <c r="J1957" s="675"/>
      <c r="K1957" s="674"/>
      <c r="L1957" s="674"/>
      <c r="M1957" s="675"/>
    </row>
    <row r="1958" spans="4:13" x14ac:dyDescent="0.2">
      <c r="D1958" s="673"/>
      <c r="E1958" s="674"/>
      <c r="F1958" s="674"/>
      <c r="G1958" s="674"/>
      <c r="H1958" s="674"/>
      <c r="I1958" s="675"/>
      <c r="J1958" s="675"/>
      <c r="K1958" s="674"/>
      <c r="L1958" s="674"/>
      <c r="M1958" s="675"/>
    </row>
    <row r="1959" spans="4:13" x14ac:dyDescent="0.2">
      <c r="D1959" s="673"/>
      <c r="E1959" s="674"/>
      <c r="F1959" s="674"/>
      <c r="G1959" s="674"/>
      <c r="H1959" s="674"/>
      <c r="I1959" s="675"/>
      <c r="J1959" s="675"/>
      <c r="K1959" s="674"/>
      <c r="L1959" s="674"/>
      <c r="M1959" s="675"/>
    </row>
    <row r="1960" spans="4:13" x14ac:dyDescent="0.2">
      <c r="D1960" s="673"/>
      <c r="E1960" s="674"/>
      <c r="F1960" s="674"/>
      <c r="G1960" s="674"/>
      <c r="H1960" s="674"/>
      <c r="I1960" s="675"/>
      <c r="J1960" s="675"/>
      <c r="K1960" s="674"/>
      <c r="L1960" s="674"/>
      <c r="M1960" s="675"/>
    </row>
    <row r="1961" spans="4:13" x14ac:dyDescent="0.2">
      <c r="D1961" s="673"/>
      <c r="E1961" s="674"/>
      <c r="F1961" s="674"/>
      <c r="G1961" s="674"/>
      <c r="H1961" s="674"/>
      <c r="I1961" s="675"/>
      <c r="J1961" s="675"/>
      <c r="K1961" s="674"/>
      <c r="L1961" s="674"/>
      <c r="M1961" s="675"/>
    </row>
    <row r="1962" spans="4:13" x14ac:dyDescent="0.2">
      <c r="D1962" s="673"/>
      <c r="E1962" s="674"/>
      <c r="F1962" s="674"/>
      <c r="G1962" s="674"/>
      <c r="H1962" s="674"/>
      <c r="I1962" s="675"/>
      <c r="J1962" s="675"/>
      <c r="K1962" s="674"/>
      <c r="L1962" s="674"/>
      <c r="M1962" s="675"/>
    </row>
    <row r="1963" spans="4:13" x14ac:dyDescent="0.2">
      <c r="D1963" s="673"/>
      <c r="E1963" s="674"/>
      <c r="F1963" s="674"/>
      <c r="G1963" s="674"/>
      <c r="H1963" s="674"/>
      <c r="I1963" s="675"/>
      <c r="J1963" s="675"/>
      <c r="K1963" s="674"/>
      <c r="L1963" s="674"/>
      <c r="M1963" s="675"/>
    </row>
    <row r="1964" spans="4:13" x14ac:dyDescent="0.2">
      <c r="D1964" s="673"/>
      <c r="E1964" s="674"/>
      <c r="F1964" s="674"/>
      <c r="G1964" s="674"/>
      <c r="H1964" s="674"/>
      <c r="I1964" s="675"/>
      <c r="J1964" s="675"/>
      <c r="K1964" s="674"/>
      <c r="L1964" s="674"/>
      <c r="M1964" s="675"/>
    </row>
    <row r="1965" spans="4:13" x14ac:dyDescent="0.2">
      <c r="D1965" s="673"/>
      <c r="E1965" s="674"/>
      <c r="F1965" s="674"/>
      <c r="G1965" s="674"/>
      <c r="H1965" s="674"/>
      <c r="I1965" s="675"/>
      <c r="J1965" s="675"/>
      <c r="K1965" s="674"/>
      <c r="L1965" s="674"/>
      <c r="M1965" s="675"/>
    </row>
    <row r="1966" spans="4:13" x14ac:dyDescent="0.2">
      <c r="D1966" s="673"/>
      <c r="E1966" s="674"/>
      <c r="F1966" s="674"/>
      <c r="G1966" s="674"/>
      <c r="H1966" s="674"/>
      <c r="I1966" s="675"/>
      <c r="J1966" s="675"/>
      <c r="K1966" s="674"/>
      <c r="L1966" s="674"/>
      <c r="M1966" s="675"/>
    </row>
    <row r="1967" spans="4:13" x14ac:dyDescent="0.2">
      <c r="D1967" s="673"/>
      <c r="E1967" s="674"/>
      <c r="F1967" s="674"/>
      <c r="G1967" s="674"/>
      <c r="H1967" s="674"/>
      <c r="I1967" s="675"/>
      <c r="J1967" s="675"/>
      <c r="K1967" s="674"/>
      <c r="L1967" s="674"/>
      <c r="M1967" s="675"/>
    </row>
    <row r="1968" spans="4:13" x14ac:dyDescent="0.2">
      <c r="D1968" s="673"/>
      <c r="E1968" s="674"/>
      <c r="F1968" s="674"/>
      <c r="G1968" s="674"/>
      <c r="H1968" s="674"/>
      <c r="I1968" s="675"/>
      <c r="J1968" s="675"/>
      <c r="K1968" s="674"/>
      <c r="L1968" s="674"/>
      <c r="M1968" s="675"/>
    </row>
    <row r="1969" spans="4:13" x14ac:dyDescent="0.2">
      <c r="D1969" s="673"/>
      <c r="E1969" s="674"/>
      <c r="F1969" s="674"/>
      <c r="G1969" s="674"/>
      <c r="H1969" s="674"/>
      <c r="I1969" s="675"/>
      <c r="J1969" s="675"/>
      <c r="K1969" s="674"/>
      <c r="L1969" s="674"/>
      <c r="M1969" s="675"/>
    </row>
    <row r="1970" spans="4:13" x14ac:dyDescent="0.2">
      <c r="D1970" s="673"/>
      <c r="E1970" s="674"/>
      <c r="F1970" s="674"/>
      <c r="G1970" s="674"/>
      <c r="H1970" s="674"/>
      <c r="I1970" s="675"/>
      <c r="J1970" s="675"/>
      <c r="K1970" s="674"/>
      <c r="L1970" s="674"/>
      <c r="M1970" s="675"/>
    </row>
    <row r="1971" spans="4:13" x14ac:dyDescent="0.2">
      <c r="D1971" s="673"/>
      <c r="E1971" s="674"/>
      <c r="F1971" s="674"/>
      <c r="G1971" s="674"/>
      <c r="H1971" s="674"/>
      <c r="I1971" s="675"/>
      <c r="J1971" s="675"/>
      <c r="K1971" s="674"/>
      <c r="L1971" s="674"/>
      <c r="M1971" s="675"/>
    </row>
    <row r="1972" spans="4:13" x14ac:dyDescent="0.2">
      <c r="D1972" s="673"/>
      <c r="E1972" s="674"/>
      <c r="F1972" s="674"/>
      <c r="G1972" s="674"/>
      <c r="H1972" s="674"/>
      <c r="I1972" s="675"/>
      <c r="J1972" s="675"/>
      <c r="K1972" s="674"/>
      <c r="L1972" s="674"/>
      <c r="M1972" s="675"/>
    </row>
    <row r="1973" spans="4:13" x14ac:dyDescent="0.2">
      <c r="D1973" s="673"/>
      <c r="E1973" s="674"/>
      <c r="F1973" s="674"/>
      <c r="G1973" s="674"/>
      <c r="H1973" s="674"/>
      <c r="I1973" s="675"/>
      <c r="J1973" s="675"/>
      <c r="K1973" s="674"/>
      <c r="L1973" s="674"/>
      <c r="M1973" s="675"/>
    </row>
    <row r="1974" spans="4:13" x14ac:dyDescent="0.2">
      <c r="D1974" s="673"/>
      <c r="E1974" s="674"/>
      <c r="F1974" s="674"/>
      <c r="G1974" s="674"/>
      <c r="H1974" s="674"/>
      <c r="I1974" s="675"/>
      <c r="J1974" s="675"/>
      <c r="K1974" s="674"/>
      <c r="L1974" s="674"/>
      <c r="M1974" s="675"/>
    </row>
    <row r="1975" spans="4:13" x14ac:dyDescent="0.2">
      <c r="D1975" s="673"/>
      <c r="E1975" s="674"/>
      <c r="F1975" s="674"/>
      <c r="G1975" s="674"/>
      <c r="H1975" s="674"/>
      <c r="I1975" s="675"/>
      <c r="J1975" s="675"/>
      <c r="K1975" s="674"/>
      <c r="L1975" s="674"/>
      <c r="M1975" s="675"/>
    </row>
    <row r="1976" spans="4:13" x14ac:dyDescent="0.2">
      <c r="D1976" s="673"/>
      <c r="E1976" s="674"/>
      <c r="F1976" s="674"/>
      <c r="G1976" s="674"/>
      <c r="H1976" s="674"/>
      <c r="I1976" s="675"/>
      <c r="J1976" s="675"/>
      <c r="K1976" s="674"/>
      <c r="L1976" s="674"/>
      <c r="M1976" s="675"/>
    </row>
    <row r="1977" spans="4:13" x14ac:dyDescent="0.2">
      <c r="D1977" s="673"/>
      <c r="E1977" s="674"/>
      <c r="F1977" s="674"/>
      <c r="G1977" s="674"/>
      <c r="H1977" s="674"/>
      <c r="I1977" s="675"/>
      <c r="J1977" s="675"/>
      <c r="K1977" s="674"/>
      <c r="L1977" s="674"/>
      <c r="M1977" s="675"/>
    </row>
    <row r="1978" spans="4:13" x14ac:dyDescent="0.2">
      <c r="D1978" s="673"/>
      <c r="E1978" s="674"/>
      <c r="F1978" s="674"/>
      <c r="G1978" s="674"/>
      <c r="H1978" s="674"/>
      <c r="I1978" s="675"/>
      <c r="J1978" s="675"/>
      <c r="K1978" s="674"/>
      <c r="L1978" s="674"/>
      <c r="M1978" s="675"/>
    </row>
    <row r="1979" spans="4:13" x14ac:dyDescent="0.2">
      <c r="D1979" s="673"/>
      <c r="E1979" s="674"/>
      <c r="F1979" s="674"/>
      <c r="G1979" s="674"/>
      <c r="H1979" s="674"/>
      <c r="I1979" s="675"/>
      <c r="J1979" s="675"/>
      <c r="K1979" s="674"/>
      <c r="L1979" s="674"/>
      <c r="M1979" s="675"/>
    </row>
    <row r="1980" spans="4:13" x14ac:dyDescent="0.2">
      <c r="D1980" s="673"/>
      <c r="E1980" s="674"/>
      <c r="F1980" s="674"/>
      <c r="G1980" s="674"/>
      <c r="H1980" s="674"/>
      <c r="I1980" s="675"/>
      <c r="J1980" s="675"/>
      <c r="K1980" s="674"/>
      <c r="L1980" s="674"/>
      <c r="M1980" s="675"/>
    </row>
    <row r="1981" spans="4:13" x14ac:dyDescent="0.2">
      <c r="D1981" s="673"/>
      <c r="E1981" s="674"/>
      <c r="F1981" s="674"/>
      <c r="G1981" s="674"/>
      <c r="H1981" s="674"/>
      <c r="I1981" s="675"/>
      <c r="J1981" s="675"/>
      <c r="K1981" s="674"/>
      <c r="L1981" s="674"/>
      <c r="M1981" s="675"/>
    </row>
    <row r="1982" spans="4:13" x14ac:dyDescent="0.2">
      <c r="D1982" s="673"/>
      <c r="E1982" s="674"/>
      <c r="F1982" s="674"/>
      <c r="G1982" s="674"/>
      <c r="H1982" s="674"/>
      <c r="I1982" s="675"/>
      <c r="J1982" s="675"/>
      <c r="K1982" s="674"/>
      <c r="L1982" s="674"/>
      <c r="M1982" s="675"/>
    </row>
    <row r="1983" spans="4:13" x14ac:dyDescent="0.2">
      <c r="D1983" s="673"/>
      <c r="E1983" s="674"/>
      <c r="F1983" s="674"/>
      <c r="G1983" s="674"/>
      <c r="H1983" s="674"/>
      <c r="I1983" s="675"/>
      <c r="J1983" s="675"/>
      <c r="K1983" s="674"/>
      <c r="L1983" s="674"/>
      <c r="M1983" s="675"/>
    </row>
    <row r="1984" spans="4:13" x14ac:dyDescent="0.2">
      <c r="D1984" s="673"/>
      <c r="E1984" s="674"/>
      <c r="F1984" s="674"/>
      <c r="G1984" s="674"/>
      <c r="H1984" s="674"/>
      <c r="I1984" s="675"/>
      <c r="J1984" s="675"/>
      <c r="K1984" s="674"/>
      <c r="L1984" s="674"/>
      <c r="M1984" s="675"/>
    </row>
    <row r="1985" spans="4:13" x14ac:dyDescent="0.2">
      <c r="D1985" s="673"/>
      <c r="E1985" s="674"/>
      <c r="F1985" s="674"/>
      <c r="G1985" s="674"/>
      <c r="H1985" s="674"/>
      <c r="I1985" s="675"/>
      <c r="J1985" s="675"/>
      <c r="K1985" s="674"/>
      <c r="L1985" s="674"/>
      <c r="M1985" s="675"/>
    </row>
    <row r="1986" spans="4:13" x14ac:dyDescent="0.2">
      <c r="D1986" s="673"/>
      <c r="E1986" s="674"/>
      <c r="F1986" s="674"/>
      <c r="G1986" s="674"/>
      <c r="H1986" s="674"/>
      <c r="I1986" s="675"/>
      <c r="J1986" s="675"/>
      <c r="K1986" s="674"/>
      <c r="L1986" s="674"/>
      <c r="M1986" s="675"/>
    </row>
    <row r="1987" spans="4:13" x14ac:dyDescent="0.2">
      <c r="D1987" s="673"/>
      <c r="E1987" s="674"/>
      <c r="F1987" s="674"/>
      <c r="G1987" s="674"/>
      <c r="H1987" s="674"/>
      <c r="I1987" s="675"/>
      <c r="J1987" s="675"/>
      <c r="K1987" s="674"/>
      <c r="L1987" s="674"/>
      <c r="M1987" s="675"/>
    </row>
    <row r="1988" spans="4:13" x14ac:dyDescent="0.2">
      <c r="D1988" s="673"/>
      <c r="E1988" s="674"/>
      <c r="F1988" s="674"/>
      <c r="G1988" s="674"/>
      <c r="H1988" s="674"/>
      <c r="I1988" s="675"/>
      <c r="J1988" s="675"/>
      <c r="K1988" s="674"/>
      <c r="L1988" s="674"/>
      <c r="M1988" s="675"/>
    </row>
    <row r="1989" spans="4:13" x14ac:dyDescent="0.2">
      <c r="D1989" s="673"/>
      <c r="E1989" s="674"/>
      <c r="F1989" s="674"/>
      <c r="G1989" s="674"/>
      <c r="H1989" s="674"/>
      <c r="I1989" s="675"/>
      <c r="J1989" s="675"/>
      <c r="K1989" s="674"/>
      <c r="L1989" s="674"/>
      <c r="M1989" s="675"/>
    </row>
    <row r="1990" spans="4:13" x14ac:dyDescent="0.2">
      <c r="D1990" s="673"/>
      <c r="E1990" s="674"/>
      <c r="F1990" s="674"/>
      <c r="G1990" s="674"/>
      <c r="H1990" s="674"/>
      <c r="I1990" s="675"/>
      <c r="J1990" s="675"/>
      <c r="K1990" s="674"/>
      <c r="L1990" s="674"/>
      <c r="M1990" s="675"/>
    </row>
    <row r="1991" spans="4:13" x14ac:dyDescent="0.2">
      <c r="D1991" s="673"/>
      <c r="E1991" s="674"/>
      <c r="F1991" s="674"/>
      <c r="G1991" s="674"/>
      <c r="H1991" s="674"/>
      <c r="I1991" s="675"/>
      <c r="J1991" s="675"/>
      <c r="K1991" s="674"/>
      <c r="L1991" s="674"/>
      <c r="M1991" s="675"/>
    </row>
    <row r="1992" spans="4:13" x14ac:dyDescent="0.2">
      <c r="D1992" s="673"/>
      <c r="E1992" s="674"/>
      <c r="F1992" s="674"/>
      <c r="G1992" s="674"/>
      <c r="H1992" s="674"/>
      <c r="I1992" s="675"/>
      <c r="J1992" s="675"/>
      <c r="K1992" s="674"/>
      <c r="L1992" s="674"/>
      <c r="M1992" s="675"/>
    </row>
    <row r="1993" spans="4:13" x14ac:dyDescent="0.2">
      <c r="D1993" s="673"/>
      <c r="E1993" s="674"/>
      <c r="F1993" s="674"/>
      <c r="G1993" s="674"/>
      <c r="H1993" s="674"/>
      <c r="I1993" s="675"/>
      <c r="J1993" s="675"/>
      <c r="K1993" s="674"/>
      <c r="L1993" s="674"/>
      <c r="M1993" s="675"/>
    </row>
    <row r="1994" spans="4:13" x14ac:dyDescent="0.2">
      <c r="D1994" s="673"/>
      <c r="E1994" s="674"/>
      <c r="F1994" s="674"/>
      <c r="G1994" s="674"/>
      <c r="H1994" s="674"/>
      <c r="I1994" s="675"/>
      <c r="J1994" s="675"/>
      <c r="K1994" s="674"/>
      <c r="L1994" s="674"/>
      <c r="M1994" s="675"/>
    </row>
    <row r="1995" spans="4:13" x14ac:dyDescent="0.2">
      <c r="D1995" s="673"/>
      <c r="E1995" s="674"/>
      <c r="F1995" s="674"/>
      <c r="G1995" s="674"/>
      <c r="H1995" s="674"/>
      <c r="I1995" s="675"/>
      <c r="J1995" s="675"/>
      <c r="K1995" s="674"/>
      <c r="L1995" s="674"/>
      <c r="M1995" s="675"/>
    </row>
    <row r="1996" spans="4:13" x14ac:dyDescent="0.2">
      <c r="D1996" s="673"/>
      <c r="E1996" s="674"/>
      <c r="F1996" s="674"/>
      <c r="G1996" s="674"/>
      <c r="H1996" s="674"/>
      <c r="I1996" s="675"/>
      <c r="J1996" s="675"/>
      <c r="K1996" s="674"/>
      <c r="L1996" s="674"/>
      <c r="M1996" s="675"/>
    </row>
    <row r="1997" spans="4:13" x14ac:dyDescent="0.2">
      <c r="D1997" s="673"/>
      <c r="E1997" s="674"/>
      <c r="F1997" s="674"/>
      <c r="G1997" s="674"/>
      <c r="H1997" s="674"/>
      <c r="I1997" s="675"/>
      <c r="J1997" s="675"/>
      <c r="K1997" s="674"/>
      <c r="L1997" s="674"/>
      <c r="M1997" s="675"/>
    </row>
    <row r="1998" spans="4:13" x14ac:dyDescent="0.2">
      <c r="D1998" s="673"/>
      <c r="E1998" s="674"/>
      <c r="F1998" s="674"/>
      <c r="G1998" s="674"/>
      <c r="H1998" s="674"/>
      <c r="I1998" s="675"/>
      <c r="J1998" s="675"/>
      <c r="K1998" s="674"/>
      <c r="L1998" s="674"/>
      <c r="M1998" s="675"/>
    </row>
    <row r="1999" spans="4:13" x14ac:dyDescent="0.2">
      <c r="D1999" s="673"/>
      <c r="E1999" s="674"/>
      <c r="F1999" s="674"/>
      <c r="G1999" s="674"/>
      <c r="H1999" s="674"/>
      <c r="I1999" s="675"/>
      <c r="J1999" s="675"/>
      <c r="K1999" s="674"/>
      <c r="L1999" s="674"/>
      <c r="M1999" s="675"/>
    </row>
    <row r="2000" spans="4:13" x14ac:dyDescent="0.2">
      <c r="D2000" s="673"/>
      <c r="E2000" s="674"/>
      <c r="F2000" s="674"/>
      <c r="G2000" s="674"/>
      <c r="H2000" s="674"/>
      <c r="I2000" s="675"/>
      <c r="J2000" s="675"/>
      <c r="K2000" s="674"/>
      <c r="L2000" s="674"/>
      <c r="M2000" s="675"/>
    </row>
    <row r="2001" spans="4:13" x14ac:dyDescent="0.2">
      <c r="D2001" s="673"/>
      <c r="E2001" s="674"/>
      <c r="F2001" s="674"/>
      <c r="G2001" s="674"/>
      <c r="H2001" s="674"/>
      <c r="I2001" s="675"/>
      <c r="J2001" s="675"/>
      <c r="K2001" s="674"/>
      <c r="L2001" s="674"/>
      <c r="M2001" s="675"/>
    </row>
    <row r="2002" spans="4:13" x14ac:dyDescent="0.2">
      <c r="D2002" s="673"/>
      <c r="E2002" s="674"/>
      <c r="F2002" s="674"/>
      <c r="G2002" s="674"/>
      <c r="H2002" s="674"/>
      <c r="I2002" s="675"/>
      <c r="J2002" s="675"/>
      <c r="K2002" s="674"/>
      <c r="L2002" s="674"/>
      <c r="M2002" s="675"/>
    </row>
    <row r="2003" spans="4:13" x14ac:dyDescent="0.2">
      <c r="D2003" s="673"/>
      <c r="E2003" s="674"/>
      <c r="F2003" s="674"/>
      <c r="G2003" s="674"/>
      <c r="H2003" s="674"/>
      <c r="I2003" s="675"/>
      <c r="J2003" s="675"/>
      <c r="K2003" s="674"/>
      <c r="L2003" s="674"/>
      <c r="M2003" s="675"/>
    </row>
    <row r="2004" spans="4:13" x14ac:dyDescent="0.2">
      <c r="D2004" s="673"/>
      <c r="E2004" s="674"/>
      <c r="F2004" s="674"/>
      <c r="G2004" s="674"/>
      <c r="H2004" s="674"/>
      <c r="I2004" s="675"/>
      <c r="J2004" s="675"/>
      <c r="K2004" s="674"/>
      <c r="L2004" s="674"/>
      <c r="M2004" s="675"/>
    </row>
    <row r="2005" spans="4:13" x14ac:dyDescent="0.2">
      <c r="D2005" s="673"/>
      <c r="E2005" s="674"/>
      <c r="F2005" s="674"/>
      <c r="G2005" s="674"/>
      <c r="H2005" s="674"/>
      <c r="I2005" s="675"/>
      <c r="J2005" s="675"/>
      <c r="K2005" s="674"/>
      <c r="L2005" s="674"/>
      <c r="M2005" s="675"/>
    </row>
    <row r="2006" spans="4:13" x14ac:dyDescent="0.2">
      <c r="D2006" s="673"/>
      <c r="E2006" s="674"/>
      <c r="F2006" s="674"/>
      <c r="G2006" s="674"/>
      <c r="H2006" s="674"/>
      <c r="I2006" s="675"/>
      <c r="J2006" s="675"/>
      <c r="K2006" s="674"/>
      <c r="L2006" s="674"/>
      <c r="M2006" s="675"/>
    </row>
    <row r="2007" spans="4:13" x14ac:dyDescent="0.2">
      <c r="D2007" s="673"/>
      <c r="E2007" s="674"/>
      <c r="F2007" s="674"/>
      <c r="G2007" s="674"/>
      <c r="H2007" s="674"/>
      <c r="I2007" s="675"/>
      <c r="J2007" s="675"/>
      <c r="K2007" s="674"/>
      <c r="L2007" s="674"/>
      <c r="M2007" s="675"/>
    </row>
    <row r="2008" spans="4:13" x14ac:dyDescent="0.2">
      <c r="D2008" s="673"/>
      <c r="E2008" s="674"/>
      <c r="F2008" s="674"/>
      <c r="G2008" s="674"/>
      <c r="H2008" s="674"/>
      <c r="I2008" s="675"/>
      <c r="J2008" s="675"/>
      <c r="K2008" s="674"/>
      <c r="L2008" s="674"/>
      <c r="M2008" s="675"/>
    </row>
    <row r="2009" spans="4:13" x14ac:dyDescent="0.2">
      <c r="D2009" s="673"/>
      <c r="E2009" s="674"/>
      <c r="F2009" s="674"/>
      <c r="G2009" s="674"/>
      <c r="H2009" s="674"/>
      <c r="I2009" s="675"/>
      <c r="J2009" s="675"/>
      <c r="K2009" s="674"/>
      <c r="L2009" s="674"/>
      <c r="M2009" s="675"/>
    </row>
    <row r="2010" spans="4:13" x14ac:dyDescent="0.2">
      <c r="D2010" s="673"/>
      <c r="E2010" s="674"/>
      <c r="F2010" s="674"/>
      <c r="G2010" s="674"/>
      <c r="H2010" s="674"/>
      <c r="I2010" s="675"/>
      <c r="J2010" s="675"/>
      <c r="K2010" s="674"/>
      <c r="L2010" s="674"/>
      <c r="M2010" s="675"/>
    </row>
    <row r="2011" spans="4:13" x14ac:dyDescent="0.2">
      <c r="D2011" s="673"/>
      <c r="E2011" s="674"/>
      <c r="F2011" s="674"/>
      <c r="G2011" s="674"/>
      <c r="H2011" s="674"/>
      <c r="I2011" s="675"/>
      <c r="J2011" s="675"/>
      <c r="K2011" s="674"/>
      <c r="L2011" s="674"/>
      <c r="M2011" s="675"/>
    </row>
    <row r="2012" spans="4:13" x14ac:dyDescent="0.2">
      <c r="D2012" s="673"/>
      <c r="E2012" s="674"/>
      <c r="F2012" s="674"/>
      <c r="G2012" s="674"/>
      <c r="H2012" s="674"/>
      <c r="I2012" s="675"/>
      <c r="J2012" s="675"/>
      <c r="K2012" s="674"/>
      <c r="L2012" s="674"/>
      <c r="M2012" s="675"/>
    </row>
    <row r="2013" spans="4:13" x14ac:dyDescent="0.2">
      <c r="D2013" s="673"/>
      <c r="E2013" s="674"/>
      <c r="F2013" s="674"/>
      <c r="G2013" s="674"/>
      <c r="H2013" s="674"/>
      <c r="I2013" s="675"/>
      <c r="J2013" s="675"/>
      <c r="K2013" s="674"/>
      <c r="L2013" s="674"/>
      <c r="M2013" s="675"/>
    </row>
    <row r="2014" spans="4:13" x14ac:dyDescent="0.2">
      <c r="D2014" s="673"/>
      <c r="E2014" s="674"/>
      <c r="F2014" s="674"/>
      <c r="G2014" s="674"/>
      <c r="H2014" s="674"/>
      <c r="I2014" s="675"/>
      <c r="J2014" s="675"/>
      <c r="K2014" s="674"/>
      <c r="L2014" s="674"/>
      <c r="M2014" s="675"/>
    </row>
    <row r="2015" spans="4:13" x14ac:dyDescent="0.2">
      <c r="D2015" s="673"/>
      <c r="E2015" s="674"/>
      <c r="F2015" s="674"/>
      <c r="G2015" s="674"/>
      <c r="H2015" s="674"/>
      <c r="I2015" s="675"/>
      <c r="J2015" s="675"/>
      <c r="K2015" s="674"/>
      <c r="L2015" s="674"/>
      <c r="M2015" s="675"/>
    </row>
    <row r="2016" spans="4:13" x14ac:dyDescent="0.2">
      <c r="D2016" s="673"/>
      <c r="E2016" s="674"/>
      <c r="F2016" s="674"/>
      <c r="G2016" s="674"/>
      <c r="H2016" s="674"/>
      <c r="I2016" s="675"/>
      <c r="J2016" s="675"/>
      <c r="K2016" s="674"/>
      <c r="L2016" s="674"/>
      <c r="M2016" s="675"/>
    </row>
    <row r="2017" spans="4:13" x14ac:dyDescent="0.2">
      <c r="D2017" s="673"/>
      <c r="E2017" s="674"/>
      <c r="F2017" s="674"/>
      <c r="G2017" s="674"/>
      <c r="H2017" s="674"/>
      <c r="I2017" s="675"/>
      <c r="J2017" s="675"/>
      <c r="K2017" s="674"/>
      <c r="L2017" s="674"/>
      <c r="M2017" s="675"/>
    </row>
    <row r="2018" spans="4:13" x14ac:dyDescent="0.2">
      <c r="D2018" s="673"/>
      <c r="E2018" s="674"/>
      <c r="F2018" s="674"/>
      <c r="G2018" s="674"/>
      <c r="H2018" s="674"/>
      <c r="I2018" s="675"/>
      <c r="J2018" s="675"/>
      <c r="K2018" s="674"/>
      <c r="L2018" s="674"/>
      <c r="M2018" s="675"/>
    </row>
    <row r="2019" spans="4:13" x14ac:dyDescent="0.2">
      <c r="D2019" s="673"/>
      <c r="E2019" s="674"/>
      <c r="F2019" s="674"/>
      <c r="G2019" s="674"/>
      <c r="H2019" s="674"/>
      <c r="I2019" s="675"/>
      <c r="J2019" s="675"/>
      <c r="K2019" s="674"/>
      <c r="L2019" s="674"/>
      <c r="M2019" s="675"/>
    </row>
    <row r="2020" spans="4:13" x14ac:dyDescent="0.2">
      <c r="D2020" s="673"/>
      <c r="E2020" s="674"/>
      <c r="F2020" s="674"/>
      <c r="G2020" s="674"/>
      <c r="H2020" s="674"/>
      <c r="I2020" s="675"/>
      <c r="J2020" s="675"/>
      <c r="K2020" s="674"/>
      <c r="L2020" s="674"/>
      <c r="M2020" s="675"/>
    </row>
    <row r="2021" spans="4:13" x14ac:dyDescent="0.2">
      <c r="D2021" s="673"/>
      <c r="E2021" s="674"/>
      <c r="F2021" s="674"/>
      <c r="G2021" s="674"/>
      <c r="H2021" s="674"/>
      <c r="I2021" s="675"/>
      <c r="J2021" s="675"/>
      <c r="K2021" s="674"/>
      <c r="L2021" s="674"/>
      <c r="M2021" s="675"/>
    </row>
    <row r="2022" spans="4:13" x14ac:dyDescent="0.2">
      <c r="D2022" s="673"/>
      <c r="E2022" s="674"/>
      <c r="F2022" s="674"/>
      <c r="G2022" s="674"/>
      <c r="H2022" s="674"/>
      <c r="I2022" s="675"/>
      <c r="J2022" s="675"/>
      <c r="K2022" s="674"/>
      <c r="L2022" s="674"/>
      <c r="M2022" s="675"/>
    </row>
    <row r="2023" spans="4:13" x14ac:dyDescent="0.2">
      <c r="D2023" s="673"/>
      <c r="E2023" s="674"/>
      <c r="F2023" s="674"/>
      <c r="G2023" s="674"/>
      <c r="H2023" s="674"/>
      <c r="I2023" s="675"/>
      <c r="J2023" s="675"/>
      <c r="K2023" s="674"/>
      <c r="L2023" s="674"/>
      <c r="M2023" s="675"/>
    </row>
    <row r="2024" spans="4:13" x14ac:dyDescent="0.2">
      <c r="D2024" s="673"/>
      <c r="E2024" s="674"/>
      <c r="F2024" s="674"/>
      <c r="G2024" s="674"/>
      <c r="H2024" s="674"/>
      <c r="I2024" s="675"/>
      <c r="J2024" s="675"/>
      <c r="K2024" s="674"/>
      <c r="L2024" s="674"/>
      <c r="M2024" s="675"/>
    </row>
    <row r="2025" spans="4:13" x14ac:dyDescent="0.2">
      <c r="D2025" s="673"/>
      <c r="E2025" s="674"/>
      <c r="F2025" s="674"/>
      <c r="G2025" s="674"/>
      <c r="H2025" s="674"/>
      <c r="I2025" s="675"/>
      <c r="J2025" s="675"/>
      <c r="K2025" s="674"/>
      <c r="L2025" s="674"/>
      <c r="M2025" s="675"/>
    </row>
    <row r="2026" spans="4:13" x14ac:dyDescent="0.2">
      <c r="D2026" s="673"/>
      <c r="E2026" s="674"/>
      <c r="F2026" s="674"/>
      <c r="G2026" s="674"/>
      <c r="H2026" s="674"/>
      <c r="I2026" s="675"/>
      <c r="J2026" s="675"/>
      <c r="K2026" s="674"/>
      <c r="L2026" s="674"/>
      <c r="M2026" s="675"/>
    </row>
    <row r="2027" spans="4:13" x14ac:dyDescent="0.2">
      <c r="D2027" s="673"/>
      <c r="E2027" s="674"/>
      <c r="F2027" s="674"/>
      <c r="G2027" s="674"/>
      <c r="H2027" s="674"/>
      <c r="I2027" s="675"/>
      <c r="J2027" s="675"/>
      <c r="K2027" s="674"/>
      <c r="L2027" s="674"/>
      <c r="M2027" s="675"/>
    </row>
    <row r="2028" spans="4:13" x14ac:dyDescent="0.2">
      <c r="D2028" s="673"/>
      <c r="E2028" s="674"/>
      <c r="F2028" s="674"/>
      <c r="G2028" s="674"/>
      <c r="H2028" s="674"/>
      <c r="I2028" s="675"/>
      <c r="J2028" s="675"/>
      <c r="K2028" s="674"/>
      <c r="L2028" s="674"/>
      <c r="M2028" s="675"/>
    </row>
    <row r="2029" spans="4:13" x14ac:dyDescent="0.2">
      <c r="D2029" s="673"/>
      <c r="E2029" s="674"/>
      <c r="F2029" s="674"/>
      <c r="G2029" s="674"/>
      <c r="H2029" s="674"/>
      <c r="I2029" s="675"/>
      <c r="J2029" s="675"/>
      <c r="K2029" s="674"/>
      <c r="L2029" s="674"/>
      <c r="M2029" s="675"/>
    </row>
    <row r="2030" spans="4:13" x14ac:dyDescent="0.2">
      <c r="D2030" s="673"/>
      <c r="E2030" s="674"/>
      <c r="F2030" s="674"/>
      <c r="G2030" s="674"/>
      <c r="H2030" s="674"/>
      <c r="I2030" s="675"/>
      <c r="J2030" s="675"/>
      <c r="K2030" s="674"/>
      <c r="L2030" s="674"/>
      <c r="M2030" s="675"/>
    </row>
    <row r="2031" spans="4:13" x14ac:dyDescent="0.2">
      <c r="D2031" s="673"/>
      <c r="E2031" s="674"/>
      <c r="F2031" s="674"/>
      <c r="G2031" s="674"/>
      <c r="H2031" s="674"/>
      <c r="I2031" s="675"/>
      <c r="J2031" s="675"/>
      <c r="K2031" s="674"/>
      <c r="L2031" s="674"/>
      <c r="M2031" s="675"/>
    </row>
    <row r="2032" spans="4:13" x14ac:dyDescent="0.2">
      <c r="D2032" s="673"/>
      <c r="E2032" s="674"/>
      <c r="F2032" s="674"/>
      <c r="G2032" s="674"/>
      <c r="H2032" s="674"/>
      <c r="I2032" s="675"/>
      <c r="J2032" s="675"/>
      <c r="K2032" s="674"/>
      <c r="L2032" s="674"/>
      <c r="M2032" s="675"/>
    </row>
    <row r="2033" spans="4:13" x14ac:dyDescent="0.2">
      <c r="D2033" s="673"/>
      <c r="E2033" s="674"/>
      <c r="F2033" s="674"/>
      <c r="G2033" s="674"/>
      <c r="H2033" s="674"/>
      <c r="I2033" s="675"/>
      <c r="J2033" s="675"/>
      <c r="K2033" s="674"/>
      <c r="L2033" s="674"/>
      <c r="M2033" s="675"/>
    </row>
    <row r="2034" spans="4:13" x14ac:dyDescent="0.2">
      <c r="D2034" s="673"/>
      <c r="E2034" s="674"/>
      <c r="F2034" s="674"/>
      <c r="G2034" s="674"/>
      <c r="H2034" s="674"/>
      <c r="I2034" s="675"/>
      <c r="J2034" s="675"/>
      <c r="K2034" s="674"/>
      <c r="L2034" s="674"/>
      <c r="M2034" s="675"/>
    </row>
    <row r="2035" spans="4:13" x14ac:dyDescent="0.2">
      <c r="D2035" s="673"/>
      <c r="E2035" s="674"/>
      <c r="F2035" s="674"/>
      <c r="G2035" s="674"/>
      <c r="H2035" s="674"/>
      <c r="I2035" s="675"/>
      <c r="J2035" s="675"/>
      <c r="K2035" s="674"/>
      <c r="L2035" s="674"/>
      <c r="M2035" s="675"/>
    </row>
    <row r="2036" spans="4:13" x14ac:dyDescent="0.2">
      <c r="D2036" s="673"/>
      <c r="E2036" s="674"/>
      <c r="F2036" s="674"/>
      <c r="G2036" s="674"/>
      <c r="H2036" s="674"/>
      <c r="I2036" s="675"/>
      <c r="J2036" s="675"/>
      <c r="K2036" s="674"/>
      <c r="L2036" s="674"/>
      <c r="M2036" s="675"/>
    </row>
    <row r="2037" spans="4:13" x14ac:dyDescent="0.2">
      <c r="D2037" s="673"/>
      <c r="E2037" s="674"/>
      <c r="F2037" s="674"/>
      <c r="G2037" s="674"/>
      <c r="H2037" s="674"/>
      <c r="I2037" s="675"/>
      <c r="J2037" s="675"/>
      <c r="K2037" s="674"/>
      <c r="L2037" s="674"/>
      <c r="M2037" s="675"/>
    </row>
    <row r="2038" spans="4:13" x14ac:dyDescent="0.2">
      <c r="D2038" s="673"/>
      <c r="E2038" s="674"/>
      <c r="F2038" s="674"/>
      <c r="G2038" s="674"/>
      <c r="H2038" s="674"/>
      <c r="I2038" s="675"/>
      <c r="J2038" s="675"/>
      <c r="K2038" s="674"/>
      <c r="L2038" s="674"/>
      <c r="M2038" s="675"/>
    </row>
    <row r="2039" spans="4:13" x14ac:dyDescent="0.2">
      <c r="D2039" s="673"/>
      <c r="E2039" s="674"/>
      <c r="F2039" s="674"/>
      <c r="G2039" s="674"/>
      <c r="H2039" s="674"/>
      <c r="I2039" s="675"/>
      <c r="J2039" s="675"/>
      <c r="K2039" s="674"/>
      <c r="L2039" s="674"/>
      <c r="M2039" s="675"/>
    </row>
    <row r="2040" spans="4:13" x14ac:dyDescent="0.2">
      <c r="D2040" s="673"/>
      <c r="E2040" s="674"/>
      <c r="F2040" s="674"/>
      <c r="G2040" s="674"/>
      <c r="H2040" s="674"/>
      <c r="I2040" s="675"/>
      <c r="J2040" s="675"/>
      <c r="K2040" s="674"/>
      <c r="L2040" s="674"/>
      <c r="M2040" s="675"/>
    </row>
    <row r="2041" spans="4:13" x14ac:dyDescent="0.2">
      <c r="D2041" s="673"/>
      <c r="E2041" s="674"/>
      <c r="F2041" s="674"/>
      <c r="G2041" s="674"/>
      <c r="H2041" s="674"/>
      <c r="I2041" s="675"/>
      <c r="J2041" s="675"/>
      <c r="K2041" s="674"/>
      <c r="L2041" s="674"/>
      <c r="M2041" s="675"/>
    </row>
    <row r="2042" spans="4:13" x14ac:dyDescent="0.2">
      <c r="D2042" s="673"/>
      <c r="E2042" s="674"/>
      <c r="F2042" s="674"/>
      <c r="G2042" s="674"/>
      <c r="H2042" s="674"/>
      <c r="I2042" s="675"/>
      <c r="J2042" s="675"/>
      <c r="K2042" s="674"/>
      <c r="L2042" s="674"/>
      <c r="M2042" s="675"/>
    </row>
    <row r="2043" spans="4:13" x14ac:dyDescent="0.2">
      <c r="D2043" s="673"/>
      <c r="E2043" s="674"/>
      <c r="F2043" s="674"/>
      <c r="G2043" s="674"/>
      <c r="H2043" s="674"/>
      <c r="I2043" s="675"/>
      <c r="J2043" s="675"/>
      <c r="K2043" s="674"/>
      <c r="L2043" s="674"/>
      <c r="M2043" s="675"/>
    </row>
    <row r="2044" spans="4:13" x14ac:dyDescent="0.2">
      <c r="D2044" s="673"/>
      <c r="E2044" s="674"/>
      <c r="F2044" s="674"/>
      <c r="G2044" s="674"/>
      <c r="H2044" s="674"/>
      <c r="I2044" s="675"/>
      <c r="J2044" s="675"/>
      <c r="K2044" s="674"/>
      <c r="L2044" s="674"/>
      <c r="M2044" s="675"/>
    </row>
    <row r="2045" spans="4:13" x14ac:dyDescent="0.2">
      <c r="D2045" s="673"/>
      <c r="E2045" s="674"/>
      <c r="F2045" s="674"/>
      <c r="G2045" s="674"/>
      <c r="H2045" s="674"/>
      <c r="I2045" s="675"/>
      <c r="J2045" s="675"/>
      <c r="K2045" s="674"/>
      <c r="L2045" s="674"/>
      <c r="M2045" s="675"/>
    </row>
    <row r="2046" spans="4:13" x14ac:dyDescent="0.2">
      <c r="D2046" s="673"/>
      <c r="E2046" s="674"/>
      <c r="F2046" s="674"/>
      <c r="G2046" s="674"/>
      <c r="H2046" s="674"/>
      <c r="I2046" s="675"/>
      <c r="J2046" s="675"/>
      <c r="K2046" s="674"/>
      <c r="L2046" s="674"/>
      <c r="M2046" s="675"/>
    </row>
    <row r="2047" spans="4:13" x14ac:dyDescent="0.2">
      <c r="D2047" s="673"/>
      <c r="E2047" s="674"/>
      <c r="F2047" s="674"/>
      <c r="G2047" s="674"/>
      <c r="H2047" s="674"/>
      <c r="I2047" s="675"/>
      <c r="J2047" s="675"/>
      <c r="K2047" s="674"/>
      <c r="L2047" s="674"/>
      <c r="M2047" s="675"/>
    </row>
    <row r="2048" spans="4:13" x14ac:dyDescent="0.2">
      <c r="D2048" s="673"/>
      <c r="E2048" s="674"/>
      <c r="F2048" s="674"/>
      <c r="G2048" s="674"/>
      <c r="H2048" s="674"/>
      <c r="I2048" s="675"/>
      <c r="J2048" s="675"/>
      <c r="K2048" s="674"/>
      <c r="L2048" s="674"/>
      <c r="M2048" s="675"/>
    </row>
    <row r="2049" spans="4:13" x14ac:dyDescent="0.2">
      <c r="D2049" s="673"/>
      <c r="E2049" s="674"/>
      <c r="F2049" s="674"/>
      <c r="G2049" s="674"/>
      <c r="H2049" s="674"/>
      <c r="I2049" s="675"/>
      <c r="J2049" s="675"/>
      <c r="K2049" s="674"/>
      <c r="L2049" s="674"/>
      <c r="M2049" s="675"/>
    </row>
    <row r="2050" spans="4:13" x14ac:dyDescent="0.2">
      <c r="D2050" s="673"/>
      <c r="E2050" s="674"/>
      <c r="F2050" s="674"/>
      <c r="G2050" s="674"/>
      <c r="H2050" s="674"/>
      <c r="I2050" s="675"/>
      <c r="J2050" s="675"/>
      <c r="K2050" s="674"/>
      <c r="L2050" s="674"/>
      <c r="M2050" s="675"/>
    </row>
    <row r="2051" spans="4:13" x14ac:dyDescent="0.2">
      <c r="D2051" s="673"/>
      <c r="E2051" s="674"/>
      <c r="F2051" s="674"/>
      <c r="G2051" s="674"/>
      <c r="H2051" s="674"/>
      <c r="I2051" s="675"/>
      <c r="J2051" s="675"/>
      <c r="K2051" s="674"/>
      <c r="L2051" s="674"/>
      <c r="M2051" s="675"/>
    </row>
    <row r="2052" spans="4:13" x14ac:dyDescent="0.2">
      <c r="D2052" s="673"/>
      <c r="E2052" s="674"/>
      <c r="F2052" s="674"/>
      <c r="G2052" s="674"/>
      <c r="H2052" s="674"/>
      <c r="I2052" s="675"/>
      <c r="J2052" s="675"/>
      <c r="K2052" s="674"/>
      <c r="L2052" s="674"/>
      <c r="M2052" s="675"/>
    </row>
    <row r="2053" spans="4:13" x14ac:dyDescent="0.2">
      <c r="D2053" s="673"/>
      <c r="E2053" s="674"/>
      <c r="F2053" s="674"/>
      <c r="G2053" s="674"/>
      <c r="H2053" s="674"/>
      <c r="I2053" s="675"/>
      <c r="J2053" s="675"/>
      <c r="K2053" s="674"/>
      <c r="L2053" s="674"/>
      <c r="M2053" s="675"/>
    </row>
    <row r="2054" spans="4:13" x14ac:dyDescent="0.2">
      <c r="D2054" s="673"/>
      <c r="E2054" s="674"/>
      <c r="F2054" s="674"/>
      <c r="G2054" s="674"/>
      <c r="H2054" s="674"/>
      <c r="I2054" s="675"/>
      <c r="J2054" s="675"/>
      <c r="K2054" s="674"/>
      <c r="L2054" s="674"/>
      <c r="M2054" s="675"/>
    </row>
    <row r="2055" spans="4:13" x14ac:dyDescent="0.2">
      <c r="D2055" s="673"/>
      <c r="E2055" s="674"/>
      <c r="F2055" s="674"/>
      <c r="G2055" s="674"/>
      <c r="H2055" s="674"/>
      <c r="I2055" s="675"/>
      <c r="J2055" s="675"/>
      <c r="K2055" s="674"/>
      <c r="L2055" s="674"/>
      <c r="M2055" s="675"/>
    </row>
    <row r="2056" spans="4:13" x14ac:dyDescent="0.2">
      <c r="D2056" s="673"/>
      <c r="E2056" s="674"/>
      <c r="F2056" s="674"/>
      <c r="G2056" s="674"/>
      <c r="H2056" s="674"/>
      <c r="I2056" s="675"/>
      <c r="J2056" s="675"/>
      <c r="K2056" s="674"/>
      <c r="L2056" s="674"/>
      <c r="M2056" s="675"/>
    </row>
    <row r="2057" spans="4:13" x14ac:dyDescent="0.2">
      <c r="D2057" s="673"/>
      <c r="E2057" s="674"/>
      <c r="F2057" s="674"/>
      <c r="G2057" s="674"/>
      <c r="H2057" s="674"/>
      <c r="I2057" s="675"/>
      <c r="J2057" s="675"/>
      <c r="K2057" s="674"/>
      <c r="L2057" s="674"/>
      <c r="M2057" s="675"/>
    </row>
    <row r="2058" spans="4:13" x14ac:dyDescent="0.2">
      <c r="D2058" s="673"/>
      <c r="E2058" s="674"/>
      <c r="F2058" s="674"/>
      <c r="G2058" s="674"/>
      <c r="H2058" s="674"/>
      <c r="I2058" s="675"/>
      <c r="J2058" s="675"/>
      <c r="K2058" s="674"/>
      <c r="L2058" s="674"/>
      <c r="M2058" s="675"/>
    </row>
    <row r="2059" spans="4:13" x14ac:dyDescent="0.2">
      <c r="D2059" s="673"/>
      <c r="E2059" s="674"/>
      <c r="F2059" s="674"/>
      <c r="G2059" s="674"/>
      <c r="H2059" s="674"/>
      <c r="I2059" s="675"/>
      <c r="J2059" s="675"/>
      <c r="K2059" s="674"/>
      <c r="L2059" s="674"/>
      <c r="M2059" s="675"/>
    </row>
    <row r="2060" spans="4:13" x14ac:dyDescent="0.2">
      <c r="D2060" s="673"/>
      <c r="E2060" s="674"/>
      <c r="F2060" s="674"/>
      <c r="G2060" s="674"/>
      <c r="H2060" s="674"/>
      <c r="I2060" s="675"/>
      <c r="J2060" s="675"/>
      <c r="K2060" s="674"/>
      <c r="L2060" s="674"/>
      <c r="M2060" s="675"/>
    </row>
    <row r="2061" spans="4:13" x14ac:dyDescent="0.2">
      <c r="D2061" s="673"/>
      <c r="E2061" s="674"/>
      <c r="F2061" s="674"/>
      <c r="G2061" s="674"/>
      <c r="H2061" s="674"/>
      <c r="I2061" s="675"/>
      <c r="J2061" s="675"/>
      <c r="K2061" s="674"/>
      <c r="L2061" s="674"/>
      <c r="M2061" s="675"/>
    </row>
    <row r="2062" spans="4:13" x14ac:dyDescent="0.2">
      <c r="D2062" s="673"/>
      <c r="E2062" s="674"/>
      <c r="F2062" s="674"/>
      <c r="G2062" s="674"/>
      <c r="H2062" s="674"/>
      <c r="I2062" s="675"/>
      <c r="J2062" s="675"/>
      <c r="K2062" s="674"/>
      <c r="L2062" s="674"/>
      <c r="M2062" s="675"/>
    </row>
    <row r="2063" spans="4:13" x14ac:dyDescent="0.2">
      <c r="D2063" s="673"/>
      <c r="E2063" s="674"/>
      <c r="F2063" s="674"/>
      <c r="G2063" s="674"/>
      <c r="H2063" s="674"/>
      <c r="I2063" s="675"/>
      <c r="J2063" s="675"/>
      <c r="K2063" s="674"/>
      <c r="L2063" s="674"/>
      <c r="M2063" s="675"/>
    </row>
    <row r="2064" spans="4:13" x14ac:dyDescent="0.2">
      <c r="D2064" s="673"/>
      <c r="E2064" s="674"/>
      <c r="F2064" s="674"/>
      <c r="G2064" s="674"/>
      <c r="H2064" s="674"/>
      <c r="I2064" s="675"/>
      <c r="J2064" s="675"/>
      <c r="K2064" s="674"/>
      <c r="L2064" s="674"/>
      <c r="M2064" s="675"/>
    </row>
    <row r="2065" spans="4:13" x14ac:dyDescent="0.2">
      <c r="D2065" s="673"/>
      <c r="E2065" s="674"/>
      <c r="F2065" s="674"/>
      <c r="G2065" s="674"/>
      <c r="H2065" s="674"/>
      <c r="I2065" s="675"/>
      <c r="J2065" s="675"/>
      <c r="K2065" s="674"/>
      <c r="L2065" s="674"/>
      <c r="M2065" s="675"/>
    </row>
    <row r="2066" spans="4:13" x14ac:dyDescent="0.2">
      <c r="D2066" s="673"/>
      <c r="E2066" s="674"/>
      <c r="F2066" s="674"/>
      <c r="G2066" s="674"/>
      <c r="H2066" s="674"/>
      <c r="I2066" s="675"/>
      <c r="J2066" s="675"/>
      <c r="K2066" s="674"/>
      <c r="L2066" s="674"/>
      <c r="M2066" s="675"/>
    </row>
    <row r="2067" spans="4:13" x14ac:dyDescent="0.2">
      <c r="D2067" s="673"/>
      <c r="E2067" s="674"/>
      <c r="F2067" s="674"/>
      <c r="G2067" s="674"/>
      <c r="H2067" s="674"/>
      <c r="I2067" s="675"/>
      <c r="J2067" s="675"/>
      <c r="K2067" s="674"/>
      <c r="L2067" s="674"/>
      <c r="M2067" s="675"/>
    </row>
    <row r="2068" spans="4:13" x14ac:dyDescent="0.2">
      <c r="D2068" s="673"/>
      <c r="E2068" s="674"/>
      <c r="F2068" s="674"/>
      <c r="G2068" s="674"/>
      <c r="H2068" s="674"/>
      <c r="I2068" s="675"/>
      <c r="J2068" s="675"/>
      <c r="K2068" s="674"/>
      <c r="L2068" s="674"/>
      <c r="M2068" s="675"/>
    </row>
    <row r="2069" spans="4:13" x14ac:dyDescent="0.2">
      <c r="D2069" s="673"/>
      <c r="E2069" s="674"/>
      <c r="F2069" s="674"/>
      <c r="G2069" s="674"/>
      <c r="H2069" s="674"/>
      <c r="I2069" s="675"/>
      <c r="J2069" s="675"/>
      <c r="K2069" s="674"/>
      <c r="L2069" s="674"/>
      <c r="M2069" s="675"/>
    </row>
    <row r="2070" spans="4:13" x14ac:dyDescent="0.2">
      <c r="D2070" s="673"/>
      <c r="E2070" s="674"/>
      <c r="F2070" s="674"/>
      <c r="G2070" s="674"/>
      <c r="H2070" s="674"/>
      <c r="I2070" s="675"/>
      <c r="J2070" s="675"/>
      <c r="K2070" s="674"/>
      <c r="L2070" s="674"/>
      <c r="M2070" s="675"/>
    </row>
    <row r="2071" spans="4:13" x14ac:dyDescent="0.2">
      <c r="D2071" s="673"/>
      <c r="E2071" s="674"/>
      <c r="F2071" s="674"/>
      <c r="G2071" s="674"/>
      <c r="H2071" s="674"/>
      <c r="I2071" s="675"/>
      <c r="J2071" s="675"/>
      <c r="K2071" s="674"/>
      <c r="L2071" s="674"/>
      <c r="M2071" s="675"/>
    </row>
    <row r="2072" spans="4:13" x14ac:dyDescent="0.2">
      <c r="D2072" s="673"/>
      <c r="E2072" s="674"/>
      <c r="F2072" s="674"/>
      <c r="G2072" s="674"/>
      <c r="H2072" s="674"/>
      <c r="I2072" s="675"/>
      <c r="J2072" s="675"/>
      <c r="K2072" s="674"/>
      <c r="L2072" s="674"/>
      <c r="M2072" s="675"/>
    </row>
    <row r="2073" spans="4:13" x14ac:dyDescent="0.2">
      <c r="D2073" s="673"/>
      <c r="E2073" s="674"/>
      <c r="F2073" s="674"/>
      <c r="G2073" s="674"/>
      <c r="H2073" s="674"/>
      <c r="I2073" s="675"/>
      <c r="J2073" s="675"/>
      <c r="K2073" s="674"/>
      <c r="L2073" s="674"/>
      <c r="M2073" s="675"/>
    </row>
    <row r="2074" spans="4:13" x14ac:dyDescent="0.2">
      <c r="D2074" s="673"/>
      <c r="E2074" s="674"/>
      <c r="F2074" s="674"/>
      <c r="G2074" s="674"/>
      <c r="H2074" s="674"/>
      <c r="I2074" s="675"/>
      <c r="J2074" s="675"/>
      <c r="K2074" s="674"/>
      <c r="L2074" s="674"/>
      <c r="M2074" s="675"/>
    </row>
    <row r="2075" spans="4:13" x14ac:dyDescent="0.2">
      <c r="D2075" s="673"/>
      <c r="E2075" s="674"/>
      <c r="F2075" s="674"/>
      <c r="G2075" s="674"/>
      <c r="H2075" s="674"/>
      <c r="I2075" s="675"/>
      <c r="J2075" s="675"/>
      <c r="K2075" s="674"/>
      <c r="L2075" s="674"/>
      <c r="M2075" s="675"/>
    </row>
    <row r="2076" spans="4:13" x14ac:dyDescent="0.2">
      <c r="D2076" s="673"/>
      <c r="E2076" s="674"/>
      <c r="F2076" s="674"/>
      <c r="G2076" s="674"/>
      <c r="H2076" s="674"/>
      <c r="I2076" s="675"/>
      <c r="J2076" s="675"/>
      <c r="K2076" s="674"/>
      <c r="L2076" s="674"/>
      <c r="M2076" s="675"/>
    </row>
    <row r="2077" spans="4:13" x14ac:dyDescent="0.2">
      <c r="D2077" s="673"/>
      <c r="E2077" s="674"/>
      <c r="F2077" s="674"/>
      <c r="G2077" s="674"/>
      <c r="H2077" s="674"/>
      <c r="I2077" s="675"/>
      <c r="J2077" s="675"/>
      <c r="K2077" s="674"/>
      <c r="L2077" s="674"/>
      <c r="M2077" s="675"/>
    </row>
    <row r="2078" spans="4:13" x14ac:dyDescent="0.2">
      <c r="D2078" s="673"/>
      <c r="E2078" s="674"/>
      <c r="F2078" s="674"/>
      <c r="G2078" s="674"/>
      <c r="H2078" s="674"/>
      <c r="I2078" s="675"/>
      <c r="J2078" s="675"/>
      <c r="K2078" s="674"/>
      <c r="L2078" s="674"/>
      <c r="M2078" s="675"/>
    </row>
    <row r="2079" spans="4:13" x14ac:dyDescent="0.2">
      <c r="D2079" s="673"/>
      <c r="E2079" s="674"/>
      <c r="F2079" s="674"/>
      <c r="G2079" s="674"/>
      <c r="H2079" s="674"/>
      <c r="I2079" s="675"/>
      <c r="J2079" s="675"/>
      <c r="K2079" s="674"/>
      <c r="L2079" s="674"/>
      <c r="M2079" s="675"/>
    </row>
    <row r="2080" spans="4:13" x14ac:dyDescent="0.2">
      <c r="D2080" s="673"/>
      <c r="E2080" s="674"/>
      <c r="F2080" s="674"/>
      <c r="G2080" s="674"/>
      <c r="H2080" s="674"/>
      <c r="I2080" s="675"/>
      <c r="J2080" s="675"/>
      <c r="K2080" s="674"/>
      <c r="L2080" s="674"/>
      <c r="M2080" s="675"/>
    </row>
    <row r="2081" spans="4:13" x14ac:dyDescent="0.2">
      <c r="D2081" s="673"/>
      <c r="E2081" s="674"/>
      <c r="F2081" s="674"/>
      <c r="G2081" s="674"/>
      <c r="H2081" s="674"/>
      <c r="I2081" s="675"/>
      <c r="J2081" s="675"/>
      <c r="K2081" s="674"/>
      <c r="L2081" s="674"/>
      <c r="M2081" s="675"/>
    </row>
    <row r="2082" spans="4:13" x14ac:dyDescent="0.2">
      <c r="D2082" s="673"/>
      <c r="E2082" s="674"/>
      <c r="F2082" s="674"/>
      <c r="G2082" s="674"/>
      <c r="H2082" s="674"/>
      <c r="I2082" s="675"/>
      <c r="J2082" s="675"/>
      <c r="K2082" s="674"/>
      <c r="L2082" s="674"/>
      <c r="M2082" s="675"/>
    </row>
    <row r="2083" spans="4:13" x14ac:dyDescent="0.2">
      <c r="D2083" s="673"/>
      <c r="E2083" s="674"/>
      <c r="F2083" s="674"/>
      <c r="G2083" s="674"/>
      <c r="H2083" s="674"/>
      <c r="I2083" s="675"/>
      <c r="J2083" s="675"/>
      <c r="K2083" s="674"/>
      <c r="L2083" s="674"/>
      <c r="M2083" s="675"/>
    </row>
    <row r="2084" spans="4:13" x14ac:dyDescent="0.2">
      <c r="D2084" s="673"/>
      <c r="E2084" s="674"/>
      <c r="F2084" s="674"/>
      <c r="G2084" s="674"/>
      <c r="H2084" s="674"/>
      <c r="I2084" s="675"/>
      <c r="J2084" s="675"/>
      <c r="K2084" s="674"/>
      <c r="L2084" s="674"/>
      <c r="M2084" s="675"/>
    </row>
    <row r="2085" spans="4:13" x14ac:dyDescent="0.2">
      <c r="D2085" s="673"/>
      <c r="E2085" s="674"/>
      <c r="F2085" s="674"/>
      <c r="G2085" s="674"/>
      <c r="H2085" s="674"/>
      <c r="I2085" s="675"/>
      <c r="J2085" s="675"/>
      <c r="K2085" s="674"/>
      <c r="L2085" s="674"/>
      <c r="M2085" s="675"/>
    </row>
    <row r="2086" spans="4:13" x14ac:dyDescent="0.2">
      <c r="D2086" s="673"/>
      <c r="E2086" s="674"/>
      <c r="F2086" s="674"/>
      <c r="G2086" s="674"/>
      <c r="H2086" s="674"/>
      <c r="I2086" s="675"/>
      <c r="J2086" s="675"/>
      <c r="K2086" s="674"/>
      <c r="L2086" s="674"/>
      <c r="M2086" s="675"/>
    </row>
    <row r="2087" spans="4:13" x14ac:dyDescent="0.2">
      <c r="D2087" s="673"/>
      <c r="E2087" s="674"/>
      <c r="F2087" s="674"/>
      <c r="G2087" s="674"/>
      <c r="H2087" s="674"/>
      <c r="I2087" s="675"/>
      <c r="J2087" s="675"/>
      <c r="K2087" s="674"/>
      <c r="L2087" s="674"/>
      <c r="M2087" s="675"/>
    </row>
    <row r="2088" spans="4:13" x14ac:dyDescent="0.2">
      <c r="D2088" s="673"/>
      <c r="E2088" s="674"/>
      <c r="F2088" s="674"/>
      <c r="G2088" s="674"/>
      <c r="H2088" s="674"/>
      <c r="I2088" s="675"/>
      <c r="J2088" s="675"/>
      <c r="K2088" s="674"/>
      <c r="L2088" s="674"/>
      <c r="M2088" s="675"/>
    </row>
    <row r="2089" spans="4:13" x14ac:dyDescent="0.2">
      <c r="D2089" s="673"/>
      <c r="E2089" s="674"/>
      <c r="F2089" s="674"/>
      <c r="G2089" s="674"/>
      <c r="H2089" s="674"/>
      <c r="I2089" s="675"/>
      <c r="J2089" s="675"/>
      <c r="K2089" s="674"/>
      <c r="L2089" s="674"/>
      <c r="M2089" s="675"/>
    </row>
    <row r="2090" spans="4:13" x14ac:dyDescent="0.2">
      <c r="D2090" s="673"/>
      <c r="E2090" s="674"/>
      <c r="F2090" s="674"/>
      <c r="G2090" s="674"/>
      <c r="H2090" s="674"/>
      <c r="I2090" s="675"/>
      <c r="J2090" s="675"/>
      <c r="K2090" s="674"/>
      <c r="L2090" s="674"/>
      <c r="M2090" s="675"/>
    </row>
    <row r="2091" spans="4:13" x14ac:dyDescent="0.2">
      <c r="D2091" s="673"/>
      <c r="E2091" s="674"/>
      <c r="F2091" s="674"/>
      <c r="G2091" s="674"/>
      <c r="H2091" s="674"/>
      <c r="I2091" s="675"/>
      <c r="J2091" s="675"/>
      <c r="K2091" s="674"/>
      <c r="L2091" s="674"/>
      <c r="M2091" s="675"/>
    </row>
    <row r="2092" spans="4:13" x14ac:dyDescent="0.2">
      <c r="D2092" s="673"/>
      <c r="E2092" s="674"/>
      <c r="F2092" s="674"/>
      <c r="G2092" s="674"/>
      <c r="H2092" s="674"/>
      <c r="I2092" s="675"/>
      <c r="J2092" s="675"/>
      <c r="K2092" s="674"/>
      <c r="L2092" s="674"/>
      <c r="M2092" s="675"/>
    </row>
    <row r="2093" spans="4:13" x14ac:dyDescent="0.2">
      <c r="D2093" s="673"/>
      <c r="E2093" s="674"/>
      <c r="F2093" s="674"/>
      <c r="G2093" s="674"/>
      <c r="H2093" s="674"/>
      <c r="I2093" s="675"/>
      <c r="J2093" s="675"/>
      <c r="K2093" s="674"/>
      <c r="L2093" s="674"/>
      <c r="M2093" s="675"/>
    </row>
    <row r="2094" spans="4:13" x14ac:dyDescent="0.2">
      <c r="D2094" s="673"/>
      <c r="E2094" s="674"/>
      <c r="F2094" s="674"/>
      <c r="G2094" s="674"/>
      <c r="H2094" s="674"/>
      <c r="I2094" s="675"/>
      <c r="J2094" s="675"/>
      <c r="K2094" s="674"/>
      <c r="L2094" s="674"/>
      <c r="M2094" s="675"/>
    </row>
    <row r="2095" spans="4:13" x14ac:dyDescent="0.2">
      <c r="D2095" s="673"/>
      <c r="E2095" s="674"/>
      <c r="F2095" s="674"/>
      <c r="G2095" s="674"/>
      <c r="H2095" s="674"/>
      <c r="I2095" s="675"/>
      <c r="J2095" s="675"/>
      <c r="K2095" s="674"/>
      <c r="L2095" s="674"/>
      <c r="M2095" s="675"/>
    </row>
    <row r="2096" spans="4:13" x14ac:dyDescent="0.2">
      <c r="D2096" s="673"/>
      <c r="E2096" s="674"/>
      <c r="F2096" s="674"/>
      <c r="G2096" s="674"/>
      <c r="H2096" s="674"/>
      <c r="I2096" s="675"/>
      <c r="J2096" s="675"/>
      <c r="K2096" s="674"/>
      <c r="L2096" s="674"/>
      <c r="M2096" s="675"/>
    </row>
    <row r="2097" spans="4:13" x14ac:dyDescent="0.2">
      <c r="D2097" s="673"/>
      <c r="E2097" s="674"/>
      <c r="F2097" s="674"/>
      <c r="G2097" s="674"/>
      <c r="H2097" s="674"/>
      <c r="I2097" s="675"/>
      <c r="J2097" s="675"/>
      <c r="K2097" s="674"/>
      <c r="L2097" s="674"/>
      <c r="M2097" s="675"/>
    </row>
    <row r="2098" spans="4:13" x14ac:dyDescent="0.2">
      <c r="D2098" s="673"/>
      <c r="E2098" s="674"/>
      <c r="F2098" s="674"/>
      <c r="G2098" s="674"/>
      <c r="H2098" s="674"/>
      <c r="I2098" s="675"/>
      <c r="J2098" s="675"/>
      <c r="K2098" s="674"/>
      <c r="L2098" s="674"/>
      <c r="M2098" s="675"/>
    </row>
    <row r="2099" spans="4:13" x14ac:dyDescent="0.2">
      <c r="D2099" s="673"/>
      <c r="E2099" s="674"/>
      <c r="F2099" s="674"/>
      <c r="G2099" s="674"/>
      <c r="H2099" s="674"/>
      <c r="I2099" s="675"/>
      <c r="J2099" s="675"/>
      <c r="K2099" s="674"/>
      <c r="L2099" s="674"/>
      <c r="M2099" s="675"/>
    </row>
    <row r="2100" spans="4:13" x14ac:dyDescent="0.2">
      <c r="D2100" s="673"/>
      <c r="E2100" s="674"/>
      <c r="F2100" s="674"/>
      <c r="G2100" s="674"/>
      <c r="H2100" s="674"/>
      <c r="I2100" s="675"/>
      <c r="J2100" s="675"/>
      <c r="K2100" s="674"/>
      <c r="L2100" s="674"/>
      <c r="M2100" s="675"/>
    </row>
    <row r="2101" spans="4:13" x14ac:dyDescent="0.2">
      <c r="D2101" s="673"/>
      <c r="E2101" s="674"/>
      <c r="F2101" s="674"/>
      <c r="G2101" s="674"/>
      <c r="H2101" s="674"/>
      <c r="I2101" s="675"/>
      <c r="J2101" s="675"/>
      <c r="K2101" s="674"/>
      <c r="L2101" s="674"/>
      <c r="M2101" s="675"/>
    </row>
    <row r="2102" spans="4:13" x14ac:dyDescent="0.2">
      <c r="D2102" s="673"/>
      <c r="E2102" s="674"/>
      <c r="F2102" s="674"/>
      <c r="G2102" s="674"/>
      <c r="H2102" s="674"/>
      <c r="I2102" s="675"/>
      <c r="J2102" s="675"/>
      <c r="K2102" s="674"/>
      <c r="L2102" s="674"/>
      <c r="M2102" s="675"/>
    </row>
    <row r="2103" spans="4:13" x14ac:dyDescent="0.2">
      <c r="D2103" s="673"/>
      <c r="E2103" s="674"/>
      <c r="F2103" s="674"/>
      <c r="G2103" s="674"/>
      <c r="H2103" s="674"/>
      <c r="I2103" s="675"/>
      <c r="J2103" s="675"/>
      <c r="K2103" s="674"/>
      <c r="L2103" s="674"/>
      <c r="M2103" s="675"/>
    </row>
    <row r="2104" spans="4:13" x14ac:dyDescent="0.2">
      <c r="D2104" s="673"/>
      <c r="E2104" s="674"/>
      <c r="F2104" s="674"/>
      <c r="G2104" s="674"/>
      <c r="H2104" s="674"/>
      <c r="I2104" s="675"/>
      <c r="J2104" s="675"/>
      <c r="K2104" s="674"/>
      <c r="L2104" s="674"/>
      <c r="M2104" s="675"/>
    </row>
    <row r="2105" spans="4:13" x14ac:dyDescent="0.2">
      <c r="D2105" s="673"/>
      <c r="E2105" s="674"/>
      <c r="F2105" s="674"/>
      <c r="G2105" s="674"/>
      <c r="H2105" s="674"/>
      <c r="I2105" s="675"/>
      <c r="J2105" s="675"/>
      <c r="K2105" s="674"/>
      <c r="L2105" s="674"/>
      <c r="M2105" s="675"/>
    </row>
    <row r="2106" spans="4:13" x14ac:dyDescent="0.2">
      <c r="D2106" s="673"/>
      <c r="E2106" s="674"/>
      <c r="F2106" s="674"/>
      <c r="G2106" s="674"/>
      <c r="H2106" s="674"/>
      <c r="I2106" s="675"/>
      <c r="J2106" s="675"/>
      <c r="K2106" s="674"/>
      <c r="L2106" s="674"/>
      <c r="M2106" s="675"/>
    </row>
    <row r="2107" spans="4:13" x14ac:dyDescent="0.2">
      <c r="D2107" s="673"/>
      <c r="E2107" s="674"/>
      <c r="F2107" s="674"/>
      <c r="G2107" s="674"/>
      <c r="H2107" s="674"/>
      <c r="I2107" s="675"/>
      <c r="J2107" s="675"/>
      <c r="K2107" s="674"/>
      <c r="L2107" s="674"/>
      <c r="M2107" s="675"/>
    </row>
    <row r="2108" spans="4:13" x14ac:dyDescent="0.2">
      <c r="D2108" s="673"/>
      <c r="E2108" s="674"/>
      <c r="F2108" s="674"/>
      <c r="G2108" s="674"/>
      <c r="H2108" s="674"/>
      <c r="I2108" s="675"/>
      <c r="J2108" s="675"/>
      <c r="K2108" s="674"/>
      <c r="L2108" s="674"/>
      <c r="M2108" s="675"/>
    </row>
    <row r="2109" spans="4:13" x14ac:dyDescent="0.2">
      <c r="D2109" s="673"/>
      <c r="E2109" s="674"/>
      <c r="F2109" s="674"/>
      <c r="G2109" s="674"/>
      <c r="H2109" s="674"/>
      <c r="I2109" s="675"/>
      <c r="J2109" s="675"/>
      <c r="K2109" s="674"/>
      <c r="L2109" s="674"/>
      <c r="M2109" s="675"/>
    </row>
    <row r="2110" spans="4:13" x14ac:dyDescent="0.2">
      <c r="D2110" s="673"/>
      <c r="E2110" s="674"/>
      <c r="F2110" s="674"/>
      <c r="G2110" s="674"/>
      <c r="H2110" s="674"/>
      <c r="I2110" s="675"/>
      <c r="J2110" s="675"/>
      <c r="K2110" s="674"/>
      <c r="L2110" s="674"/>
      <c r="M2110" s="675"/>
    </row>
    <row r="2111" spans="4:13" x14ac:dyDescent="0.2">
      <c r="D2111" s="673"/>
      <c r="E2111" s="674"/>
      <c r="F2111" s="674"/>
      <c r="G2111" s="674"/>
      <c r="H2111" s="674"/>
      <c r="I2111" s="675"/>
      <c r="J2111" s="675"/>
      <c r="K2111" s="674"/>
      <c r="L2111" s="674"/>
      <c r="M2111" s="675"/>
    </row>
    <row r="2112" spans="4:13" x14ac:dyDescent="0.2">
      <c r="D2112" s="673"/>
      <c r="E2112" s="674"/>
      <c r="F2112" s="674"/>
      <c r="G2112" s="674"/>
      <c r="H2112" s="674"/>
      <c r="I2112" s="675"/>
      <c r="J2112" s="675"/>
      <c r="K2112" s="674"/>
      <c r="L2112" s="674"/>
      <c r="M2112" s="675"/>
    </row>
    <row r="2113" spans="4:13" x14ac:dyDescent="0.2">
      <c r="D2113" s="673"/>
      <c r="E2113" s="674"/>
      <c r="F2113" s="674"/>
      <c r="G2113" s="674"/>
      <c r="H2113" s="674"/>
      <c r="I2113" s="675"/>
      <c r="J2113" s="675"/>
      <c r="K2113" s="674"/>
      <c r="L2113" s="674"/>
      <c r="M2113" s="675"/>
    </row>
    <row r="2114" spans="4:13" x14ac:dyDescent="0.2">
      <c r="D2114" s="673"/>
      <c r="E2114" s="674"/>
      <c r="F2114" s="674"/>
      <c r="G2114" s="674"/>
      <c r="H2114" s="674"/>
      <c r="I2114" s="675"/>
      <c r="J2114" s="675"/>
      <c r="K2114" s="674"/>
      <c r="L2114" s="674"/>
      <c r="M2114" s="675"/>
    </row>
    <row r="2115" spans="4:13" x14ac:dyDescent="0.2">
      <c r="D2115" s="673"/>
      <c r="E2115" s="674"/>
      <c r="F2115" s="674"/>
      <c r="G2115" s="674"/>
      <c r="H2115" s="674"/>
      <c r="I2115" s="675"/>
      <c r="J2115" s="675"/>
      <c r="K2115" s="674"/>
      <c r="L2115" s="674"/>
      <c r="M2115" s="675"/>
    </row>
    <row r="2116" spans="4:13" x14ac:dyDescent="0.2">
      <c r="D2116" s="673"/>
      <c r="E2116" s="674"/>
      <c r="F2116" s="674"/>
      <c r="G2116" s="674"/>
      <c r="H2116" s="674"/>
      <c r="I2116" s="675"/>
      <c r="J2116" s="675"/>
      <c r="K2116" s="674"/>
      <c r="L2116" s="674"/>
      <c r="M2116" s="675"/>
    </row>
    <row r="2117" spans="4:13" x14ac:dyDescent="0.2">
      <c r="D2117" s="673"/>
      <c r="E2117" s="674"/>
      <c r="F2117" s="674"/>
      <c r="G2117" s="674"/>
      <c r="H2117" s="674"/>
      <c r="I2117" s="675"/>
      <c r="J2117" s="675"/>
      <c r="K2117" s="674"/>
      <c r="L2117" s="674"/>
      <c r="M2117" s="675"/>
    </row>
    <row r="2118" spans="4:13" x14ac:dyDescent="0.2">
      <c r="D2118" s="673"/>
      <c r="E2118" s="674"/>
      <c r="F2118" s="674"/>
      <c r="G2118" s="674"/>
      <c r="H2118" s="674"/>
      <c r="I2118" s="675"/>
      <c r="J2118" s="675"/>
      <c r="K2118" s="674"/>
      <c r="L2118" s="674"/>
      <c r="M2118" s="675"/>
    </row>
    <row r="2119" spans="4:13" x14ac:dyDescent="0.2">
      <c r="D2119" s="673"/>
      <c r="E2119" s="674"/>
      <c r="F2119" s="674"/>
      <c r="G2119" s="674"/>
      <c r="H2119" s="674"/>
      <c r="I2119" s="675"/>
      <c r="J2119" s="675"/>
      <c r="K2119" s="674"/>
      <c r="L2119" s="674"/>
      <c r="M2119" s="675"/>
    </row>
    <row r="2120" spans="4:13" x14ac:dyDescent="0.2">
      <c r="D2120" s="673"/>
      <c r="E2120" s="674"/>
      <c r="F2120" s="674"/>
      <c r="G2120" s="674"/>
      <c r="H2120" s="674"/>
      <c r="I2120" s="675"/>
      <c r="J2120" s="675"/>
      <c r="K2120" s="674"/>
      <c r="L2120" s="674"/>
      <c r="M2120" s="675"/>
    </row>
    <row r="2121" spans="4:13" x14ac:dyDescent="0.2">
      <c r="D2121" s="673"/>
      <c r="E2121" s="674"/>
      <c r="F2121" s="674"/>
      <c r="G2121" s="674"/>
      <c r="H2121" s="674"/>
      <c r="I2121" s="675"/>
      <c r="J2121" s="675"/>
      <c r="K2121" s="674"/>
      <c r="L2121" s="674"/>
      <c r="M2121" s="675"/>
    </row>
    <row r="2122" spans="4:13" x14ac:dyDescent="0.2">
      <c r="D2122" s="673"/>
      <c r="E2122" s="674"/>
      <c r="F2122" s="674"/>
      <c r="G2122" s="674"/>
      <c r="H2122" s="674"/>
      <c r="I2122" s="675"/>
      <c r="J2122" s="675"/>
      <c r="K2122" s="674"/>
      <c r="L2122" s="674"/>
      <c r="M2122" s="675"/>
    </row>
    <row r="2123" spans="4:13" x14ac:dyDescent="0.2">
      <c r="D2123" s="673"/>
      <c r="E2123" s="674"/>
      <c r="F2123" s="674"/>
      <c r="G2123" s="674"/>
      <c r="H2123" s="674"/>
      <c r="I2123" s="675"/>
      <c r="J2123" s="675"/>
      <c r="K2123" s="674"/>
      <c r="L2123" s="674"/>
      <c r="M2123" s="675"/>
    </row>
    <row r="2124" spans="4:13" x14ac:dyDescent="0.2">
      <c r="D2124" s="673"/>
      <c r="E2124" s="674"/>
      <c r="F2124" s="674"/>
      <c r="G2124" s="674"/>
      <c r="H2124" s="674"/>
      <c r="I2124" s="675"/>
      <c r="J2124" s="675"/>
      <c r="K2124" s="674"/>
      <c r="L2124" s="674"/>
      <c r="M2124" s="675"/>
    </row>
    <row r="2125" spans="4:13" x14ac:dyDescent="0.2">
      <c r="D2125" s="673"/>
      <c r="E2125" s="674"/>
      <c r="F2125" s="674"/>
      <c r="G2125" s="674"/>
      <c r="H2125" s="674"/>
      <c r="I2125" s="675"/>
      <c r="J2125" s="675"/>
      <c r="K2125" s="674"/>
      <c r="L2125" s="674"/>
      <c r="M2125" s="675"/>
    </row>
    <row r="2126" spans="4:13" x14ac:dyDescent="0.2">
      <c r="D2126" s="673"/>
      <c r="E2126" s="674"/>
      <c r="F2126" s="674"/>
      <c r="G2126" s="674"/>
      <c r="H2126" s="674"/>
      <c r="I2126" s="675"/>
      <c r="J2126" s="675"/>
      <c r="K2126" s="674"/>
      <c r="L2126" s="674"/>
      <c r="M2126" s="675"/>
    </row>
    <row r="2127" spans="4:13" x14ac:dyDescent="0.2">
      <c r="D2127" s="673"/>
      <c r="E2127" s="674"/>
      <c r="F2127" s="674"/>
      <c r="G2127" s="674"/>
      <c r="H2127" s="674"/>
      <c r="I2127" s="675"/>
      <c r="J2127" s="675"/>
      <c r="K2127" s="674"/>
      <c r="L2127" s="674"/>
      <c r="M2127" s="675"/>
    </row>
    <row r="2128" spans="4:13" x14ac:dyDescent="0.2">
      <c r="D2128" s="673"/>
      <c r="E2128" s="674"/>
      <c r="F2128" s="674"/>
      <c r="G2128" s="674"/>
      <c r="H2128" s="674"/>
      <c r="I2128" s="675"/>
      <c r="J2128" s="675"/>
      <c r="K2128" s="674"/>
      <c r="L2128" s="674"/>
      <c r="M2128" s="675"/>
    </row>
    <row r="2129" spans="4:13" x14ac:dyDescent="0.2">
      <c r="D2129" s="673"/>
      <c r="E2129" s="674"/>
      <c r="F2129" s="674"/>
      <c r="G2129" s="674"/>
      <c r="H2129" s="674"/>
      <c r="I2129" s="675"/>
      <c r="J2129" s="675"/>
      <c r="K2129" s="674"/>
      <c r="L2129" s="674"/>
      <c r="M2129" s="675"/>
    </row>
    <row r="2130" spans="4:13" x14ac:dyDescent="0.2">
      <c r="D2130" s="673"/>
      <c r="E2130" s="674"/>
      <c r="F2130" s="674"/>
      <c r="G2130" s="674"/>
      <c r="H2130" s="674"/>
      <c r="I2130" s="675"/>
      <c r="J2130" s="675"/>
      <c r="K2130" s="674"/>
      <c r="L2130" s="674"/>
      <c r="M2130" s="675"/>
    </row>
    <row r="2131" spans="4:13" x14ac:dyDescent="0.2">
      <c r="D2131" s="673"/>
      <c r="E2131" s="674"/>
      <c r="F2131" s="674"/>
      <c r="G2131" s="674"/>
      <c r="H2131" s="674"/>
      <c r="I2131" s="675"/>
      <c r="J2131" s="675"/>
      <c r="K2131" s="674"/>
      <c r="L2131" s="674"/>
      <c r="M2131" s="675"/>
    </row>
    <row r="2132" spans="4:13" x14ac:dyDescent="0.2">
      <c r="D2132" s="673"/>
      <c r="E2132" s="674"/>
      <c r="F2132" s="674"/>
      <c r="G2132" s="674"/>
      <c r="H2132" s="674"/>
      <c r="I2132" s="675"/>
      <c r="J2132" s="675"/>
      <c r="K2132" s="674"/>
      <c r="L2132" s="674"/>
      <c r="M2132" s="675"/>
    </row>
    <row r="2133" spans="4:13" x14ac:dyDescent="0.2">
      <c r="D2133" s="673"/>
      <c r="E2133" s="674"/>
      <c r="F2133" s="674"/>
      <c r="G2133" s="674"/>
      <c r="H2133" s="674"/>
      <c r="I2133" s="675"/>
      <c r="J2133" s="675"/>
      <c r="K2133" s="674"/>
      <c r="L2133" s="674"/>
      <c r="M2133" s="675"/>
    </row>
    <row r="2134" spans="4:13" x14ac:dyDescent="0.2">
      <c r="D2134" s="673"/>
      <c r="E2134" s="674"/>
      <c r="F2134" s="674"/>
      <c r="G2134" s="674"/>
      <c r="H2134" s="674"/>
      <c r="I2134" s="675"/>
      <c r="J2134" s="675"/>
      <c r="K2134" s="674"/>
      <c r="L2134" s="674"/>
      <c r="M2134" s="675"/>
    </row>
    <row r="2135" spans="4:13" x14ac:dyDescent="0.2">
      <c r="D2135" s="673"/>
      <c r="E2135" s="674"/>
      <c r="F2135" s="674"/>
      <c r="G2135" s="674"/>
      <c r="H2135" s="674"/>
      <c r="I2135" s="675"/>
      <c r="J2135" s="675"/>
      <c r="K2135" s="674"/>
      <c r="L2135" s="674"/>
      <c r="M2135" s="675"/>
    </row>
    <row r="2136" spans="4:13" x14ac:dyDescent="0.2">
      <c r="D2136" s="673"/>
      <c r="E2136" s="674"/>
      <c r="F2136" s="674"/>
      <c r="G2136" s="674"/>
      <c r="H2136" s="674"/>
      <c r="I2136" s="675"/>
      <c r="J2136" s="675"/>
      <c r="K2136" s="674"/>
      <c r="L2136" s="674"/>
      <c r="M2136" s="675"/>
    </row>
    <row r="2137" spans="4:13" x14ac:dyDescent="0.2">
      <c r="D2137" s="673"/>
      <c r="E2137" s="674"/>
      <c r="F2137" s="674"/>
      <c r="G2137" s="674"/>
      <c r="H2137" s="674"/>
      <c r="I2137" s="675"/>
      <c r="J2137" s="675"/>
      <c r="K2137" s="674"/>
      <c r="L2137" s="674"/>
      <c r="M2137" s="675"/>
    </row>
    <row r="2138" spans="4:13" x14ac:dyDescent="0.2">
      <c r="D2138" s="673"/>
      <c r="E2138" s="674"/>
      <c r="F2138" s="674"/>
      <c r="G2138" s="674"/>
      <c r="H2138" s="674"/>
      <c r="I2138" s="675"/>
      <c r="J2138" s="675"/>
      <c r="K2138" s="674"/>
      <c r="L2138" s="674"/>
      <c r="M2138" s="675"/>
    </row>
    <row r="2139" spans="4:13" x14ac:dyDescent="0.2">
      <c r="D2139" s="673"/>
      <c r="E2139" s="674"/>
      <c r="F2139" s="674"/>
      <c r="G2139" s="674"/>
      <c r="H2139" s="674"/>
      <c r="I2139" s="675"/>
      <c r="J2139" s="675"/>
      <c r="K2139" s="674"/>
      <c r="L2139" s="674"/>
      <c r="M2139" s="675"/>
    </row>
    <row r="2140" spans="4:13" x14ac:dyDescent="0.2">
      <c r="D2140" s="673"/>
      <c r="E2140" s="674"/>
      <c r="F2140" s="674"/>
      <c r="G2140" s="674"/>
      <c r="H2140" s="674"/>
      <c r="I2140" s="675"/>
      <c r="J2140" s="675"/>
      <c r="K2140" s="674"/>
      <c r="L2140" s="674"/>
      <c r="M2140" s="675"/>
    </row>
    <row r="2141" spans="4:13" x14ac:dyDescent="0.2">
      <c r="D2141" s="673"/>
      <c r="E2141" s="674"/>
      <c r="F2141" s="674"/>
      <c r="G2141" s="674"/>
      <c r="H2141" s="674"/>
      <c r="I2141" s="675"/>
      <c r="J2141" s="675"/>
      <c r="K2141" s="674"/>
      <c r="L2141" s="674"/>
      <c r="M2141" s="675"/>
    </row>
    <row r="2142" spans="4:13" x14ac:dyDescent="0.2">
      <c r="D2142" s="673"/>
      <c r="E2142" s="674"/>
      <c r="F2142" s="674"/>
      <c r="G2142" s="674"/>
      <c r="H2142" s="674"/>
      <c r="I2142" s="675"/>
      <c r="J2142" s="675"/>
      <c r="K2142" s="674"/>
      <c r="L2142" s="674"/>
      <c r="M2142" s="675"/>
    </row>
    <row r="2143" spans="4:13" x14ac:dyDescent="0.2">
      <c r="D2143" s="673"/>
      <c r="E2143" s="674"/>
      <c r="F2143" s="674"/>
      <c r="G2143" s="674"/>
      <c r="H2143" s="674"/>
      <c r="I2143" s="675"/>
      <c r="J2143" s="675"/>
      <c r="K2143" s="674"/>
      <c r="L2143" s="674"/>
      <c r="M2143" s="675"/>
    </row>
    <row r="2144" spans="4:13" x14ac:dyDescent="0.2">
      <c r="D2144" s="673"/>
      <c r="E2144" s="674"/>
      <c r="F2144" s="674"/>
      <c r="G2144" s="674"/>
      <c r="H2144" s="674"/>
      <c r="I2144" s="675"/>
      <c r="J2144" s="675"/>
      <c r="K2144" s="674"/>
      <c r="L2144" s="674"/>
      <c r="M2144" s="675"/>
    </row>
    <row r="2145" spans="4:13" x14ac:dyDescent="0.2">
      <c r="D2145" s="673"/>
      <c r="E2145" s="674"/>
      <c r="F2145" s="674"/>
      <c r="G2145" s="674"/>
      <c r="H2145" s="674"/>
      <c r="I2145" s="675"/>
      <c r="J2145" s="675"/>
      <c r="K2145" s="674"/>
      <c r="L2145" s="674"/>
      <c r="M2145" s="675"/>
    </row>
    <row r="2146" spans="4:13" x14ac:dyDescent="0.2">
      <c r="D2146" s="673"/>
      <c r="E2146" s="674"/>
      <c r="F2146" s="674"/>
      <c r="G2146" s="674"/>
      <c r="H2146" s="674"/>
      <c r="I2146" s="675"/>
      <c r="J2146" s="675"/>
      <c r="K2146" s="674"/>
      <c r="L2146" s="674"/>
      <c r="M2146" s="675"/>
    </row>
    <row r="2147" spans="4:13" x14ac:dyDescent="0.2">
      <c r="D2147" s="673"/>
      <c r="E2147" s="674"/>
      <c r="F2147" s="674"/>
      <c r="G2147" s="674"/>
      <c r="H2147" s="674"/>
      <c r="I2147" s="675"/>
      <c r="J2147" s="675"/>
      <c r="K2147" s="674"/>
      <c r="L2147" s="674"/>
      <c r="M2147" s="675"/>
    </row>
    <row r="2148" spans="4:13" x14ac:dyDescent="0.2">
      <c r="D2148" s="673"/>
      <c r="E2148" s="674"/>
      <c r="F2148" s="674"/>
      <c r="G2148" s="674"/>
      <c r="H2148" s="674"/>
      <c r="I2148" s="675"/>
      <c r="J2148" s="675"/>
      <c r="K2148" s="674"/>
      <c r="L2148" s="674"/>
      <c r="M2148" s="675"/>
    </row>
    <row r="2149" spans="4:13" x14ac:dyDescent="0.2">
      <c r="D2149" s="673"/>
      <c r="E2149" s="674"/>
      <c r="F2149" s="674"/>
      <c r="G2149" s="674"/>
      <c r="H2149" s="674"/>
      <c r="I2149" s="675"/>
      <c r="J2149" s="675"/>
      <c r="K2149" s="674"/>
      <c r="L2149" s="674"/>
      <c r="M2149" s="675"/>
    </row>
    <row r="2150" spans="4:13" x14ac:dyDescent="0.2">
      <c r="D2150" s="673"/>
      <c r="E2150" s="674"/>
      <c r="F2150" s="674"/>
      <c r="G2150" s="674"/>
      <c r="H2150" s="674"/>
      <c r="I2150" s="675"/>
      <c r="J2150" s="675"/>
      <c r="K2150" s="674"/>
      <c r="L2150" s="674"/>
      <c r="M2150" s="675"/>
    </row>
    <row r="2151" spans="4:13" x14ac:dyDescent="0.2">
      <c r="D2151" s="673"/>
      <c r="E2151" s="674"/>
      <c r="F2151" s="674"/>
      <c r="G2151" s="674"/>
      <c r="H2151" s="674"/>
      <c r="I2151" s="675"/>
      <c r="J2151" s="675"/>
      <c r="K2151" s="674"/>
      <c r="L2151" s="674"/>
      <c r="M2151" s="675"/>
    </row>
    <row r="2152" spans="4:13" x14ac:dyDescent="0.2">
      <c r="D2152" s="673"/>
      <c r="E2152" s="674"/>
      <c r="F2152" s="674"/>
      <c r="G2152" s="674"/>
      <c r="H2152" s="674"/>
      <c r="I2152" s="675"/>
      <c r="J2152" s="675"/>
      <c r="K2152" s="674"/>
      <c r="L2152" s="674"/>
      <c r="M2152" s="675"/>
    </row>
    <row r="2153" spans="4:13" x14ac:dyDescent="0.2">
      <c r="D2153" s="673"/>
      <c r="E2153" s="674"/>
      <c r="F2153" s="674"/>
      <c r="G2153" s="674"/>
      <c r="H2153" s="674"/>
      <c r="I2153" s="675"/>
      <c r="J2153" s="675"/>
      <c r="K2153" s="674"/>
      <c r="L2153" s="674"/>
      <c r="M2153" s="675"/>
    </row>
    <row r="2154" spans="4:13" x14ac:dyDescent="0.2">
      <c r="D2154" s="673"/>
      <c r="E2154" s="674"/>
      <c r="F2154" s="674"/>
      <c r="G2154" s="674"/>
      <c r="H2154" s="674"/>
      <c r="I2154" s="675"/>
      <c r="J2154" s="675"/>
      <c r="K2154" s="674"/>
      <c r="L2154" s="674"/>
      <c r="M2154" s="675"/>
    </row>
    <row r="2155" spans="4:13" x14ac:dyDescent="0.2">
      <c r="D2155" s="673"/>
      <c r="E2155" s="674"/>
      <c r="F2155" s="674"/>
      <c r="G2155" s="674"/>
      <c r="H2155" s="674"/>
      <c r="I2155" s="675"/>
      <c r="J2155" s="675"/>
      <c r="K2155" s="674"/>
      <c r="L2155" s="674"/>
      <c r="M2155" s="675"/>
    </row>
    <row r="2156" spans="4:13" x14ac:dyDescent="0.2">
      <c r="D2156" s="673"/>
      <c r="E2156" s="674"/>
      <c r="F2156" s="674"/>
      <c r="G2156" s="674"/>
      <c r="H2156" s="674"/>
      <c r="I2156" s="675"/>
      <c r="J2156" s="675"/>
      <c r="K2156" s="674"/>
      <c r="L2156" s="674"/>
      <c r="M2156" s="675"/>
    </row>
    <row r="2157" spans="4:13" x14ac:dyDescent="0.2">
      <c r="D2157" s="673"/>
      <c r="E2157" s="674"/>
      <c r="F2157" s="674"/>
      <c r="G2157" s="674"/>
      <c r="H2157" s="674"/>
      <c r="I2157" s="675"/>
      <c r="J2157" s="675"/>
      <c r="K2157" s="674"/>
      <c r="L2157" s="674"/>
      <c r="M2157" s="675"/>
    </row>
    <row r="2158" spans="4:13" x14ac:dyDescent="0.2">
      <c r="D2158" s="673"/>
      <c r="E2158" s="674"/>
      <c r="F2158" s="674"/>
      <c r="G2158" s="674"/>
      <c r="H2158" s="674"/>
      <c r="I2158" s="675"/>
      <c r="J2158" s="675"/>
      <c r="K2158" s="674"/>
      <c r="L2158" s="674"/>
      <c r="M2158" s="675"/>
    </row>
    <row r="2159" spans="4:13" x14ac:dyDescent="0.2">
      <c r="D2159" s="673"/>
      <c r="E2159" s="674"/>
      <c r="F2159" s="674"/>
      <c r="G2159" s="674"/>
      <c r="H2159" s="674"/>
      <c r="I2159" s="675"/>
      <c r="J2159" s="675"/>
      <c r="K2159" s="674"/>
      <c r="L2159" s="674"/>
      <c r="M2159" s="675"/>
    </row>
    <row r="2160" spans="4:13" x14ac:dyDescent="0.2">
      <c r="D2160" s="673"/>
      <c r="E2160" s="674"/>
      <c r="F2160" s="674"/>
      <c r="G2160" s="674"/>
      <c r="H2160" s="674"/>
      <c r="I2160" s="675"/>
      <c r="J2160" s="675"/>
      <c r="K2160" s="674"/>
      <c r="L2160" s="674"/>
      <c r="M2160" s="675"/>
    </row>
    <row r="2161" spans="4:13" x14ac:dyDescent="0.2">
      <c r="D2161" s="673"/>
      <c r="E2161" s="674"/>
      <c r="F2161" s="674"/>
      <c r="G2161" s="674"/>
      <c r="H2161" s="674"/>
      <c r="I2161" s="675"/>
      <c r="J2161" s="675"/>
      <c r="K2161" s="674"/>
      <c r="L2161" s="674"/>
      <c r="M2161" s="675"/>
    </row>
    <row r="2162" spans="4:13" x14ac:dyDescent="0.2">
      <c r="D2162" s="673"/>
      <c r="E2162" s="674"/>
      <c r="F2162" s="674"/>
      <c r="G2162" s="674"/>
      <c r="H2162" s="674"/>
      <c r="I2162" s="675"/>
      <c r="J2162" s="675"/>
      <c r="K2162" s="674"/>
      <c r="L2162" s="674"/>
      <c r="M2162" s="675"/>
    </row>
    <row r="2163" spans="4:13" x14ac:dyDescent="0.2">
      <c r="D2163" s="673"/>
      <c r="E2163" s="674"/>
      <c r="F2163" s="674"/>
      <c r="G2163" s="674"/>
      <c r="H2163" s="674"/>
      <c r="I2163" s="675"/>
      <c r="J2163" s="675"/>
      <c r="K2163" s="674"/>
      <c r="L2163" s="674"/>
      <c r="M2163" s="675"/>
    </row>
    <row r="2164" spans="4:13" x14ac:dyDescent="0.2">
      <c r="D2164" s="673"/>
      <c r="E2164" s="674"/>
      <c r="F2164" s="674"/>
      <c r="G2164" s="674"/>
      <c r="H2164" s="674"/>
      <c r="I2164" s="675"/>
      <c r="J2164" s="675"/>
      <c r="K2164" s="674"/>
      <c r="L2164" s="674"/>
      <c r="M2164" s="675"/>
    </row>
    <row r="2165" spans="4:13" x14ac:dyDescent="0.2">
      <c r="D2165" s="673"/>
      <c r="E2165" s="674"/>
      <c r="F2165" s="674"/>
      <c r="G2165" s="674"/>
      <c r="H2165" s="674"/>
      <c r="I2165" s="675"/>
      <c r="J2165" s="675"/>
      <c r="K2165" s="674"/>
      <c r="L2165" s="674"/>
      <c r="M2165" s="675"/>
    </row>
    <row r="2166" spans="4:13" x14ac:dyDescent="0.2">
      <c r="D2166" s="673"/>
      <c r="E2166" s="674"/>
      <c r="F2166" s="674"/>
      <c r="G2166" s="674"/>
      <c r="H2166" s="674"/>
      <c r="I2166" s="675"/>
      <c r="J2166" s="675"/>
      <c r="K2166" s="674"/>
      <c r="L2166" s="674"/>
      <c r="M2166" s="675"/>
    </row>
    <row r="2167" spans="4:13" x14ac:dyDescent="0.2">
      <c r="D2167" s="673"/>
      <c r="E2167" s="674"/>
      <c r="F2167" s="674"/>
      <c r="G2167" s="674"/>
      <c r="H2167" s="674"/>
      <c r="I2167" s="675"/>
      <c r="J2167" s="675"/>
      <c r="K2167" s="674"/>
      <c r="L2167" s="674"/>
      <c r="M2167" s="675"/>
    </row>
    <row r="2168" spans="4:13" x14ac:dyDescent="0.2">
      <c r="D2168" s="673"/>
      <c r="E2168" s="674"/>
      <c r="F2168" s="674"/>
      <c r="G2168" s="674"/>
      <c r="H2168" s="674"/>
      <c r="I2168" s="675"/>
      <c r="J2168" s="675"/>
      <c r="K2168" s="674"/>
      <c r="L2168" s="674"/>
      <c r="M2168" s="675"/>
    </row>
    <row r="2169" spans="4:13" x14ac:dyDescent="0.2">
      <c r="D2169" s="673"/>
      <c r="E2169" s="674"/>
      <c r="F2169" s="674"/>
      <c r="G2169" s="674"/>
      <c r="H2169" s="674"/>
      <c r="I2169" s="675"/>
      <c r="J2169" s="675"/>
      <c r="K2169" s="674"/>
      <c r="L2169" s="674"/>
      <c r="M2169" s="675"/>
    </row>
    <row r="2170" spans="4:13" x14ac:dyDescent="0.2">
      <c r="D2170" s="673"/>
      <c r="E2170" s="674"/>
      <c r="F2170" s="674"/>
      <c r="G2170" s="674"/>
      <c r="H2170" s="674"/>
      <c r="I2170" s="675"/>
      <c r="J2170" s="675"/>
      <c r="K2170" s="674"/>
      <c r="L2170" s="674"/>
      <c r="M2170" s="675"/>
    </row>
    <row r="2171" spans="4:13" x14ac:dyDescent="0.2">
      <c r="D2171" s="673"/>
      <c r="E2171" s="674"/>
      <c r="F2171" s="674"/>
      <c r="G2171" s="674"/>
      <c r="H2171" s="674"/>
      <c r="I2171" s="675"/>
      <c r="J2171" s="675"/>
      <c r="K2171" s="674"/>
      <c r="L2171" s="674"/>
      <c r="M2171" s="675"/>
    </row>
    <row r="2172" spans="4:13" x14ac:dyDescent="0.2">
      <c r="D2172" s="673"/>
      <c r="E2172" s="674"/>
      <c r="F2172" s="674"/>
      <c r="G2172" s="674"/>
      <c r="H2172" s="674"/>
      <c r="I2172" s="675"/>
      <c r="J2172" s="675"/>
      <c r="K2172" s="674"/>
      <c r="L2172" s="674"/>
      <c r="M2172" s="675"/>
    </row>
    <row r="2173" spans="4:13" x14ac:dyDescent="0.2">
      <c r="D2173" s="673"/>
      <c r="E2173" s="674"/>
      <c r="F2173" s="674"/>
      <c r="G2173" s="674"/>
      <c r="H2173" s="674"/>
      <c r="I2173" s="675"/>
      <c r="J2173" s="675"/>
      <c r="K2173" s="674"/>
      <c r="L2173" s="674"/>
      <c r="M2173" s="675"/>
    </row>
    <row r="2174" spans="4:13" x14ac:dyDescent="0.2">
      <c r="D2174" s="673"/>
      <c r="E2174" s="674"/>
      <c r="F2174" s="674"/>
      <c r="G2174" s="674"/>
      <c r="H2174" s="674"/>
      <c r="I2174" s="675"/>
      <c r="J2174" s="675"/>
      <c r="K2174" s="674"/>
      <c r="L2174" s="674"/>
      <c r="M2174" s="675"/>
    </row>
    <row r="2175" spans="4:13" x14ac:dyDescent="0.2">
      <c r="D2175" s="673"/>
      <c r="E2175" s="674"/>
      <c r="F2175" s="674"/>
      <c r="G2175" s="674"/>
      <c r="H2175" s="674"/>
      <c r="I2175" s="675"/>
      <c r="J2175" s="675"/>
      <c r="K2175" s="674"/>
      <c r="L2175" s="674"/>
      <c r="M2175" s="675"/>
    </row>
    <row r="2176" spans="4:13" x14ac:dyDescent="0.2">
      <c r="D2176" s="673"/>
      <c r="E2176" s="674"/>
      <c r="F2176" s="674"/>
      <c r="G2176" s="674"/>
      <c r="H2176" s="674"/>
      <c r="I2176" s="675"/>
      <c r="J2176" s="675"/>
      <c r="K2176" s="674"/>
      <c r="L2176" s="674"/>
      <c r="M2176" s="675"/>
    </row>
    <row r="2177" spans="4:13" x14ac:dyDescent="0.2">
      <c r="D2177" s="673"/>
      <c r="E2177" s="674"/>
      <c r="F2177" s="674"/>
      <c r="G2177" s="674"/>
      <c r="H2177" s="674"/>
      <c r="I2177" s="675"/>
      <c r="J2177" s="675"/>
      <c r="K2177" s="674"/>
      <c r="L2177" s="674"/>
      <c r="M2177" s="675"/>
    </row>
    <row r="2178" spans="4:13" x14ac:dyDescent="0.2">
      <c r="D2178" s="673"/>
      <c r="E2178" s="674"/>
      <c r="F2178" s="674"/>
      <c r="G2178" s="674"/>
      <c r="H2178" s="674"/>
      <c r="I2178" s="675"/>
      <c r="J2178" s="675"/>
      <c r="K2178" s="674"/>
      <c r="L2178" s="674"/>
      <c r="M2178" s="675"/>
    </row>
    <row r="2179" spans="4:13" x14ac:dyDescent="0.2">
      <c r="D2179" s="673"/>
      <c r="E2179" s="674"/>
      <c r="F2179" s="674"/>
      <c r="G2179" s="674"/>
      <c r="H2179" s="674"/>
      <c r="I2179" s="675"/>
      <c r="J2179" s="675"/>
      <c r="K2179" s="674"/>
      <c r="L2179" s="674"/>
      <c r="M2179" s="675"/>
    </row>
    <row r="2180" spans="4:13" x14ac:dyDescent="0.2">
      <c r="D2180" s="673"/>
      <c r="E2180" s="674"/>
      <c r="F2180" s="674"/>
      <c r="G2180" s="674"/>
      <c r="H2180" s="674"/>
      <c r="I2180" s="675"/>
      <c r="J2180" s="675"/>
      <c r="K2180" s="674"/>
      <c r="L2180" s="674"/>
      <c r="M2180" s="675"/>
    </row>
    <row r="2181" spans="4:13" x14ac:dyDescent="0.2">
      <c r="D2181" s="673"/>
      <c r="E2181" s="674"/>
      <c r="F2181" s="674"/>
      <c r="G2181" s="674"/>
      <c r="H2181" s="674"/>
      <c r="I2181" s="675"/>
      <c r="J2181" s="675"/>
      <c r="K2181" s="674"/>
      <c r="L2181" s="674"/>
      <c r="M2181" s="675"/>
    </row>
    <row r="2182" spans="4:13" x14ac:dyDescent="0.2">
      <c r="D2182" s="673"/>
      <c r="E2182" s="674"/>
      <c r="F2182" s="674"/>
      <c r="G2182" s="674"/>
      <c r="H2182" s="674"/>
      <c r="I2182" s="675"/>
      <c r="J2182" s="675"/>
      <c r="K2182" s="674"/>
      <c r="L2182" s="674"/>
      <c r="M2182" s="675"/>
    </row>
    <row r="2183" spans="4:13" x14ac:dyDescent="0.2">
      <c r="D2183" s="673"/>
      <c r="E2183" s="674"/>
      <c r="F2183" s="674"/>
      <c r="G2183" s="674"/>
      <c r="H2183" s="674"/>
      <c r="I2183" s="675"/>
      <c r="J2183" s="675"/>
      <c r="K2183" s="674"/>
      <c r="L2183" s="674"/>
      <c r="M2183" s="675"/>
    </row>
    <row r="2184" spans="4:13" x14ac:dyDescent="0.2">
      <c r="D2184" s="673"/>
      <c r="E2184" s="674"/>
      <c r="F2184" s="674"/>
      <c r="G2184" s="674"/>
      <c r="H2184" s="674"/>
      <c r="I2184" s="675"/>
      <c r="J2184" s="675"/>
      <c r="K2184" s="674"/>
      <c r="L2184" s="674"/>
      <c r="M2184" s="675"/>
    </row>
    <row r="2185" spans="4:13" x14ac:dyDescent="0.2">
      <c r="D2185" s="673"/>
      <c r="E2185" s="674"/>
      <c r="F2185" s="674"/>
      <c r="G2185" s="674"/>
      <c r="H2185" s="674"/>
      <c r="I2185" s="675"/>
      <c r="J2185" s="675"/>
      <c r="K2185" s="674"/>
      <c r="L2185" s="674"/>
      <c r="M2185" s="675"/>
    </row>
    <row r="2186" spans="4:13" x14ac:dyDescent="0.2">
      <c r="D2186" s="673"/>
      <c r="E2186" s="674"/>
      <c r="F2186" s="674"/>
      <c r="G2186" s="674"/>
      <c r="H2186" s="674"/>
      <c r="I2186" s="675"/>
      <c r="J2186" s="675"/>
      <c r="K2186" s="674"/>
      <c r="L2186" s="674"/>
      <c r="M2186" s="675"/>
    </row>
    <row r="2187" spans="4:13" x14ac:dyDescent="0.2">
      <c r="D2187" s="673"/>
      <c r="E2187" s="674"/>
      <c r="F2187" s="674"/>
      <c r="G2187" s="674"/>
      <c r="H2187" s="674"/>
      <c r="I2187" s="675"/>
      <c r="J2187" s="675"/>
      <c r="K2187" s="674"/>
      <c r="L2187" s="674"/>
      <c r="M2187" s="675"/>
    </row>
    <row r="2188" spans="4:13" x14ac:dyDescent="0.2">
      <c r="D2188" s="673"/>
      <c r="E2188" s="674"/>
      <c r="F2188" s="674"/>
      <c r="G2188" s="674"/>
      <c r="H2188" s="674"/>
      <c r="I2188" s="675"/>
      <c r="J2188" s="675"/>
      <c r="K2188" s="674"/>
      <c r="L2188" s="674"/>
      <c r="M2188" s="675"/>
    </row>
    <row r="2189" spans="4:13" x14ac:dyDescent="0.2">
      <c r="D2189" s="673"/>
      <c r="E2189" s="674"/>
      <c r="F2189" s="674"/>
      <c r="G2189" s="674"/>
      <c r="H2189" s="674"/>
      <c r="I2189" s="675"/>
      <c r="J2189" s="675"/>
      <c r="K2189" s="674"/>
      <c r="L2189" s="674"/>
      <c r="M2189" s="675"/>
    </row>
    <row r="2190" spans="4:13" x14ac:dyDescent="0.2">
      <c r="D2190" s="673"/>
      <c r="E2190" s="674"/>
      <c r="F2190" s="674"/>
      <c r="G2190" s="674"/>
      <c r="H2190" s="674"/>
      <c r="I2190" s="675"/>
      <c r="J2190" s="675"/>
      <c r="K2190" s="674"/>
      <c r="L2190" s="674"/>
      <c r="M2190" s="675"/>
    </row>
    <row r="2191" spans="4:13" x14ac:dyDescent="0.2">
      <c r="D2191" s="673"/>
      <c r="E2191" s="674"/>
      <c r="F2191" s="674"/>
      <c r="G2191" s="674"/>
      <c r="H2191" s="674"/>
      <c r="I2191" s="675"/>
      <c r="J2191" s="675"/>
      <c r="K2191" s="674"/>
      <c r="L2191" s="674"/>
      <c r="M2191" s="675"/>
    </row>
    <row r="2192" spans="4:13" x14ac:dyDescent="0.2">
      <c r="D2192" s="673"/>
      <c r="E2192" s="674"/>
      <c r="F2192" s="674"/>
      <c r="G2192" s="674"/>
      <c r="H2192" s="674"/>
      <c r="I2192" s="675"/>
      <c r="J2192" s="675"/>
      <c r="K2192" s="674"/>
      <c r="L2192" s="674"/>
      <c r="M2192" s="675"/>
    </row>
    <row r="2193" spans="4:13" x14ac:dyDescent="0.2">
      <c r="D2193" s="673"/>
      <c r="E2193" s="674"/>
      <c r="F2193" s="674"/>
      <c r="G2193" s="674"/>
      <c r="H2193" s="674"/>
      <c r="I2193" s="675"/>
      <c r="J2193" s="675"/>
      <c r="K2193" s="674"/>
      <c r="L2193" s="674"/>
      <c r="M2193" s="675"/>
    </row>
    <row r="2194" spans="4:13" x14ac:dyDescent="0.2">
      <c r="D2194" s="673"/>
      <c r="E2194" s="674"/>
      <c r="F2194" s="674"/>
      <c r="G2194" s="674"/>
      <c r="H2194" s="674"/>
      <c r="I2194" s="675"/>
      <c r="J2194" s="675"/>
      <c r="K2194" s="674"/>
      <c r="L2194" s="674"/>
      <c r="M2194" s="675"/>
    </row>
    <row r="2195" spans="4:13" x14ac:dyDescent="0.2">
      <c r="D2195" s="673"/>
      <c r="E2195" s="674"/>
      <c r="F2195" s="674"/>
      <c r="G2195" s="674"/>
      <c r="H2195" s="674"/>
      <c r="I2195" s="675"/>
      <c r="J2195" s="675"/>
      <c r="K2195" s="674"/>
      <c r="L2195" s="674"/>
      <c r="M2195" s="675"/>
    </row>
    <row r="2196" spans="4:13" x14ac:dyDescent="0.2">
      <c r="D2196" s="673"/>
      <c r="E2196" s="674"/>
      <c r="F2196" s="674"/>
      <c r="G2196" s="674"/>
      <c r="H2196" s="674"/>
      <c r="I2196" s="675"/>
      <c r="J2196" s="675"/>
      <c r="K2196" s="674"/>
      <c r="L2196" s="674"/>
      <c r="M2196" s="675"/>
    </row>
    <row r="2197" spans="4:13" x14ac:dyDescent="0.2">
      <c r="D2197" s="673"/>
      <c r="E2197" s="674"/>
      <c r="F2197" s="674"/>
      <c r="G2197" s="674"/>
      <c r="H2197" s="674"/>
      <c r="I2197" s="675"/>
      <c r="J2197" s="675"/>
      <c r="K2197" s="674"/>
      <c r="L2197" s="674"/>
      <c r="M2197" s="675"/>
    </row>
    <row r="2198" spans="4:13" x14ac:dyDescent="0.2">
      <c r="D2198" s="673"/>
      <c r="E2198" s="674"/>
      <c r="F2198" s="674"/>
      <c r="G2198" s="674"/>
      <c r="H2198" s="674"/>
      <c r="I2198" s="675"/>
      <c r="J2198" s="675"/>
      <c r="K2198" s="674"/>
      <c r="L2198" s="674"/>
      <c r="M2198" s="675"/>
    </row>
    <row r="2199" spans="4:13" x14ac:dyDescent="0.2">
      <c r="D2199" s="673"/>
      <c r="E2199" s="674"/>
      <c r="F2199" s="674"/>
      <c r="G2199" s="674"/>
      <c r="H2199" s="674"/>
      <c r="I2199" s="675"/>
      <c r="J2199" s="675"/>
      <c r="K2199" s="674"/>
      <c r="L2199" s="674"/>
      <c r="M2199" s="675"/>
    </row>
    <row r="2200" spans="4:13" x14ac:dyDescent="0.2">
      <c r="D2200" s="673"/>
      <c r="E2200" s="674"/>
      <c r="F2200" s="674"/>
      <c r="G2200" s="674"/>
      <c r="H2200" s="674"/>
      <c r="I2200" s="675"/>
      <c r="J2200" s="675"/>
      <c r="K2200" s="674"/>
      <c r="L2200" s="674"/>
      <c r="M2200" s="675"/>
    </row>
    <row r="2201" spans="4:13" x14ac:dyDescent="0.2">
      <c r="D2201" s="673"/>
      <c r="E2201" s="674"/>
      <c r="F2201" s="674"/>
      <c r="G2201" s="674"/>
      <c r="H2201" s="674"/>
      <c r="I2201" s="675"/>
      <c r="J2201" s="675"/>
      <c r="K2201" s="674"/>
      <c r="L2201" s="674"/>
      <c r="M2201" s="675"/>
    </row>
    <row r="2202" spans="4:13" x14ac:dyDescent="0.2">
      <c r="D2202" s="673"/>
      <c r="E2202" s="674"/>
      <c r="F2202" s="674"/>
      <c r="G2202" s="674"/>
      <c r="H2202" s="674"/>
      <c r="I2202" s="675"/>
      <c r="J2202" s="675"/>
      <c r="K2202" s="674"/>
      <c r="L2202" s="674"/>
      <c r="M2202" s="675"/>
    </row>
    <row r="2203" spans="4:13" x14ac:dyDescent="0.2">
      <c r="D2203" s="673"/>
      <c r="E2203" s="674"/>
      <c r="F2203" s="674"/>
      <c r="G2203" s="674"/>
      <c r="H2203" s="674"/>
      <c r="I2203" s="675"/>
      <c r="J2203" s="675"/>
      <c r="K2203" s="674"/>
      <c r="L2203" s="674"/>
      <c r="M2203" s="675"/>
    </row>
    <row r="2204" spans="4:13" x14ac:dyDescent="0.2">
      <c r="D2204" s="673"/>
      <c r="E2204" s="674"/>
      <c r="F2204" s="674"/>
      <c r="G2204" s="674"/>
      <c r="H2204" s="674"/>
      <c r="I2204" s="675"/>
      <c r="J2204" s="675"/>
      <c r="K2204" s="674"/>
      <c r="L2204" s="674"/>
      <c r="M2204" s="675"/>
    </row>
    <row r="2205" spans="4:13" x14ac:dyDescent="0.2">
      <c r="D2205" s="673"/>
      <c r="E2205" s="674"/>
      <c r="F2205" s="674"/>
      <c r="G2205" s="674"/>
      <c r="H2205" s="674"/>
      <c r="I2205" s="675"/>
      <c r="J2205" s="675"/>
      <c r="K2205" s="674"/>
      <c r="L2205" s="674"/>
      <c r="M2205" s="675"/>
    </row>
    <row r="2206" spans="4:13" x14ac:dyDescent="0.2">
      <c r="D2206" s="673"/>
      <c r="E2206" s="674"/>
      <c r="F2206" s="674"/>
      <c r="G2206" s="674"/>
      <c r="H2206" s="674"/>
      <c r="I2206" s="675"/>
      <c r="J2206" s="675"/>
      <c r="K2206" s="674"/>
      <c r="L2206" s="674"/>
      <c r="M2206" s="675"/>
    </row>
    <row r="2207" spans="4:13" x14ac:dyDescent="0.2">
      <c r="D2207" s="673"/>
      <c r="E2207" s="674"/>
      <c r="F2207" s="674"/>
      <c r="G2207" s="674"/>
      <c r="H2207" s="674"/>
      <c r="I2207" s="675"/>
      <c r="J2207" s="675"/>
      <c r="K2207" s="674"/>
      <c r="L2207" s="674"/>
      <c r="M2207" s="675"/>
    </row>
    <row r="2208" spans="4:13" x14ac:dyDescent="0.2">
      <c r="D2208" s="673"/>
      <c r="E2208" s="674"/>
      <c r="F2208" s="674"/>
      <c r="G2208" s="674"/>
      <c r="H2208" s="674"/>
      <c r="I2208" s="675"/>
      <c r="J2208" s="675"/>
      <c r="K2208" s="674"/>
      <c r="L2208" s="674"/>
      <c r="M2208" s="675"/>
    </row>
    <row r="2209" spans="4:13" x14ac:dyDescent="0.2">
      <c r="D2209" s="673"/>
      <c r="E2209" s="674"/>
      <c r="F2209" s="674"/>
      <c r="G2209" s="674"/>
      <c r="H2209" s="674"/>
      <c r="I2209" s="675"/>
      <c r="J2209" s="675"/>
      <c r="K2209" s="674"/>
      <c r="L2209" s="674"/>
      <c r="M2209" s="675"/>
    </row>
    <row r="2210" spans="4:13" x14ac:dyDescent="0.2">
      <c r="D2210" s="673"/>
      <c r="E2210" s="674"/>
      <c r="F2210" s="674"/>
      <c r="G2210" s="674"/>
      <c r="H2210" s="674"/>
      <c r="I2210" s="675"/>
      <c r="J2210" s="675"/>
      <c r="K2210" s="674"/>
      <c r="L2210" s="674"/>
      <c r="M2210" s="675"/>
    </row>
    <row r="2211" spans="4:13" x14ac:dyDescent="0.2">
      <c r="D2211" s="673"/>
      <c r="E2211" s="674"/>
      <c r="F2211" s="674"/>
      <c r="G2211" s="674"/>
      <c r="H2211" s="674"/>
      <c r="I2211" s="675"/>
      <c r="J2211" s="675"/>
      <c r="K2211" s="674"/>
      <c r="L2211" s="674"/>
      <c r="M2211" s="675"/>
    </row>
    <row r="2212" spans="4:13" x14ac:dyDescent="0.2">
      <c r="D2212" s="673"/>
      <c r="E2212" s="674"/>
      <c r="F2212" s="674"/>
      <c r="G2212" s="674"/>
      <c r="H2212" s="674"/>
      <c r="I2212" s="675"/>
      <c r="J2212" s="675"/>
      <c r="K2212" s="674"/>
      <c r="L2212" s="674"/>
      <c r="M2212" s="675"/>
    </row>
    <row r="2213" spans="4:13" x14ac:dyDescent="0.2">
      <c r="D2213" s="673"/>
      <c r="E2213" s="674"/>
      <c r="F2213" s="674"/>
      <c r="G2213" s="674"/>
      <c r="H2213" s="674"/>
      <c r="I2213" s="675"/>
      <c r="J2213" s="675"/>
      <c r="K2213" s="674"/>
      <c r="L2213" s="674"/>
      <c r="M2213" s="675"/>
    </row>
    <row r="2214" spans="4:13" x14ac:dyDescent="0.2">
      <c r="D2214" s="673"/>
      <c r="E2214" s="674"/>
      <c r="F2214" s="674"/>
      <c r="G2214" s="674"/>
      <c r="H2214" s="674"/>
      <c r="I2214" s="675"/>
      <c r="J2214" s="675"/>
      <c r="K2214" s="674"/>
      <c r="L2214" s="674"/>
      <c r="M2214" s="675"/>
    </row>
    <row r="2215" spans="4:13" x14ac:dyDescent="0.2">
      <c r="D2215" s="673"/>
      <c r="E2215" s="674"/>
      <c r="F2215" s="674"/>
      <c r="G2215" s="674"/>
      <c r="H2215" s="674"/>
      <c r="I2215" s="675"/>
      <c r="J2215" s="675"/>
      <c r="K2215" s="674"/>
      <c r="L2215" s="674"/>
      <c r="M2215" s="675"/>
    </row>
    <row r="2216" spans="4:13" x14ac:dyDescent="0.2">
      <c r="D2216" s="673"/>
      <c r="E2216" s="674"/>
      <c r="F2216" s="674"/>
      <c r="G2216" s="674"/>
      <c r="H2216" s="674"/>
      <c r="I2216" s="675"/>
      <c r="J2216" s="675"/>
      <c r="K2216" s="674"/>
      <c r="L2216" s="674"/>
      <c r="M2216" s="675"/>
    </row>
    <row r="2217" spans="4:13" x14ac:dyDescent="0.2">
      <c r="D2217" s="673"/>
      <c r="E2217" s="674"/>
      <c r="F2217" s="674"/>
      <c r="G2217" s="674"/>
      <c r="H2217" s="674"/>
      <c r="I2217" s="675"/>
      <c r="J2217" s="675"/>
      <c r="K2217" s="674"/>
      <c r="L2217" s="674"/>
      <c r="M2217" s="675"/>
    </row>
    <row r="2218" spans="4:13" x14ac:dyDescent="0.2">
      <c r="D2218" s="673"/>
      <c r="E2218" s="674"/>
      <c r="F2218" s="674"/>
      <c r="G2218" s="674"/>
      <c r="H2218" s="674"/>
      <c r="I2218" s="675"/>
      <c r="J2218" s="675"/>
      <c r="K2218" s="674"/>
      <c r="L2218" s="674"/>
      <c r="M2218" s="675"/>
    </row>
    <row r="2219" spans="4:13" x14ac:dyDescent="0.2">
      <c r="D2219" s="673"/>
      <c r="E2219" s="674"/>
      <c r="F2219" s="674"/>
      <c r="G2219" s="674"/>
      <c r="H2219" s="674"/>
      <c r="I2219" s="675"/>
      <c r="J2219" s="675"/>
      <c r="K2219" s="674"/>
      <c r="L2219" s="674"/>
      <c r="M2219" s="675"/>
    </row>
    <row r="2220" spans="4:13" x14ac:dyDescent="0.2">
      <c r="D2220" s="673"/>
      <c r="E2220" s="674"/>
      <c r="F2220" s="674"/>
      <c r="G2220" s="674"/>
      <c r="H2220" s="674"/>
      <c r="I2220" s="675"/>
      <c r="J2220" s="675"/>
      <c r="K2220" s="674"/>
      <c r="L2220" s="674"/>
      <c r="M2220" s="675"/>
    </row>
    <row r="2221" spans="4:13" x14ac:dyDescent="0.2">
      <c r="D2221" s="673"/>
      <c r="E2221" s="674"/>
      <c r="F2221" s="674"/>
      <c r="G2221" s="674"/>
      <c r="H2221" s="674"/>
      <c r="I2221" s="675"/>
      <c r="J2221" s="675"/>
      <c r="K2221" s="674"/>
      <c r="L2221" s="674"/>
      <c r="M2221" s="675"/>
    </row>
    <row r="2222" spans="4:13" x14ac:dyDescent="0.2">
      <c r="D2222" s="673"/>
      <c r="E2222" s="674"/>
      <c r="F2222" s="674"/>
      <c r="G2222" s="674"/>
      <c r="H2222" s="674"/>
      <c r="I2222" s="675"/>
      <c r="J2222" s="675"/>
      <c r="K2222" s="674"/>
      <c r="L2222" s="674"/>
      <c r="M2222" s="675"/>
    </row>
    <row r="2223" spans="4:13" x14ac:dyDescent="0.2">
      <c r="D2223" s="673"/>
      <c r="E2223" s="674"/>
      <c r="F2223" s="674"/>
      <c r="G2223" s="674"/>
      <c r="H2223" s="674"/>
      <c r="I2223" s="675"/>
      <c r="J2223" s="675"/>
      <c r="K2223" s="674"/>
      <c r="L2223" s="674"/>
      <c r="M2223" s="675"/>
    </row>
    <row r="2224" spans="4:13" x14ac:dyDescent="0.2">
      <c r="D2224" s="673"/>
      <c r="E2224" s="674"/>
      <c r="F2224" s="674"/>
      <c r="G2224" s="674"/>
      <c r="H2224" s="674"/>
      <c r="I2224" s="675"/>
      <c r="J2224" s="675"/>
      <c r="K2224" s="674"/>
      <c r="L2224" s="674"/>
      <c r="M2224" s="675"/>
    </row>
    <row r="2225" spans="4:13" x14ac:dyDescent="0.2">
      <c r="D2225" s="673"/>
      <c r="E2225" s="674"/>
      <c r="F2225" s="674"/>
      <c r="G2225" s="674"/>
      <c r="H2225" s="674"/>
      <c r="I2225" s="675"/>
      <c r="J2225" s="675"/>
      <c r="K2225" s="674"/>
      <c r="L2225" s="674"/>
      <c r="M2225" s="675"/>
    </row>
    <row r="2226" spans="4:13" x14ac:dyDescent="0.2">
      <c r="D2226" s="673"/>
      <c r="E2226" s="674"/>
      <c r="F2226" s="674"/>
      <c r="G2226" s="674"/>
      <c r="H2226" s="674"/>
      <c r="I2226" s="675"/>
      <c r="J2226" s="675"/>
      <c r="K2226" s="674"/>
      <c r="L2226" s="674"/>
      <c r="M2226" s="675"/>
    </row>
    <row r="2227" spans="4:13" x14ac:dyDescent="0.2">
      <c r="D2227" s="673"/>
      <c r="E2227" s="674"/>
      <c r="F2227" s="674"/>
      <c r="G2227" s="674"/>
      <c r="H2227" s="674"/>
      <c r="I2227" s="675"/>
      <c r="J2227" s="675"/>
      <c r="K2227" s="674"/>
      <c r="L2227" s="674"/>
      <c r="M2227" s="675"/>
    </row>
    <row r="2228" spans="4:13" x14ac:dyDescent="0.2">
      <c r="D2228" s="673"/>
      <c r="E2228" s="674"/>
      <c r="F2228" s="674"/>
      <c r="G2228" s="674"/>
      <c r="H2228" s="674"/>
      <c r="I2228" s="675"/>
      <c r="J2228" s="675"/>
      <c r="K2228" s="674"/>
      <c r="L2228" s="674"/>
      <c r="M2228" s="675"/>
    </row>
    <row r="2229" spans="4:13" x14ac:dyDescent="0.2">
      <c r="D2229" s="673"/>
      <c r="E2229" s="674"/>
      <c r="F2229" s="674"/>
      <c r="G2229" s="674"/>
      <c r="H2229" s="674"/>
      <c r="I2229" s="675"/>
      <c r="J2229" s="675"/>
      <c r="K2229" s="674"/>
      <c r="L2229" s="674"/>
      <c r="M2229" s="675"/>
    </row>
    <row r="2230" spans="4:13" x14ac:dyDescent="0.2">
      <c r="D2230" s="673"/>
      <c r="E2230" s="674"/>
      <c r="F2230" s="674"/>
      <c r="G2230" s="674"/>
      <c r="H2230" s="674"/>
      <c r="I2230" s="675"/>
      <c r="J2230" s="675"/>
      <c r="K2230" s="674"/>
      <c r="L2230" s="674"/>
      <c r="M2230" s="675"/>
    </row>
    <row r="2231" spans="4:13" x14ac:dyDescent="0.2">
      <c r="D2231" s="673"/>
      <c r="E2231" s="674"/>
      <c r="F2231" s="674"/>
      <c r="G2231" s="674"/>
      <c r="H2231" s="674"/>
      <c r="I2231" s="675"/>
      <c r="J2231" s="675"/>
      <c r="K2231" s="674"/>
      <c r="L2231" s="674"/>
      <c r="M2231" s="675"/>
    </row>
    <row r="2232" spans="4:13" x14ac:dyDescent="0.2">
      <c r="D2232" s="673"/>
      <c r="E2232" s="674"/>
      <c r="F2232" s="674"/>
      <c r="G2232" s="674"/>
      <c r="H2232" s="674"/>
      <c r="I2232" s="675"/>
      <c r="J2232" s="675"/>
      <c r="K2232" s="674"/>
      <c r="L2232" s="674"/>
      <c r="M2232" s="675"/>
    </row>
    <row r="2233" spans="4:13" x14ac:dyDescent="0.2">
      <c r="D2233" s="673"/>
      <c r="E2233" s="674"/>
      <c r="F2233" s="674"/>
      <c r="G2233" s="674"/>
      <c r="H2233" s="674"/>
      <c r="I2233" s="675"/>
      <c r="J2233" s="675"/>
      <c r="K2233" s="674"/>
      <c r="L2233" s="674"/>
      <c r="M2233" s="675"/>
    </row>
    <row r="2234" spans="4:13" x14ac:dyDescent="0.2">
      <c r="D2234" s="673"/>
      <c r="E2234" s="674"/>
      <c r="F2234" s="674"/>
      <c r="G2234" s="674"/>
      <c r="H2234" s="674"/>
      <c r="I2234" s="675"/>
      <c r="J2234" s="675"/>
      <c r="K2234" s="674"/>
      <c r="L2234" s="674"/>
      <c r="M2234" s="675"/>
    </row>
    <row r="2235" spans="4:13" x14ac:dyDescent="0.2">
      <c r="D2235" s="673"/>
      <c r="E2235" s="674"/>
      <c r="F2235" s="674"/>
      <c r="G2235" s="674"/>
      <c r="H2235" s="674"/>
      <c r="I2235" s="675"/>
      <c r="J2235" s="675"/>
      <c r="K2235" s="674"/>
      <c r="L2235" s="674"/>
      <c r="M2235" s="675"/>
    </row>
    <row r="2236" spans="4:13" x14ac:dyDescent="0.2">
      <c r="D2236" s="673"/>
      <c r="E2236" s="674"/>
      <c r="F2236" s="674"/>
      <c r="G2236" s="674"/>
      <c r="H2236" s="674"/>
      <c r="I2236" s="675"/>
      <c r="J2236" s="675"/>
      <c r="K2236" s="674"/>
      <c r="L2236" s="674"/>
      <c r="M2236" s="675"/>
    </row>
    <row r="2237" spans="4:13" x14ac:dyDescent="0.2">
      <c r="D2237" s="673"/>
      <c r="E2237" s="674"/>
      <c r="F2237" s="674"/>
      <c r="G2237" s="674"/>
      <c r="H2237" s="674"/>
      <c r="I2237" s="675"/>
      <c r="J2237" s="675"/>
      <c r="K2237" s="674"/>
      <c r="L2237" s="674"/>
      <c r="M2237" s="675"/>
    </row>
    <row r="2238" spans="4:13" x14ac:dyDescent="0.2">
      <c r="D2238" s="673"/>
      <c r="E2238" s="674"/>
      <c r="F2238" s="674"/>
      <c r="G2238" s="674"/>
      <c r="H2238" s="674"/>
      <c r="I2238" s="675"/>
      <c r="J2238" s="675"/>
      <c r="K2238" s="674"/>
      <c r="L2238" s="674"/>
      <c r="M2238" s="675"/>
    </row>
    <row r="2239" spans="4:13" x14ac:dyDescent="0.2">
      <c r="D2239" s="673"/>
      <c r="E2239" s="674"/>
      <c r="F2239" s="674"/>
      <c r="G2239" s="674"/>
      <c r="H2239" s="674"/>
      <c r="I2239" s="675"/>
      <c r="J2239" s="675"/>
      <c r="K2239" s="674"/>
      <c r="L2239" s="674"/>
      <c r="M2239" s="675"/>
    </row>
    <row r="2240" spans="4:13" x14ac:dyDescent="0.2">
      <c r="D2240" s="673"/>
      <c r="E2240" s="674"/>
      <c r="F2240" s="674"/>
      <c r="G2240" s="674"/>
      <c r="H2240" s="674"/>
      <c r="I2240" s="675"/>
      <c r="J2240" s="675"/>
      <c r="K2240" s="674"/>
      <c r="L2240" s="674"/>
      <c r="M2240" s="675"/>
    </row>
    <row r="2241" spans="4:13" x14ac:dyDescent="0.2">
      <c r="D2241" s="673"/>
      <c r="E2241" s="674"/>
      <c r="F2241" s="674"/>
      <c r="G2241" s="674"/>
      <c r="H2241" s="674"/>
      <c r="I2241" s="675"/>
      <c r="J2241" s="675"/>
      <c r="K2241" s="674"/>
      <c r="L2241" s="674"/>
      <c r="M2241" s="675"/>
    </row>
    <row r="2242" spans="4:13" x14ac:dyDescent="0.2">
      <c r="D2242" s="673"/>
      <c r="E2242" s="674"/>
      <c r="F2242" s="674"/>
      <c r="G2242" s="674"/>
      <c r="H2242" s="674"/>
      <c r="I2242" s="675"/>
      <c r="J2242" s="675"/>
      <c r="K2242" s="674"/>
      <c r="L2242" s="674"/>
      <c r="M2242" s="675"/>
    </row>
    <row r="2243" spans="4:13" x14ac:dyDescent="0.2">
      <c r="D2243" s="673"/>
      <c r="E2243" s="674"/>
      <c r="F2243" s="674"/>
      <c r="G2243" s="674"/>
      <c r="H2243" s="674"/>
      <c r="I2243" s="675"/>
      <c r="J2243" s="675"/>
      <c r="K2243" s="674"/>
      <c r="L2243" s="674"/>
      <c r="M2243" s="675"/>
    </row>
    <row r="2244" spans="4:13" x14ac:dyDescent="0.2">
      <c r="D2244" s="673"/>
      <c r="E2244" s="674"/>
      <c r="F2244" s="674"/>
      <c r="G2244" s="674"/>
      <c r="H2244" s="674"/>
      <c r="I2244" s="675"/>
      <c r="J2244" s="675"/>
      <c r="K2244" s="674"/>
      <c r="L2244" s="674"/>
      <c r="M2244" s="675"/>
    </row>
    <row r="2245" spans="4:13" x14ac:dyDescent="0.2">
      <c r="D2245" s="673"/>
      <c r="E2245" s="674"/>
      <c r="F2245" s="674"/>
      <c r="G2245" s="674"/>
      <c r="H2245" s="674"/>
      <c r="I2245" s="675"/>
      <c r="J2245" s="675"/>
      <c r="K2245" s="674"/>
      <c r="L2245" s="674"/>
      <c r="M2245" s="675"/>
    </row>
    <row r="2246" spans="4:13" x14ac:dyDescent="0.2">
      <c r="D2246" s="673"/>
      <c r="E2246" s="674"/>
      <c r="F2246" s="674"/>
      <c r="G2246" s="674"/>
      <c r="H2246" s="674"/>
      <c r="I2246" s="675"/>
      <c r="J2246" s="675"/>
      <c r="K2246" s="674"/>
      <c r="L2246" s="674"/>
      <c r="M2246" s="675"/>
    </row>
    <row r="2247" spans="4:13" x14ac:dyDescent="0.2">
      <c r="D2247" s="673"/>
      <c r="E2247" s="674"/>
      <c r="F2247" s="674"/>
      <c r="G2247" s="674"/>
      <c r="H2247" s="674"/>
      <c r="I2247" s="675"/>
      <c r="J2247" s="675"/>
      <c r="K2247" s="674"/>
      <c r="L2247" s="674"/>
      <c r="M2247" s="675"/>
    </row>
    <row r="2248" spans="4:13" x14ac:dyDescent="0.2">
      <c r="D2248" s="673"/>
      <c r="E2248" s="674"/>
      <c r="F2248" s="674"/>
      <c r="G2248" s="674"/>
      <c r="H2248" s="674"/>
      <c r="I2248" s="675"/>
      <c r="J2248" s="675"/>
      <c r="K2248" s="674"/>
      <c r="L2248" s="674"/>
      <c r="M2248" s="675"/>
    </row>
    <row r="2249" spans="4:13" x14ac:dyDescent="0.2">
      <c r="D2249" s="673"/>
      <c r="E2249" s="674"/>
      <c r="F2249" s="674"/>
      <c r="G2249" s="674"/>
      <c r="H2249" s="674"/>
      <c r="I2249" s="675"/>
      <c r="J2249" s="675"/>
      <c r="K2249" s="674"/>
      <c r="L2249" s="674"/>
      <c r="M2249" s="675"/>
    </row>
    <row r="2250" spans="4:13" x14ac:dyDescent="0.2">
      <c r="D2250" s="673"/>
      <c r="E2250" s="674"/>
      <c r="F2250" s="674"/>
      <c r="G2250" s="674"/>
      <c r="H2250" s="674"/>
      <c r="I2250" s="675"/>
      <c r="J2250" s="675"/>
      <c r="K2250" s="674"/>
      <c r="L2250" s="674"/>
      <c r="M2250" s="675"/>
    </row>
    <row r="2251" spans="4:13" x14ac:dyDescent="0.2">
      <c r="D2251" s="673"/>
      <c r="E2251" s="674"/>
      <c r="F2251" s="674"/>
      <c r="G2251" s="674"/>
      <c r="H2251" s="674"/>
      <c r="I2251" s="675"/>
      <c r="J2251" s="675"/>
      <c r="K2251" s="674"/>
      <c r="L2251" s="674"/>
      <c r="M2251" s="675"/>
    </row>
    <row r="2252" spans="4:13" x14ac:dyDescent="0.2">
      <c r="D2252" s="673"/>
      <c r="E2252" s="674"/>
      <c r="F2252" s="674"/>
      <c r="G2252" s="674"/>
      <c r="H2252" s="674"/>
      <c r="I2252" s="675"/>
      <c r="J2252" s="675"/>
      <c r="K2252" s="674"/>
      <c r="L2252" s="674"/>
      <c r="M2252" s="675"/>
    </row>
    <row r="2253" spans="4:13" x14ac:dyDescent="0.2">
      <c r="D2253" s="673"/>
      <c r="E2253" s="674"/>
      <c r="F2253" s="674"/>
      <c r="G2253" s="674"/>
      <c r="H2253" s="674"/>
      <c r="I2253" s="675"/>
      <c r="J2253" s="675"/>
      <c r="K2253" s="674"/>
      <c r="L2253" s="674"/>
      <c r="M2253" s="675"/>
    </row>
    <row r="2254" spans="4:13" x14ac:dyDescent="0.2">
      <c r="D2254" s="673"/>
      <c r="E2254" s="674"/>
      <c r="F2254" s="674"/>
      <c r="G2254" s="674"/>
      <c r="H2254" s="674"/>
      <c r="I2254" s="675"/>
      <c r="J2254" s="675"/>
      <c r="K2254" s="674"/>
      <c r="L2254" s="674"/>
      <c r="M2254" s="675"/>
    </row>
    <row r="2255" spans="4:13" x14ac:dyDescent="0.2">
      <c r="D2255" s="673"/>
      <c r="E2255" s="674"/>
      <c r="F2255" s="674"/>
      <c r="G2255" s="674"/>
      <c r="H2255" s="674"/>
      <c r="I2255" s="675"/>
      <c r="J2255" s="675"/>
      <c r="K2255" s="674"/>
      <c r="L2255" s="674"/>
      <c r="M2255" s="675"/>
    </row>
    <row r="2256" spans="4:13" x14ac:dyDescent="0.2">
      <c r="D2256" s="673"/>
      <c r="E2256" s="674"/>
      <c r="F2256" s="674"/>
      <c r="G2256" s="674"/>
      <c r="H2256" s="674"/>
      <c r="I2256" s="675"/>
      <c r="J2256" s="675"/>
      <c r="K2256" s="674"/>
      <c r="L2256" s="674"/>
      <c r="M2256" s="675"/>
    </row>
    <row r="2257" spans="4:13" x14ac:dyDescent="0.2">
      <c r="D2257" s="673"/>
      <c r="E2257" s="674"/>
      <c r="F2257" s="674"/>
      <c r="G2257" s="674"/>
      <c r="H2257" s="674"/>
      <c r="I2257" s="675"/>
      <c r="J2257" s="675"/>
      <c r="K2257" s="674"/>
      <c r="L2257" s="674"/>
      <c r="M2257" s="675"/>
    </row>
    <row r="2258" spans="4:13" x14ac:dyDescent="0.2">
      <c r="D2258" s="673"/>
      <c r="E2258" s="674"/>
      <c r="F2258" s="674"/>
      <c r="G2258" s="674"/>
      <c r="H2258" s="674"/>
      <c r="I2258" s="675"/>
      <c r="J2258" s="675"/>
      <c r="K2258" s="674"/>
      <c r="L2258" s="674"/>
      <c r="M2258" s="675"/>
    </row>
    <row r="2259" spans="4:13" x14ac:dyDescent="0.2">
      <c r="D2259" s="673"/>
      <c r="E2259" s="674"/>
      <c r="F2259" s="674"/>
      <c r="G2259" s="674"/>
      <c r="H2259" s="674"/>
      <c r="I2259" s="675"/>
      <c r="J2259" s="675"/>
      <c r="K2259" s="674"/>
      <c r="L2259" s="674"/>
      <c r="M2259" s="675"/>
    </row>
    <row r="2260" spans="4:13" x14ac:dyDescent="0.2">
      <c r="D2260" s="673"/>
      <c r="E2260" s="674"/>
      <c r="F2260" s="674"/>
      <c r="G2260" s="674"/>
      <c r="H2260" s="674"/>
      <c r="I2260" s="675"/>
      <c r="J2260" s="675"/>
      <c r="K2260" s="674"/>
      <c r="L2260" s="674"/>
      <c r="M2260" s="675"/>
    </row>
    <row r="2261" spans="4:13" x14ac:dyDescent="0.2">
      <c r="D2261" s="673"/>
      <c r="E2261" s="674"/>
      <c r="F2261" s="674"/>
      <c r="G2261" s="674"/>
      <c r="H2261" s="674"/>
      <c r="I2261" s="675"/>
      <c r="J2261" s="675"/>
      <c r="K2261" s="674"/>
      <c r="L2261" s="674"/>
      <c r="M2261" s="675"/>
    </row>
    <row r="2262" spans="4:13" x14ac:dyDescent="0.2">
      <c r="D2262" s="673"/>
      <c r="E2262" s="674"/>
      <c r="F2262" s="674"/>
      <c r="G2262" s="674"/>
      <c r="H2262" s="674"/>
      <c r="I2262" s="675"/>
      <c r="J2262" s="675"/>
      <c r="K2262" s="674"/>
      <c r="L2262" s="674"/>
      <c r="M2262" s="675"/>
    </row>
    <row r="2263" spans="4:13" x14ac:dyDescent="0.2">
      <c r="D2263" s="673"/>
      <c r="E2263" s="674"/>
      <c r="F2263" s="674"/>
      <c r="G2263" s="674"/>
      <c r="H2263" s="674"/>
      <c r="I2263" s="675"/>
      <c r="J2263" s="675"/>
      <c r="K2263" s="674"/>
      <c r="L2263" s="674"/>
      <c r="M2263" s="675"/>
    </row>
    <row r="2264" spans="4:13" x14ac:dyDescent="0.2">
      <c r="D2264" s="673"/>
      <c r="E2264" s="674"/>
      <c r="F2264" s="674"/>
      <c r="G2264" s="674"/>
      <c r="H2264" s="674"/>
      <c r="I2264" s="675"/>
      <c r="J2264" s="675"/>
      <c r="K2264" s="674"/>
      <c r="L2264" s="674"/>
      <c r="M2264" s="675"/>
    </row>
    <row r="2265" spans="4:13" x14ac:dyDescent="0.2">
      <c r="D2265" s="673"/>
      <c r="E2265" s="674"/>
      <c r="F2265" s="674"/>
      <c r="G2265" s="674"/>
      <c r="H2265" s="674"/>
      <c r="I2265" s="675"/>
      <c r="J2265" s="675"/>
      <c r="K2265" s="674"/>
      <c r="L2265" s="674"/>
      <c r="M2265" s="675"/>
    </row>
    <row r="2266" spans="4:13" x14ac:dyDescent="0.2">
      <c r="D2266" s="673"/>
      <c r="E2266" s="674"/>
      <c r="F2266" s="674"/>
      <c r="G2266" s="674"/>
      <c r="H2266" s="674"/>
      <c r="I2266" s="675"/>
      <c r="J2266" s="675"/>
      <c r="K2266" s="674"/>
      <c r="L2266" s="674"/>
      <c r="M2266" s="675"/>
    </row>
    <row r="2267" spans="4:13" x14ac:dyDescent="0.2">
      <c r="D2267" s="673"/>
      <c r="E2267" s="674"/>
      <c r="F2267" s="674"/>
      <c r="G2267" s="674"/>
      <c r="H2267" s="674"/>
      <c r="I2267" s="675"/>
      <c r="J2267" s="675"/>
      <c r="K2267" s="674"/>
      <c r="L2267" s="674"/>
      <c r="M2267" s="675"/>
    </row>
    <row r="2268" spans="4:13" x14ac:dyDescent="0.2">
      <c r="D2268" s="673"/>
      <c r="E2268" s="674"/>
      <c r="F2268" s="674"/>
      <c r="G2268" s="674"/>
      <c r="H2268" s="674"/>
      <c r="I2268" s="675"/>
      <c r="J2268" s="675"/>
      <c r="K2268" s="674"/>
      <c r="L2268" s="674"/>
      <c r="M2268" s="675"/>
    </row>
    <row r="2269" spans="4:13" x14ac:dyDescent="0.2">
      <c r="D2269" s="673"/>
      <c r="E2269" s="674"/>
      <c r="F2269" s="674"/>
      <c r="G2269" s="674"/>
      <c r="H2269" s="674"/>
      <c r="I2269" s="675"/>
      <c r="J2269" s="675"/>
      <c r="K2269" s="674"/>
      <c r="L2269" s="674"/>
      <c r="M2269" s="675"/>
    </row>
    <row r="2270" spans="4:13" x14ac:dyDescent="0.2">
      <c r="D2270" s="673"/>
      <c r="E2270" s="674"/>
      <c r="F2270" s="674"/>
      <c r="G2270" s="674"/>
      <c r="H2270" s="674"/>
      <c r="I2270" s="675"/>
      <c r="J2270" s="675"/>
      <c r="K2270" s="674"/>
      <c r="L2270" s="674"/>
      <c r="M2270" s="675"/>
    </row>
    <row r="2271" spans="4:13" x14ac:dyDescent="0.2">
      <c r="D2271" s="673"/>
      <c r="E2271" s="674"/>
      <c r="F2271" s="674"/>
      <c r="G2271" s="674"/>
      <c r="H2271" s="674"/>
      <c r="I2271" s="675"/>
      <c r="J2271" s="675"/>
      <c r="K2271" s="674"/>
      <c r="L2271" s="674"/>
      <c r="M2271" s="675"/>
    </row>
    <row r="2272" spans="4:13" x14ac:dyDescent="0.2">
      <c r="D2272" s="673"/>
      <c r="E2272" s="674"/>
      <c r="F2272" s="674"/>
      <c r="G2272" s="674"/>
      <c r="H2272" s="674"/>
      <c r="I2272" s="675"/>
      <c r="J2272" s="675"/>
      <c r="K2272" s="674"/>
      <c r="L2272" s="674"/>
      <c r="M2272" s="675"/>
    </row>
    <row r="2273" spans="4:13" x14ac:dyDescent="0.2">
      <c r="D2273" s="673"/>
      <c r="E2273" s="674"/>
      <c r="F2273" s="674"/>
      <c r="G2273" s="674"/>
      <c r="H2273" s="674"/>
      <c r="I2273" s="675"/>
      <c r="J2273" s="675"/>
      <c r="K2273" s="674"/>
      <c r="L2273" s="674"/>
      <c r="M2273" s="675"/>
    </row>
    <row r="2274" spans="4:13" x14ac:dyDescent="0.2">
      <c r="D2274" s="673"/>
      <c r="E2274" s="674"/>
      <c r="F2274" s="674"/>
      <c r="G2274" s="674"/>
      <c r="H2274" s="674"/>
      <c r="I2274" s="675"/>
      <c r="J2274" s="675"/>
      <c r="K2274" s="674"/>
      <c r="L2274" s="674"/>
      <c r="M2274" s="675"/>
    </row>
    <row r="2275" spans="4:13" x14ac:dyDescent="0.2">
      <c r="D2275" s="673"/>
      <c r="E2275" s="674"/>
      <c r="F2275" s="674"/>
      <c r="G2275" s="674"/>
      <c r="H2275" s="674"/>
      <c r="I2275" s="675"/>
      <c r="J2275" s="675"/>
      <c r="K2275" s="674"/>
      <c r="L2275" s="674"/>
      <c r="M2275" s="675"/>
    </row>
    <row r="2276" spans="4:13" x14ac:dyDescent="0.2">
      <c r="D2276" s="673"/>
      <c r="E2276" s="674"/>
      <c r="F2276" s="674"/>
      <c r="G2276" s="674"/>
      <c r="H2276" s="674"/>
      <c r="I2276" s="675"/>
      <c r="J2276" s="675"/>
      <c r="K2276" s="674"/>
      <c r="L2276" s="674"/>
      <c r="M2276" s="675"/>
    </row>
    <row r="2277" spans="4:13" x14ac:dyDescent="0.2">
      <c r="D2277" s="673"/>
      <c r="E2277" s="674"/>
      <c r="F2277" s="674"/>
      <c r="G2277" s="674"/>
      <c r="H2277" s="674"/>
      <c r="I2277" s="675"/>
      <c r="J2277" s="675"/>
      <c r="K2277" s="674"/>
      <c r="L2277" s="674"/>
      <c r="M2277" s="675"/>
    </row>
    <row r="2278" spans="4:13" x14ac:dyDescent="0.2">
      <c r="D2278" s="673"/>
      <c r="E2278" s="674"/>
      <c r="F2278" s="674"/>
      <c r="G2278" s="674"/>
      <c r="H2278" s="674"/>
      <c r="I2278" s="675"/>
      <c r="J2278" s="675"/>
      <c r="K2278" s="674"/>
      <c r="L2278" s="674"/>
      <c r="M2278" s="675"/>
    </row>
    <row r="2279" spans="4:13" x14ac:dyDescent="0.2">
      <c r="D2279" s="673"/>
      <c r="E2279" s="674"/>
      <c r="F2279" s="674"/>
      <c r="G2279" s="674"/>
      <c r="H2279" s="674"/>
      <c r="I2279" s="675"/>
      <c r="J2279" s="675"/>
      <c r="K2279" s="674"/>
      <c r="L2279" s="674"/>
      <c r="M2279" s="675"/>
    </row>
    <row r="2280" spans="4:13" x14ac:dyDescent="0.2">
      <c r="D2280" s="673"/>
      <c r="E2280" s="674"/>
      <c r="F2280" s="674"/>
      <c r="G2280" s="674"/>
      <c r="H2280" s="674"/>
      <c r="I2280" s="675"/>
      <c r="J2280" s="675"/>
      <c r="K2280" s="674"/>
      <c r="L2280" s="674"/>
      <c r="M2280" s="675"/>
    </row>
    <row r="2281" spans="4:13" x14ac:dyDescent="0.2">
      <c r="D2281" s="673"/>
      <c r="E2281" s="674"/>
      <c r="F2281" s="674"/>
      <c r="G2281" s="674"/>
      <c r="H2281" s="674"/>
      <c r="I2281" s="675"/>
      <c r="J2281" s="675"/>
      <c r="K2281" s="674"/>
      <c r="L2281" s="674"/>
      <c r="M2281" s="675"/>
    </row>
    <row r="2282" spans="4:13" x14ac:dyDescent="0.2">
      <c r="D2282" s="673"/>
      <c r="E2282" s="674"/>
      <c r="F2282" s="674"/>
      <c r="G2282" s="674"/>
      <c r="H2282" s="674"/>
      <c r="I2282" s="675"/>
      <c r="J2282" s="675"/>
      <c r="K2282" s="674"/>
      <c r="L2282" s="674"/>
      <c r="M2282" s="675"/>
    </row>
    <row r="2283" spans="4:13" x14ac:dyDescent="0.2">
      <c r="D2283" s="673"/>
      <c r="E2283" s="674"/>
      <c r="F2283" s="674"/>
      <c r="G2283" s="674"/>
      <c r="H2283" s="674"/>
      <c r="I2283" s="675"/>
      <c r="J2283" s="675"/>
      <c r="K2283" s="674"/>
      <c r="L2283" s="674"/>
      <c r="M2283" s="675"/>
    </row>
    <row r="2284" spans="4:13" x14ac:dyDescent="0.2">
      <c r="D2284" s="673"/>
      <c r="E2284" s="674"/>
      <c r="F2284" s="674"/>
      <c r="G2284" s="674"/>
      <c r="H2284" s="674"/>
      <c r="I2284" s="675"/>
      <c r="J2284" s="675"/>
      <c r="K2284" s="674"/>
      <c r="L2284" s="674"/>
      <c r="M2284" s="675"/>
    </row>
    <row r="2285" spans="4:13" x14ac:dyDescent="0.2">
      <c r="D2285" s="673"/>
      <c r="E2285" s="674"/>
      <c r="F2285" s="674"/>
      <c r="G2285" s="674"/>
      <c r="H2285" s="674"/>
      <c r="I2285" s="675"/>
      <c r="J2285" s="675"/>
      <c r="K2285" s="674"/>
      <c r="L2285" s="674"/>
      <c r="M2285" s="675"/>
    </row>
    <row r="2286" spans="4:13" x14ac:dyDescent="0.2">
      <c r="D2286" s="673"/>
      <c r="E2286" s="674"/>
      <c r="F2286" s="674"/>
      <c r="G2286" s="674"/>
      <c r="H2286" s="674"/>
      <c r="I2286" s="675"/>
      <c r="J2286" s="675"/>
      <c r="K2286" s="674"/>
      <c r="L2286" s="674"/>
      <c r="M2286" s="675"/>
    </row>
    <row r="2287" spans="4:13" x14ac:dyDescent="0.2">
      <c r="D2287" s="673"/>
      <c r="E2287" s="674"/>
      <c r="F2287" s="674"/>
      <c r="G2287" s="674"/>
      <c r="H2287" s="674"/>
      <c r="I2287" s="675"/>
      <c r="J2287" s="675"/>
      <c r="K2287" s="674"/>
      <c r="L2287" s="674"/>
      <c r="M2287" s="675"/>
    </row>
    <row r="2288" spans="4:13" x14ac:dyDescent="0.2">
      <c r="D2288" s="673"/>
      <c r="E2288" s="674"/>
      <c r="F2288" s="674"/>
      <c r="G2288" s="674"/>
      <c r="H2288" s="674"/>
      <c r="I2288" s="675"/>
      <c r="J2288" s="675"/>
      <c r="K2288" s="674"/>
      <c r="L2288" s="674"/>
      <c r="M2288" s="675"/>
    </row>
    <row r="2289" spans="4:13" x14ac:dyDescent="0.2">
      <c r="D2289" s="673"/>
      <c r="E2289" s="674"/>
      <c r="F2289" s="674"/>
      <c r="G2289" s="674"/>
      <c r="H2289" s="674"/>
      <c r="I2289" s="675"/>
      <c r="J2289" s="675"/>
      <c r="K2289" s="674"/>
      <c r="L2289" s="674"/>
      <c r="M2289" s="675"/>
    </row>
    <row r="2290" spans="4:13" x14ac:dyDescent="0.2">
      <c r="D2290" s="673"/>
      <c r="E2290" s="674"/>
      <c r="F2290" s="674"/>
      <c r="G2290" s="674"/>
      <c r="H2290" s="674"/>
      <c r="I2290" s="675"/>
      <c r="J2290" s="675"/>
      <c r="K2290" s="674"/>
      <c r="L2290" s="674"/>
      <c r="M2290" s="675"/>
    </row>
    <row r="2291" spans="4:13" x14ac:dyDescent="0.2">
      <c r="D2291" s="673"/>
      <c r="E2291" s="674"/>
      <c r="F2291" s="674"/>
      <c r="G2291" s="674"/>
      <c r="H2291" s="674"/>
      <c r="I2291" s="675"/>
      <c r="J2291" s="675"/>
      <c r="K2291" s="674"/>
      <c r="L2291" s="674"/>
      <c r="M2291" s="675"/>
    </row>
    <row r="2292" spans="4:13" x14ac:dyDescent="0.2">
      <c r="D2292" s="673"/>
      <c r="E2292" s="674"/>
      <c r="F2292" s="674"/>
      <c r="G2292" s="674"/>
      <c r="H2292" s="674"/>
      <c r="I2292" s="675"/>
      <c r="J2292" s="675"/>
      <c r="K2292" s="674"/>
      <c r="L2292" s="674"/>
      <c r="M2292" s="675"/>
    </row>
    <row r="2293" spans="4:13" x14ac:dyDescent="0.2">
      <c r="D2293" s="673"/>
      <c r="E2293" s="674"/>
      <c r="F2293" s="674"/>
      <c r="G2293" s="674"/>
      <c r="H2293" s="674"/>
      <c r="I2293" s="675"/>
      <c r="J2293" s="675"/>
      <c r="K2293" s="674"/>
      <c r="L2293" s="674"/>
      <c r="M2293" s="675"/>
    </row>
    <row r="2294" spans="4:13" x14ac:dyDescent="0.2">
      <c r="D2294" s="673"/>
      <c r="E2294" s="674"/>
      <c r="F2294" s="674"/>
      <c r="G2294" s="674"/>
      <c r="H2294" s="674"/>
      <c r="I2294" s="675"/>
      <c r="J2294" s="675"/>
      <c r="K2294" s="674"/>
      <c r="L2294" s="674"/>
      <c r="M2294" s="675"/>
    </row>
    <row r="2295" spans="4:13" x14ac:dyDescent="0.2">
      <c r="D2295" s="673"/>
      <c r="E2295" s="674"/>
      <c r="F2295" s="674"/>
      <c r="G2295" s="674"/>
      <c r="H2295" s="674"/>
      <c r="I2295" s="675"/>
      <c r="J2295" s="675"/>
      <c r="K2295" s="674"/>
      <c r="L2295" s="674"/>
      <c r="M2295" s="675"/>
    </row>
    <row r="2296" spans="4:13" x14ac:dyDescent="0.2">
      <c r="D2296" s="673"/>
      <c r="E2296" s="674"/>
      <c r="F2296" s="674"/>
      <c r="G2296" s="674"/>
      <c r="H2296" s="674"/>
      <c r="I2296" s="675"/>
      <c r="J2296" s="675"/>
      <c r="K2296" s="674"/>
      <c r="L2296" s="674"/>
      <c r="M2296" s="675"/>
    </row>
    <row r="2297" spans="4:13" x14ac:dyDescent="0.2">
      <c r="D2297" s="673"/>
      <c r="E2297" s="674"/>
      <c r="F2297" s="674"/>
      <c r="G2297" s="674"/>
      <c r="H2297" s="674"/>
      <c r="I2297" s="675"/>
      <c r="J2297" s="675"/>
      <c r="K2297" s="674"/>
      <c r="L2297" s="674"/>
      <c r="M2297" s="675"/>
    </row>
    <row r="2298" spans="4:13" x14ac:dyDescent="0.2">
      <c r="D2298" s="673"/>
      <c r="E2298" s="674"/>
      <c r="F2298" s="674"/>
      <c r="G2298" s="674"/>
      <c r="H2298" s="674"/>
      <c r="I2298" s="675"/>
      <c r="J2298" s="675"/>
      <c r="K2298" s="674"/>
      <c r="L2298" s="674"/>
      <c r="M2298" s="675"/>
    </row>
    <row r="2299" spans="4:13" x14ac:dyDescent="0.2">
      <c r="D2299" s="673"/>
      <c r="E2299" s="674"/>
      <c r="F2299" s="674"/>
      <c r="G2299" s="674"/>
      <c r="H2299" s="674"/>
      <c r="I2299" s="675"/>
      <c r="J2299" s="675"/>
      <c r="K2299" s="674"/>
      <c r="L2299" s="674"/>
      <c r="M2299" s="675"/>
    </row>
    <row r="2300" spans="4:13" x14ac:dyDescent="0.2">
      <c r="D2300" s="673"/>
      <c r="E2300" s="674"/>
      <c r="F2300" s="674"/>
      <c r="G2300" s="674"/>
      <c r="H2300" s="674"/>
      <c r="I2300" s="675"/>
      <c r="J2300" s="675"/>
      <c r="K2300" s="674"/>
      <c r="L2300" s="674"/>
      <c r="M2300" s="675"/>
    </row>
    <row r="2301" spans="4:13" x14ac:dyDescent="0.2">
      <c r="D2301" s="673"/>
      <c r="E2301" s="674"/>
      <c r="F2301" s="674"/>
      <c r="G2301" s="674"/>
      <c r="H2301" s="674"/>
      <c r="I2301" s="675"/>
      <c r="J2301" s="675"/>
      <c r="K2301" s="674"/>
      <c r="L2301" s="674"/>
      <c r="M2301" s="675"/>
    </row>
    <row r="2302" spans="4:13" x14ac:dyDescent="0.2">
      <c r="D2302" s="673"/>
      <c r="E2302" s="674"/>
      <c r="F2302" s="674"/>
      <c r="G2302" s="674"/>
      <c r="H2302" s="674"/>
      <c r="I2302" s="675"/>
      <c r="J2302" s="675"/>
      <c r="K2302" s="674"/>
      <c r="L2302" s="674"/>
      <c r="M2302" s="675"/>
    </row>
    <row r="2303" spans="4:13" x14ac:dyDescent="0.2">
      <c r="D2303" s="673"/>
      <c r="E2303" s="674"/>
      <c r="F2303" s="674"/>
      <c r="G2303" s="674"/>
      <c r="H2303" s="674"/>
      <c r="I2303" s="675"/>
      <c r="J2303" s="675"/>
      <c r="K2303" s="674"/>
      <c r="L2303" s="674"/>
      <c r="M2303" s="675"/>
    </row>
    <row r="2304" spans="4:13" x14ac:dyDescent="0.2">
      <c r="D2304" s="673"/>
      <c r="E2304" s="674"/>
      <c r="F2304" s="674"/>
      <c r="G2304" s="674"/>
      <c r="H2304" s="674"/>
      <c r="I2304" s="675"/>
      <c r="J2304" s="675"/>
      <c r="K2304" s="674"/>
      <c r="L2304" s="674"/>
      <c r="M2304" s="675"/>
    </row>
    <row r="2305" spans="4:13" x14ac:dyDescent="0.2">
      <c r="D2305" s="673"/>
      <c r="E2305" s="674"/>
      <c r="F2305" s="674"/>
      <c r="G2305" s="674"/>
      <c r="H2305" s="674"/>
      <c r="I2305" s="675"/>
      <c r="J2305" s="675"/>
      <c r="K2305" s="674"/>
      <c r="L2305" s="674"/>
      <c r="M2305" s="675"/>
    </row>
    <row r="2306" spans="4:13" x14ac:dyDescent="0.2">
      <c r="D2306" s="673"/>
      <c r="E2306" s="674"/>
      <c r="F2306" s="674"/>
      <c r="G2306" s="674"/>
      <c r="H2306" s="674"/>
      <c r="I2306" s="675"/>
      <c r="J2306" s="675"/>
      <c r="K2306" s="674"/>
      <c r="L2306" s="674"/>
      <c r="M2306" s="675"/>
    </row>
    <row r="2307" spans="4:13" x14ac:dyDescent="0.2">
      <c r="D2307" s="673"/>
      <c r="E2307" s="674"/>
      <c r="F2307" s="674"/>
      <c r="G2307" s="674"/>
      <c r="H2307" s="674"/>
      <c r="I2307" s="675"/>
      <c r="J2307" s="675"/>
      <c r="K2307" s="674"/>
      <c r="L2307" s="674"/>
      <c r="M2307" s="675"/>
    </row>
    <row r="2308" spans="4:13" x14ac:dyDescent="0.2">
      <c r="D2308" s="673"/>
      <c r="E2308" s="674"/>
      <c r="F2308" s="674"/>
      <c r="G2308" s="674"/>
      <c r="H2308" s="674"/>
      <c r="I2308" s="675"/>
      <c r="J2308" s="675"/>
      <c r="K2308" s="674"/>
      <c r="L2308" s="674"/>
      <c r="M2308" s="675"/>
    </row>
    <row r="2309" spans="4:13" x14ac:dyDescent="0.2">
      <c r="D2309" s="673"/>
      <c r="E2309" s="674"/>
      <c r="F2309" s="674"/>
      <c r="G2309" s="674"/>
      <c r="H2309" s="674"/>
      <c r="I2309" s="675"/>
      <c r="J2309" s="675"/>
      <c r="K2309" s="674"/>
      <c r="L2309" s="674"/>
      <c r="M2309" s="675"/>
    </row>
    <row r="2310" spans="4:13" x14ac:dyDescent="0.2">
      <c r="D2310" s="673"/>
      <c r="E2310" s="674"/>
      <c r="F2310" s="674"/>
      <c r="G2310" s="674"/>
      <c r="H2310" s="674"/>
      <c r="I2310" s="675"/>
      <c r="J2310" s="675"/>
      <c r="K2310" s="674"/>
      <c r="L2310" s="674"/>
      <c r="M2310" s="675"/>
    </row>
    <row r="2311" spans="4:13" x14ac:dyDescent="0.2">
      <c r="D2311" s="673"/>
      <c r="E2311" s="674"/>
      <c r="F2311" s="674"/>
      <c r="G2311" s="674"/>
      <c r="H2311" s="674"/>
      <c r="I2311" s="675"/>
      <c r="J2311" s="675"/>
      <c r="K2311" s="674"/>
      <c r="L2311" s="674"/>
      <c r="M2311" s="675"/>
    </row>
    <row r="2312" spans="4:13" x14ac:dyDescent="0.2">
      <c r="D2312" s="673"/>
      <c r="E2312" s="674"/>
      <c r="F2312" s="674"/>
      <c r="G2312" s="674"/>
      <c r="H2312" s="674"/>
      <c r="I2312" s="675"/>
      <c r="J2312" s="675"/>
      <c r="K2312" s="674"/>
      <c r="L2312" s="674"/>
      <c r="M2312" s="675"/>
    </row>
    <row r="2313" spans="4:13" x14ac:dyDescent="0.2">
      <c r="D2313" s="673"/>
      <c r="E2313" s="674"/>
      <c r="F2313" s="674"/>
      <c r="G2313" s="674"/>
      <c r="H2313" s="674"/>
      <c r="I2313" s="675"/>
      <c r="J2313" s="675"/>
      <c r="K2313" s="674"/>
      <c r="L2313" s="674"/>
      <c r="M2313" s="675"/>
    </row>
    <row r="2314" spans="4:13" x14ac:dyDescent="0.2">
      <c r="D2314" s="673"/>
      <c r="E2314" s="674"/>
      <c r="F2314" s="674"/>
      <c r="G2314" s="674"/>
      <c r="H2314" s="674"/>
      <c r="I2314" s="675"/>
      <c r="J2314" s="675"/>
      <c r="K2314" s="674"/>
      <c r="L2314" s="674"/>
      <c r="M2314" s="675"/>
    </row>
    <row r="2315" spans="4:13" x14ac:dyDescent="0.2">
      <c r="D2315" s="673"/>
      <c r="E2315" s="674"/>
      <c r="F2315" s="674"/>
      <c r="G2315" s="674"/>
      <c r="H2315" s="674"/>
      <c r="I2315" s="675"/>
      <c r="J2315" s="675"/>
      <c r="K2315" s="674"/>
      <c r="L2315" s="674"/>
      <c r="M2315" s="675"/>
    </row>
    <row r="2316" spans="4:13" x14ac:dyDescent="0.2">
      <c r="D2316" s="673"/>
      <c r="E2316" s="674"/>
      <c r="F2316" s="674"/>
      <c r="G2316" s="674"/>
      <c r="H2316" s="674"/>
      <c r="I2316" s="675"/>
      <c r="J2316" s="675"/>
      <c r="K2316" s="674"/>
      <c r="L2316" s="674"/>
      <c r="M2316" s="675"/>
    </row>
    <row r="2317" spans="4:13" x14ac:dyDescent="0.2">
      <c r="D2317" s="673"/>
      <c r="E2317" s="674"/>
      <c r="F2317" s="674"/>
      <c r="G2317" s="674"/>
      <c r="H2317" s="674"/>
      <c r="I2317" s="675"/>
      <c r="J2317" s="675"/>
      <c r="K2317" s="674"/>
      <c r="L2317" s="674"/>
      <c r="M2317" s="675"/>
    </row>
    <row r="2318" spans="4:13" x14ac:dyDescent="0.2">
      <c r="D2318" s="673"/>
      <c r="E2318" s="674"/>
      <c r="F2318" s="674"/>
      <c r="G2318" s="674"/>
      <c r="H2318" s="674"/>
      <c r="I2318" s="675"/>
      <c r="J2318" s="675"/>
      <c r="K2318" s="674"/>
      <c r="L2318" s="674"/>
      <c r="M2318" s="675"/>
    </row>
    <row r="2319" spans="4:13" x14ac:dyDescent="0.2">
      <c r="D2319" s="673"/>
      <c r="E2319" s="674"/>
      <c r="F2319" s="674"/>
      <c r="G2319" s="674"/>
      <c r="H2319" s="674"/>
      <c r="I2319" s="675"/>
      <c r="J2319" s="675"/>
      <c r="K2319" s="674"/>
      <c r="L2319" s="674"/>
      <c r="M2319" s="675"/>
    </row>
    <row r="2320" spans="4:13" x14ac:dyDescent="0.2">
      <c r="D2320" s="673"/>
      <c r="E2320" s="674"/>
      <c r="F2320" s="674"/>
      <c r="G2320" s="674"/>
      <c r="H2320" s="674"/>
      <c r="I2320" s="675"/>
      <c r="J2320" s="675"/>
      <c r="K2320" s="674"/>
      <c r="L2320" s="674"/>
      <c r="M2320" s="675"/>
    </row>
    <row r="2321" spans="4:13" x14ac:dyDescent="0.2">
      <c r="D2321" s="673"/>
      <c r="E2321" s="674"/>
      <c r="F2321" s="674"/>
      <c r="G2321" s="674"/>
      <c r="H2321" s="674"/>
      <c r="I2321" s="675"/>
      <c r="J2321" s="675"/>
      <c r="K2321" s="674"/>
      <c r="L2321" s="674"/>
      <c r="M2321" s="675"/>
    </row>
    <row r="2322" spans="4:13" x14ac:dyDescent="0.2">
      <c r="D2322" s="673"/>
      <c r="E2322" s="674"/>
      <c r="F2322" s="674"/>
      <c r="G2322" s="674"/>
      <c r="H2322" s="674"/>
      <c r="I2322" s="675"/>
      <c r="J2322" s="675"/>
      <c r="K2322" s="674"/>
      <c r="L2322" s="674"/>
      <c r="M2322" s="675"/>
    </row>
    <row r="2323" spans="4:13" x14ac:dyDescent="0.2">
      <c r="D2323" s="673"/>
      <c r="E2323" s="674"/>
      <c r="F2323" s="674"/>
      <c r="G2323" s="674"/>
      <c r="H2323" s="674"/>
      <c r="I2323" s="675"/>
      <c r="J2323" s="675"/>
      <c r="K2323" s="674"/>
      <c r="L2323" s="674"/>
      <c r="M2323" s="675"/>
    </row>
    <row r="2324" spans="4:13" x14ac:dyDescent="0.2">
      <c r="D2324" s="673"/>
      <c r="E2324" s="674"/>
      <c r="F2324" s="674"/>
      <c r="G2324" s="674"/>
      <c r="H2324" s="674"/>
      <c r="I2324" s="675"/>
      <c r="J2324" s="675"/>
      <c r="K2324" s="674"/>
      <c r="L2324" s="674"/>
      <c r="M2324" s="675"/>
    </row>
    <row r="2325" spans="4:13" x14ac:dyDescent="0.2">
      <c r="D2325" s="673"/>
      <c r="E2325" s="674"/>
      <c r="F2325" s="674"/>
      <c r="G2325" s="674"/>
      <c r="H2325" s="674"/>
      <c r="I2325" s="675"/>
      <c r="J2325" s="675"/>
      <c r="K2325" s="674"/>
      <c r="L2325" s="674"/>
      <c r="M2325" s="675"/>
    </row>
    <row r="2326" spans="4:13" x14ac:dyDescent="0.2">
      <c r="D2326" s="673"/>
      <c r="E2326" s="674"/>
      <c r="F2326" s="674"/>
      <c r="G2326" s="674"/>
      <c r="H2326" s="674"/>
      <c r="I2326" s="675"/>
      <c r="J2326" s="675"/>
      <c r="K2326" s="674"/>
      <c r="L2326" s="674"/>
      <c r="M2326" s="675"/>
    </row>
    <row r="2327" spans="4:13" x14ac:dyDescent="0.2">
      <c r="D2327" s="673"/>
      <c r="E2327" s="674"/>
      <c r="F2327" s="674"/>
      <c r="G2327" s="674"/>
      <c r="H2327" s="674"/>
      <c r="I2327" s="675"/>
      <c r="J2327" s="675"/>
      <c r="K2327" s="674"/>
      <c r="L2327" s="674"/>
      <c r="M2327" s="675"/>
    </row>
    <row r="2328" spans="4:13" x14ac:dyDescent="0.2">
      <c r="D2328" s="673"/>
      <c r="E2328" s="674"/>
      <c r="F2328" s="674"/>
      <c r="G2328" s="674"/>
      <c r="H2328" s="674"/>
      <c r="I2328" s="675"/>
      <c r="J2328" s="675"/>
      <c r="K2328" s="674"/>
      <c r="L2328" s="674"/>
      <c r="M2328" s="675"/>
    </row>
    <row r="2329" spans="4:13" x14ac:dyDescent="0.2">
      <c r="D2329" s="673"/>
      <c r="E2329" s="674"/>
      <c r="F2329" s="674"/>
      <c r="G2329" s="674"/>
      <c r="H2329" s="674"/>
      <c r="I2329" s="675"/>
      <c r="J2329" s="675"/>
      <c r="K2329" s="674"/>
      <c r="L2329" s="674"/>
      <c r="M2329" s="675"/>
    </row>
    <row r="2330" spans="4:13" x14ac:dyDescent="0.2">
      <c r="D2330" s="673"/>
      <c r="E2330" s="674"/>
      <c r="F2330" s="674"/>
      <c r="G2330" s="674"/>
      <c r="H2330" s="674"/>
      <c r="I2330" s="675"/>
      <c r="J2330" s="675"/>
      <c r="K2330" s="674"/>
      <c r="L2330" s="674"/>
      <c r="M2330" s="675"/>
    </row>
    <row r="2331" spans="4:13" x14ac:dyDescent="0.2">
      <c r="D2331" s="673"/>
      <c r="E2331" s="674"/>
      <c r="F2331" s="674"/>
      <c r="G2331" s="674"/>
      <c r="H2331" s="674"/>
      <c r="I2331" s="675"/>
      <c r="J2331" s="675"/>
      <c r="K2331" s="674"/>
      <c r="L2331" s="674"/>
      <c r="M2331" s="675"/>
    </row>
    <row r="2332" spans="4:13" x14ac:dyDescent="0.2">
      <c r="D2332" s="673"/>
      <c r="E2332" s="674"/>
      <c r="F2332" s="674"/>
      <c r="G2332" s="674"/>
      <c r="H2332" s="674"/>
      <c r="I2332" s="675"/>
      <c r="J2332" s="675"/>
      <c r="K2332" s="674"/>
      <c r="L2332" s="674"/>
      <c r="M2332" s="675"/>
    </row>
    <row r="2333" spans="4:13" x14ac:dyDescent="0.2">
      <c r="D2333" s="673"/>
      <c r="E2333" s="674"/>
      <c r="F2333" s="674"/>
      <c r="G2333" s="674"/>
      <c r="H2333" s="674"/>
      <c r="I2333" s="675"/>
      <c r="J2333" s="675"/>
      <c r="K2333" s="674"/>
      <c r="L2333" s="674"/>
      <c r="M2333" s="675"/>
    </row>
    <row r="2334" spans="4:13" x14ac:dyDescent="0.2">
      <c r="D2334" s="673"/>
      <c r="E2334" s="674"/>
      <c r="F2334" s="674"/>
      <c r="G2334" s="674"/>
      <c r="H2334" s="674"/>
      <c r="I2334" s="675"/>
      <c r="J2334" s="675"/>
      <c r="K2334" s="674"/>
      <c r="L2334" s="674"/>
      <c r="M2334" s="675"/>
    </row>
    <row r="2335" spans="4:13" x14ac:dyDescent="0.2">
      <c r="D2335" s="673"/>
      <c r="E2335" s="674"/>
      <c r="F2335" s="674"/>
      <c r="G2335" s="674"/>
      <c r="H2335" s="674"/>
      <c r="I2335" s="675"/>
      <c r="J2335" s="675"/>
      <c r="K2335" s="674"/>
      <c r="L2335" s="674"/>
      <c r="M2335" s="675"/>
    </row>
    <row r="2336" spans="4:13" x14ac:dyDescent="0.2">
      <c r="D2336" s="673"/>
      <c r="E2336" s="674"/>
      <c r="F2336" s="674"/>
      <c r="G2336" s="674"/>
      <c r="H2336" s="674"/>
      <c r="I2336" s="675"/>
      <c r="J2336" s="675"/>
      <c r="K2336" s="674"/>
      <c r="L2336" s="674"/>
      <c r="M2336" s="675"/>
    </row>
    <row r="2337" spans="4:13" x14ac:dyDescent="0.2">
      <c r="D2337" s="673"/>
      <c r="E2337" s="674"/>
      <c r="F2337" s="674"/>
      <c r="G2337" s="674"/>
      <c r="H2337" s="674"/>
      <c r="I2337" s="675"/>
      <c r="J2337" s="675"/>
      <c r="K2337" s="674"/>
      <c r="L2337" s="674"/>
      <c r="M2337" s="675"/>
    </row>
    <row r="2338" spans="4:13" x14ac:dyDescent="0.2">
      <c r="D2338" s="673"/>
      <c r="E2338" s="674"/>
      <c r="F2338" s="674"/>
      <c r="G2338" s="674"/>
      <c r="H2338" s="674"/>
      <c r="I2338" s="675"/>
      <c r="J2338" s="675"/>
      <c r="K2338" s="674"/>
      <c r="L2338" s="674"/>
      <c r="M2338" s="675"/>
    </row>
    <row r="2339" spans="4:13" x14ac:dyDescent="0.2">
      <c r="D2339" s="673"/>
      <c r="E2339" s="674"/>
      <c r="F2339" s="674"/>
      <c r="G2339" s="674"/>
      <c r="H2339" s="674"/>
      <c r="I2339" s="675"/>
      <c r="J2339" s="675"/>
      <c r="K2339" s="674"/>
      <c r="L2339" s="674"/>
      <c r="M2339" s="675"/>
    </row>
    <row r="2340" spans="4:13" x14ac:dyDescent="0.2">
      <c r="D2340" s="673"/>
      <c r="E2340" s="674"/>
      <c r="F2340" s="674"/>
      <c r="G2340" s="674"/>
      <c r="H2340" s="674"/>
      <c r="I2340" s="675"/>
      <c r="J2340" s="675"/>
      <c r="K2340" s="674"/>
      <c r="L2340" s="674"/>
      <c r="M2340" s="675"/>
    </row>
    <row r="2341" spans="4:13" x14ac:dyDescent="0.2">
      <c r="D2341" s="673"/>
      <c r="E2341" s="674"/>
      <c r="F2341" s="674"/>
      <c r="G2341" s="674"/>
      <c r="H2341" s="674"/>
      <c r="I2341" s="675"/>
      <c r="J2341" s="675"/>
      <c r="K2341" s="674"/>
      <c r="L2341" s="674"/>
      <c r="M2341" s="675"/>
    </row>
    <row r="2342" spans="4:13" x14ac:dyDescent="0.2">
      <c r="D2342" s="673"/>
      <c r="E2342" s="674"/>
      <c r="F2342" s="674"/>
      <c r="G2342" s="674"/>
      <c r="H2342" s="674"/>
      <c r="I2342" s="675"/>
      <c r="J2342" s="675"/>
      <c r="K2342" s="674"/>
      <c r="L2342" s="674"/>
      <c r="M2342" s="675"/>
    </row>
    <row r="2343" spans="4:13" x14ac:dyDescent="0.2">
      <c r="D2343" s="673"/>
      <c r="E2343" s="674"/>
      <c r="F2343" s="674"/>
      <c r="G2343" s="674"/>
      <c r="H2343" s="674"/>
      <c r="I2343" s="675"/>
      <c r="J2343" s="675"/>
      <c r="K2343" s="674"/>
      <c r="L2343" s="674"/>
      <c r="M2343" s="675"/>
    </row>
    <row r="2344" spans="4:13" x14ac:dyDescent="0.2">
      <c r="D2344" s="673"/>
      <c r="E2344" s="674"/>
      <c r="F2344" s="674"/>
      <c r="G2344" s="674"/>
      <c r="H2344" s="674"/>
      <c r="I2344" s="675"/>
      <c r="J2344" s="675"/>
      <c r="K2344" s="674"/>
      <c r="L2344" s="674"/>
      <c r="M2344" s="675"/>
    </row>
    <row r="2345" spans="4:13" x14ac:dyDescent="0.2">
      <c r="D2345" s="673"/>
      <c r="E2345" s="674"/>
      <c r="F2345" s="674"/>
      <c r="G2345" s="674"/>
      <c r="H2345" s="674"/>
      <c r="I2345" s="675"/>
      <c r="J2345" s="675"/>
      <c r="K2345" s="674"/>
      <c r="L2345" s="674"/>
      <c r="M2345" s="675"/>
    </row>
    <row r="2346" spans="4:13" x14ac:dyDescent="0.2">
      <c r="D2346" s="673"/>
      <c r="E2346" s="674"/>
      <c r="F2346" s="674"/>
      <c r="G2346" s="674"/>
      <c r="H2346" s="674"/>
      <c r="I2346" s="675"/>
      <c r="J2346" s="675"/>
      <c r="K2346" s="674"/>
      <c r="L2346" s="674"/>
      <c r="M2346" s="675"/>
    </row>
    <row r="2347" spans="4:13" x14ac:dyDescent="0.2">
      <c r="D2347" s="673"/>
      <c r="E2347" s="674"/>
      <c r="F2347" s="674"/>
      <c r="G2347" s="674"/>
      <c r="H2347" s="674"/>
      <c r="I2347" s="675"/>
      <c r="J2347" s="675"/>
      <c r="K2347" s="674"/>
      <c r="L2347" s="674"/>
      <c r="M2347" s="675"/>
    </row>
    <row r="2348" spans="4:13" x14ac:dyDescent="0.2">
      <c r="D2348" s="673"/>
      <c r="E2348" s="674"/>
      <c r="F2348" s="674"/>
      <c r="G2348" s="674"/>
      <c r="H2348" s="674"/>
      <c r="I2348" s="675"/>
      <c r="J2348" s="675"/>
      <c r="K2348" s="674"/>
      <c r="L2348" s="674"/>
      <c r="M2348" s="675"/>
    </row>
    <row r="2349" spans="4:13" x14ac:dyDescent="0.2">
      <c r="D2349" s="673"/>
      <c r="E2349" s="674"/>
      <c r="F2349" s="674"/>
      <c r="G2349" s="674"/>
      <c r="H2349" s="674"/>
      <c r="I2349" s="675"/>
      <c r="J2349" s="675"/>
      <c r="K2349" s="674"/>
      <c r="L2349" s="674"/>
      <c r="M2349" s="675"/>
    </row>
    <row r="2350" spans="4:13" x14ac:dyDescent="0.2">
      <c r="D2350" s="673"/>
      <c r="E2350" s="674"/>
      <c r="F2350" s="674"/>
      <c r="G2350" s="674"/>
      <c r="H2350" s="674"/>
      <c r="I2350" s="675"/>
      <c r="J2350" s="675"/>
      <c r="K2350" s="674"/>
      <c r="L2350" s="674"/>
      <c r="M2350" s="675"/>
    </row>
    <row r="2351" spans="4:13" x14ac:dyDescent="0.2">
      <c r="D2351" s="673"/>
      <c r="E2351" s="674"/>
      <c r="F2351" s="674"/>
      <c r="G2351" s="674"/>
      <c r="H2351" s="674"/>
      <c r="I2351" s="675"/>
      <c r="J2351" s="675"/>
      <c r="K2351" s="674"/>
      <c r="L2351" s="674"/>
      <c r="M2351" s="675"/>
    </row>
    <row r="2352" spans="4:13" x14ac:dyDescent="0.2">
      <c r="D2352" s="673"/>
      <c r="E2352" s="674"/>
      <c r="F2352" s="674"/>
      <c r="G2352" s="674"/>
      <c r="H2352" s="674"/>
      <c r="I2352" s="675"/>
      <c r="J2352" s="675"/>
      <c r="K2352" s="674"/>
      <c r="L2352" s="674"/>
      <c r="M2352" s="675"/>
    </row>
    <row r="2353" spans="4:13" x14ac:dyDescent="0.2">
      <c r="D2353" s="673"/>
      <c r="E2353" s="674"/>
      <c r="F2353" s="674"/>
      <c r="G2353" s="674"/>
      <c r="H2353" s="674"/>
      <c r="I2353" s="675"/>
      <c r="J2353" s="675"/>
      <c r="K2353" s="674"/>
      <c r="L2353" s="674"/>
      <c r="M2353" s="675"/>
    </row>
    <row r="2354" spans="4:13" x14ac:dyDescent="0.2">
      <c r="D2354" s="673"/>
      <c r="E2354" s="674"/>
      <c r="F2354" s="674"/>
      <c r="G2354" s="674"/>
      <c r="H2354" s="674"/>
      <c r="I2354" s="675"/>
      <c r="J2354" s="675"/>
      <c r="K2354" s="674"/>
      <c r="L2354" s="674"/>
      <c r="M2354" s="675"/>
    </row>
    <row r="2355" spans="4:13" x14ac:dyDescent="0.2">
      <c r="D2355" s="673"/>
      <c r="E2355" s="674"/>
      <c r="F2355" s="674"/>
      <c r="G2355" s="674"/>
      <c r="H2355" s="674"/>
      <c r="I2355" s="675"/>
      <c r="J2355" s="675"/>
      <c r="K2355" s="674"/>
      <c r="L2355" s="674"/>
      <c r="M2355" s="675"/>
    </row>
    <row r="2356" spans="4:13" x14ac:dyDescent="0.2">
      <c r="D2356" s="673"/>
      <c r="E2356" s="674"/>
      <c r="F2356" s="674"/>
      <c r="G2356" s="674"/>
      <c r="H2356" s="674"/>
      <c r="I2356" s="675"/>
      <c r="J2356" s="675"/>
      <c r="K2356" s="674"/>
      <c r="L2356" s="674"/>
      <c r="M2356" s="675"/>
    </row>
    <row r="2357" spans="4:13" x14ac:dyDescent="0.2">
      <c r="D2357" s="673"/>
      <c r="E2357" s="674"/>
      <c r="F2357" s="674"/>
      <c r="G2357" s="674"/>
      <c r="H2357" s="674"/>
      <c r="I2357" s="675"/>
      <c r="J2357" s="675"/>
      <c r="K2357" s="674"/>
      <c r="L2357" s="674"/>
      <c r="M2357" s="675"/>
    </row>
    <row r="2358" spans="4:13" x14ac:dyDescent="0.2">
      <c r="D2358" s="673"/>
      <c r="E2358" s="674"/>
      <c r="F2358" s="674"/>
      <c r="G2358" s="674"/>
      <c r="H2358" s="674"/>
      <c r="I2358" s="675"/>
      <c r="J2358" s="675"/>
      <c r="K2358" s="674"/>
      <c r="L2358" s="674"/>
      <c r="M2358" s="675"/>
    </row>
    <row r="2359" spans="4:13" x14ac:dyDescent="0.2">
      <c r="D2359" s="673"/>
      <c r="E2359" s="674"/>
      <c r="F2359" s="674"/>
      <c r="G2359" s="674"/>
      <c r="H2359" s="674"/>
      <c r="I2359" s="675"/>
      <c r="J2359" s="675"/>
      <c r="K2359" s="674"/>
      <c r="L2359" s="674"/>
      <c r="M2359" s="675"/>
    </row>
    <row r="2360" spans="4:13" x14ac:dyDescent="0.2">
      <c r="D2360" s="673"/>
      <c r="E2360" s="674"/>
      <c r="F2360" s="674"/>
      <c r="G2360" s="674"/>
      <c r="H2360" s="674"/>
      <c r="I2360" s="675"/>
      <c r="J2360" s="675"/>
      <c r="K2360" s="674"/>
      <c r="L2360" s="674"/>
      <c r="M2360" s="675"/>
    </row>
    <row r="2361" spans="4:13" x14ac:dyDescent="0.2">
      <c r="D2361" s="673"/>
      <c r="E2361" s="674"/>
      <c r="F2361" s="674"/>
      <c r="G2361" s="674"/>
      <c r="H2361" s="674"/>
      <c r="I2361" s="675"/>
      <c r="J2361" s="675"/>
      <c r="K2361" s="674"/>
      <c r="L2361" s="674"/>
      <c r="M2361" s="675"/>
    </row>
    <row r="2362" spans="4:13" x14ac:dyDescent="0.2">
      <c r="D2362" s="673"/>
      <c r="E2362" s="674"/>
      <c r="F2362" s="674"/>
      <c r="G2362" s="674"/>
      <c r="H2362" s="674"/>
      <c r="I2362" s="675"/>
      <c r="J2362" s="675"/>
      <c r="K2362" s="674"/>
      <c r="L2362" s="674"/>
      <c r="M2362" s="675"/>
    </row>
    <row r="2363" spans="4:13" x14ac:dyDescent="0.2">
      <c r="D2363" s="673"/>
      <c r="E2363" s="674"/>
      <c r="F2363" s="674"/>
      <c r="G2363" s="674"/>
      <c r="H2363" s="674"/>
      <c r="I2363" s="675"/>
      <c r="J2363" s="675"/>
      <c r="K2363" s="674"/>
      <c r="L2363" s="674"/>
      <c r="M2363" s="675"/>
    </row>
    <row r="2364" spans="4:13" x14ac:dyDescent="0.2">
      <c r="D2364" s="673"/>
      <c r="E2364" s="674"/>
      <c r="F2364" s="674"/>
      <c r="G2364" s="674"/>
      <c r="H2364" s="674"/>
      <c r="I2364" s="675"/>
      <c r="J2364" s="675"/>
      <c r="K2364" s="674"/>
      <c r="L2364" s="674"/>
      <c r="M2364" s="675"/>
    </row>
    <row r="2365" spans="4:13" x14ac:dyDescent="0.2">
      <c r="D2365" s="673"/>
      <c r="E2365" s="674"/>
      <c r="F2365" s="674"/>
      <c r="G2365" s="674"/>
      <c r="H2365" s="674"/>
      <c r="I2365" s="675"/>
      <c r="J2365" s="675"/>
      <c r="K2365" s="674"/>
      <c r="L2365" s="674"/>
      <c r="M2365" s="675"/>
    </row>
    <row r="2366" spans="4:13" x14ac:dyDescent="0.2">
      <c r="D2366" s="673"/>
      <c r="E2366" s="674"/>
      <c r="F2366" s="674"/>
      <c r="G2366" s="674"/>
      <c r="H2366" s="674"/>
      <c r="I2366" s="675"/>
      <c r="J2366" s="675"/>
      <c r="K2366" s="674"/>
      <c r="L2366" s="674"/>
      <c r="M2366" s="675"/>
    </row>
    <row r="2367" spans="4:13" x14ac:dyDescent="0.2">
      <c r="D2367" s="673"/>
      <c r="E2367" s="674"/>
      <c r="F2367" s="674"/>
      <c r="G2367" s="674"/>
      <c r="H2367" s="674"/>
      <c r="I2367" s="675"/>
      <c r="J2367" s="675"/>
      <c r="K2367" s="674"/>
      <c r="L2367" s="674"/>
      <c r="M2367" s="675"/>
    </row>
    <row r="2368" spans="4:13" x14ac:dyDescent="0.2">
      <c r="D2368" s="673"/>
      <c r="E2368" s="674"/>
      <c r="F2368" s="674"/>
      <c r="G2368" s="674"/>
      <c r="H2368" s="674"/>
      <c r="I2368" s="675"/>
      <c r="J2368" s="675"/>
      <c r="K2368" s="674"/>
      <c r="L2368" s="674"/>
      <c r="M2368" s="675"/>
    </row>
    <row r="2369" spans="4:13" x14ac:dyDescent="0.2">
      <c r="D2369" s="673"/>
      <c r="E2369" s="674"/>
      <c r="F2369" s="674"/>
      <c r="G2369" s="674"/>
      <c r="H2369" s="674"/>
      <c r="I2369" s="675"/>
      <c r="J2369" s="675"/>
      <c r="K2369" s="674"/>
      <c r="L2369" s="674"/>
      <c r="M2369" s="675"/>
    </row>
    <row r="2370" spans="4:13" x14ac:dyDescent="0.2">
      <c r="D2370" s="673"/>
      <c r="E2370" s="674"/>
      <c r="F2370" s="674"/>
      <c r="G2370" s="674"/>
      <c r="H2370" s="674"/>
      <c r="I2370" s="675"/>
      <c r="J2370" s="675"/>
      <c r="K2370" s="674"/>
      <c r="L2370" s="674"/>
      <c r="M2370" s="675"/>
    </row>
    <row r="2371" spans="4:13" x14ac:dyDescent="0.2">
      <c r="D2371" s="673"/>
      <c r="E2371" s="674"/>
      <c r="F2371" s="674"/>
      <c r="G2371" s="674"/>
      <c r="H2371" s="674"/>
      <c r="I2371" s="675"/>
      <c r="J2371" s="675"/>
      <c r="K2371" s="674"/>
      <c r="L2371" s="674"/>
      <c r="M2371" s="675"/>
    </row>
    <row r="2372" spans="4:13" x14ac:dyDescent="0.2">
      <c r="D2372" s="673"/>
      <c r="E2372" s="674"/>
      <c r="F2372" s="674"/>
      <c r="G2372" s="674"/>
      <c r="H2372" s="674"/>
      <c r="I2372" s="675"/>
      <c r="J2372" s="675"/>
      <c r="K2372" s="674"/>
      <c r="L2372" s="674"/>
      <c r="M2372" s="675"/>
    </row>
    <row r="2373" spans="4:13" x14ac:dyDescent="0.2">
      <c r="D2373" s="673"/>
      <c r="E2373" s="674"/>
      <c r="F2373" s="674"/>
      <c r="G2373" s="674"/>
      <c r="H2373" s="674"/>
      <c r="I2373" s="675"/>
      <c r="J2373" s="675"/>
      <c r="K2373" s="674"/>
      <c r="L2373" s="674"/>
      <c r="M2373" s="675"/>
    </row>
    <row r="2374" spans="4:13" x14ac:dyDescent="0.2">
      <c r="D2374" s="673"/>
      <c r="E2374" s="674"/>
      <c r="F2374" s="674"/>
      <c r="G2374" s="674"/>
      <c r="H2374" s="674"/>
      <c r="I2374" s="675"/>
      <c r="J2374" s="675"/>
      <c r="K2374" s="674"/>
      <c r="L2374" s="674"/>
      <c r="M2374" s="675"/>
    </row>
    <row r="2375" spans="4:13" x14ac:dyDescent="0.2">
      <c r="D2375" s="673"/>
      <c r="E2375" s="674"/>
      <c r="F2375" s="674"/>
      <c r="G2375" s="674"/>
      <c r="H2375" s="674"/>
      <c r="I2375" s="675"/>
      <c r="J2375" s="675"/>
      <c r="K2375" s="674"/>
      <c r="L2375" s="674"/>
      <c r="M2375" s="675"/>
    </row>
    <row r="2376" spans="4:13" x14ac:dyDescent="0.2">
      <c r="D2376" s="673"/>
      <c r="E2376" s="674"/>
      <c r="F2376" s="674"/>
      <c r="G2376" s="674"/>
      <c r="H2376" s="674"/>
      <c r="I2376" s="675"/>
      <c r="J2376" s="675"/>
      <c r="K2376" s="674"/>
      <c r="L2376" s="674"/>
      <c r="M2376" s="675"/>
    </row>
    <row r="2377" spans="4:13" x14ac:dyDescent="0.2">
      <c r="D2377" s="673"/>
      <c r="E2377" s="674"/>
      <c r="F2377" s="674"/>
      <c r="G2377" s="674"/>
      <c r="H2377" s="674"/>
      <c r="I2377" s="675"/>
      <c r="J2377" s="675"/>
      <c r="K2377" s="674"/>
      <c r="L2377" s="674"/>
      <c r="M2377" s="675"/>
    </row>
    <row r="2378" spans="4:13" x14ac:dyDescent="0.2">
      <c r="D2378" s="673"/>
      <c r="E2378" s="674"/>
      <c r="F2378" s="674"/>
      <c r="G2378" s="674"/>
      <c r="H2378" s="674"/>
      <c r="I2378" s="675"/>
      <c r="J2378" s="675"/>
      <c r="K2378" s="674"/>
      <c r="L2378" s="674"/>
      <c r="M2378" s="675"/>
    </row>
    <row r="2379" spans="4:13" x14ac:dyDescent="0.2">
      <c r="D2379" s="673"/>
      <c r="E2379" s="674"/>
      <c r="F2379" s="674"/>
      <c r="G2379" s="674"/>
      <c r="H2379" s="674"/>
      <c r="I2379" s="675"/>
      <c r="J2379" s="675"/>
      <c r="K2379" s="674"/>
      <c r="L2379" s="674"/>
      <c r="M2379" s="675"/>
    </row>
    <row r="2380" spans="4:13" x14ac:dyDescent="0.2">
      <c r="D2380" s="673"/>
      <c r="E2380" s="674"/>
      <c r="F2380" s="674"/>
      <c r="G2380" s="674"/>
      <c r="H2380" s="674"/>
      <c r="I2380" s="675"/>
      <c r="J2380" s="675"/>
      <c r="K2380" s="674"/>
      <c r="L2380" s="674"/>
      <c r="M2380" s="675"/>
    </row>
    <row r="2381" spans="4:13" x14ac:dyDescent="0.2">
      <c r="D2381" s="673"/>
      <c r="E2381" s="674"/>
      <c r="F2381" s="674"/>
      <c r="G2381" s="674"/>
      <c r="H2381" s="674"/>
      <c r="I2381" s="675"/>
      <c r="J2381" s="675"/>
      <c r="K2381" s="674"/>
      <c r="L2381" s="674"/>
      <c r="M2381" s="675"/>
    </row>
    <row r="2382" spans="4:13" x14ac:dyDescent="0.2">
      <c r="D2382" s="673"/>
      <c r="E2382" s="674"/>
      <c r="F2382" s="674"/>
      <c r="G2382" s="674"/>
      <c r="H2382" s="674"/>
      <c r="I2382" s="675"/>
      <c r="J2382" s="675"/>
      <c r="K2382" s="674"/>
      <c r="L2382" s="674"/>
      <c r="M2382" s="675"/>
    </row>
    <row r="2383" spans="4:13" x14ac:dyDescent="0.2">
      <c r="D2383" s="673"/>
      <c r="E2383" s="674"/>
      <c r="F2383" s="674"/>
      <c r="G2383" s="674"/>
      <c r="H2383" s="674"/>
      <c r="I2383" s="675"/>
      <c r="J2383" s="675"/>
      <c r="K2383" s="674"/>
      <c r="L2383" s="674"/>
      <c r="M2383" s="675"/>
    </row>
    <row r="2384" spans="4:13" x14ac:dyDescent="0.2">
      <c r="D2384" s="673"/>
      <c r="E2384" s="674"/>
      <c r="F2384" s="674"/>
      <c r="G2384" s="674"/>
      <c r="H2384" s="674"/>
      <c r="I2384" s="675"/>
      <c r="J2384" s="675"/>
      <c r="K2384" s="674"/>
      <c r="L2384" s="674"/>
      <c r="M2384" s="675"/>
    </row>
    <row r="2385" spans="4:13" x14ac:dyDescent="0.2">
      <c r="D2385" s="673"/>
      <c r="E2385" s="674"/>
      <c r="F2385" s="674"/>
      <c r="G2385" s="674"/>
      <c r="H2385" s="674"/>
      <c r="I2385" s="675"/>
      <c r="J2385" s="675"/>
      <c r="K2385" s="674"/>
      <c r="L2385" s="674"/>
      <c r="M2385" s="675"/>
    </row>
    <row r="2386" spans="4:13" x14ac:dyDescent="0.2">
      <c r="D2386" s="673"/>
      <c r="E2386" s="674"/>
      <c r="F2386" s="674"/>
      <c r="G2386" s="674"/>
      <c r="H2386" s="674"/>
      <c r="I2386" s="675"/>
      <c r="J2386" s="675"/>
      <c r="K2386" s="674"/>
      <c r="L2386" s="674"/>
      <c r="M2386" s="675"/>
    </row>
    <row r="2387" spans="4:13" x14ac:dyDescent="0.2">
      <c r="D2387" s="673"/>
      <c r="E2387" s="674"/>
      <c r="F2387" s="674"/>
      <c r="G2387" s="674"/>
      <c r="H2387" s="674"/>
      <c r="I2387" s="675"/>
      <c r="J2387" s="675"/>
      <c r="K2387" s="674"/>
      <c r="L2387" s="674"/>
      <c r="M2387" s="675"/>
    </row>
    <row r="2388" spans="4:13" x14ac:dyDescent="0.2">
      <c r="D2388" s="673"/>
      <c r="E2388" s="674"/>
      <c r="F2388" s="674"/>
      <c r="G2388" s="674"/>
      <c r="H2388" s="674"/>
      <c r="I2388" s="675"/>
      <c r="J2388" s="675"/>
      <c r="K2388" s="674"/>
      <c r="L2388" s="674"/>
      <c r="M2388" s="675"/>
    </row>
    <row r="2389" spans="4:13" x14ac:dyDescent="0.2">
      <c r="D2389" s="673"/>
      <c r="E2389" s="674"/>
      <c r="F2389" s="674"/>
      <c r="G2389" s="674"/>
      <c r="H2389" s="674"/>
      <c r="I2389" s="675"/>
      <c r="J2389" s="675"/>
      <c r="K2389" s="674"/>
      <c r="L2389" s="674"/>
      <c r="M2389" s="675"/>
    </row>
    <row r="2390" spans="4:13" x14ac:dyDescent="0.2">
      <c r="D2390" s="673"/>
      <c r="E2390" s="674"/>
      <c r="F2390" s="674"/>
      <c r="G2390" s="674"/>
      <c r="H2390" s="674"/>
      <c r="I2390" s="675"/>
      <c r="J2390" s="675"/>
      <c r="K2390" s="674"/>
      <c r="L2390" s="674"/>
      <c r="M2390" s="675"/>
    </row>
    <row r="2391" spans="4:13" x14ac:dyDescent="0.2">
      <c r="D2391" s="673"/>
      <c r="E2391" s="674"/>
      <c r="F2391" s="674"/>
      <c r="G2391" s="674"/>
      <c r="H2391" s="674"/>
      <c r="I2391" s="675"/>
      <c r="J2391" s="675"/>
      <c r="K2391" s="674"/>
      <c r="L2391" s="674"/>
      <c r="M2391" s="675"/>
    </row>
    <row r="2392" spans="4:13" x14ac:dyDescent="0.2">
      <c r="D2392" s="673"/>
      <c r="E2392" s="674"/>
      <c r="F2392" s="674"/>
      <c r="G2392" s="674"/>
      <c r="H2392" s="674"/>
      <c r="I2392" s="675"/>
      <c r="J2392" s="675"/>
      <c r="K2392" s="674"/>
      <c r="L2392" s="674"/>
      <c r="M2392" s="675"/>
    </row>
    <row r="2393" spans="4:13" x14ac:dyDescent="0.2">
      <c r="D2393" s="673"/>
      <c r="E2393" s="674"/>
      <c r="F2393" s="674"/>
      <c r="G2393" s="674"/>
      <c r="H2393" s="674"/>
      <c r="I2393" s="675"/>
      <c r="J2393" s="675"/>
      <c r="K2393" s="674"/>
      <c r="L2393" s="674"/>
      <c r="M2393" s="675"/>
    </row>
    <row r="2394" spans="4:13" x14ac:dyDescent="0.2">
      <c r="D2394" s="673"/>
      <c r="E2394" s="674"/>
      <c r="F2394" s="674"/>
      <c r="G2394" s="674"/>
      <c r="H2394" s="674"/>
      <c r="I2394" s="675"/>
      <c r="J2394" s="675"/>
      <c r="K2394" s="674"/>
      <c r="L2394" s="674"/>
      <c r="M2394" s="675"/>
    </row>
    <row r="2395" spans="4:13" x14ac:dyDescent="0.2">
      <c r="D2395" s="673"/>
      <c r="E2395" s="674"/>
      <c r="F2395" s="674"/>
      <c r="G2395" s="674"/>
      <c r="H2395" s="674"/>
      <c r="I2395" s="675"/>
      <c r="J2395" s="675"/>
      <c r="K2395" s="674"/>
      <c r="L2395" s="674"/>
      <c r="M2395" s="675"/>
    </row>
    <row r="2396" spans="4:13" x14ac:dyDescent="0.2">
      <c r="D2396" s="673"/>
      <c r="E2396" s="674"/>
      <c r="F2396" s="674"/>
      <c r="G2396" s="674"/>
      <c r="H2396" s="674"/>
      <c r="I2396" s="675"/>
      <c r="J2396" s="675"/>
      <c r="K2396" s="674"/>
      <c r="L2396" s="674"/>
      <c r="M2396" s="675"/>
    </row>
    <row r="2397" spans="4:13" x14ac:dyDescent="0.2">
      <c r="D2397" s="673"/>
      <c r="E2397" s="674"/>
      <c r="F2397" s="674"/>
      <c r="G2397" s="674"/>
      <c r="H2397" s="674"/>
      <c r="I2397" s="675"/>
      <c r="J2397" s="675"/>
      <c r="K2397" s="674"/>
      <c r="L2397" s="674"/>
      <c r="M2397" s="675"/>
    </row>
    <row r="2398" spans="4:13" x14ac:dyDescent="0.2">
      <c r="D2398" s="673"/>
      <c r="E2398" s="674"/>
      <c r="F2398" s="674"/>
      <c r="G2398" s="674"/>
      <c r="H2398" s="674"/>
      <c r="I2398" s="675"/>
      <c r="J2398" s="675"/>
      <c r="K2398" s="674"/>
      <c r="L2398" s="674"/>
      <c r="M2398" s="675"/>
    </row>
    <row r="2399" spans="4:13" x14ac:dyDescent="0.2">
      <c r="D2399" s="673"/>
      <c r="E2399" s="674"/>
      <c r="F2399" s="674"/>
      <c r="G2399" s="674"/>
      <c r="H2399" s="674"/>
      <c r="I2399" s="675"/>
      <c r="J2399" s="675"/>
      <c r="K2399" s="674"/>
      <c r="L2399" s="674"/>
      <c r="M2399" s="675"/>
    </row>
    <row r="2400" spans="4:13" x14ac:dyDescent="0.2">
      <c r="D2400" s="673"/>
      <c r="E2400" s="674"/>
      <c r="F2400" s="674"/>
      <c r="G2400" s="674"/>
      <c r="H2400" s="674"/>
      <c r="I2400" s="675"/>
      <c r="J2400" s="675"/>
      <c r="K2400" s="674"/>
      <c r="L2400" s="674"/>
      <c r="M2400" s="675"/>
    </row>
    <row r="2401" spans="4:13" x14ac:dyDescent="0.2">
      <c r="D2401" s="673"/>
      <c r="E2401" s="674"/>
      <c r="F2401" s="674"/>
      <c r="G2401" s="674"/>
      <c r="H2401" s="674"/>
      <c r="I2401" s="675"/>
      <c r="J2401" s="675"/>
      <c r="K2401" s="674"/>
      <c r="L2401" s="674"/>
      <c r="M2401" s="675"/>
    </row>
    <row r="2402" spans="4:13" x14ac:dyDescent="0.2">
      <c r="D2402" s="673"/>
      <c r="E2402" s="674"/>
      <c r="F2402" s="674"/>
      <c r="G2402" s="674"/>
      <c r="H2402" s="674"/>
      <c r="I2402" s="675"/>
      <c r="J2402" s="675"/>
      <c r="K2402" s="674"/>
      <c r="L2402" s="674"/>
      <c r="M2402" s="675"/>
    </row>
    <row r="2403" spans="4:13" x14ac:dyDescent="0.2">
      <c r="D2403" s="673"/>
      <c r="E2403" s="674"/>
      <c r="F2403" s="674"/>
      <c r="G2403" s="674"/>
      <c r="H2403" s="674"/>
      <c r="I2403" s="675"/>
      <c r="J2403" s="675"/>
      <c r="K2403" s="674"/>
      <c r="L2403" s="674"/>
      <c r="M2403" s="675"/>
    </row>
    <row r="2404" spans="4:13" x14ac:dyDescent="0.2">
      <c r="D2404" s="673"/>
      <c r="E2404" s="674"/>
      <c r="F2404" s="674"/>
      <c r="G2404" s="674"/>
      <c r="H2404" s="674"/>
      <c r="I2404" s="675"/>
      <c r="J2404" s="675"/>
      <c r="K2404" s="674"/>
      <c r="L2404" s="674"/>
      <c r="M2404" s="675"/>
    </row>
    <row r="2405" spans="4:13" x14ac:dyDescent="0.2">
      <c r="D2405" s="673"/>
      <c r="E2405" s="674"/>
      <c r="F2405" s="674"/>
      <c r="G2405" s="674"/>
      <c r="H2405" s="674"/>
      <c r="I2405" s="675"/>
      <c r="J2405" s="675"/>
      <c r="K2405" s="674"/>
      <c r="L2405" s="674"/>
      <c r="M2405" s="675"/>
    </row>
    <row r="2406" spans="4:13" x14ac:dyDescent="0.2">
      <c r="D2406" s="673"/>
      <c r="E2406" s="674"/>
      <c r="F2406" s="674"/>
      <c r="G2406" s="674"/>
      <c r="H2406" s="674"/>
      <c r="I2406" s="675"/>
      <c r="J2406" s="675"/>
      <c r="K2406" s="674"/>
      <c r="L2406" s="674"/>
      <c r="M2406" s="675"/>
    </row>
    <row r="2407" spans="4:13" x14ac:dyDescent="0.2">
      <c r="D2407" s="673"/>
      <c r="E2407" s="674"/>
      <c r="F2407" s="674"/>
      <c r="G2407" s="674"/>
      <c r="H2407" s="674"/>
      <c r="I2407" s="675"/>
      <c r="J2407" s="675"/>
      <c r="K2407" s="674"/>
      <c r="L2407" s="674"/>
      <c r="M2407" s="675"/>
    </row>
    <row r="2408" spans="4:13" x14ac:dyDescent="0.2">
      <c r="D2408" s="673"/>
      <c r="E2408" s="674"/>
      <c r="F2408" s="674"/>
      <c r="G2408" s="674"/>
      <c r="H2408" s="674"/>
      <c r="I2408" s="675"/>
      <c r="J2408" s="675"/>
      <c r="K2408" s="674"/>
      <c r="L2408" s="674"/>
      <c r="M2408" s="675"/>
    </row>
    <row r="2409" spans="4:13" x14ac:dyDescent="0.2">
      <c r="D2409" s="673"/>
      <c r="E2409" s="674"/>
      <c r="F2409" s="674"/>
      <c r="G2409" s="674"/>
      <c r="H2409" s="674"/>
      <c r="I2409" s="675"/>
      <c r="J2409" s="675"/>
      <c r="K2409" s="674"/>
      <c r="L2409" s="674"/>
      <c r="M2409" s="675"/>
    </row>
    <row r="2410" spans="4:13" x14ac:dyDescent="0.2">
      <c r="D2410" s="673"/>
      <c r="E2410" s="674"/>
      <c r="F2410" s="674"/>
      <c r="G2410" s="674"/>
      <c r="H2410" s="674"/>
      <c r="I2410" s="675"/>
      <c r="J2410" s="675"/>
      <c r="K2410" s="674"/>
      <c r="L2410" s="674"/>
      <c r="M2410" s="675"/>
    </row>
    <row r="2411" spans="4:13" x14ac:dyDescent="0.2">
      <c r="D2411" s="673"/>
      <c r="E2411" s="674"/>
      <c r="F2411" s="674"/>
      <c r="G2411" s="674"/>
      <c r="H2411" s="674"/>
      <c r="I2411" s="675"/>
      <c r="J2411" s="675"/>
      <c r="K2411" s="674"/>
      <c r="L2411" s="674"/>
      <c r="M2411" s="675"/>
    </row>
    <row r="2412" spans="4:13" x14ac:dyDescent="0.2">
      <c r="D2412" s="673"/>
      <c r="E2412" s="674"/>
      <c r="F2412" s="674"/>
      <c r="G2412" s="674"/>
      <c r="H2412" s="674"/>
      <c r="I2412" s="675"/>
      <c r="J2412" s="675"/>
      <c r="K2412" s="674"/>
      <c r="L2412" s="674"/>
      <c r="M2412" s="675"/>
    </row>
    <row r="2413" spans="4:13" x14ac:dyDescent="0.2">
      <c r="D2413" s="673"/>
      <c r="E2413" s="674"/>
      <c r="F2413" s="674"/>
      <c r="G2413" s="674"/>
      <c r="H2413" s="674"/>
      <c r="I2413" s="675"/>
      <c r="J2413" s="675"/>
      <c r="K2413" s="674"/>
      <c r="L2413" s="674"/>
      <c r="M2413" s="675"/>
    </row>
    <row r="2414" spans="4:13" x14ac:dyDescent="0.2">
      <c r="D2414" s="673"/>
      <c r="E2414" s="674"/>
      <c r="F2414" s="674"/>
      <c r="G2414" s="674"/>
      <c r="H2414" s="674"/>
      <c r="I2414" s="675"/>
      <c r="J2414" s="675"/>
      <c r="K2414" s="674"/>
      <c r="L2414" s="674"/>
      <c r="M2414" s="675"/>
    </row>
    <row r="2415" spans="4:13" x14ac:dyDescent="0.2">
      <c r="D2415" s="673"/>
      <c r="E2415" s="674"/>
      <c r="F2415" s="674"/>
      <c r="G2415" s="674"/>
      <c r="H2415" s="674"/>
      <c r="I2415" s="675"/>
      <c r="J2415" s="675"/>
      <c r="K2415" s="674"/>
      <c r="L2415" s="674"/>
      <c r="M2415" s="675"/>
    </row>
    <row r="2416" spans="4:13" x14ac:dyDescent="0.2">
      <c r="D2416" s="673"/>
      <c r="E2416" s="674"/>
      <c r="F2416" s="674"/>
      <c r="G2416" s="674"/>
      <c r="H2416" s="674"/>
      <c r="I2416" s="675"/>
      <c r="J2416" s="675"/>
      <c r="K2416" s="674"/>
      <c r="L2416" s="674"/>
      <c r="M2416" s="675"/>
    </row>
    <row r="2417" spans="4:13" x14ac:dyDescent="0.2">
      <c r="D2417" s="673"/>
      <c r="E2417" s="674"/>
      <c r="F2417" s="674"/>
      <c r="G2417" s="674"/>
      <c r="H2417" s="674"/>
      <c r="I2417" s="675"/>
      <c r="J2417" s="675"/>
      <c r="K2417" s="674"/>
      <c r="L2417" s="674"/>
      <c r="M2417" s="675"/>
    </row>
    <row r="2418" spans="4:13" x14ac:dyDescent="0.2">
      <c r="D2418" s="673"/>
      <c r="E2418" s="674"/>
      <c r="F2418" s="674"/>
      <c r="G2418" s="674"/>
      <c r="H2418" s="674"/>
      <c r="I2418" s="675"/>
      <c r="J2418" s="675"/>
      <c r="K2418" s="674"/>
      <c r="L2418" s="674"/>
      <c r="M2418" s="675"/>
    </row>
    <row r="2419" spans="4:13" x14ac:dyDescent="0.2">
      <c r="D2419" s="673"/>
      <c r="E2419" s="674"/>
      <c r="F2419" s="674"/>
      <c r="G2419" s="674"/>
      <c r="H2419" s="674"/>
      <c r="I2419" s="675"/>
      <c r="J2419" s="675"/>
      <c r="K2419" s="674"/>
      <c r="L2419" s="674"/>
      <c r="M2419" s="675"/>
    </row>
    <row r="2420" spans="4:13" x14ac:dyDescent="0.2">
      <c r="D2420" s="673"/>
      <c r="E2420" s="674"/>
      <c r="F2420" s="674"/>
      <c r="G2420" s="674"/>
      <c r="H2420" s="674"/>
      <c r="I2420" s="675"/>
      <c r="J2420" s="675"/>
      <c r="K2420" s="674"/>
      <c r="L2420" s="674"/>
      <c r="M2420" s="675"/>
    </row>
    <row r="2421" spans="4:13" x14ac:dyDescent="0.2">
      <c r="D2421" s="673"/>
      <c r="E2421" s="674"/>
      <c r="F2421" s="674"/>
      <c r="G2421" s="674"/>
      <c r="H2421" s="674"/>
      <c r="I2421" s="675"/>
      <c r="J2421" s="675"/>
      <c r="K2421" s="674"/>
      <c r="L2421" s="674"/>
      <c r="M2421" s="675"/>
    </row>
    <row r="2422" spans="4:13" x14ac:dyDescent="0.2">
      <c r="D2422" s="673"/>
      <c r="E2422" s="674"/>
      <c r="F2422" s="674"/>
      <c r="G2422" s="674"/>
      <c r="H2422" s="674"/>
      <c r="I2422" s="675"/>
      <c r="J2422" s="675"/>
      <c r="K2422" s="674"/>
      <c r="L2422" s="674"/>
      <c r="M2422" s="675"/>
    </row>
    <row r="2423" spans="4:13" x14ac:dyDescent="0.2">
      <c r="D2423" s="673"/>
      <c r="E2423" s="674"/>
      <c r="F2423" s="674"/>
      <c r="G2423" s="674"/>
      <c r="H2423" s="674"/>
      <c r="I2423" s="675"/>
      <c r="J2423" s="675"/>
      <c r="K2423" s="674"/>
      <c r="L2423" s="674"/>
      <c r="M2423" s="675"/>
    </row>
    <row r="2424" spans="4:13" x14ac:dyDescent="0.2">
      <c r="D2424" s="673"/>
      <c r="E2424" s="674"/>
      <c r="F2424" s="674"/>
      <c r="G2424" s="674"/>
      <c r="H2424" s="674"/>
      <c r="I2424" s="675"/>
      <c r="J2424" s="675"/>
      <c r="K2424" s="674"/>
      <c r="L2424" s="674"/>
      <c r="M2424" s="675"/>
    </row>
    <row r="2425" spans="4:13" x14ac:dyDescent="0.2">
      <c r="D2425" s="673"/>
      <c r="E2425" s="674"/>
      <c r="F2425" s="674"/>
      <c r="G2425" s="674"/>
      <c r="H2425" s="674"/>
      <c r="I2425" s="675"/>
      <c r="J2425" s="675"/>
      <c r="K2425" s="674"/>
      <c r="L2425" s="674"/>
      <c r="M2425" s="675"/>
    </row>
    <row r="2426" spans="4:13" x14ac:dyDescent="0.2">
      <c r="D2426" s="673"/>
      <c r="E2426" s="674"/>
      <c r="F2426" s="674"/>
      <c r="G2426" s="674"/>
      <c r="H2426" s="674"/>
      <c r="I2426" s="675"/>
      <c r="J2426" s="675"/>
      <c r="K2426" s="674"/>
      <c r="L2426" s="674"/>
      <c r="M2426" s="675"/>
    </row>
    <row r="2427" spans="4:13" x14ac:dyDescent="0.2">
      <c r="D2427" s="673"/>
      <c r="E2427" s="674"/>
      <c r="F2427" s="674"/>
      <c r="G2427" s="674"/>
      <c r="H2427" s="674"/>
      <c r="I2427" s="675"/>
      <c r="J2427" s="675"/>
      <c r="K2427" s="674"/>
      <c r="L2427" s="674"/>
      <c r="M2427" s="675"/>
    </row>
    <row r="2428" spans="4:13" x14ac:dyDescent="0.2">
      <c r="D2428" s="673"/>
      <c r="E2428" s="674"/>
      <c r="F2428" s="674"/>
      <c r="G2428" s="674"/>
      <c r="H2428" s="674"/>
      <c r="I2428" s="675"/>
      <c r="J2428" s="675"/>
      <c r="K2428" s="674"/>
      <c r="L2428" s="674"/>
      <c r="M2428" s="675"/>
    </row>
    <row r="2429" spans="4:13" x14ac:dyDescent="0.2">
      <c r="D2429" s="673"/>
      <c r="E2429" s="674"/>
      <c r="F2429" s="674"/>
      <c r="G2429" s="674"/>
      <c r="H2429" s="674"/>
      <c r="I2429" s="675"/>
      <c r="J2429" s="675"/>
      <c r="K2429" s="674"/>
      <c r="L2429" s="674"/>
      <c r="M2429" s="675"/>
    </row>
    <row r="2430" spans="4:13" x14ac:dyDescent="0.2">
      <c r="D2430" s="673"/>
      <c r="E2430" s="674"/>
      <c r="F2430" s="674"/>
      <c r="G2430" s="674"/>
      <c r="H2430" s="674"/>
      <c r="I2430" s="675"/>
      <c r="J2430" s="675"/>
      <c r="K2430" s="674"/>
      <c r="L2430" s="674"/>
      <c r="M2430" s="675"/>
    </row>
    <row r="2431" spans="4:13" x14ac:dyDescent="0.2">
      <c r="D2431" s="673"/>
      <c r="E2431" s="674"/>
      <c r="F2431" s="674"/>
      <c r="G2431" s="674"/>
      <c r="H2431" s="674"/>
      <c r="I2431" s="675"/>
      <c r="J2431" s="675"/>
      <c r="K2431" s="674"/>
      <c r="L2431" s="674"/>
      <c r="M2431" s="675"/>
    </row>
    <row r="2432" spans="4:13" x14ac:dyDescent="0.2">
      <c r="D2432" s="673"/>
      <c r="E2432" s="674"/>
      <c r="F2432" s="674"/>
      <c r="G2432" s="674"/>
      <c r="H2432" s="674"/>
      <c r="I2432" s="675"/>
      <c r="J2432" s="675"/>
      <c r="K2432" s="674"/>
      <c r="L2432" s="674"/>
      <c r="M2432" s="675"/>
    </row>
    <row r="2433" spans="4:13" x14ac:dyDescent="0.2">
      <c r="D2433" s="673"/>
      <c r="E2433" s="674"/>
      <c r="F2433" s="674"/>
      <c r="G2433" s="674"/>
      <c r="H2433" s="674"/>
      <c r="I2433" s="675"/>
      <c r="J2433" s="675"/>
      <c r="K2433" s="674"/>
      <c r="L2433" s="674"/>
      <c r="M2433" s="675"/>
    </row>
    <row r="2434" spans="4:13" x14ac:dyDescent="0.2">
      <c r="D2434" s="673"/>
      <c r="E2434" s="674"/>
      <c r="F2434" s="674"/>
      <c r="G2434" s="674"/>
      <c r="H2434" s="674"/>
      <c r="I2434" s="675"/>
      <c r="J2434" s="675"/>
      <c r="K2434" s="674"/>
      <c r="L2434" s="674"/>
      <c r="M2434" s="675"/>
    </row>
    <row r="2435" spans="4:13" x14ac:dyDescent="0.2">
      <c r="D2435" s="673"/>
      <c r="E2435" s="674"/>
      <c r="F2435" s="674"/>
      <c r="G2435" s="674"/>
      <c r="H2435" s="674"/>
      <c r="I2435" s="675"/>
      <c r="J2435" s="675"/>
      <c r="K2435" s="674"/>
      <c r="L2435" s="674"/>
      <c r="M2435" s="675"/>
    </row>
    <row r="2436" spans="4:13" x14ac:dyDescent="0.2">
      <c r="D2436" s="673"/>
      <c r="E2436" s="674"/>
      <c r="F2436" s="674"/>
      <c r="G2436" s="674"/>
      <c r="H2436" s="674"/>
      <c r="I2436" s="675"/>
      <c r="J2436" s="675"/>
      <c r="K2436" s="674"/>
      <c r="L2436" s="674"/>
      <c r="M2436" s="675"/>
    </row>
    <row r="2437" spans="4:13" x14ac:dyDescent="0.2">
      <c r="D2437" s="673"/>
      <c r="E2437" s="674"/>
      <c r="F2437" s="674"/>
      <c r="G2437" s="674"/>
      <c r="H2437" s="674"/>
      <c r="I2437" s="675"/>
      <c r="J2437" s="675"/>
      <c r="K2437" s="674"/>
      <c r="L2437" s="674"/>
      <c r="M2437" s="675"/>
    </row>
    <row r="2438" spans="4:13" x14ac:dyDescent="0.2">
      <c r="D2438" s="673"/>
      <c r="E2438" s="674"/>
      <c r="F2438" s="674"/>
      <c r="G2438" s="674"/>
      <c r="H2438" s="674"/>
      <c r="I2438" s="675"/>
      <c r="J2438" s="675"/>
      <c r="K2438" s="674"/>
      <c r="L2438" s="674"/>
      <c r="M2438" s="675"/>
    </row>
    <row r="2439" spans="4:13" x14ac:dyDescent="0.2">
      <c r="D2439" s="673"/>
      <c r="E2439" s="674"/>
      <c r="F2439" s="674"/>
      <c r="G2439" s="674"/>
      <c r="H2439" s="674"/>
      <c r="I2439" s="675"/>
      <c r="J2439" s="675"/>
      <c r="K2439" s="674"/>
      <c r="L2439" s="674"/>
      <c r="M2439" s="675"/>
    </row>
    <row r="2440" spans="4:13" x14ac:dyDescent="0.2">
      <c r="D2440" s="673"/>
      <c r="E2440" s="674"/>
      <c r="F2440" s="674"/>
      <c r="G2440" s="674"/>
      <c r="H2440" s="674"/>
      <c r="I2440" s="675"/>
      <c r="J2440" s="675"/>
      <c r="K2440" s="674"/>
      <c r="L2440" s="674"/>
      <c r="M2440" s="675"/>
    </row>
    <row r="2441" spans="4:13" x14ac:dyDescent="0.2">
      <c r="D2441" s="673"/>
      <c r="E2441" s="674"/>
      <c r="F2441" s="674"/>
      <c r="G2441" s="674"/>
      <c r="H2441" s="674"/>
      <c r="I2441" s="675"/>
      <c r="J2441" s="675"/>
      <c r="K2441" s="674"/>
      <c r="L2441" s="674"/>
      <c r="M2441" s="675"/>
    </row>
    <row r="2442" spans="4:13" x14ac:dyDescent="0.2">
      <c r="D2442" s="673"/>
      <c r="E2442" s="674"/>
      <c r="F2442" s="674"/>
      <c r="G2442" s="674"/>
      <c r="H2442" s="674"/>
      <c r="I2442" s="675"/>
      <c r="J2442" s="675"/>
      <c r="K2442" s="674"/>
      <c r="L2442" s="674"/>
      <c r="M2442" s="675"/>
    </row>
    <row r="2443" spans="4:13" x14ac:dyDescent="0.2">
      <c r="D2443" s="673"/>
      <c r="E2443" s="674"/>
      <c r="F2443" s="674"/>
      <c r="G2443" s="674"/>
      <c r="H2443" s="674"/>
      <c r="I2443" s="675"/>
      <c r="J2443" s="675"/>
      <c r="K2443" s="674"/>
      <c r="L2443" s="674"/>
      <c r="M2443" s="675"/>
    </row>
    <row r="2444" spans="4:13" x14ac:dyDescent="0.2">
      <c r="D2444" s="673"/>
      <c r="E2444" s="674"/>
      <c r="F2444" s="674"/>
      <c r="G2444" s="674"/>
      <c r="H2444" s="674"/>
      <c r="I2444" s="675"/>
      <c r="J2444" s="675"/>
      <c r="K2444" s="674"/>
      <c r="L2444" s="674"/>
      <c r="M2444" s="675"/>
    </row>
    <row r="2445" spans="4:13" x14ac:dyDescent="0.2">
      <c r="D2445" s="673"/>
      <c r="E2445" s="674"/>
      <c r="F2445" s="674"/>
      <c r="G2445" s="674"/>
      <c r="H2445" s="674"/>
      <c r="I2445" s="675"/>
      <c r="J2445" s="675"/>
      <c r="K2445" s="674"/>
      <c r="L2445" s="674"/>
      <c r="M2445" s="675"/>
    </row>
    <row r="2446" spans="4:13" x14ac:dyDescent="0.2">
      <c r="D2446" s="673"/>
      <c r="E2446" s="674"/>
      <c r="F2446" s="674"/>
      <c r="G2446" s="674"/>
      <c r="H2446" s="674"/>
      <c r="I2446" s="675"/>
      <c r="J2446" s="675"/>
      <c r="K2446" s="674"/>
      <c r="L2446" s="674"/>
      <c r="M2446" s="675"/>
    </row>
    <row r="2447" spans="4:13" x14ac:dyDescent="0.2">
      <c r="D2447" s="673"/>
      <c r="E2447" s="674"/>
      <c r="F2447" s="674"/>
      <c r="G2447" s="674"/>
      <c r="H2447" s="674"/>
      <c r="I2447" s="675"/>
      <c r="J2447" s="675"/>
      <c r="K2447" s="674"/>
      <c r="L2447" s="674"/>
      <c r="M2447" s="675"/>
    </row>
    <row r="2448" spans="4:13" x14ac:dyDescent="0.2">
      <c r="D2448" s="673"/>
      <c r="E2448" s="674"/>
      <c r="F2448" s="674"/>
      <c r="G2448" s="674"/>
      <c r="H2448" s="674"/>
      <c r="I2448" s="675"/>
      <c r="J2448" s="675"/>
      <c r="K2448" s="674"/>
      <c r="L2448" s="674"/>
      <c r="M2448" s="675"/>
    </row>
    <row r="2449" spans="4:13" x14ac:dyDescent="0.2">
      <c r="D2449" s="673"/>
      <c r="E2449" s="674"/>
      <c r="F2449" s="674"/>
      <c r="G2449" s="674"/>
      <c r="H2449" s="674"/>
      <c r="I2449" s="675"/>
      <c r="J2449" s="675"/>
      <c r="K2449" s="674"/>
      <c r="L2449" s="674"/>
      <c r="M2449" s="675"/>
    </row>
    <row r="2450" spans="4:13" x14ac:dyDescent="0.2">
      <c r="D2450" s="673"/>
      <c r="E2450" s="674"/>
      <c r="F2450" s="674"/>
      <c r="G2450" s="674"/>
      <c r="H2450" s="674"/>
      <c r="I2450" s="675"/>
      <c r="J2450" s="675"/>
      <c r="K2450" s="674"/>
      <c r="L2450" s="674"/>
      <c r="M2450" s="675"/>
    </row>
    <row r="2451" spans="4:13" x14ac:dyDescent="0.2">
      <c r="D2451" s="673"/>
      <c r="E2451" s="674"/>
      <c r="F2451" s="674"/>
      <c r="G2451" s="674"/>
      <c r="H2451" s="674"/>
      <c r="I2451" s="675"/>
      <c r="J2451" s="675"/>
      <c r="K2451" s="674"/>
      <c r="L2451" s="674"/>
      <c r="M2451" s="675"/>
    </row>
    <row r="2452" spans="4:13" x14ac:dyDescent="0.2">
      <c r="D2452" s="673"/>
      <c r="E2452" s="674"/>
      <c r="F2452" s="674"/>
      <c r="G2452" s="674"/>
      <c r="H2452" s="674"/>
      <c r="I2452" s="675"/>
      <c r="J2452" s="675"/>
      <c r="K2452" s="674"/>
      <c r="L2452" s="674"/>
      <c r="M2452" s="675"/>
    </row>
    <row r="2453" spans="4:13" x14ac:dyDescent="0.2">
      <c r="D2453" s="673"/>
      <c r="E2453" s="674"/>
      <c r="F2453" s="674"/>
      <c r="G2453" s="674"/>
      <c r="H2453" s="674"/>
      <c r="I2453" s="675"/>
      <c r="J2453" s="675"/>
      <c r="K2453" s="674"/>
      <c r="L2453" s="674"/>
      <c r="M2453" s="675"/>
    </row>
    <row r="2454" spans="4:13" x14ac:dyDescent="0.2">
      <c r="D2454" s="673"/>
      <c r="E2454" s="674"/>
      <c r="F2454" s="674"/>
      <c r="G2454" s="674"/>
      <c r="H2454" s="674"/>
      <c r="I2454" s="675"/>
      <c r="J2454" s="675"/>
      <c r="K2454" s="674"/>
      <c r="L2454" s="674"/>
      <c r="M2454" s="675"/>
    </row>
    <row r="2455" spans="4:13" x14ac:dyDescent="0.2">
      <c r="D2455" s="673"/>
      <c r="E2455" s="674"/>
      <c r="F2455" s="674"/>
      <c r="G2455" s="674"/>
      <c r="H2455" s="674"/>
      <c r="I2455" s="675"/>
      <c r="J2455" s="675"/>
      <c r="K2455" s="674"/>
      <c r="L2455" s="674"/>
      <c r="M2455" s="675"/>
    </row>
    <row r="2456" spans="4:13" x14ac:dyDescent="0.2">
      <c r="D2456" s="673"/>
      <c r="E2456" s="674"/>
      <c r="F2456" s="674"/>
      <c r="G2456" s="674"/>
      <c r="H2456" s="674"/>
      <c r="I2456" s="675"/>
      <c r="J2456" s="675"/>
      <c r="K2456" s="674"/>
      <c r="L2456" s="674"/>
      <c r="M2456" s="675"/>
    </row>
    <row r="2457" spans="4:13" x14ac:dyDescent="0.2">
      <c r="D2457" s="673"/>
      <c r="E2457" s="674"/>
      <c r="F2457" s="674"/>
      <c r="G2457" s="674"/>
      <c r="H2457" s="674"/>
      <c r="I2457" s="675"/>
      <c r="J2457" s="675"/>
      <c r="K2457" s="674"/>
      <c r="L2457" s="674"/>
      <c r="M2457" s="675"/>
    </row>
    <row r="2458" spans="4:13" x14ac:dyDescent="0.2">
      <c r="D2458" s="673"/>
      <c r="E2458" s="674"/>
      <c r="F2458" s="674"/>
      <c r="G2458" s="674"/>
      <c r="H2458" s="674"/>
      <c r="I2458" s="675"/>
      <c r="J2458" s="675"/>
      <c r="K2458" s="674"/>
      <c r="L2458" s="674"/>
      <c r="M2458" s="675"/>
    </row>
    <row r="2459" spans="4:13" x14ac:dyDescent="0.2">
      <c r="D2459" s="673"/>
      <c r="E2459" s="674"/>
      <c r="F2459" s="674"/>
      <c r="G2459" s="674"/>
      <c r="H2459" s="674"/>
      <c r="I2459" s="675"/>
      <c r="J2459" s="675"/>
      <c r="K2459" s="674"/>
      <c r="L2459" s="674"/>
      <c r="M2459" s="675"/>
    </row>
    <row r="2460" spans="4:13" x14ac:dyDescent="0.2">
      <c r="D2460" s="673"/>
      <c r="E2460" s="674"/>
      <c r="F2460" s="674"/>
      <c r="G2460" s="674"/>
      <c r="H2460" s="674"/>
      <c r="I2460" s="675"/>
      <c r="J2460" s="675"/>
      <c r="K2460" s="674"/>
      <c r="L2460" s="674"/>
      <c r="M2460" s="675"/>
    </row>
    <row r="2461" spans="4:13" x14ac:dyDescent="0.2">
      <c r="D2461" s="673"/>
      <c r="E2461" s="674"/>
      <c r="F2461" s="674"/>
      <c r="G2461" s="674"/>
      <c r="H2461" s="674"/>
      <c r="I2461" s="675"/>
      <c r="J2461" s="675"/>
      <c r="K2461" s="674"/>
      <c r="L2461" s="674"/>
      <c r="M2461" s="675"/>
    </row>
    <row r="2462" spans="4:13" x14ac:dyDescent="0.2">
      <c r="D2462" s="673"/>
      <c r="E2462" s="674"/>
      <c r="F2462" s="674"/>
      <c r="G2462" s="674"/>
      <c r="H2462" s="674"/>
      <c r="I2462" s="675"/>
      <c r="J2462" s="675"/>
      <c r="K2462" s="674"/>
      <c r="L2462" s="674"/>
      <c r="M2462" s="675"/>
    </row>
    <row r="2463" spans="4:13" x14ac:dyDescent="0.2">
      <c r="D2463" s="673"/>
      <c r="E2463" s="674"/>
      <c r="F2463" s="674"/>
      <c r="G2463" s="674"/>
      <c r="H2463" s="674"/>
      <c r="I2463" s="675"/>
      <c r="J2463" s="675"/>
      <c r="K2463" s="674"/>
      <c r="L2463" s="674"/>
      <c r="M2463" s="675"/>
    </row>
    <row r="2464" spans="4:13" x14ac:dyDescent="0.2">
      <c r="D2464" s="673"/>
      <c r="E2464" s="674"/>
      <c r="F2464" s="674"/>
      <c r="G2464" s="674"/>
      <c r="H2464" s="674"/>
      <c r="I2464" s="675"/>
      <c r="J2464" s="675"/>
      <c r="K2464" s="674"/>
      <c r="L2464" s="674"/>
      <c r="M2464" s="675"/>
    </row>
    <row r="2465" spans="4:13" x14ac:dyDescent="0.2">
      <c r="D2465" s="673"/>
      <c r="E2465" s="674"/>
      <c r="F2465" s="674"/>
      <c r="G2465" s="674"/>
      <c r="H2465" s="674"/>
      <c r="I2465" s="675"/>
      <c r="J2465" s="675"/>
      <c r="K2465" s="674"/>
      <c r="L2465" s="674"/>
      <c r="M2465" s="675"/>
    </row>
    <row r="2466" spans="4:13" x14ac:dyDescent="0.2">
      <c r="D2466" s="673"/>
      <c r="E2466" s="674"/>
      <c r="F2466" s="674"/>
      <c r="G2466" s="674"/>
      <c r="H2466" s="674"/>
      <c r="I2466" s="675"/>
      <c r="J2466" s="675"/>
      <c r="K2466" s="674"/>
      <c r="L2466" s="674"/>
      <c r="M2466" s="675"/>
    </row>
    <row r="2467" spans="4:13" x14ac:dyDescent="0.2">
      <c r="D2467" s="673"/>
      <c r="E2467" s="674"/>
      <c r="F2467" s="674"/>
      <c r="G2467" s="674"/>
      <c r="H2467" s="674"/>
      <c r="I2467" s="675"/>
      <c r="J2467" s="675"/>
      <c r="K2467" s="674"/>
      <c r="L2467" s="674"/>
      <c r="M2467" s="675"/>
    </row>
    <row r="2468" spans="4:13" x14ac:dyDescent="0.2">
      <c r="D2468" s="673"/>
      <c r="E2468" s="674"/>
      <c r="F2468" s="674"/>
      <c r="G2468" s="674"/>
      <c r="H2468" s="674"/>
      <c r="I2468" s="675"/>
      <c r="J2468" s="675"/>
      <c r="K2468" s="674"/>
      <c r="L2468" s="674"/>
      <c r="M2468" s="675"/>
    </row>
    <row r="2469" spans="4:13" x14ac:dyDescent="0.2">
      <c r="D2469" s="673"/>
      <c r="E2469" s="674"/>
      <c r="F2469" s="674"/>
      <c r="G2469" s="674"/>
      <c r="H2469" s="674"/>
      <c r="I2469" s="675"/>
      <c r="J2469" s="675"/>
      <c r="K2469" s="674"/>
      <c r="L2469" s="674"/>
      <c r="M2469" s="675"/>
    </row>
    <row r="2470" spans="4:13" x14ac:dyDescent="0.2">
      <c r="D2470" s="673"/>
      <c r="E2470" s="674"/>
      <c r="F2470" s="674"/>
      <c r="G2470" s="674"/>
      <c r="H2470" s="674"/>
      <c r="I2470" s="675"/>
      <c r="J2470" s="675"/>
      <c r="K2470" s="674"/>
      <c r="L2470" s="674"/>
      <c r="M2470" s="675"/>
    </row>
    <row r="2471" spans="4:13" x14ac:dyDescent="0.2">
      <c r="D2471" s="673"/>
      <c r="E2471" s="674"/>
      <c r="F2471" s="674"/>
      <c r="G2471" s="674"/>
      <c r="H2471" s="674"/>
      <c r="I2471" s="675"/>
      <c r="J2471" s="675"/>
      <c r="K2471" s="674"/>
      <c r="L2471" s="674"/>
      <c r="M2471" s="675"/>
    </row>
    <row r="2472" spans="4:13" x14ac:dyDescent="0.2">
      <c r="D2472" s="673"/>
      <c r="E2472" s="674"/>
      <c r="F2472" s="674"/>
      <c r="G2472" s="674"/>
      <c r="H2472" s="674"/>
      <c r="I2472" s="675"/>
      <c r="J2472" s="675"/>
      <c r="K2472" s="674"/>
      <c r="L2472" s="674"/>
      <c r="M2472" s="675"/>
    </row>
    <row r="2473" spans="4:13" x14ac:dyDescent="0.2">
      <c r="D2473" s="673"/>
      <c r="E2473" s="674"/>
      <c r="F2473" s="674"/>
      <c r="G2473" s="674"/>
      <c r="H2473" s="674"/>
      <c r="I2473" s="675"/>
      <c r="J2473" s="675"/>
      <c r="K2473" s="674"/>
      <c r="L2473" s="674"/>
      <c r="M2473" s="675"/>
    </row>
    <row r="2474" spans="4:13" x14ac:dyDescent="0.2">
      <c r="D2474" s="673"/>
      <c r="E2474" s="674"/>
      <c r="F2474" s="674"/>
      <c r="G2474" s="674"/>
      <c r="H2474" s="674"/>
      <c r="I2474" s="675"/>
      <c r="J2474" s="675"/>
      <c r="K2474" s="674"/>
      <c r="L2474" s="674"/>
      <c r="M2474" s="675"/>
    </row>
    <row r="2475" spans="4:13" x14ac:dyDescent="0.2">
      <c r="D2475" s="673"/>
      <c r="E2475" s="674"/>
      <c r="F2475" s="674"/>
      <c r="G2475" s="674"/>
      <c r="H2475" s="674"/>
      <c r="I2475" s="675"/>
      <c r="J2475" s="675"/>
      <c r="K2475" s="674"/>
      <c r="L2475" s="674"/>
      <c r="M2475" s="675"/>
    </row>
    <row r="2476" spans="4:13" x14ac:dyDescent="0.2">
      <c r="D2476" s="673"/>
      <c r="E2476" s="674"/>
      <c r="F2476" s="674"/>
      <c r="G2476" s="674"/>
      <c r="H2476" s="674"/>
      <c r="I2476" s="675"/>
      <c r="J2476" s="675"/>
      <c r="K2476" s="674"/>
      <c r="L2476" s="674"/>
      <c r="M2476" s="675"/>
    </row>
    <row r="2477" spans="4:13" x14ac:dyDescent="0.2">
      <c r="D2477" s="673"/>
      <c r="E2477" s="674"/>
      <c r="F2477" s="674"/>
      <c r="G2477" s="674"/>
      <c r="H2477" s="674"/>
      <c r="I2477" s="675"/>
      <c r="J2477" s="675"/>
      <c r="K2477" s="674"/>
      <c r="L2477" s="674"/>
      <c r="M2477" s="675"/>
    </row>
    <row r="2478" spans="4:13" x14ac:dyDescent="0.2">
      <c r="D2478" s="673"/>
      <c r="E2478" s="674"/>
      <c r="F2478" s="674"/>
      <c r="G2478" s="674"/>
      <c r="H2478" s="674"/>
      <c r="I2478" s="675"/>
      <c r="J2478" s="675"/>
      <c r="K2478" s="674"/>
      <c r="L2478" s="674"/>
      <c r="M2478" s="675"/>
    </row>
    <row r="2479" spans="4:13" x14ac:dyDescent="0.2">
      <c r="D2479" s="673"/>
      <c r="E2479" s="674"/>
      <c r="F2479" s="674"/>
      <c r="G2479" s="674"/>
      <c r="H2479" s="674"/>
      <c r="I2479" s="675"/>
      <c r="J2479" s="675"/>
      <c r="K2479" s="674"/>
      <c r="L2479" s="674"/>
      <c r="M2479" s="675"/>
    </row>
    <row r="2480" spans="4:13" x14ac:dyDescent="0.2">
      <c r="D2480" s="673"/>
      <c r="E2480" s="674"/>
      <c r="F2480" s="674"/>
      <c r="G2480" s="674"/>
      <c r="H2480" s="674"/>
      <c r="I2480" s="675"/>
      <c r="J2480" s="675"/>
      <c r="K2480" s="674"/>
      <c r="L2480" s="674"/>
      <c r="M2480" s="675"/>
    </row>
    <row r="2481" spans="4:13" x14ac:dyDescent="0.2">
      <c r="D2481" s="673"/>
      <c r="E2481" s="674"/>
      <c r="F2481" s="674"/>
      <c r="G2481" s="674"/>
      <c r="H2481" s="674"/>
      <c r="I2481" s="675"/>
      <c r="J2481" s="675"/>
      <c r="K2481" s="674"/>
      <c r="L2481" s="674"/>
      <c r="M2481" s="675"/>
    </row>
    <row r="2482" spans="4:13" x14ac:dyDescent="0.2">
      <c r="D2482" s="673"/>
      <c r="E2482" s="674"/>
      <c r="F2482" s="674"/>
      <c r="G2482" s="674"/>
      <c r="H2482" s="674"/>
      <c r="I2482" s="675"/>
      <c r="J2482" s="675"/>
      <c r="K2482" s="674"/>
      <c r="L2482" s="674"/>
      <c r="M2482" s="675"/>
    </row>
    <row r="2483" spans="4:13" x14ac:dyDescent="0.2">
      <c r="D2483" s="673"/>
      <c r="E2483" s="674"/>
      <c r="F2483" s="674"/>
      <c r="G2483" s="674"/>
      <c r="H2483" s="674"/>
      <c r="I2483" s="675"/>
      <c r="J2483" s="675"/>
      <c r="K2483" s="674"/>
      <c r="L2483" s="674"/>
      <c r="M2483" s="675"/>
    </row>
    <row r="2484" spans="4:13" x14ac:dyDescent="0.2">
      <c r="D2484" s="673"/>
      <c r="E2484" s="674"/>
      <c r="F2484" s="674"/>
      <c r="G2484" s="674"/>
      <c r="H2484" s="674"/>
      <c r="I2484" s="675"/>
      <c r="J2484" s="675"/>
      <c r="K2484" s="674"/>
      <c r="L2484" s="674"/>
      <c r="M2484" s="675"/>
    </row>
    <row r="2485" spans="4:13" x14ac:dyDescent="0.2">
      <c r="D2485" s="673"/>
      <c r="E2485" s="674"/>
      <c r="F2485" s="674"/>
      <c r="G2485" s="674"/>
      <c r="H2485" s="674"/>
      <c r="I2485" s="675"/>
      <c r="J2485" s="675"/>
      <c r="K2485" s="674"/>
      <c r="L2485" s="674"/>
      <c r="M2485" s="675"/>
    </row>
    <row r="2486" spans="4:13" x14ac:dyDescent="0.2">
      <c r="D2486" s="673"/>
      <c r="E2486" s="674"/>
      <c r="F2486" s="674"/>
      <c r="G2486" s="674"/>
      <c r="H2486" s="674"/>
      <c r="I2486" s="675"/>
      <c r="J2486" s="675"/>
      <c r="K2486" s="674"/>
      <c r="L2486" s="674"/>
      <c r="M2486" s="675"/>
    </row>
    <row r="2487" spans="4:13" x14ac:dyDescent="0.2">
      <c r="D2487" s="673"/>
      <c r="E2487" s="674"/>
      <c r="F2487" s="674"/>
      <c r="G2487" s="674"/>
      <c r="H2487" s="674"/>
      <c r="I2487" s="675"/>
      <c r="J2487" s="675"/>
      <c r="K2487" s="674"/>
      <c r="L2487" s="674"/>
      <c r="M2487" s="675"/>
    </row>
    <row r="2488" spans="4:13" x14ac:dyDescent="0.2">
      <c r="D2488" s="673"/>
      <c r="E2488" s="674"/>
      <c r="F2488" s="674"/>
      <c r="G2488" s="674"/>
      <c r="H2488" s="674"/>
      <c r="I2488" s="675"/>
      <c r="J2488" s="675"/>
      <c r="K2488" s="674"/>
      <c r="L2488" s="674"/>
      <c r="M2488" s="675"/>
    </row>
    <row r="2489" spans="4:13" x14ac:dyDescent="0.2">
      <c r="D2489" s="673"/>
      <c r="E2489" s="674"/>
      <c r="F2489" s="674"/>
      <c r="G2489" s="674"/>
      <c r="H2489" s="674"/>
      <c r="I2489" s="675"/>
      <c r="J2489" s="675"/>
      <c r="K2489" s="674"/>
      <c r="L2489" s="674"/>
      <c r="M2489" s="675"/>
    </row>
    <row r="2490" spans="4:13" x14ac:dyDescent="0.2">
      <c r="D2490" s="673"/>
      <c r="E2490" s="674"/>
      <c r="F2490" s="674"/>
      <c r="G2490" s="674"/>
      <c r="H2490" s="674"/>
      <c r="I2490" s="675"/>
      <c r="J2490" s="675"/>
      <c r="K2490" s="674"/>
      <c r="L2490" s="674"/>
      <c r="M2490" s="675"/>
    </row>
    <row r="2491" spans="4:13" x14ac:dyDescent="0.2">
      <c r="D2491" s="673"/>
      <c r="E2491" s="674"/>
      <c r="F2491" s="674"/>
      <c r="G2491" s="674"/>
      <c r="H2491" s="674"/>
      <c r="I2491" s="675"/>
      <c r="J2491" s="675"/>
      <c r="K2491" s="674"/>
      <c r="L2491" s="674"/>
      <c r="M2491" s="675"/>
    </row>
    <row r="2492" spans="4:13" x14ac:dyDescent="0.2">
      <c r="D2492" s="673"/>
      <c r="E2492" s="674"/>
      <c r="F2492" s="674"/>
      <c r="G2492" s="674"/>
      <c r="H2492" s="674"/>
      <c r="I2492" s="675"/>
      <c r="J2492" s="675"/>
      <c r="K2492" s="674"/>
      <c r="L2492" s="674"/>
      <c r="M2492" s="675"/>
    </row>
    <row r="2493" spans="4:13" x14ac:dyDescent="0.2">
      <c r="D2493" s="673"/>
      <c r="E2493" s="674"/>
      <c r="F2493" s="674"/>
      <c r="G2493" s="674"/>
      <c r="H2493" s="674"/>
      <c r="I2493" s="675"/>
      <c r="J2493" s="675"/>
      <c r="K2493" s="674"/>
      <c r="L2493" s="674"/>
      <c r="M2493" s="675"/>
    </row>
    <row r="2494" spans="4:13" x14ac:dyDescent="0.2">
      <c r="D2494" s="673"/>
      <c r="E2494" s="674"/>
      <c r="F2494" s="674"/>
      <c r="G2494" s="674"/>
      <c r="H2494" s="674"/>
      <c r="I2494" s="675"/>
      <c r="J2494" s="675"/>
      <c r="K2494" s="674"/>
      <c r="L2494" s="674"/>
      <c r="M2494" s="675"/>
    </row>
    <row r="2495" spans="4:13" x14ac:dyDescent="0.2">
      <c r="D2495" s="673"/>
      <c r="E2495" s="674"/>
      <c r="F2495" s="674"/>
      <c r="G2495" s="674"/>
      <c r="H2495" s="674"/>
      <c r="I2495" s="675"/>
      <c r="J2495" s="675"/>
      <c r="K2495" s="674"/>
      <c r="L2495" s="674"/>
      <c r="M2495" s="675"/>
    </row>
    <row r="2496" spans="4:13" x14ac:dyDescent="0.2">
      <c r="D2496" s="673"/>
      <c r="E2496" s="674"/>
      <c r="F2496" s="674"/>
      <c r="G2496" s="674"/>
      <c r="H2496" s="674"/>
      <c r="I2496" s="675"/>
      <c r="J2496" s="675"/>
      <c r="K2496" s="674"/>
      <c r="L2496" s="674"/>
      <c r="M2496" s="675"/>
    </row>
    <row r="2497" spans="4:13" x14ac:dyDescent="0.2">
      <c r="D2497" s="673"/>
      <c r="E2497" s="674"/>
      <c r="F2497" s="674"/>
      <c r="G2497" s="674"/>
      <c r="H2497" s="674"/>
      <c r="I2497" s="675"/>
      <c r="J2497" s="675"/>
      <c r="K2497" s="674"/>
      <c r="L2497" s="674"/>
      <c r="M2497" s="675"/>
    </row>
    <row r="2498" spans="4:13" x14ac:dyDescent="0.2">
      <c r="D2498" s="673"/>
      <c r="E2498" s="674"/>
      <c r="F2498" s="674"/>
      <c r="G2498" s="674"/>
      <c r="H2498" s="674"/>
      <c r="I2498" s="675"/>
      <c r="J2498" s="675"/>
      <c r="K2498" s="674"/>
      <c r="L2498" s="674"/>
      <c r="M2498" s="675"/>
    </row>
    <row r="2499" spans="4:13" x14ac:dyDescent="0.2">
      <c r="D2499" s="673"/>
      <c r="E2499" s="674"/>
      <c r="F2499" s="674"/>
      <c r="G2499" s="674"/>
      <c r="H2499" s="674"/>
      <c r="I2499" s="675"/>
      <c r="J2499" s="675"/>
      <c r="K2499" s="674"/>
      <c r="L2499" s="674"/>
      <c r="M2499" s="675"/>
    </row>
    <row r="2500" spans="4:13" x14ac:dyDescent="0.2">
      <c r="D2500" s="673"/>
      <c r="E2500" s="674"/>
      <c r="F2500" s="674"/>
      <c r="G2500" s="674"/>
      <c r="H2500" s="674"/>
      <c r="I2500" s="675"/>
      <c r="J2500" s="675"/>
      <c r="K2500" s="674"/>
      <c r="L2500" s="674"/>
      <c r="M2500" s="675"/>
    </row>
    <row r="2501" spans="4:13" x14ac:dyDescent="0.2">
      <c r="D2501" s="673"/>
      <c r="E2501" s="674"/>
      <c r="F2501" s="674"/>
      <c r="G2501" s="674"/>
      <c r="H2501" s="674"/>
      <c r="I2501" s="675"/>
      <c r="J2501" s="675"/>
      <c r="K2501" s="674"/>
      <c r="L2501" s="674"/>
      <c r="M2501" s="675"/>
    </row>
    <row r="2502" spans="4:13" x14ac:dyDescent="0.2">
      <c r="D2502" s="673"/>
      <c r="E2502" s="674"/>
      <c r="F2502" s="674"/>
      <c r="G2502" s="674"/>
      <c r="H2502" s="674"/>
      <c r="I2502" s="675"/>
      <c r="J2502" s="675"/>
      <c r="K2502" s="674"/>
      <c r="L2502" s="674"/>
      <c r="M2502" s="675"/>
    </row>
    <row r="2503" spans="4:13" x14ac:dyDescent="0.2">
      <c r="D2503" s="673"/>
      <c r="E2503" s="674"/>
      <c r="F2503" s="674"/>
      <c r="G2503" s="674"/>
      <c r="H2503" s="674"/>
      <c r="I2503" s="675"/>
      <c r="J2503" s="675"/>
      <c r="K2503" s="674"/>
      <c r="L2503" s="674"/>
      <c r="M2503" s="675"/>
    </row>
    <row r="2504" spans="4:13" x14ac:dyDescent="0.2">
      <c r="D2504" s="673"/>
      <c r="E2504" s="674"/>
      <c r="F2504" s="674"/>
      <c r="G2504" s="674"/>
      <c r="H2504" s="674"/>
      <c r="I2504" s="675"/>
      <c r="J2504" s="675"/>
      <c r="K2504" s="674"/>
      <c r="L2504" s="674"/>
      <c r="M2504" s="675"/>
    </row>
    <row r="2505" spans="4:13" x14ac:dyDescent="0.2">
      <c r="D2505" s="673"/>
      <c r="E2505" s="674"/>
      <c r="F2505" s="674"/>
      <c r="G2505" s="674"/>
      <c r="H2505" s="674"/>
      <c r="I2505" s="675"/>
      <c r="J2505" s="675"/>
      <c r="K2505" s="674"/>
      <c r="L2505" s="674"/>
      <c r="M2505" s="675"/>
    </row>
    <row r="2506" spans="4:13" x14ac:dyDescent="0.2">
      <c r="D2506" s="673"/>
      <c r="E2506" s="674"/>
      <c r="F2506" s="674"/>
      <c r="G2506" s="674"/>
      <c r="H2506" s="674"/>
      <c r="I2506" s="675"/>
      <c r="J2506" s="675"/>
      <c r="K2506" s="674"/>
      <c r="L2506" s="674"/>
      <c r="M2506" s="675"/>
    </row>
    <row r="2507" spans="4:13" x14ac:dyDescent="0.2">
      <c r="D2507" s="673"/>
      <c r="E2507" s="674"/>
      <c r="F2507" s="674"/>
      <c r="G2507" s="674"/>
      <c r="H2507" s="674"/>
      <c r="I2507" s="675"/>
      <c r="J2507" s="675"/>
      <c r="K2507" s="674"/>
      <c r="L2507" s="674"/>
      <c r="M2507" s="675"/>
    </row>
    <row r="2508" spans="4:13" x14ac:dyDescent="0.2">
      <c r="D2508" s="673"/>
      <c r="E2508" s="674"/>
      <c r="F2508" s="674"/>
      <c r="G2508" s="674"/>
      <c r="H2508" s="674"/>
      <c r="I2508" s="675"/>
      <c r="J2508" s="675"/>
      <c r="K2508" s="674"/>
      <c r="L2508" s="674"/>
      <c r="M2508" s="675"/>
    </row>
    <row r="2509" spans="4:13" x14ac:dyDescent="0.2">
      <c r="D2509" s="673"/>
      <c r="E2509" s="674"/>
      <c r="F2509" s="674"/>
      <c r="G2509" s="674"/>
      <c r="H2509" s="674"/>
      <c r="I2509" s="675"/>
      <c r="J2509" s="675"/>
      <c r="K2509" s="674"/>
      <c r="L2509" s="674"/>
      <c r="M2509" s="675"/>
    </row>
    <row r="2510" spans="4:13" x14ac:dyDescent="0.2">
      <c r="D2510" s="673"/>
      <c r="E2510" s="674"/>
      <c r="F2510" s="674"/>
      <c r="G2510" s="674"/>
      <c r="H2510" s="674"/>
      <c r="I2510" s="675"/>
      <c r="J2510" s="675"/>
      <c r="K2510" s="674"/>
      <c r="L2510" s="674"/>
      <c r="M2510" s="675"/>
    </row>
    <row r="2511" spans="4:13" x14ac:dyDescent="0.2">
      <c r="D2511" s="673"/>
      <c r="E2511" s="674"/>
      <c r="F2511" s="674"/>
      <c r="G2511" s="674"/>
      <c r="H2511" s="674"/>
      <c r="I2511" s="675"/>
      <c r="J2511" s="675"/>
      <c r="K2511" s="674"/>
      <c r="L2511" s="674"/>
      <c r="M2511" s="675"/>
    </row>
    <row r="2512" spans="4:13" x14ac:dyDescent="0.2">
      <c r="D2512" s="673"/>
      <c r="E2512" s="674"/>
      <c r="F2512" s="674"/>
      <c r="G2512" s="674"/>
      <c r="H2512" s="674"/>
      <c r="I2512" s="675"/>
      <c r="J2512" s="675"/>
      <c r="K2512" s="674"/>
      <c r="L2512" s="674"/>
      <c r="M2512" s="675"/>
    </row>
    <row r="2513" spans="4:13" x14ac:dyDescent="0.2">
      <c r="D2513" s="673"/>
      <c r="E2513" s="674"/>
      <c r="F2513" s="674"/>
      <c r="G2513" s="674"/>
      <c r="H2513" s="674"/>
      <c r="I2513" s="675"/>
      <c r="J2513" s="675"/>
      <c r="K2513" s="674"/>
      <c r="L2513" s="674"/>
      <c r="M2513" s="675"/>
    </row>
    <row r="2514" spans="4:13" x14ac:dyDescent="0.2">
      <c r="D2514" s="673"/>
      <c r="E2514" s="674"/>
      <c r="F2514" s="674"/>
      <c r="G2514" s="674"/>
      <c r="H2514" s="674"/>
      <c r="I2514" s="675"/>
      <c r="J2514" s="675"/>
      <c r="K2514" s="674"/>
      <c r="L2514" s="674"/>
      <c r="M2514" s="675"/>
    </row>
    <row r="2515" spans="4:13" x14ac:dyDescent="0.2">
      <c r="D2515" s="673"/>
      <c r="E2515" s="674"/>
      <c r="F2515" s="674"/>
      <c r="G2515" s="674"/>
      <c r="H2515" s="674"/>
      <c r="I2515" s="675"/>
      <c r="J2515" s="675"/>
      <c r="K2515" s="674"/>
      <c r="L2515" s="674"/>
      <c r="M2515" s="675"/>
    </row>
    <row r="2516" spans="4:13" x14ac:dyDescent="0.2">
      <c r="D2516" s="673"/>
      <c r="E2516" s="674"/>
      <c r="F2516" s="674"/>
      <c r="G2516" s="674"/>
      <c r="H2516" s="674"/>
      <c r="I2516" s="675"/>
      <c r="J2516" s="675"/>
      <c r="K2516" s="674"/>
      <c r="L2516" s="674"/>
      <c r="M2516" s="675"/>
    </row>
    <row r="2517" spans="4:13" x14ac:dyDescent="0.2">
      <c r="D2517" s="673"/>
      <c r="E2517" s="674"/>
      <c r="F2517" s="674"/>
      <c r="G2517" s="674"/>
      <c r="H2517" s="674"/>
      <c r="I2517" s="675"/>
      <c r="J2517" s="675"/>
      <c r="K2517" s="674"/>
      <c r="L2517" s="674"/>
      <c r="M2517" s="675"/>
    </row>
    <row r="2518" spans="4:13" x14ac:dyDescent="0.2">
      <c r="D2518" s="673"/>
      <c r="E2518" s="674"/>
      <c r="F2518" s="674"/>
      <c r="G2518" s="674"/>
      <c r="H2518" s="674"/>
      <c r="I2518" s="675"/>
      <c r="J2518" s="675"/>
      <c r="K2518" s="674"/>
      <c r="L2518" s="674"/>
      <c r="M2518" s="675"/>
    </row>
    <row r="2519" spans="4:13" x14ac:dyDescent="0.2">
      <c r="D2519" s="673"/>
      <c r="E2519" s="674"/>
      <c r="F2519" s="674"/>
      <c r="G2519" s="674"/>
      <c r="H2519" s="674"/>
      <c r="I2519" s="675"/>
      <c r="J2519" s="675"/>
      <c r="K2519" s="674"/>
      <c r="L2519" s="674"/>
      <c r="M2519" s="675"/>
    </row>
    <row r="2520" spans="4:13" x14ac:dyDescent="0.2">
      <c r="D2520" s="673"/>
      <c r="E2520" s="674"/>
      <c r="F2520" s="674"/>
      <c r="G2520" s="674"/>
      <c r="H2520" s="674"/>
      <c r="I2520" s="675"/>
      <c r="J2520" s="675"/>
      <c r="K2520" s="674"/>
      <c r="L2520" s="674"/>
      <c r="M2520" s="675"/>
    </row>
    <row r="2521" spans="4:13" x14ac:dyDescent="0.2">
      <c r="D2521" s="673"/>
      <c r="E2521" s="674"/>
      <c r="F2521" s="674"/>
      <c r="G2521" s="674"/>
      <c r="H2521" s="674"/>
      <c r="I2521" s="675"/>
      <c r="J2521" s="675"/>
      <c r="K2521" s="674"/>
      <c r="L2521" s="674"/>
      <c r="M2521" s="675"/>
    </row>
    <row r="2522" spans="4:13" x14ac:dyDescent="0.2">
      <c r="D2522" s="673"/>
      <c r="E2522" s="674"/>
      <c r="F2522" s="674"/>
      <c r="G2522" s="674"/>
      <c r="H2522" s="674"/>
      <c r="I2522" s="675"/>
      <c r="J2522" s="675"/>
      <c r="K2522" s="674"/>
      <c r="L2522" s="674"/>
      <c r="M2522" s="675"/>
    </row>
    <row r="2523" spans="4:13" x14ac:dyDescent="0.2">
      <c r="D2523" s="673"/>
      <c r="E2523" s="674"/>
      <c r="F2523" s="674"/>
      <c r="G2523" s="674"/>
      <c r="H2523" s="674"/>
      <c r="I2523" s="675"/>
      <c r="J2523" s="675"/>
      <c r="K2523" s="674"/>
      <c r="L2523" s="674"/>
      <c r="M2523" s="675"/>
    </row>
    <row r="2524" spans="4:13" x14ac:dyDescent="0.2">
      <c r="D2524" s="673"/>
      <c r="E2524" s="674"/>
      <c r="F2524" s="674"/>
      <c r="G2524" s="674"/>
      <c r="H2524" s="674"/>
      <c r="I2524" s="675"/>
      <c r="J2524" s="675"/>
      <c r="K2524" s="674"/>
      <c r="L2524" s="674"/>
      <c r="M2524" s="675"/>
    </row>
    <row r="2525" spans="4:13" x14ac:dyDescent="0.2">
      <c r="D2525" s="673"/>
      <c r="E2525" s="674"/>
      <c r="F2525" s="674"/>
      <c r="G2525" s="674"/>
      <c r="H2525" s="674"/>
      <c r="I2525" s="675"/>
      <c r="J2525" s="675"/>
      <c r="K2525" s="674"/>
      <c r="L2525" s="674"/>
      <c r="M2525" s="675"/>
    </row>
    <row r="2526" spans="4:13" x14ac:dyDescent="0.2">
      <c r="D2526" s="673"/>
      <c r="E2526" s="674"/>
      <c r="F2526" s="674"/>
      <c r="G2526" s="674"/>
      <c r="H2526" s="674"/>
      <c r="I2526" s="675"/>
      <c r="J2526" s="675"/>
      <c r="K2526" s="674"/>
      <c r="L2526" s="674"/>
      <c r="M2526" s="675"/>
    </row>
    <row r="2527" spans="4:13" x14ac:dyDescent="0.2">
      <c r="D2527" s="673"/>
      <c r="E2527" s="674"/>
      <c r="F2527" s="674"/>
      <c r="G2527" s="674"/>
      <c r="H2527" s="674"/>
      <c r="I2527" s="675"/>
      <c r="J2527" s="675"/>
      <c r="K2527" s="674"/>
      <c r="L2527" s="674"/>
      <c r="M2527" s="675"/>
    </row>
    <row r="2528" spans="4:13" x14ac:dyDescent="0.2">
      <c r="D2528" s="673"/>
      <c r="E2528" s="674"/>
      <c r="F2528" s="674"/>
      <c r="G2528" s="674"/>
      <c r="H2528" s="674"/>
      <c r="I2528" s="675"/>
      <c r="J2528" s="675"/>
      <c r="K2528" s="674"/>
      <c r="L2528" s="674"/>
      <c r="M2528" s="675"/>
    </row>
    <row r="2529" spans="4:13" x14ac:dyDescent="0.2">
      <c r="D2529" s="673"/>
      <c r="E2529" s="674"/>
      <c r="F2529" s="674"/>
      <c r="G2529" s="674"/>
      <c r="H2529" s="674"/>
      <c r="I2529" s="675"/>
      <c r="J2529" s="675"/>
      <c r="K2529" s="674"/>
      <c r="L2529" s="674"/>
      <c r="M2529" s="675"/>
    </row>
    <row r="2530" spans="4:13" x14ac:dyDescent="0.2">
      <c r="D2530" s="673"/>
      <c r="E2530" s="674"/>
      <c r="F2530" s="674"/>
      <c r="G2530" s="674"/>
      <c r="H2530" s="674"/>
      <c r="I2530" s="675"/>
      <c r="J2530" s="675"/>
      <c r="K2530" s="674"/>
      <c r="L2530" s="674"/>
      <c r="M2530" s="675"/>
    </row>
    <row r="2531" spans="4:13" x14ac:dyDescent="0.2">
      <c r="D2531" s="673"/>
      <c r="E2531" s="674"/>
      <c r="F2531" s="674"/>
      <c r="G2531" s="674"/>
      <c r="H2531" s="674"/>
      <c r="I2531" s="675"/>
      <c r="J2531" s="675"/>
      <c r="K2531" s="674"/>
      <c r="L2531" s="674"/>
      <c r="M2531" s="675"/>
    </row>
    <row r="2532" spans="4:13" x14ac:dyDescent="0.2">
      <c r="D2532" s="673"/>
      <c r="E2532" s="674"/>
      <c r="F2532" s="674"/>
      <c r="G2532" s="674"/>
      <c r="H2532" s="674"/>
      <c r="I2532" s="675"/>
      <c r="J2532" s="675"/>
      <c r="K2532" s="674"/>
      <c r="L2532" s="674"/>
      <c r="M2532" s="675"/>
    </row>
    <row r="2533" spans="4:13" x14ac:dyDescent="0.2">
      <c r="D2533" s="673"/>
      <c r="E2533" s="674"/>
      <c r="F2533" s="674"/>
      <c r="G2533" s="674"/>
      <c r="H2533" s="674"/>
      <c r="I2533" s="675"/>
      <c r="J2533" s="675"/>
      <c r="K2533" s="674"/>
      <c r="L2533" s="674"/>
      <c r="M2533" s="675"/>
    </row>
    <row r="2534" spans="4:13" x14ac:dyDescent="0.2">
      <c r="D2534" s="673"/>
      <c r="E2534" s="674"/>
      <c r="F2534" s="674"/>
      <c r="G2534" s="674"/>
      <c r="H2534" s="674"/>
      <c r="I2534" s="675"/>
      <c r="J2534" s="675"/>
      <c r="K2534" s="674"/>
      <c r="L2534" s="674"/>
      <c r="M2534" s="675"/>
    </row>
    <row r="2535" spans="4:13" x14ac:dyDescent="0.2">
      <c r="D2535" s="673"/>
      <c r="E2535" s="674"/>
      <c r="F2535" s="674"/>
      <c r="G2535" s="674"/>
      <c r="H2535" s="674"/>
      <c r="I2535" s="675"/>
      <c r="J2535" s="675"/>
      <c r="K2535" s="674"/>
      <c r="L2535" s="674"/>
      <c r="M2535" s="675"/>
    </row>
    <row r="2536" spans="4:13" x14ac:dyDescent="0.2">
      <c r="D2536" s="673"/>
      <c r="E2536" s="674"/>
      <c r="F2536" s="674"/>
      <c r="G2536" s="674"/>
      <c r="H2536" s="674"/>
      <c r="I2536" s="675"/>
      <c r="J2536" s="675"/>
      <c r="K2536" s="674"/>
      <c r="L2536" s="674"/>
      <c r="M2536" s="675"/>
    </row>
    <row r="2537" spans="4:13" x14ac:dyDescent="0.2">
      <c r="D2537" s="673"/>
      <c r="E2537" s="674"/>
      <c r="F2537" s="674"/>
      <c r="G2537" s="674"/>
      <c r="H2537" s="674"/>
      <c r="I2537" s="675"/>
      <c r="J2537" s="675"/>
      <c r="K2537" s="674"/>
      <c r="L2537" s="674"/>
      <c r="M2537" s="675"/>
    </row>
    <row r="2538" spans="4:13" x14ac:dyDescent="0.2">
      <c r="D2538" s="673"/>
      <c r="E2538" s="674"/>
      <c r="F2538" s="674"/>
      <c r="G2538" s="674"/>
      <c r="H2538" s="674"/>
      <c r="I2538" s="675"/>
      <c r="J2538" s="675"/>
      <c r="K2538" s="674"/>
      <c r="L2538" s="674"/>
      <c r="M2538" s="675"/>
    </row>
    <row r="2539" spans="4:13" x14ac:dyDescent="0.2">
      <c r="D2539" s="673"/>
      <c r="E2539" s="674"/>
      <c r="F2539" s="674"/>
      <c r="G2539" s="674"/>
      <c r="H2539" s="674"/>
      <c r="I2539" s="675"/>
      <c r="J2539" s="675"/>
      <c r="K2539" s="674"/>
      <c r="L2539" s="674"/>
      <c r="M2539" s="675"/>
    </row>
    <row r="2540" spans="4:13" x14ac:dyDescent="0.2">
      <c r="D2540" s="673"/>
      <c r="E2540" s="674"/>
      <c r="F2540" s="674"/>
      <c r="G2540" s="674"/>
      <c r="H2540" s="674"/>
      <c r="I2540" s="675"/>
      <c r="J2540" s="675"/>
      <c r="K2540" s="674"/>
      <c r="L2540" s="674"/>
      <c r="M2540" s="675"/>
    </row>
    <row r="2541" spans="4:13" x14ac:dyDescent="0.2">
      <c r="D2541" s="673"/>
      <c r="E2541" s="674"/>
      <c r="F2541" s="674"/>
      <c r="G2541" s="674"/>
      <c r="H2541" s="674"/>
      <c r="I2541" s="675"/>
      <c r="J2541" s="675"/>
      <c r="K2541" s="674"/>
      <c r="L2541" s="674"/>
      <c r="M2541" s="675"/>
    </row>
    <row r="2542" spans="4:13" x14ac:dyDescent="0.2">
      <c r="D2542" s="673"/>
      <c r="E2542" s="674"/>
      <c r="F2542" s="674"/>
      <c r="G2542" s="674"/>
      <c r="H2542" s="674"/>
      <c r="I2542" s="675"/>
      <c r="J2542" s="675"/>
      <c r="K2542" s="674"/>
      <c r="L2542" s="674"/>
      <c r="M2542" s="675"/>
    </row>
    <row r="2543" spans="4:13" x14ac:dyDescent="0.2">
      <c r="D2543" s="673"/>
      <c r="E2543" s="674"/>
      <c r="F2543" s="674"/>
      <c r="G2543" s="674"/>
      <c r="H2543" s="674"/>
      <c r="I2543" s="675"/>
      <c r="J2543" s="675"/>
      <c r="K2543" s="674"/>
      <c r="L2543" s="674"/>
      <c r="M2543" s="675"/>
    </row>
    <row r="2544" spans="4:13" x14ac:dyDescent="0.2">
      <c r="D2544" s="673"/>
      <c r="E2544" s="674"/>
      <c r="F2544" s="674"/>
      <c r="G2544" s="674"/>
      <c r="H2544" s="674"/>
      <c r="I2544" s="675"/>
      <c r="J2544" s="675"/>
      <c r="K2544" s="674"/>
      <c r="L2544" s="674"/>
      <c r="M2544" s="675"/>
    </row>
    <row r="2545" spans="4:13" x14ac:dyDescent="0.2">
      <c r="D2545" s="673"/>
      <c r="E2545" s="674"/>
      <c r="F2545" s="674"/>
      <c r="G2545" s="674"/>
      <c r="H2545" s="674"/>
      <c r="I2545" s="675"/>
      <c r="J2545" s="675"/>
      <c r="K2545" s="674"/>
      <c r="L2545" s="674"/>
      <c r="M2545" s="675"/>
    </row>
    <row r="2546" spans="4:13" x14ac:dyDescent="0.2">
      <c r="D2546" s="673"/>
      <c r="E2546" s="674"/>
      <c r="F2546" s="674"/>
      <c r="G2546" s="674"/>
      <c r="H2546" s="674"/>
      <c r="I2546" s="675"/>
      <c r="J2546" s="675"/>
      <c r="K2546" s="674"/>
      <c r="L2546" s="674"/>
      <c r="M2546" s="675"/>
    </row>
    <row r="2547" spans="4:13" x14ac:dyDescent="0.2">
      <c r="D2547" s="673"/>
      <c r="E2547" s="674"/>
      <c r="F2547" s="674"/>
      <c r="G2547" s="674"/>
      <c r="H2547" s="674"/>
      <c r="I2547" s="675"/>
      <c r="J2547" s="675"/>
      <c r="K2547" s="674"/>
      <c r="L2547" s="674"/>
      <c r="M2547" s="675"/>
    </row>
    <row r="2548" spans="4:13" x14ac:dyDescent="0.2">
      <c r="D2548" s="673"/>
      <c r="E2548" s="674"/>
      <c r="F2548" s="674"/>
      <c r="G2548" s="674"/>
      <c r="H2548" s="674"/>
      <c r="I2548" s="675"/>
      <c r="J2548" s="675"/>
      <c r="K2548" s="674"/>
      <c r="L2548" s="674"/>
      <c r="M2548" s="675"/>
    </row>
    <row r="2549" spans="4:13" x14ac:dyDescent="0.2">
      <c r="D2549" s="673"/>
      <c r="E2549" s="674"/>
      <c r="F2549" s="674"/>
      <c r="G2549" s="674"/>
      <c r="H2549" s="674"/>
      <c r="I2549" s="675"/>
      <c r="J2549" s="675"/>
      <c r="K2549" s="674"/>
      <c r="L2549" s="674"/>
      <c r="M2549" s="675"/>
    </row>
    <row r="2550" spans="4:13" x14ac:dyDescent="0.2">
      <c r="D2550" s="673"/>
      <c r="E2550" s="674"/>
      <c r="F2550" s="674"/>
      <c r="G2550" s="674"/>
      <c r="H2550" s="674"/>
      <c r="I2550" s="675"/>
      <c r="J2550" s="675"/>
      <c r="K2550" s="674"/>
      <c r="L2550" s="674"/>
      <c r="M2550" s="675"/>
    </row>
    <row r="2551" spans="4:13" x14ac:dyDescent="0.2">
      <c r="D2551" s="673"/>
      <c r="E2551" s="674"/>
      <c r="F2551" s="674"/>
      <c r="G2551" s="674"/>
      <c r="H2551" s="674"/>
      <c r="I2551" s="675"/>
      <c r="J2551" s="675"/>
      <c r="K2551" s="674"/>
      <c r="L2551" s="674"/>
      <c r="M2551" s="675"/>
    </row>
    <row r="2552" spans="4:13" x14ac:dyDescent="0.2">
      <c r="D2552" s="673"/>
      <c r="E2552" s="674"/>
      <c r="F2552" s="674"/>
      <c r="G2552" s="674"/>
      <c r="H2552" s="674"/>
      <c r="I2552" s="675"/>
      <c r="J2552" s="675"/>
      <c r="K2552" s="674"/>
      <c r="L2552" s="674"/>
      <c r="M2552" s="675"/>
    </row>
    <row r="2553" spans="4:13" x14ac:dyDescent="0.2">
      <c r="D2553" s="673"/>
      <c r="E2553" s="674"/>
      <c r="F2553" s="674"/>
      <c r="G2553" s="674"/>
      <c r="H2553" s="674"/>
      <c r="I2553" s="675"/>
      <c r="J2553" s="675"/>
      <c r="K2553" s="674"/>
      <c r="L2553" s="674"/>
      <c r="M2553" s="675"/>
    </row>
    <row r="2554" spans="4:13" x14ac:dyDescent="0.2">
      <c r="D2554" s="673"/>
      <c r="E2554" s="674"/>
      <c r="F2554" s="674"/>
      <c r="G2554" s="674"/>
      <c r="H2554" s="674"/>
      <c r="I2554" s="675"/>
      <c r="J2554" s="675"/>
      <c r="K2554" s="674"/>
      <c r="L2554" s="674"/>
      <c r="M2554" s="675"/>
    </row>
    <row r="2555" spans="4:13" x14ac:dyDescent="0.2">
      <c r="D2555" s="673"/>
      <c r="E2555" s="674"/>
      <c r="F2555" s="674"/>
      <c r="G2555" s="674"/>
      <c r="H2555" s="674"/>
      <c r="I2555" s="675"/>
      <c r="J2555" s="675"/>
      <c r="K2555" s="674"/>
      <c r="L2555" s="674"/>
      <c r="M2555" s="675"/>
    </row>
    <row r="2556" spans="4:13" x14ac:dyDescent="0.2">
      <c r="D2556" s="673"/>
      <c r="E2556" s="674"/>
      <c r="F2556" s="674"/>
      <c r="G2556" s="674"/>
      <c r="H2556" s="674"/>
      <c r="I2556" s="675"/>
      <c r="J2556" s="675"/>
      <c r="K2556" s="674"/>
      <c r="L2556" s="674"/>
      <c r="M2556" s="675"/>
    </row>
    <row r="2557" spans="4:13" x14ac:dyDescent="0.2">
      <c r="D2557" s="673"/>
      <c r="E2557" s="674"/>
      <c r="F2557" s="674"/>
      <c r="G2557" s="674"/>
      <c r="H2557" s="674"/>
      <c r="I2557" s="675"/>
      <c r="J2557" s="675"/>
      <c r="K2557" s="674"/>
      <c r="L2557" s="674"/>
      <c r="M2557" s="675"/>
    </row>
    <row r="2558" spans="4:13" x14ac:dyDescent="0.2">
      <c r="D2558" s="673"/>
      <c r="E2558" s="674"/>
      <c r="F2558" s="674"/>
      <c r="G2558" s="674"/>
      <c r="H2558" s="674"/>
      <c r="I2558" s="675"/>
      <c r="J2558" s="675"/>
      <c r="K2558" s="674"/>
      <c r="L2558" s="674"/>
      <c r="M2558" s="675"/>
    </row>
    <row r="2559" spans="4:13" x14ac:dyDescent="0.2">
      <c r="D2559" s="673"/>
      <c r="E2559" s="674"/>
      <c r="F2559" s="674"/>
      <c r="G2559" s="674"/>
      <c r="H2559" s="674"/>
      <c r="I2559" s="675"/>
      <c r="J2559" s="675"/>
      <c r="K2559" s="674"/>
      <c r="L2559" s="674"/>
      <c r="M2559" s="675"/>
    </row>
    <row r="2560" spans="4:13" x14ac:dyDescent="0.2">
      <c r="D2560" s="673"/>
      <c r="E2560" s="674"/>
      <c r="F2560" s="674"/>
      <c r="G2560" s="674"/>
      <c r="H2560" s="674"/>
      <c r="I2560" s="675"/>
      <c r="J2560" s="675"/>
      <c r="K2560" s="674"/>
      <c r="L2560" s="674"/>
      <c r="M2560" s="675"/>
    </row>
    <row r="2561" spans="4:13" x14ac:dyDescent="0.2">
      <c r="D2561" s="673"/>
      <c r="E2561" s="674"/>
      <c r="F2561" s="674"/>
      <c r="G2561" s="674"/>
      <c r="H2561" s="674"/>
      <c r="I2561" s="675"/>
      <c r="J2561" s="675"/>
      <c r="K2561" s="674"/>
      <c r="L2561" s="674"/>
      <c r="M2561" s="675"/>
    </row>
    <row r="2562" spans="4:13" x14ac:dyDescent="0.2">
      <c r="D2562" s="673"/>
      <c r="E2562" s="674"/>
      <c r="F2562" s="674"/>
      <c r="G2562" s="674"/>
      <c r="H2562" s="674"/>
      <c r="I2562" s="675"/>
      <c r="J2562" s="675"/>
      <c r="K2562" s="674"/>
      <c r="L2562" s="674"/>
      <c r="M2562" s="675"/>
    </row>
    <row r="2563" spans="4:13" x14ac:dyDescent="0.2">
      <c r="D2563" s="673"/>
      <c r="E2563" s="674"/>
      <c r="F2563" s="674"/>
      <c r="G2563" s="674"/>
      <c r="H2563" s="674"/>
      <c r="I2563" s="675"/>
      <c r="J2563" s="675"/>
      <c r="K2563" s="674"/>
      <c r="L2563" s="674"/>
      <c r="M2563" s="675"/>
    </row>
    <row r="2564" spans="4:13" x14ac:dyDescent="0.2">
      <c r="D2564" s="673"/>
      <c r="E2564" s="674"/>
      <c r="F2564" s="674"/>
      <c r="G2564" s="674"/>
      <c r="H2564" s="674"/>
      <c r="I2564" s="675"/>
      <c r="J2564" s="675"/>
      <c r="K2564" s="674"/>
      <c r="L2564" s="674"/>
      <c r="M2564" s="675"/>
    </row>
    <row r="2565" spans="4:13" x14ac:dyDescent="0.2">
      <c r="D2565" s="673"/>
      <c r="E2565" s="674"/>
      <c r="F2565" s="674"/>
      <c r="G2565" s="674"/>
      <c r="H2565" s="674"/>
      <c r="I2565" s="675"/>
      <c r="J2565" s="675"/>
      <c r="K2565" s="674"/>
      <c r="L2565" s="674"/>
      <c r="M2565" s="675"/>
    </row>
    <row r="2566" spans="4:13" x14ac:dyDescent="0.2">
      <c r="D2566" s="673"/>
      <c r="E2566" s="674"/>
      <c r="F2566" s="674"/>
      <c r="G2566" s="674"/>
      <c r="H2566" s="674"/>
      <c r="I2566" s="675"/>
      <c r="J2566" s="675"/>
      <c r="K2566" s="674"/>
      <c r="L2566" s="674"/>
      <c r="M2566" s="675"/>
    </row>
    <row r="2567" spans="4:13" x14ac:dyDescent="0.2">
      <c r="D2567" s="673"/>
      <c r="E2567" s="674"/>
      <c r="F2567" s="674"/>
      <c r="G2567" s="674"/>
      <c r="H2567" s="674"/>
      <c r="I2567" s="675"/>
      <c r="J2567" s="675"/>
      <c r="K2567" s="674"/>
      <c r="L2567" s="674"/>
      <c r="M2567" s="675"/>
    </row>
    <row r="2568" spans="4:13" x14ac:dyDescent="0.2">
      <c r="D2568" s="673"/>
      <c r="E2568" s="674"/>
      <c r="F2568" s="674"/>
      <c r="G2568" s="674"/>
      <c r="H2568" s="674"/>
      <c r="I2568" s="675"/>
      <c r="J2568" s="675"/>
      <c r="K2568" s="674"/>
      <c r="L2568" s="674"/>
      <c r="M2568" s="675"/>
    </row>
    <row r="2569" spans="4:13" x14ac:dyDescent="0.2">
      <c r="D2569" s="673"/>
      <c r="E2569" s="674"/>
      <c r="F2569" s="674"/>
      <c r="G2569" s="674"/>
      <c r="H2569" s="674"/>
      <c r="I2569" s="675"/>
      <c r="J2569" s="675"/>
      <c r="K2569" s="674"/>
      <c r="L2569" s="674"/>
      <c r="M2569" s="675"/>
    </row>
    <row r="2570" spans="4:13" x14ac:dyDescent="0.2">
      <c r="D2570" s="673"/>
      <c r="E2570" s="674"/>
      <c r="F2570" s="674"/>
      <c r="G2570" s="674"/>
      <c r="H2570" s="674"/>
      <c r="I2570" s="675"/>
      <c r="J2570" s="675"/>
      <c r="K2570" s="674"/>
      <c r="L2570" s="674"/>
      <c r="M2570" s="675"/>
    </row>
    <row r="2571" spans="4:13" x14ac:dyDescent="0.2">
      <c r="D2571" s="673"/>
      <c r="E2571" s="674"/>
      <c r="F2571" s="674"/>
      <c r="G2571" s="674"/>
      <c r="H2571" s="674"/>
      <c r="I2571" s="675"/>
      <c r="J2571" s="675"/>
      <c r="K2571" s="674"/>
      <c r="L2571" s="674"/>
      <c r="M2571" s="675"/>
    </row>
    <row r="2572" spans="4:13" x14ac:dyDescent="0.2">
      <c r="D2572" s="673"/>
      <c r="E2572" s="674"/>
      <c r="F2572" s="674"/>
      <c r="G2572" s="674"/>
      <c r="H2572" s="674"/>
      <c r="I2572" s="675"/>
      <c r="J2572" s="675"/>
      <c r="K2572" s="674"/>
      <c r="L2572" s="674"/>
      <c r="M2572" s="675"/>
    </row>
    <row r="2573" spans="4:13" x14ac:dyDescent="0.2">
      <c r="D2573" s="673"/>
      <c r="E2573" s="674"/>
      <c r="F2573" s="674"/>
      <c r="G2573" s="674"/>
      <c r="H2573" s="674"/>
      <c r="I2573" s="675"/>
      <c r="J2573" s="675"/>
      <c r="K2573" s="674"/>
      <c r="L2573" s="674"/>
      <c r="M2573" s="675"/>
    </row>
    <row r="2574" spans="4:13" x14ac:dyDescent="0.2">
      <c r="D2574" s="673"/>
      <c r="E2574" s="674"/>
      <c r="F2574" s="674"/>
      <c r="G2574" s="674"/>
      <c r="H2574" s="674"/>
      <c r="I2574" s="675"/>
      <c r="J2574" s="675"/>
      <c r="K2574" s="674"/>
      <c r="L2574" s="674"/>
      <c r="M2574" s="675"/>
    </row>
    <row r="2575" spans="4:13" x14ac:dyDescent="0.2">
      <c r="D2575" s="673"/>
      <c r="E2575" s="674"/>
      <c r="F2575" s="674"/>
      <c r="G2575" s="674"/>
      <c r="H2575" s="674"/>
      <c r="I2575" s="675"/>
      <c r="J2575" s="675"/>
      <c r="K2575" s="674"/>
      <c r="L2575" s="674"/>
      <c r="M2575" s="675"/>
    </row>
    <row r="2576" spans="4:13" x14ac:dyDescent="0.2">
      <c r="D2576" s="673"/>
      <c r="E2576" s="674"/>
      <c r="F2576" s="674"/>
      <c r="G2576" s="674"/>
      <c r="H2576" s="674"/>
      <c r="I2576" s="675"/>
      <c r="J2576" s="675"/>
      <c r="K2576" s="674"/>
      <c r="L2576" s="674"/>
      <c r="M2576" s="675"/>
    </row>
    <row r="2577" spans="4:13" x14ac:dyDescent="0.2">
      <c r="D2577" s="673"/>
      <c r="E2577" s="674"/>
      <c r="F2577" s="674"/>
      <c r="G2577" s="674"/>
      <c r="H2577" s="674"/>
      <c r="I2577" s="675"/>
      <c r="J2577" s="675"/>
      <c r="K2577" s="674"/>
      <c r="L2577" s="674"/>
      <c r="M2577" s="675"/>
    </row>
    <row r="2578" spans="4:13" x14ac:dyDescent="0.2">
      <c r="D2578" s="673"/>
      <c r="E2578" s="674"/>
      <c r="F2578" s="674"/>
      <c r="G2578" s="674"/>
      <c r="H2578" s="674"/>
      <c r="I2578" s="675"/>
      <c r="J2578" s="675"/>
      <c r="K2578" s="674"/>
      <c r="L2578" s="674"/>
      <c r="M2578" s="675"/>
    </row>
    <row r="2579" spans="4:13" x14ac:dyDescent="0.2">
      <c r="D2579" s="673"/>
      <c r="E2579" s="674"/>
      <c r="F2579" s="674"/>
      <c r="G2579" s="674"/>
      <c r="H2579" s="674"/>
      <c r="I2579" s="675"/>
      <c r="J2579" s="675"/>
      <c r="K2579" s="674"/>
      <c r="L2579" s="674"/>
      <c r="M2579" s="675"/>
    </row>
    <row r="2580" spans="4:13" x14ac:dyDescent="0.2">
      <c r="D2580" s="673"/>
      <c r="E2580" s="674"/>
      <c r="F2580" s="674"/>
      <c r="G2580" s="674"/>
      <c r="H2580" s="674"/>
      <c r="I2580" s="675"/>
      <c r="J2580" s="675"/>
      <c r="K2580" s="674"/>
      <c r="L2580" s="674"/>
      <c r="M2580" s="675"/>
    </row>
    <row r="2581" spans="4:13" x14ac:dyDescent="0.2">
      <c r="D2581" s="673"/>
      <c r="E2581" s="674"/>
      <c r="F2581" s="674"/>
      <c r="G2581" s="674"/>
      <c r="H2581" s="674"/>
      <c r="I2581" s="675"/>
      <c r="J2581" s="675"/>
      <c r="K2581" s="674"/>
      <c r="L2581" s="674"/>
      <c r="M2581" s="675"/>
    </row>
    <row r="2582" spans="4:13" x14ac:dyDescent="0.2">
      <c r="D2582" s="673"/>
      <c r="E2582" s="674"/>
      <c r="F2582" s="674"/>
      <c r="G2582" s="674"/>
      <c r="H2582" s="674"/>
      <c r="I2582" s="675"/>
      <c r="J2582" s="675"/>
      <c r="K2582" s="674"/>
      <c r="L2582" s="674"/>
      <c r="M2582" s="675"/>
    </row>
    <row r="2583" spans="4:13" x14ac:dyDescent="0.2">
      <c r="D2583" s="673"/>
      <c r="E2583" s="674"/>
      <c r="F2583" s="674"/>
      <c r="G2583" s="674"/>
      <c r="H2583" s="674"/>
      <c r="I2583" s="675"/>
      <c r="J2583" s="675"/>
      <c r="K2583" s="674"/>
      <c r="L2583" s="674"/>
      <c r="M2583" s="675"/>
    </row>
    <row r="2584" spans="4:13" x14ac:dyDescent="0.2">
      <c r="D2584" s="673"/>
      <c r="E2584" s="674"/>
      <c r="F2584" s="674"/>
      <c r="G2584" s="674"/>
      <c r="H2584" s="674"/>
      <c r="I2584" s="675"/>
      <c r="J2584" s="675"/>
      <c r="K2584" s="674"/>
      <c r="L2584" s="674"/>
      <c r="M2584" s="675"/>
    </row>
    <row r="2585" spans="4:13" x14ac:dyDescent="0.2">
      <c r="D2585" s="673"/>
      <c r="E2585" s="674"/>
      <c r="F2585" s="674"/>
      <c r="G2585" s="674"/>
      <c r="H2585" s="674"/>
      <c r="I2585" s="675"/>
      <c r="J2585" s="675"/>
      <c r="K2585" s="674"/>
      <c r="L2585" s="674"/>
      <c r="M2585" s="675"/>
    </row>
    <row r="2586" spans="4:13" x14ac:dyDescent="0.2">
      <c r="D2586" s="673"/>
      <c r="E2586" s="674"/>
      <c r="F2586" s="674"/>
      <c r="G2586" s="674"/>
      <c r="H2586" s="674"/>
      <c r="I2586" s="675"/>
      <c r="J2586" s="675"/>
      <c r="K2586" s="674"/>
      <c r="L2586" s="674"/>
      <c r="M2586" s="675"/>
    </row>
    <row r="2587" spans="4:13" x14ac:dyDescent="0.2">
      <c r="D2587" s="673"/>
      <c r="E2587" s="674"/>
      <c r="F2587" s="674"/>
      <c r="G2587" s="674"/>
      <c r="H2587" s="674"/>
      <c r="I2587" s="675"/>
      <c r="J2587" s="675"/>
      <c r="K2587" s="674"/>
      <c r="L2587" s="674"/>
      <c r="M2587" s="675"/>
    </row>
    <row r="2588" spans="4:13" x14ac:dyDescent="0.2">
      <c r="D2588" s="673"/>
      <c r="E2588" s="674"/>
      <c r="F2588" s="674"/>
      <c r="G2588" s="674"/>
      <c r="H2588" s="674"/>
      <c r="I2588" s="675"/>
      <c r="J2588" s="675"/>
      <c r="K2588" s="674"/>
      <c r="L2588" s="674"/>
      <c r="M2588" s="675"/>
    </row>
    <row r="2589" spans="4:13" x14ac:dyDescent="0.2">
      <c r="D2589" s="673"/>
      <c r="E2589" s="674"/>
      <c r="F2589" s="674"/>
      <c r="G2589" s="674"/>
      <c r="H2589" s="674"/>
      <c r="I2589" s="675"/>
      <c r="J2589" s="675"/>
      <c r="K2589" s="674"/>
      <c r="L2589" s="674"/>
      <c r="M2589" s="675"/>
    </row>
    <row r="2590" spans="4:13" x14ac:dyDescent="0.2">
      <c r="D2590" s="673"/>
      <c r="E2590" s="674"/>
      <c r="F2590" s="674"/>
      <c r="G2590" s="674"/>
      <c r="H2590" s="674"/>
      <c r="I2590" s="675"/>
      <c r="J2590" s="675"/>
      <c r="K2590" s="674"/>
      <c r="L2590" s="674"/>
      <c r="M2590" s="675"/>
    </row>
    <row r="2591" spans="4:13" x14ac:dyDescent="0.2">
      <c r="D2591" s="673"/>
      <c r="E2591" s="674"/>
      <c r="F2591" s="674"/>
      <c r="G2591" s="674"/>
      <c r="H2591" s="674"/>
      <c r="I2591" s="675"/>
      <c r="J2591" s="675"/>
      <c r="K2591" s="674"/>
      <c r="L2591" s="674"/>
      <c r="M2591" s="675"/>
    </row>
    <row r="2592" spans="4:13" x14ac:dyDescent="0.2">
      <c r="D2592" s="673"/>
      <c r="E2592" s="674"/>
      <c r="F2592" s="674"/>
      <c r="G2592" s="674"/>
      <c r="H2592" s="674"/>
      <c r="I2592" s="675"/>
      <c r="J2592" s="675"/>
      <c r="K2592" s="674"/>
      <c r="L2592" s="674"/>
      <c r="M2592" s="675"/>
    </row>
    <row r="2593" spans="4:13" x14ac:dyDescent="0.2">
      <c r="D2593" s="673"/>
      <c r="E2593" s="674"/>
      <c r="F2593" s="674"/>
      <c r="G2593" s="674"/>
      <c r="H2593" s="674"/>
      <c r="I2593" s="675"/>
      <c r="J2593" s="675"/>
      <c r="K2593" s="674"/>
      <c r="L2593" s="674"/>
      <c r="M2593" s="675"/>
    </row>
    <row r="2594" spans="4:13" x14ac:dyDescent="0.2">
      <c r="D2594" s="673"/>
      <c r="E2594" s="674"/>
      <c r="F2594" s="674"/>
      <c r="G2594" s="674"/>
      <c r="H2594" s="674"/>
      <c r="I2594" s="675"/>
      <c r="J2594" s="675"/>
      <c r="K2594" s="674"/>
      <c r="L2594" s="674"/>
      <c r="M2594" s="675"/>
    </row>
    <row r="2595" spans="4:13" x14ac:dyDescent="0.2">
      <c r="D2595" s="673"/>
      <c r="E2595" s="674"/>
      <c r="F2595" s="674"/>
      <c r="G2595" s="674"/>
      <c r="H2595" s="674"/>
      <c r="I2595" s="675"/>
      <c r="J2595" s="675"/>
      <c r="K2595" s="674"/>
      <c r="L2595" s="674"/>
      <c r="M2595" s="675"/>
    </row>
    <row r="2596" spans="4:13" x14ac:dyDescent="0.2">
      <c r="D2596" s="673"/>
      <c r="E2596" s="674"/>
      <c r="F2596" s="674"/>
      <c r="G2596" s="674"/>
      <c r="H2596" s="674"/>
      <c r="I2596" s="675"/>
      <c r="J2596" s="675"/>
      <c r="K2596" s="674"/>
      <c r="L2596" s="674"/>
      <c r="M2596" s="675"/>
    </row>
    <row r="2597" spans="4:13" x14ac:dyDescent="0.2">
      <c r="D2597" s="673"/>
      <c r="E2597" s="674"/>
      <c r="F2597" s="674"/>
      <c r="G2597" s="674"/>
      <c r="H2597" s="674"/>
      <c r="I2597" s="675"/>
      <c r="J2597" s="675"/>
      <c r="K2597" s="674"/>
      <c r="L2597" s="674"/>
      <c r="M2597" s="675"/>
    </row>
    <row r="2598" spans="4:13" x14ac:dyDescent="0.2">
      <c r="D2598" s="673"/>
      <c r="E2598" s="674"/>
      <c r="F2598" s="674"/>
      <c r="G2598" s="674"/>
      <c r="H2598" s="674"/>
      <c r="I2598" s="675"/>
      <c r="J2598" s="675"/>
      <c r="K2598" s="674"/>
      <c r="L2598" s="674"/>
      <c r="M2598" s="675"/>
    </row>
    <row r="2599" spans="4:13" x14ac:dyDescent="0.2">
      <c r="D2599" s="673"/>
      <c r="E2599" s="674"/>
      <c r="F2599" s="674"/>
      <c r="G2599" s="674"/>
      <c r="H2599" s="674"/>
      <c r="I2599" s="675"/>
      <c r="J2599" s="675"/>
      <c r="K2599" s="674"/>
      <c r="L2599" s="674"/>
      <c r="M2599" s="675"/>
    </row>
    <row r="2600" spans="4:13" x14ac:dyDescent="0.2">
      <c r="D2600" s="673"/>
      <c r="E2600" s="674"/>
      <c r="F2600" s="674"/>
      <c r="G2600" s="674"/>
      <c r="H2600" s="674"/>
      <c r="I2600" s="675"/>
      <c r="J2600" s="675"/>
      <c r="K2600" s="674"/>
      <c r="L2600" s="674"/>
      <c r="M2600" s="675"/>
    </row>
    <row r="2601" spans="4:13" x14ac:dyDescent="0.2">
      <c r="D2601" s="673"/>
      <c r="E2601" s="674"/>
      <c r="F2601" s="674"/>
      <c r="G2601" s="674"/>
      <c r="H2601" s="674"/>
      <c r="I2601" s="675"/>
      <c r="J2601" s="675"/>
      <c r="K2601" s="674"/>
      <c r="L2601" s="674"/>
      <c r="M2601" s="675"/>
    </row>
    <row r="2602" spans="4:13" x14ac:dyDescent="0.2">
      <c r="D2602" s="673"/>
      <c r="E2602" s="674"/>
      <c r="F2602" s="674"/>
      <c r="G2602" s="674"/>
      <c r="H2602" s="674"/>
      <c r="I2602" s="675"/>
      <c r="J2602" s="675"/>
      <c r="K2602" s="674"/>
      <c r="L2602" s="674"/>
      <c r="M2602" s="675"/>
    </row>
    <row r="2603" spans="4:13" x14ac:dyDescent="0.2">
      <c r="D2603" s="673"/>
      <c r="E2603" s="674"/>
      <c r="F2603" s="674"/>
      <c r="G2603" s="674"/>
      <c r="H2603" s="674"/>
      <c r="I2603" s="675"/>
      <c r="J2603" s="675"/>
      <c r="K2603" s="674"/>
      <c r="L2603" s="674"/>
      <c r="M2603" s="675"/>
    </row>
    <row r="2604" spans="4:13" x14ac:dyDescent="0.2">
      <c r="D2604" s="673"/>
      <c r="E2604" s="674"/>
      <c r="F2604" s="674"/>
      <c r="G2604" s="674"/>
      <c r="H2604" s="674"/>
      <c r="I2604" s="675"/>
      <c r="J2604" s="675"/>
      <c r="K2604" s="674"/>
      <c r="L2604" s="674"/>
      <c r="M2604" s="675"/>
    </row>
    <row r="2605" spans="4:13" x14ac:dyDescent="0.2">
      <c r="D2605" s="673"/>
      <c r="E2605" s="674"/>
      <c r="F2605" s="674"/>
      <c r="G2605" s="674"/>
      <c r="H2605" s="674"/>
      <c r="I2605" s="675"/>
      <c r="J2605" s="675"/>
      <c r="K2605" s="674"/>
      <c r="L2605" s="674"/>
      <c r="M2605" s="675"/>
    </row>
    <row r="2606" spans="4:13" x14ac:dyDescent="0.2">
      <c r="D2606" s="673"/>
      <c r="E2606" s="674"/>
      <c r="F2606" s="674"/>
      <c r="G2606" s="674"/>
      <c r="H2606" s="674"/>
      <c r="I2606" s="675"/>
      <c r="J2606" s="675"/>
      <c r="K2606" s="674"/>
      <c r="L2606" s="674"/>
      <c r="M2606" s="675"/>
    </row>
    <row r="2607" spans="4:13" x14ac:dyDescent="0.2">
      <c r="D2607" s="673"/>
      <c r="E2607" s="674"/>
      <c r="F2607" s="674"/>
      <c r="G2607" s="674"/>
      <c r="H2607" s="674"/>
      <c r="I2607" s="675"/>
      <c r="J2607" s="675"/>
      <c r="K2607" s="674"/>
      <c r="L2607" s="674"/>
      <c r="M2607" s="675"/>
    </row>
    <row r="2608" spans="4:13" x14ac:dyDescent="0.2">
      <c r="D2608" s="673"/>
      <c r="E2608" s="674"/>
      <c r="F2608" s="674"/>
      <c r="G2608" s="674"/>
      <c r="H2608" s="674"/>
      <c r="I2608" s="675"/>
      <c r="J2608" s="675"/>
      <c r="K2608" s="674"/>
      <c r="L2608" s="674"/>
      <c r="M2608" s="675"/>
    </row>
    <row r="2609" spans="4:13" x14ac:dyDescent="0.2">
      <c r="D2609" s="673"/>
      <c r="E2609" s="674"/>
      <c r="F2609" s="674"/>
      <c r="G2609" s="674"/>
      <c r="H2609" s="674"/>
      <c r="I2609" s="675"/>
      <c r="J2609" s="675"/>
      <c r="K2609" s="674"/>
      <c r="L2609" s="674"/>
      <c r="M2609" s="675"/>
    </row>
    <row r="2610" spans="4:13" x14ac:dyDescent="0.2">
      <c r="D2610" s="673"/>
      <c r="E2610" s="674"/>
      <c r="F2610" s="674"/>
      <c r="G2610" s="674"/>
      <c r="H2610" s="674"/>
      <c r="I2610" s="675"/>
      <c r="J2610" s="675"/>
      <c r="K2610" s="674"/>
      <c r="L2610" s="674"/>
      <c r="M2610" s="675"/>
    </row>
    <row r="2611" spans="4:13" x14ac:dyDescent="0.2">
      <c r="D2611" s="673"/>
      <c r="E2611" s="674"/>
      <c r="F2611" s="674"/>
      <c r="G2611" s="674"/>
      <c r="H2611" s="674"/>
      <c r="I2611" s="675"/>
      <c r="J2611" s="675"/>
      <c r="K2611" s="674"/>
      <c r="L2611" s="674"/>
      <c r="M2611" s="675"/>
    </row>
    <row r="2612" spans="4:13" x14ac:dyDescent="0.2">
      <c r="D2612" s="673"/>
      <c r="E2612" s="674"/>
      <c r="F2612" s="674"/>
      <c r="G2612" s="674"/>
      <c r="H2612" s="674"/>
      <c r="I2612" s="675"/>
      <c r="J2612" s="675"/>
      <c r="K2612" s="674"/>
      <c r="L2612" s="674"/>
      <c r="M2612" s="675"/>
    </row>
    <row r="2613" spans="4:13" x14ac:dyDescent="0.2">
      <c r="D2613" s="673"/>
      <c r="E2613" s="674"/>
      <c r="F2613" s="674"/>
      <c r="G2613" s="674"/>
      <c r="H2613" s="674"/>
      <c r="I2613" s="675"/>
      <c r="J2613" s="675"/>
      <c r="K2613" s="674"/>
      <c r="L2613" s="674"/>
      <c r="M2613" s="675"/>
    </row>
    <row r="2614" spans="4:13" x14ac:dyDescent="0.2">
      <c r="D2614" s="673"/>
      <c r="E2614" s="674"/>
      <c r="F2614" s="674"/>
      <c r="G2614" s="674"/>
      <c r="H2614" s="674"/>
      <c r="I2614" s="675"/>
      <c r="J2614" s="675"/>
      <c r="K2614" s="674"/>
      <c r="L2614" s="674"/>
      <c r="M2614" s="675"/>
    </row>
    <row r="2615" spans="4:13" x14ac:dyDescent="0.2">
      <c r="D2615" s="673"/>
      <c r="E2615" s="674"/>
      <c r="F2615" s="674"/>
      <c r="G2615" s="674"/>
      <c r="H2615" s="674"/>
      <c r="I2615" s="675"/>
      <c r="J2615" s="675"/>
      <c r="K2615" s="674"/>
      <c r="L2615" s="674"/>
      <c r="M2615" s="675"/>
    </row>
    <row r="2616" spans="4:13" x14ac:dyDescent="0.2">
      <c r="D2616" s="673"/>
      <c r="E2616" s="674"/>
      <c r="F2616" s="674"/>
      <c r="G2616" s="674"/>
      <c r="H2616" s="674"/>
      <c r="I2616" s="675"/>
      <c r="J2616" s="675"/>
      <c r="K2616" s="674"/>
      <c r="L2616" s="674"/>
      <c r="M2616" s="675"/>
    </row>
    <row r="2617" spans="4:13" x14ac:dyDescent="0.2">
      <c r="D2617" s="673"/>
      <c r="E2617" s="674"/>
      <c r="F2617" s="674"/>
      <c r="G2617" s="674"/>
      <c r="H2617" s="674"/>
      <c r="I2617" s="675"/>
      <c r="J2617" s="675"/>
      <c r="K2617" s="674"/>
      <c r="L2617" s="674"/>
      <c r="M2617" s="675"/>
    </row>
    <row r="2618" spans="4:13" x14ac:dyDescent="0.2">
      <c r="D2618" s="673"/>
      <c r="E2618" s="674"/>
      <c r="F2618" s="674"/>
      <c r="G2618" s="674"/>
      <c r="H2618" s="674"/>
      <c r="I2618" s="675"/>
      <c r="J2618" s="675"/>
      <c r="K2618" s="674"/>
      <c r="L2618" s="674"/>
      <c r="M2618" s="675"/>
    </row>
    <row r="2619" spans="4:13" x14ac:dyDescent="0.2">
      <c r="D2619" s="673"/>
      <c r="E2619" s="674"/>
      <c r="F2619" s="674"/>
      <c r="G2619" s="674"/>
      <c r="H2619" s="674"/>
      <c r="I2619" s="675"/>
      <c r="J2619" s="675"/>
      <c r="K2619" s="674"/>
      <c r="L2619" s="674"/>
      <c r="M2619" s="675"/>
    </row>
    <row r="2620" spans="4:13" x14ac:dyDescent="0.2">
      <c r="D2620" s="673"/>
      <c r="E2620" s="674"/>
      <c r="F2620" s="674"/>
      <c r="G2620" s="674"/>
      <c r="H2620" s="674"/>
      <c r="I2620" s="675"/>
      <c r="J2620" s="675"/>
      <c r="K2620" s="674"/>
      <c r="L2620" s="674"/>
      <c r="M2620" s="675"/>
    </row>
    <row r="2621" spans="4:13" x14ac:dyDescent="0.2">
      <c r="D2621" s="673"/>
      <c r="E2621" s="674"/>
      <c r="F2621" s="674"/>
      <c r="G2621" s="674"/>
      <c r="H2621" s="674"/>
      <c r="I2621" s="675"/>
      <c r="J2621" s="675"/>
      <c r="K2621" s="674"/>
      <c r="L2621" s="674"/>
      <c r="M2621" s="675"/>
    </row>
    <row r="2622" spans="4:13" x14ac:dyDescent="0.2">
      <c r="D2622" s="673"/>
      <c r="E2622" s="674"/>
      <c r="F2622" s="674"/>
      <c r="G2622" s="674"/>
      <c r="H2622" s="674"/>
      <c r="I2622" s="675"/>
      <c r="J2622" s="675"/>
      <c r="K2622" s="674"/>
      <c r="L2622" s="674"/>
      <c r="M2622" s="675"/>
    </row>
    <row r="2623" spans="4:13" x14ac:dyDescent="0.2">
      <c r="D2623" s="673"/>
      <c r="E2623" s="674"/>
      <c r="F2623" s="674"/>
      <c r="G2623" s="674"/>
      <c r="H2623" s="674"/>
      <c r="I2623" s="675"/>
      <c r="J2623" s="675"/>
      <c r="K2623" s="674"/>
      <c r="L2623" s="674"/>
      <c r="M2623" s="675"/>
    </row>
    <row r="2624" spans="4:13" x14ac:dyDescent="0.2">
      <c r="D2624" s="673"/>
      <c r="E2624" s="674"/>
      <c r="F2624" s="674"/>
      <c r="G2624" s="674"/>
      <c r="H2624" s="674"/>
      <c r="I2624" s="675"/>
      <c r="J2624" s="675"/>
      <c r="K2624" s="674"/>
      <c r="L2624" s="674"/>
      <c r="M2624" s="675"/>
    </row>
    <row r="2625" spans="4:13" x14ac:dyDescent="0.2">
      <c r="D2625" s="673"/>
      <c r="E2625" s="674"/>
      <c r="F2625" s="674"/>
      <c r="G2625" s="674"/>
      <c r="H2625" s="674"/>
      <c r="I2625" s="675"/>
      <c r="J2625" s="675"/>
      <c r="K2625" s="674"/>
      <c r="L2625" s="674"/>
      <c r="M2625" s="675"/>
    </row>
    <row r="2626" spans="4:13" x14ac:dyDescent="0.2">
      <c r="D2626" s="673"/>
      <c r="E2626" s="674"/>
      <c r="F2626" s="674"/>
      <c r="G2626" s="674"/>
      <c r="H2626" s="674"/>
      <c r="I2626" s="675"/>
      <c r="J2626" s="675"/>
      <c r="K2626" s="674"/>
      <c r="L2626" s="674"/>
      <c r="M2626" s="675"/>
    </row>
    <row r="2627" spans="4:13" x14ac:dyDescent="0.2">
      <c r="D2627" s="673"/>
      <c r="E2627" s="674"/>
      <c r="F2627" s="674"/>
      <c r="G2627" s="674"/>
      <c r="H2627" s="674"/>
      <c r="I2627" s="675"/>
      <c r="J2627" s="675"/>
      <c r="K2627" s="674"/>
      <c r="L2627" s="674"/>
      <c r="M2627" s="675"/>
    </row>
    <row r="2628" spans="4:13" x14ac:dyDescent="0.2">
      <c r="D2628" s="673"/>
      <c r="E2628" s="674"/>
      <c r="F2628" s="674"/>
      <c r="G2628" s="674"/>
      <c r="H2628" s="674"/>
      <c r="I2628" s="675"/>
      <c r="J2628" s="675"/>
      <c r="K2628" s="674"/>
      <c r="L2628" s="674"/>
      <c r="M2628" s="675"/>
    </row>
    <row r="2629" spans="4:13" x14ac:dyDescent="0.2">
      <c r="D2629" s="673"/>
      <c r="E2629" s="674"/>
      <c r="F2629" s="674"/>
      <c r="G2629" s="674"/>
      <c r="H2629" s="674"/>
      <c r="I2629" s="675"/>
      <c r="J2629" s="675"/>
      <c r="K2629" s="674"/>
      <c r="L2629" s="674"/>
      <c r="M2629" s="675"/>
    </row>
    <row r="2630" spans="4:13" x14ac:dyDescent="0.2">
      <c r="D2630" s="673"/>
      <c r="E2630" s="674"/>
      <c r="F2630" s="674"/>
      <c r="G2630" s="674"/>
      <c r="H2630" s="674"/>
      <c r="I2630" s="675"/>
      <c r="J2630" s="675"/>
      <c r="K2630" s="674"/>
      <c r="L2630" s="674"/>
      <c r="M2630" s="675"/>
    </row>
    <row r="2631" spans="4:13" x14ac:dyDescent="0.2">
      <c r="D2631" s="673"/>
      <c r="E2631" s="674"/>
      <c r="F2631" s="674"/>
      <c r="G2631" s="674"/>
      <c r="H2631" s="674"/>
      <c r="I2631" s="675"/>
      <c r="J2631" s="675"/>
      <c r="K2631" s="674"/>
      <c r="L2631" s="674"/>
      <c r="M2631" s="675"/>
    </row>
    <row r="2632" spans="4:13" x14ac:dyDescent="0.2">
      <c r="D2632" s="673"/>
      <c r="E2632" s="674"/>
      <c r="F2632" s="674"/>
      <c r="G2632" s="674"/>
      <c r="H2632" s="674"/>
      <c r="I2632" s="675"/>
      <c r="J2632" s="675"/>
      <c r="K2632" s="674"/>
      <c r="L2632" s="674"/>
      <c r="M2632" s="675"/>
    </row>
    <row r="2633" spans="4:13" x14ac:dyDescent="0.2">
      <c r="D2633" s="673"/>
      <c r="E2633" s="674"/>
      <c r="F2633" s="674"/>
      <c r="G2633" s="674"/>
      <c r="H2633" s="674"/>
      <c r="I2633" s="675"/>
      <c r="J2633" s="675"/>
      <c r="K2633" s="674"/>
      <c r="L2633" s="674"/>
      <c r="M2633" s="675"/>
    </row>
    <row r="2634" spans="4:13" x14ac:dyDescent="0.2">
      <c r="D2634" s="673"/>
      <c r="E2634" s="674"/>
      <c r="F2634" s="674"/>
      <c r="G2634" s="674"/>
      <c r="H2634" s="674"/>
      <c r="I2634" s="675"/>
      <c r="J2634" s="675"/>
      <c r="K2634" s="674"/>
      <c r="L2634" s="674"/>
      <c r="M2634" s="675"/>
    </row>
    <row r="2635" spans="4:13" x14ac:dyDescent="0.2">
      <c r="D2635" s="673"/>
      <c r="E2635" s="674"/>
      <c r="F2635" s="674"/>
      <c r="G2635" s="674"/>
      <c r="H2635" s="674"/>
      <c r="I2635" s="675"/>
      <c r="J2635" s="675"/>
      <c r="K2635" s="674"/>
      <c r="L2635" s="674"/>
      <c r="M2635" s="675"/>
    </row>
    <row r="2636" spans="4:13" x14ac:dyDescent="0.2">
      <c r="D2636" s="673"/>
      <c r="E2636" s="674"/>
      <c r="F2636" s="674"/>
      <c r="G2636" s="674"/>
      <c r="H2636" s="674"/>
      <c r="I2636" s="675"/>
      <c r="J2636" s="675"/>
      <c r="K2636" s="674"/>
      <c r="L2636" s="674"/>
      <c r="M2636" s="675"/>
    </row>
    <row r="2637" spans="4:13" x14ac:dyDescent="0.2">
      <c r="D2637" s="673"/>
      <c r="E2637" s="674"/>
      <c r="F2637" s="674"/>
      <c r="G2637" s="674"/>
      <c r="H2637" s="674"/>
      <c r="I2637" s="675"/>
      <c r="J2637" s="675"/>
      <c r="K2637" s="674"/>
      <c r="L2637" s="674"/>
      <c r="M2637" s="675"/>
    </row>
    <row r="2638" spans="4:13" x14ac:dyDescent="0.2">
      <c r="D2638" s="673"/>
      <c r="E2638" s="674"/>
      <c r="F2638" s="674"/>
      <c r="G2638" s="674"/>
      <c r="H2638" s="674"/>
      <c r="I2638" s="675"/>
      <c r="J2638" s="675"/>
      <c r="K2638" s="674"/>
      <c r="L2638" s="674"/>
      <c r="M2638" s="675"/>
    </row>
    <row r="2639" spans="4:13" x14ac:dyDescent="0.2">
      <c r="D2639" s="673"/>
      <c r="E2639" s="674"/>
      <c r="F2639" s="674"/>
      <c r="G2639" s="674"/>
      <c r="H2639" s="674"/>
      <c r="I2639" s="675"/>
      <c r="J2639" s="675"/>
      <c r="K2639" s="674"/>
      <c r="L2639" s="674"/>
      <c r="M2639" s="675"/>
    </row>
    <row r="2640" spans="4:13" x14ac:dyDescent="0.2">
      <c r="D2640" s="673"/>
      <c r="E2640" s="674"/>
      <c r="F2640" s="674"/>
      <c r="G2640" s="674"/>
      <c r="H2640" s="674"/>
      <c r="I2640" s="675"/>
      <c r="J2640" s="675"/>
      <c r="K2640" s="674"/>
      <c r="L2640" s="674"/>
      <c r="M2640" s="675"/>
    </row>
    <row r="2641" spans="4:13" x14ac:dyDescent="0.2">
      <c r="D2641" s="673"/>
      <c r="E2641" s="674"/>
      <c r="F2641" s="674"/>
      <c r="G2641" s="674"/>
      <c r="H2641" s="674"/>
      <c r="I2641" s="675"/>
      <c r="J2641" s="675"/>
      <c r="K2641" s="674"/>
      <c r="L2641" s="674"/>
      <c r="M2641" s="675"/>
    </row>
    <row r="2642" spans="4:13" x14ac:dyDescent="0.2">
      <c r="D2642" s="673"/>
      <c r="E2642" s="674"/>
      <c r="F2642" s="674"/>
      <c r="G2642" s="674"/>
      <c r="H2642" s="674"/>
      <c r="I2642" s="675"/>
      <c r="J2642" s="675"/>
      <c r="K2642" s="674"/>
      <c r="L2642" s="674"/>
      <c r="M2642" s="675"/>
    </row>
    <row r="2643" spans="4:13" x14ac:dyDescent="0.2">
      <c r="D2643" s="673"/>
      <c r="E2643" s="674"/>
      <c r="F2643" s="674"/>
      <c r="G2643" s="674"/>
      <c r="H2643" s="674"/>
      <c r="I2643" s="675"/>
      <c r="J2643" s="675"/>
      <c r="K2643" s="674"/>
      <c r="L2643" s="674"/>
      <c r="M2643" s="675"/>
    </row>
    <row r="2644" spans="4:13" x14ac:dyDescent="0.2">
      <c r="D2644" s="673"/>
      <c r="E2644" s="674"/>
      <c r="F2644" s="674"/>
      <c r="G2644" s="674"/>
      <c r="H2644" s="674"/>
      <c r="I2644" s="675"/>
      <c r="J2644" s="675"/>
      <c r="K2644" s="674"/>
      <c r="L2644" s="674"/>
      <c r="M2644" s="675"/>
    </row>
    <row r="2645" spans="4:13" x14ac:dyDescent="0.2">
      <c r="D2645" s="673"/>
      <c r="E2645" s="674"/>
      <c r="F2645" s="674"/>
      <c r="G2645" s="674"/>
      <c r="H2645" s="674"/>
      <c r="I2645" s="675"/>
      <c r="J2645" s="675"/>
      <c r="K2645" s="674"/>
      <c r="L2645" s="674"/>
      <c r="M2645" s="675"/>
    </row>
    <row r="2646" spans="4:13" x14ac:dyDescent="0.2">
      <c r="D2646" s="673"/>
      <c r="E2646" s="674"/>
      <c r="F2646" s="674"/>
      <c r="G2646" s="674"/>
      <c r="H2646" s="674"/>
      <c r="I2646" s="675"/>
      <c r="J2646" s="675"/>
      <c r="K2646" s="674"/>
      <c r="L2646" s="674"/>
      <c r="M2646" s="675"/>
    </row>
    <row r="2647" spans="4:13" x14ac:dyDescent="0.2">
      <c r="D2647" s="673"/>
      <c r="E2647" s="674"/>
      <c r="F2647" s="674"/>
      <c r="G2647" s="674"/>
      <c r="H2647" s="674"/>
      <c r="I2647" s="675"/>
      <c r="J2647" s="675"/>
      <c r="K2647" s="674"/>
      <c r="L2647" s="674"/>
      <c r="M2647" s="675"/>
    </row>
    <row r="2648" spans="4:13" x14ac:dyDescent="0.2">
      <c r="D2648" s="673"/>
      <c r="E2648" s="674"/>
      <c r="F2648" s="674"/>
      <c r="G2648" s="674"/>
      <c r="H2648" s="674"/>
      <c r="I2648" s="675"/>
      <c r="J2648" s="675"/>
      <c r="K2648" s="674"/>
      <c r="L2648" s="674"/>
      <c r="M2648" s="675"/>
    </row>
    <row r="2649" spans="4:13" x14ac:dyDescent="0.2">
      <c r="D2649" s="673"/>
      <c r="E2649" s="674"/>
      <c r="F2649" s="674"/>
      <c r="G2649" s="674"/>
      <c r="H2649" s="674"/>
      <c r="I2649" s="675"/>
      <c r="J2649" s="675"/>
      <c r="K2649" s="674"/>
      <c r="L2649" s="674"/>
      <c r="M2649" s="675"/>
    </row>
    <row r="2650" spans="4:13" x14ac:dyDescent="0.2">
      <c r="D2650" s="673"/>
      <c r="E2650" s="674"/>
      <c r="F2650" s="674"/>
      <c r="G2650" s="674"/>
      <c r="H2650" s="674"/>
      <c r="I2650" s="675"/>
      <c r="J2650" s="675"/>
      <c r="K2650" s="674"/>
      <c r="L2650" s="674"/>
      <c r="M2650" s="675"/>
    </row>
    <row r="2651" spans="4:13" x14ac:dyDescent="0.2">
      <c r="D2651" s="673"/>
      <c r="E2651" s="674"/>
      <c r="F2651" s="674"/>
      <c r="G2651" s="674"/>
      <c r="H2651" s="674"/>
      <c r="I2651" s="675"/>
      <c r="J2651" s="675"/>
      <c r="K2651" s="674"/>
      <c r="L2651" s="674"/>
      <c r="M2651" s="675"/>
    </row>
    <row r="2652" spans="4:13" x14ac:dyDescent="0.2">
      <c r="D2652" s="673"/>
      <c r="E2652" s="674"/>
      <c r="F2652" s="674"/>
      <c r="G2652" s="674"/>
      <c r="H2652" s="674"/>
      <c r="I2652" s="675"/>
      <c r="J2652" s="675"/>
      <c r="K2652" s="674"/>
      <c r="L2652" s="674"/>
      <c r="M2652" s="675"/>
    </row>
    <row r="2653" spans="4:13" x14ac:dyDescent="0.2">
      <c r="D2653" s="673"/>
      <c r="E2653" s="674"/>
      <c r="F2653" s="674"/>
      <c r="G2653" s="674"/>
      <c r="H2653" s="674"/>
      <c r="I2653" s="675"/>
      <c r="J2653" s="675"/>
      <c r="K2653" s="674"/>
      <c r="L2653" s="674"/>
      <c r="M2653" s="675"/>
    </row>
    <row r="2654" spans="4:13" x14ac:dyDescent="0.2">
      <c r="D2654" s="673"/>
      <c r="E2654" s="674"/>
      <c r="F2654" s="674"/>
      <c r="G2654" s="674"/>
      <c r="H2654" s="674"/>
      <c r="I2654" s="675"/>
      <c r="J2654" s="675"/>
      <c r="K2654" s="674"/>
      <c r="L2654" s="674"/>
      <c r="M2654" s="675"/>
    </row>
    <row r="2655" spans="4:13" x14ac:dyDescent="0.2">
      <c r="D2655" s="673"/>
      <c r="E2655" s="674"/>
      <c r="F2655" s="674"/>
      <c r="G2655" s="674"/>
      <c r="H2655" s="674"/>
      <c r="I2655" s="675"/>
      <c r="J2655" s="675"/>
      <c r="K2655" s="674"/>
      <c r="L2655" s="674"/>
      <c r="M2655" s="675"/>
    </row>
    <row r="2656" spans="4:13" x14ac:dyDescent="0.2">
      <c r="D2656" s="673"/>
      <c r="E2656" s="674"/>
      <c r="F2656" s="674"/>
      <c r="G2656" s="674"/>
      <c r="H2656" s="674"/>
      <c r="I2656" s="675"/>
      <c r="J2656" s="675"/>
      <c r="K2656" s="674"/>
      <c r="L2656" s="674"/>
      <c r="M2656" s="675"/>
    </row>
    <row r="2657" spans="4:13" x14ac:dyDescent="0.2">
      <c r="D2657" s="673"/>
      <c r="E2657" s="674"/>
      <c r="F2657" s="674"/>
      <c r="G2657" s="674"/>
      <c r="H2657" s="674"/>
      <c r="I2657" s="675"/>
      <c r="J2657" s="675"/>
      <c r="K2657" s="674"/>
      <c r="L2657" s="674"/>
      <c r="M2657" s="675"/>
    </row>
    <row r="2658" spans="4:13" x14ac:dyDescent="0.2">
      <c r="D2658" s="673"/>
      <c r="E2658" s="674"/>
      <c r="F2658" s="674"/>
      <c r="G2658" s="674"/>
      <c r="H2658" s="674"/>
      <c r="I2658" s="675"/>
      <c r="J2658" s="675"/>
      <c r="K2658" s="674"/>
      <c r="L2658" s="674"/>
      <c r="M2658" s="675"/>
    </row>
    <row r="2659" spans="4:13" x14ac:dyDescent="0.2">
      <c r="D2659" s="673"/>
      <c r="E2659" s="674"/>
      <c r="F2659" s="674"/>
      <c r="G2659" s="674"/>
      <c r="H2659" s="674"/>
      <c r="I2659" s="675"/>
      <c r="J2659" s="675"/>
      <c r="K2659" s="674"/>
      <c r="L2659" s="674"/>
      <c r="M2659" s="675"/>
    </row>
    <row r="2660" spans="4:13" x14ac:dyDescent="0.2">
      <c r="D2660" s="673"/>
      <c r="E2660" s="674"/>
      <c r="F2660" s="674"/>
      <c r="G2660" s="674"/>
      <c r="H2660" s="674"/>
      <c r="I2660" s="675"/>
      <c r="J2660" s="675"/>
      <c r="K2660" s="674"/>
      <c r="L2660" s="674"/>
      <c r="M2660" s="675"/>
    </row>
    <row r="2661" spans="4:13" x14ac:dyDescent="0.2">
      <c r="D2661" s="673"/>
      <c r="E2661" s="674"/>
      <c r="F2661" s="674"/>
      <c r="G2661" s="674"/>
      <c r="H2661" s="674"/>
      <c r="I2661" s="675"/>
      <c r="J2661" s="675"/>
      <c r="K2661" s="674"/>
      <c r="L2661" s="674"/>
      <c r="M2661" s="675"/>
    </row>
    <row r="2662" spans="4:13" x14ac:dyDescent="0.2">
      <c r="D2662" s="673"/>
      <c r="E2662" s="674"/>
      <c r="F2662" s="674"/>
      <c r="G2662" s="674"/>
      <c r="H2662" s="674"/>
      <c r="I2662" s="675"/>
      <c r="J2662" s="675"/>
      <c r="K2662" s="674"/>
      <c r="L2662" s="674"/>
      <c r="M2662" s="675"/>
    </row>
    <row r="2663" spans="4:13" x14ac:dyDescent="0.2">
      <c r="D2663" s="673"/>
      <c r="E2663" s="674"/>
      <c r="F2663" s="674"/>
      <c r="G2663" s="674"/>
      <c r="H2663" s="674"/>
      <c r="I2663" s="675"/>
      <c r="J2663" s="675"/>
      <c r="K2663" s="674"/>
      <c r="L2663" s="674"/>
      <c r="M2663" s="675"/>
    </row>
    <row r="2664" spans="4:13" x14ac:dyDescent="0.2">
      <c r="D2664" s="673"/>
      <c r="E2664" s="674"/>
      <c r="F2664" s="674"/>
      <c r="G2664" s="674"/>
      <c r="H2664" s="674"/>
      <c r="I2664" s="675"/>
      <c r="J2664" s="675"/>
      <c r="K2664" s="674"/>
      <c r="L2664" s="674"/>
      <c r="M2664" s="675"/>
    </row>
    <row r="2665" spans="4:13" x14ac:dyDescent="0.2">
      <c r="D2665" s="673"/>
      <c r="E2665" s="674"/>
      <c r="F2665" s="674"/>
      <c r="G2665" s="674"/>
      <c r="H2665" s="674"/>
      <c r="I2665" s="675"/>
      <c r="J2665" s="675"/>
      <c r="K2665" s="674"/>
      <c r="L2665" s="674"/>
      <c r="M2665" s="675"/>
    </row>
    <row r="2666" spans="4:13" x14ac:dyDescent="0.2">
      <c r="D2666" s="673"/>
      <c r="E2666" s="674"/>
      <c r="F2666" s="674"/>
      <c r="G2666" s="674"/>
      <c r="H2666" s="674"/>
      <c r="I2666" s="675"/>
      <c r="J2666" s="675"/>
      <c r="K2666" s="674"/>
      <c r="L2666" s="674"/>
      <c r="M2666" s="675"/>
    </row>
    <row r="2667" spans="4:13" x14ac:dyDescent="0.2">
      <c r="D2667" s="673"/>
      <c r="E2667" s="674"/>
      <c r="F2667" s="674"/>
      <c r="G2667" s="674"/>
      <c r="H2667" s="674"/>
      <c r="I2667" s="675"/>
      <c r="J2667" s="675"/>
      <c r="K2667" s="674"/>
      <c r="L2667" s="674"/>
      <c r="M2667" s="675"/>
    </row>
    <row r="2668" spans="4:13" x14ac:dyDescent="0.2">
      <c r="D2668" s="673"/>
      <c r="E2668" s="674"/>
      <c r="F2668" s="674"/>
      <c r="G2668" s="674"/>
      <c r="H2668" s="674"/>
      <c r="I2668" s="675"/>
      <c r="J2668" s="675"/>
      <c r="K2668" s="674"/>
      <c r="L2668" s="674"/>
      <c r="M2668" s="675"/>
    </row>
    <row r="2669" spans="4:13" x14ac:dyDescent="0.2">
      <c r="D2669" s="673"/>
      <c r="E2669" s="674"/>
      <c r="F2669" s="674"/>
      <c r="G2669" s="674"/>
      <c r="H2669" s="674"/>
      <c r="I2669" s="675"/>
      <c r="J2669" s="675"/>
      <c r="K2669" s="674"/>
      <c r="L2669" s="674"/>
      <c r="M2669" s="675"/>
    </row>
    <row r="2670" spans="4:13" x14ac:dyDescent="0.2">
      <c r="D2670" s="673"/>
      <c r="E2670" s="674"/>
      <c r="F2670" s="674"/>
      <c r="G2670" s="674"/>
      <c r="H2670" s="674"/>
      <c r="I2670" s="675"/>
      <c r="J2670" s="675"/>
      <c r="K2670" s="674"/>
      <c r="L2670" s="674"/>
      <c r="M2670" s="675"/>
    </row>
    <row r="2671" spans="4:13" x14ac:dyDescent="0.2">
      <c r="D2671" s="673"/>
      <c r="E2671" s="674"/>
      <c r="F2671" s="674"/>
      <c r="G2671" s="674"/>
      <c r="H2671" s="674"/>
      <c r="I2671" s="675"/>
      <c r="J2671" s="675"/>
      <c r="K2671" s="674"/>
      <c r="L2671" s="674"/>
      <c r="M2671" s="675"/>
    </row>
    <row r="2672" spans="4:13" x14ac:dyDescent="0.2">
      <c r="D2672" s="673"/>
      <c r="E2672" s="674"/>
      <c r="F2672" s="674"/>
      <c r="G2672" s="674"/>
      <c r="H2672" s="674"/>
      <c r="I2672" s="675"/>
      <c r="J2672" s="675"/>
      <c r="K2672" s="674"/>
      <c r="L2672" s="674"/>
      <c r="M2672" s="675"/>
    </row>
    <row r="2673" spans="4:13" x14ac:dyDescent="0.2">
      <c r="D2673" s="673"/>
      <c r="E2673" s="674"/>
      <c r="F2673" s="674"/>
      <c r="G2673" s="674"/>
      <c r="H2673" s="674"/>
      <c r="I2673" s="675"/>
      <c r="J2673" s="675"/>
      <c r="K2673" s="674"/>
      <c r="L2673" s="674"/>
      <c r="M2673" s="675"/>
    </row>
    <row r="2674" spans="4:13" x14ac:dyDescent="0.2">
      <c r="D2674" s="673"/>
      <c r="E2674" s="674"/>
      <c r="F2674" s="674"/>
      <c r="G2674" s="674"/>
      <c r="H2674" s="674"/>
      <c r="I2674" s="675"/>
      <c r="J2674" s="675"/>
      <c r="K2674" s="674"/>
      <c r="L2674" s="674"/>
      <c r="M2674" s="675"/>
    </row>
    <row r="2675" spans="4:13" x14ac:dyDescent="0.2">
      <c r="D2675" s="673"/>
      <c r="E2675" s="674"/>
      <c r="F2675" s="674"/>
      <c r="G2675" s="674"/>
      <c r="H2675" s="674"/>
      <c r="I2675" s="675"/>
      <c r="J2675" s="675"/>
      <c r="K2675" s="674"/>
      <c r="L2675" s="674"/>
      <c r="M2675" s="675"/>
    </row>
    <row r="2676" spans="4:13" x14ac:dyDescent="0.2">
      <c r="D2676" s="673"/>
      <c r="E2676" s="674"/>
      <c r="F2676" s="674"/>
      <c r="G2676" s="674"/>
      <c r="H2676" s="674"/>
      <c r="I2676" s="675"/>
      <c r="J2676" s="675"/>
      <c r="K2676" s="674"/>
      <c r="L2676" s="674"/>
      <c r="M2676" s="675"/>
    </row>
    <row r="2677" spans="4:13" x14ac:dyDescent="0.2">
      <c r="D2677" s="673"/>
      <c r="E2677" s="674"/>
      <c r="F2677" s="674"/>
      <c r="G2677" s="674"/>
      <c r="H2677" s="674"/>
      <c r="I2677" s="675"/>
      <c r="J2677" s="675"/>
      <c r="K2677" s="674"/>
      <c r="L2677" s="674"/>
      <c r="M2677" s="675"/>
    </row>
    <row r="2678" spans="4:13" x14ac:dyDescent="0.2">
      <c r="D2678" s="673"/>
      <c r="E2678" s="674"/>
      <c r="F2678" s="674"/>
      <c r="G2678" s="674"/>
      <c r="H2678" s="674"/>
      <c r="I2678" s="675"/>
      <c r="J2678" s="675"/>
      <c r="K2678" s="674"/>
      <c r="L2678" s="674"/>
      <c r="M2678" s="675"/>
    </row>
    <row r="2679" spans="4:13" x14ac:dyDescent="0.2">
      <c r="D2679" s="673"/>
      <c r="E2679" s="674"/>
      <c r="F2679" s="674"/>
      <c r="G2679" s="674"/>
      <c r="H2679" s="674"/>
      <c r="I2679" s="675"/>
      <c r="J2679" s="675"/>
      <c r="K2679" s="674"/>
      <c r="L2679" s="674"/>
      <c r="M2679" s="675"/>
    </row>
    <row r="2680" spans="4:13" x14ac:dyDescent="0.2">
      <c r="D2680" s="673"/>
      <c r="E2680" s="674"/>
      <c r="F2680" s="674"/>
      <c r="G2680" s="674"/>
      <c r="H2680" s="674"/>
      <c r="I2680" s="675"/>
      <c r="J2680" s="675"/>
      <c r="K2680" s="674"/>
      <c r="L2680" s="674"/>
      <c r="M2680" s="675"/>
    </row>
    <row r="2681" spans="4:13" x14ac:dyDescent="0.2">
      <c r="D2681" s="673"/>
      <c r="E2681" s="674"/>
      <c r="F2681" s="674"/>
      <c r="G2681" s="674"/>
      <c r="H2681" s="674"/>
      <c r="I2681" s="675"/>
      <c r="J2681" s="675"/>
      <c r="K2681" s="674"/>
      <c r="L2681" s="674"/>
      <c r="M2681" s="675"/>
    </row>
    <row r="2682" spans="4:13" x14ac:dyDescent="0.2">
      <c r="D2682" s="673"/>
      <c r="E2682" s="674"/>
      <c r="F2682" s="674"/>
      <c r="G2682" s="674"/>
      <c r="H2682" s="674"/>
      <c r="I2682" s="675"/>
      <c r="J2682" s="675"/>
      <c r="K2682" s="674"/>
      <c r="L2682" s="674"/>
      <c r="M2682" s="675"/>
    </row>
    <row r="2683" spans="4:13" x14ac:dyDescent="0.2">
      <c r="D2683" s="673"/>
      <c r="E2683" s="674"/>
      <c r="F2683" s="674"/>
      <c r="G2683" s="674"/>
      <c r="H2683" s="674"/>
      <c r="I2683" s="675"/>
      <c r="J2683" s="675"/>
      <c r="K2683" s="674"/>
      <c r="L2683" s="674"/>
      <c r="M2683" s="675"/>
    </row>
    <row r="2684" spans="4:13" x14ac:dyDescent="0.2">
      <c r="D2684" s="673"/>
      <c r="E2684" s="674"/>
      <c r="F2684" s="674"/>
      <c r="G2684" s="674"/>
      <c r="H2684" s="674"/>
      <c r="I2684" s="675"/>
      <c r="J2684" s="675"/>
      <c r="K2684" s="674"/>
      <c r="L2684" s="674"/>
      <c r="M2684" s="675"/>
    </row>
    <row r="2685" spans="4:13" x14ac:dyDescent="0.2">
      <c r="D2685" s="673"/>
      <c r="E2685" s="674"/>
      <c r="F2685" s="674"/>
      <c r="G2685" s="674"/>
      <c r="H2685" s="674"/>
      <c r="I2685" s="675"/>
      <c r="J2685" s="675"/>
      <c r="K2685" s="674"/>
      <c r="L2685" s="674"/>
      <c r="M2685" s="675"/>
    </row>
    <row r="2686" spans="4:13" x14ac:dyDescent="0.2">
      <c r="D2686" s="673"/>
      <c r="E2686" s="674"/>
      <c r="F2686" s="674"/>
      <c r="G2686" s="674"/>
      <c r="H2686" s="674"/>
      <c r="I2686" s="675"/>
      <c r="J2686" s="675"/>
      <c r="K2686" s="674"/>
      <c r="L2686" s="674"/>
      <c r="M2686" s="675"/>
    </row>
    <row r="2687" spans="4:13" x14ac:dyDescent="0.2">
      <c r="D2687" s="673"/>
      <c r="E2687" s="674"/>
      <c r="F2687" s="674"/>
      <c r="G2687" s="674"/>
      <c r="H2687" s="674"/>
      <c r="I2687" s="675"/>
      <c r="J2687" s="675"/>
      <c r="K2687" s="674"/>
      <c r="L2687" s="674"/>
      <c r="M2687" s="675"/>
    </row>
    <row r="2688" spans="4:13" x14ac:dyDescent="0.2">
      <c r="D2688" s="673"/>
      <c r="E2688" s="674"/>
      <c r="F2688" s="674"/>
      <c r="G2688" s="674"/>
      <c r="H2688" s="674"/>
      <c r="I2688" s="675"/>
      <c r="J2688" s="675"/>
      <c r="K2688" s="674"/>
      <c r="L2688" s="674"/>
      <c r="M2688" s="675"/>
    </row>
    <row r="2689" spans="4:13" x14ac:dyDescent="0.2">
      <c r="D2689" s="673"/>
      <c r="E2689" s="674"/>
      <c r="F2689" s="674"/>
      <c r="G2689" s="674"/>
      <c r="H2689" s="674"/>
      <c r="I2689" s="675"/>
      <c r="J2689" s="675"/>
      <c r="K2689" s="674"/>
      <c r="L2689" s="674"/>
      <c r="M2689" s="675"/>
    </row>
    <row r="2690" spans="4:13" x14ac:dyDescent="0.2">
      <c r="D2690" s="673"/>
      <c r="E2690" s="674"/>
      <c r="F2690" s="674"/>
      <c r="G2690" s="674"/>
      <c r="H2690" s="674"/>
      <c r="I2690" s="675"/>
      <c r="J2690" s="675"/>
      <c r="K2690" s="674"/>
      <c r="L2690" s="674"/>
      <c r="M2690" s="675"/>
    </row>
    <row r="2691" spans="4:13" x14ac:dyDescent="0.2">
      <c r="D2691" s="673"/>
      <c r="E2691" s="674"/>
      <c r="F2691" s="674"/>
      <c r="G2691" s="674"/>
      <c r="H2691" s="674"/>
      <c r="I2691" s="675"/>
      <c r="J2691" s="675"/>
      <c r="K2691" s="674"/>
      <c r="L2691" s="674"/>
      <c r="M2691" s="675"/>
    </row>
    <row r="2692" spans="4:13" x14ac:dyDescent="0.2">
      <c r="D2692" s="673"/>
      <c r="E2692" s="674"/>
      <c r="F2692" s="674"/>
      <c r="G2692" s="674"/>
      <c r="H2692" s="674"/>
      <c r="I2692" s="675"/>
      <c r="J2692" s="675"/>
      <c r="K2692" s="674"/>
      <c r="L2692" s="674"/>
      <c r="M2692" s="675"/>
    </row>
    <row r="2693" spans="4:13" x14ac:dyDescent="0.2">
      <c r="D2693" s="673"/>
      <c r="E2693" s="674"/>
      <c r="F2693" s="674"/>
      <c r="G2693" s="674"/>
      <c r="H2693" s="674"/>
      <c r="I2693" s="675"/>
      <c r="J2693" s="675"/>
      <c r="K2693" s="674"/>
      <c r="L2693" s="674"/>
      <c r="M2693" s="675"/>
    </row>
    <row r="2694" spans="4:13" x14ac:dyDescent="0.2">
      <c r="D2694" s="673"/>
      <c r="E2694" s="674"/>
      <c r="F2694" s="674"/>
      <c r="G2694" s="674"/>
      <c r="H2694" s="674"/>
      <c r="I2694" s="675"/>
      <c r="J2694" s="675"/>
      <c r="K2694" s="674"/>
      <c r="L2694" s="674"/>
      <c r="M2694" s="675"/>
    </row>
    <row r="2695" spans="4:13" x14ac:dyDescent="0.2">
      <c r="D2695" s="673"/>
      <c r="E2695" s="674"/>
      <c r="F2695" s="674"/>
      <c r="G2695" s="674"/>
      <c r="H2695" s="674"/>
      <c r="I2695" s="675"/>
      <c r="J2695" s="675"/>
      <c r="K2695" s="674"/>
      <c r="L2695" s="674"/>
      <c r="M2695" s="675"/>
    </row>
    <row r="2696" spans="4:13" x14ac:dyDescent="0.2">
      <c r="D2696" s="673"/>
      <c r="E2696" s="674"/>
      <c r="F2696" s="674"/>
      <c r="G2696" s="674"/>
      <c r="H2696" s="674"/>
      <c r="I2696" s="675"/>
      <c r="J2696" s="675"/>
      <c r="K2696" s="674"/>
      <c r="L2696" s="674"/>
      <c r="M2696" s="675"/>
    </row>
    <row r="2697" spans="4:13" x14ac:dyDescent="0.2">
      <c r="D2697" s="673"/>
      <c r="E2697" s="674"/>
      <c r="F2697" s="674"/>
      <c r="G2697" s="674"/>
      <c r="H2697" s="674"/>
      <c r="I2697" s="675"/>
      <c r="J2697" s="675"/>
      <c r="K2697" s="674"/>
      <c r="L2697" s="674"/>
      <c r="M2697" s="675"/>
    </row>
    <row r="2698" spans="4:13" x14ac:dyDescent="0.2">
      <c r="D2698" s="673"/>
      <c r="E2698" s="674"/>
      <c r="F2698" s="674"/>
      <c r="G2698" s="674"/>
      <c r="H2698" s="674"/>
      <c r="I2698" s="675"/>
      <c r="J2698" s="675"/>
      <c r="K2698" s="674"/>
      <c r="L2698" s="674"/>
      <c r="M2698" s="675"/>
    </row>
    <row r="2699" spans="4:13" x14ac:dyDescent="0.2">
      <c r="D2699" s="673"/>
      <c r="E2699" s="674"/>
      <c r="F2699" s="674"/>
      <c r="G2699" s="674"/>
      <c r="H2699" s="674"/>
      <c r="I2699" s="675"/>
      <c r="J2699" s="675"/>
      <c r="K2699" s="674"/>
      <c r="L2699" s="674"/>
      <c r="M2699" s="675"/>
    </row>
    <row r="2700" spans="4:13" x14ac:dyDescent="0.2">
      <c r="D2700" s="673"/>
      <c r="E2700" s="674"/>
      <c r="F2700" s="674"/>
      <c r="G2700" s="674"/>
      <c r="H2700" s="674"/>
      <c r="I2700" s="675"/>
      <c r="J2700" s="675"/>
      <c r="K2700" s="674"/>
      <c r="L2700" s="674"/>
      <c r="M2700" s="675"/>
    </row>
    <row r="2701" spans="4:13" x14ac:dyDescent="0.2">
      <c r="D2701" s="673"/>
      <c r="E2701" s="674"/>
      <c r="F2701" s="674"/>
      <c r="G2701" s="674"/>
      <c r="H2701" s="674"/>
      <c r="I2701" s="675"/>
      <c r="J2701" s="675"/>
      <c r="K2701" s="674"/>
      <c r="L2701" s="674"/>
      <c r="M2701" s="675"/>
    </row>
    <row r="2702" spans="4:13" x14ac:dyDescent="0.2">
      <c r="D2702" s="673"/>
      <c r="E2702" s="674"/>
      <c r="F2702" s="674"/>
      <c r="G2702" s="674"/>
      <c r="H2702" s="674"/>
      <c r="I2702" s="675"/>
      <c r="J2702" s="675"/>
      <c r="K2702" s="674"/>
      <c r="L2702" s="674"/>
      <c r="M2702" s="675"/>
    </row>
    <row r="2703" spans="4:13" x14ac:dyDescent="0.2">
      <c r="D2703" s="673"/>
      <c r="E2703" s="674"/>
      <c r="F2703" s="674"/>
      <c r="G2703" s="674"/>
      <c r="H2703" s="674"/>
      <c r="I2703" s="675"/>
      <c r="J2703" s="675"/>
      <c r="K2703" s="674"/>
      <c r="L2703" s="674"/>
      <c r="M2703" s="675"/>
    </row>
    <row r="2704" spans="4:13" x14ac:dyDescent="0.2">
      <c r="D2704" s="673"/>
      <c r="E2704" s="674"/>
      <c r="F2704" s="674"/>
      <c r="G2704" s="674"/>
      <c r="H2704" s="674"/>
      <c r="I2704" s="675"/>
      <c r="J2704" s="675"/>
      <c r="K2704" s="674"/>
      <c r="L2704" s="674"/>
      <c r="M2704" s="675"/>
    </row>
    <row r="2705" spans="4:13" x14ac:dyDescent="0.2">
      <c r="D2705" s="673"/>
      <c r="E2705" s="674"/>
      <c r="F2705" s="674"/>
      <c r="G2705" s="674"/>
      <c r="H2705" s="674"/>
      <c r="I2705" s="675"/>
      <c r="J2705" s="675"/>
      <c r="K2705" s="674"/>
      <c r="L2705" s="674"/>
      <c r="M2705" s="675"/>
    </row>
    <row r="2706" spans="4:13" x14ac:dyDescent="0.2">
      <c r="D2706" s="673"/>
      <c r="E2706" s="674"/>
      <c r="F2706" s="674"/>
      <c r="G2706" s="674"/>
      <c r="H2706" s="674"/>
      <c r="I2706" s="675"/>
      <c r="J2706" s="675"/>
      <c r="K2706" s="674"/>
      <c r="L2706" s="674"/>
      <c r="M2706" s="675"/>
    </row>
    <row r="2707" spans="4:13" x14ac:dyDescent="0.2">
      <c r="D2707" s="673"/>
      <c r="E2707" s="674"/>
      <c r="F2707" s="674"/>
      <c r="G2707" s="674"/>
      <c r="H2707" s="674"/>
      <c r="I2707" s="675"/>
      <c r="J2707" s="675"/>
      <c r="K2707" s="674"/>
      <c r="L2707" s="674"/>
      <c r="M2707" s="675"/>
    </row>
    <row r="2708" spans="4:13" x14ac:dyDescent="0.2">
      <c r="D2708" s="673"/>
      <c r="E2708" s="674"/>
      <c r="F2708" s="674"/>
      <c r="G2708" s="674"/>
      <c r="H2708" s="674"/>
      <c r="I2708" s="675"/>
      <c r="J2708" s="675"/>
      <c r="K2708" s="674"/>
      <c r="L2708" s="674"/>
      <c r="M2708" s="675"/>
    </row>
    <row r="2709" spans="4:13" x14ac:dyDescent="0.2">
      <c r="D2709" s="673"/>
      <c r="E2709" s="674"/>
      <c r="F2709" s="674"/>
      <c r="G2709" s="674"/>
      <c r="H2709" s="674"/>
      <c r="I2709" s="675"/>
      <c r="J2709" s="675"/>
      <c r="K2709" s="674"/>
      <c r="L2709" s="674"/>
      <c r="M2709" s="675"/>
    </row>
    <row r="2710" spans="4:13" x14ac:dyDescent="0.2">
      <c r="D2710" s="673"/>
      <c r="E2710" s="674"/>
      <c r="F2710" s="674"/>
      <c r="G2710" s="674"/>
      <c r="H2710" s="674"/>
      <c r="I2710" s="675"/>
      <c r="J2710" s="675"/>
      <c r="K2710" s="674"/>
      <c r="L2710" s="674"/>
      <c r="M2710" s="675"/>
    </row>
    <row r="2711" spans="4:13" x14ac:dyDescent="0.2">
      <c r="D2711" s="673"/>
      <c r="E2711" s="674"/>
      <c r="F2711" s="674"/>
      <c r="G2711" s="674"/>
      <c r="H2711" s="674"/>
      <c r="I2711" s="675"/>
      <c r="J2711" s="675"/>
      <c r="K2711" s="674"/>
      <c r="L2711" s="674"/>
      <c r="M2711" s="675"/>
    </row>
    <row r="2712" spans="4:13" x14ac:dyDescent="0.2">
      <c r="D2712" s="673"/>
      <c r="E2712" s="674"/>
      <c r="F2712" s="674"/>
      <c r="G2712" s="674"/>
      <c r="H2712" s="674"/>
      <c r="I2712" s="675"/>
      <c r="J2712" s="675"/>
      <c r="K2712" s="674"/>
      <c r="L2712" s="674"/>
      <c r="M2712" s="675"/>
    </row>
    <row r="2713" spans="4:13" x14ac:dyDescent="0.2">
      <c r="D2713" s="673"/>
      <c r="E2713" s="674"/>
      <c r="F2713" s="674"/>
      <c r="G2713" s="674"/>
      <c r="H2713" s="674"/>
      <c r="I2713" s="675"/>
      <c r="J2713" s="675"/>
      <c r="K2713" s="674"/>
      <c r="L2713" s="674"/>
      <c r="M2713" s="675"/>
    </row>
    <row r="2714" spans="4:13" x14ac:dyDescent="0.2">
      <c r="D2714" s="673"/>
      <c r="E2714" s="674"/>
      <c r="F2714" s="674"/>
      <c r="G2714" s="674"/>
      <c r="H2714" s="674"/>
      <c r="I2714" s="675"/>
      <c r="J2714" s="675"/>
      <c r="K2714" s="674"/>
      <c r="L2714" s="674"/>
      <c r="M2714" s="675"/>
    </row>
    <row r="2715" spans="4:13" x14ac:dyDescent="0.2">
      <c r="D2715" s="673"/>
      <c r="E2715" s="674"/>
      <c r="F2715" s="674"/>
      <c r="G2715" s="674"/>
      <c r="H2715" s="674"/>
      <c r="I2715" s="675"/>
      <c r="J2715" s="675"/>
      <c r="K2715" s="674"/>
      <c r="L2715" s="674"/>
      <c r="M2715" s="675"/>
    </row>
    <row r="2716" spans="4:13" x14ac:dyDescent="0.2">
      <c r="D2716" s="673"/>
      <c r="E2716" s="674"/>
      <c r="F2716" s="674"/>
      <c r="G2716" s="674"/>
      <c r="H2716" s="674"/>
      <c r="I2716" s="675"/>
      <c r="J2716" s="675"/>
      <c r="K2716" s="674"/>
      <c r="L2716" s="674"/>
      <c r="M2716" s="675"/>
    </row>
    <row r="2717" spans="4:13" x14ac:dyDescent="0.2">
      <c r="D2717" s="673"/>
      <c r="E2717" s="674"/>
      <c r="F2717" s="674"/>
      <c r="G2717" s="674"/>
      <c r="H2717" s="674"/>
      <c r="I2717" s="675"/>
      <c r="J2717" s="675"/>
      <c r="K2717" s="674"/>
      <c r="L2717" s="674"/>
      <c r="M2717" s="675"/>
    </row>
    <row r="2718" spans="4:13" x14ac:dyDescent="0.2">
      <c r="D2718" s="673"/>
      <c r="E2718" s="674"/>
      <c r="F2718" s="674"/>
      <c r="G2718" s="674"/>
      <c r="H2718" s="674"/>
      <c r="I2718" s="675"/>
      <c r="J2718" s="675"/>
      <c r="K2718" s="674"/>
      <c r="L2718" s="674"/>
      <c r="M2718" s="675"/>
    </row>
    <row r="2719" spans="4:13" x14ac:dyDescent="0.2">
      <c r="D2719" s="673"/>
      <c r="E2719" s="674"/>
      <c r="F2719" s="674"/>
      <c r="G2719" s="674"/>
      <c r="H2719" s="674"/>
      <c r="I2719" s="675"/>
      <c r="J2719" s="675"/>
      <c r="K2719" s="674"/>
      <c r="L2719" s="674"/>
      <c r="M2719" s="675"/>
    </row>
    <row r="2720" spans="4:13" x14ac:dyDescent="0.2">
      <c r="D2720" s="673"/>
      <c r="E2720" s="674"/>
      <c r="F2720" s="674"/>
      <c r="G2720" s="674"/>
      <c r="H2720" s="674"/>
      <c r="I2720" s="675"/>
      <c r="J2720" s="675"/>
      <c r="K2720" s="674"/>
      <c r="L2720" s="674"/>
      <c r="M2720" s="675"/>
    </row>
    <row r="2721" spans="4:13" x14ac:dyDescent="0.2">
      <c r="D2721" s="673"/>
      <c r="E2721" s="674"/>
      <c r="F2721" s="674"/>
      <c r="G2721" s="674"/>
      <c r="H2721" s="674"/>
      <c r="I2721" s="675"/>
      <c r="J2721" s="675"/>
      <c r="K2721" s="674"/>
      <c r="L2721" s="674"/>
      <c r="M2721" s="675"/>
    </row>
    <row r="2722" spans="4:13" x14ac:dyDescent="0.2">
      <c r="D2722" s="673"/>
      <c r="E2722" s="674"/>
      <c r="F2722" s="674"/>
      <c r="G2722" s="674"/>
      <c r="H2722" s="674"/>
      <c r="I2722" s="675"/>
      <c r="J2722" s="675"/>
      <c r="K2722" s="674"/>
      <c r="L2722" s="674"/>
      <c r="M2722" s="675"/>
    </row>
    <row r="2723" spans="4:13" x14ac:dyDescent="0.2">
      <c r="D2723" s="673"/>
      <c r="E2723" s="674"/>
      <c r="F2723" s="674"/>
      <c r="G2723" s="674"/>
      <c r="H2723" s="674"/>
      <c r="I2723" s="675"/>
      <c r="J2723" s="675"/>
      <c r="K2723" s="674"/>
      <c r="L2723" s="674"/>
      <c r="M2723" s="675"/>
    </row>
    <row r="2724" spans="4:13" x14ac:dyDescent="0.2">
      <c r="D2724" s="673"/>
      <c r="E2724" s="674"/>
      <c r="F2724" s="674"/>
      <c r="G2724" s="674"/>
      <c r="H2724" s="674"/>
      <c r="I2724" s="675"/>
      <c r="J2724" s="675"/>
      <c r="K2724" s="674"/>
      <c r="L2724" s="674"/>
      <c r="M2724" s="675"/>
    </row>
    <row r="2725" spans="4:13" x14ac:dyDescent="0.2">
      <c r="D2725" s="673"/>
      <c r="E2725" s="674"/>
      <c r="F2725" s="674"/>
      <c r="G2725" s="674"/>
      <c r="H2725" s="674"/>
      <c r="I2725" s="675"/>
      <c r="J2725" s="675"/>
      <c r="K2725" s="674"/>
      <c r="L2725" s="674"/>
      <c r="M2725" s="675"/>
    </row>
    <row r="2726" spans="4:13" x14ac:dyDescent="0.2">
      <c r="D2726" s="673"/>
      <c r="E2726" s="674"/>
      <c r="F2726" s="674"/>
      <c r="G2726" s="674"/>
      <c r="H2726" s="674"/>
      <c r="I2726" s="675"/>
      <c r="J2726" s="675"/>
      <c r="K2726" s="674"/>
      <c r="L2726" s="674"/>
      <c r="M2726" s="675"/>
    </row>
    <row r="2727" spans="4:13" x14ac:dyDescent="0.2">
      <c r="D2727" s="673"/>
      <c r="E2727" s="674"/>
      <c r="F2727" s="674"/>
      <c r="G2727" s="674"/>
      <c r="H2727" s="674"/>
      <c r="I2727" s="675"/>
      <c r="J2727" s="675"/>
      <c r="K2727" s="674"/>
      <c r="L2727" s="674"/>
      <c r="M2727" s="675"/>
    </row>
    <row r="2728" spans="4:13" x14ac:dyDescent="0.2">
      <c r="D2728" s="673"/>
      <c r="E2728" s="674"/>
      <c r="F2728" s="674"/>
      <c r="G2728" s="674"/>
      <c r="H2728" s="674"/>
      <c r="I2728" s="675"/>
      <c r="J2728" s="675"/>
      <c r="K2728" s="674"/>
      <c r="L2728" s="674"/>
      <c r="M2728" s="675"/>
    </row>
    <row r="2729" spans="4:13" x14ac:dyDescent="0.2">
      <c r="D2729" s="673"/>
      <c r="E2729" s="674"/>
      <c r="F2729" s="674"/>
      <c r="G2729" s="674"/>
      <c r="H2729" s="674"/>
      <c r="I2729" s="675"/>
      <c r="J2729" s="675"/>
      <c r="K2729" s="674"/>
      <c r="L2729" s="674"/>
      <c r="M2729" s="675"/>
    </row>
    <row r="2730" spans="4:13" x14ac:dyDescent="0.2">
      <c r="D2730" s="673"/>
      <c r="E2730" s="674"/>
      <c r="F2730" s="674"/>
      <c r="G2730" s="674"/>
      <c r="H2730" s="674"/>
      <c r="I2730" s="675"/>
      <c r="J2730" s="675"/>
      <c r="K2730" s="674"/>
      <c r="L2730" s="674"/>
      <c r="M2730" s="675"/>
    </row>
    <row r="2731" spans="4:13" x14ac:dyDescent="0.2">
      <c r="D2731" s="673"/>
      <c r="E2731" s="674"/>
      <c r="F2731" s="674"/>
      <c r="G2731" s="674"/>
      <c r="H2731" s="674"/>
      <c r="I2731" s="675"/>
      <c r="J2731" s="675"/>
      <c r="K2731" s="674"/>
      <c r="L2731" s="674"/>
      <c r="M2731" s="675"/>
    </row>
    <row r="2732" spans="4:13" x14ac:dyDescent="0.2">
      <c r="D2732" s="673"/>
      <c r="E2732" s="674"/>
      <c r="F2732" s="674"/>
      <c r="G2732" s="674"/>
      <c r="H2732" s="674"/>
      <c r="I2732" s="675"/>
      <c r="J2732" s="675"/>
      <c r="K2732" s="674"/>
      <c r="L2732" s="674"/>
      <c r="M2732" s="675"/>
    </row>
    <row r="2733" spans="4:13" x14ac:dyDescent="0.2">
      <c r="D2733" s="673"/>
      <c r="E2733" s="674"/>
      <c r="F2733" s="674"/>
      <c r="G2733" s="674"/>
      <c r="H2733" s="674"/>
      <c r="I2733" s="675"/>
      <c r="J2733" s="675"/>
      <c r="K2733" s="674"/>
      <c r="L2733" s="674"/>
      <c r="M2733" s="675"/>
    </row>
    <row r="2734" spans="4:13" x14ac:dyDescent="0.2">
      <c r="D2734" s="673"/>
      <c r="E2734" s="674"/>
      <c r="F2734" s="674"/>
      <c r="G2734" s="674"/>
      <c r="H2734" s="674"/>
      <c r="I2734" s="675"/>
      <c r="J2734" s="675"/>
      <c r="K2734" s="674"/>
      <c r="L2734" s="674"/>
      <c r="M2734" s="675"/>
    </row>
    <row r="2735" spans="4:13" x14ac:dyDescent="0.2">
      <c r="D2735" s="673"/>
      <c r="E2735" s="674"/>
      <c r="F2735" s="674"/>
      <c r="G2735" s="674"/>
      <c r="H2735" s="674"/>
      <c r="I2735" s="675"/>
      <c r="J2735" s="675"/>
      <c r="K2735" s="674"/>
      <c r="L2735" s="674"/>
      <c r="M2735" s="675"/>
    </row>
    <row r="2736" spans="4:13" x14ac:dyDescent="0.2">
      <c r="D2736" s="673"/>
      <c r="E2736" s="674"/>
      <c r="F2736" s="674"/>
      <c r="G2736" s="674"/>
      <c r="H2736" s="674"/>
      <c r="I2736" s="675"/>
      <c r="J2736" s="675"/>
      <c r="K2736" s="674"/>
      <c r="L2736" s="674"/>
      <c r="M2736" s="675"/>
    </row>
    <row r="2737" spans="4:13" x14ac:dyDescent="0.2">
      <c r="D2737" s="673"/>
      <c r="E2737" s="674"/>
      <c r="F2737" s="674"/>
      <c r="G2737" s="674"/>
      <c r="H2737" s="674"/>
      <c r="I2737" s="675"/>
      <c r="J2737" s="675"/>
      <c r="K2737" s="674"/>
      <c r="L2737" s="674"/>
      <c r="M2737" s="675"/>
    </row>
    <row r="2738" spans="4:13" x14ac:dyDescent="0.2">
      <c r="D2738" s="673"/>
      <c r="E2738" s="674"/>
      <c r="F2738" s="674"/>
      <c r="G2738" s="674"/>
      <c r="H2738" s="674"/>
      <c r="I2738" s="675"/>
      <c r="J2738" s="675"/>
      <c r="K2738" s="674"/>
      <c r="L2738" s="674"/>
      <c r="M2738" s="675"/>
    </row>
    <row r="2739" spans="4:13" x14ac:dyDescent="0.2">
      <c r="D2739" s="673"/>
      <c r="E2739" s="674"/>
      <c r="F2739" s="674"/>
      <c r="G2739" s="674"/>
      <c r="H2739" s="674"/>
      <c r="I2739" s="675"/>
      <c r="J2739" s="675"/>
      <c r="K2739" s="674"/>
      <c r="L2739" s="674"/>
      <c r="M2739" s="675"/>
    </row>
    <row r="2740" spans="4:13" x14ac:dyDescent="0.2">
      <c r="D2740" s="673"/>
      <c r="E2740" s="674"/>
      <c r="F2740" s="674"/>
      <c r="G2740" s="674"/>
      <c r="H2740" s="674"/>
      <c r="I2740" s="675"/>
      <c r="J2740" s="675"/>
      <c r="K2740" s="674"/>
      <c r="L2740" s="674"/>
      <c r="M2740" s="675"/>
    </row>
    <row r="2741" spans="4:13" x14ac:dyDescent="0.2">
      <c r="D2741" s="673"/>
      <c r="E2741" s="674"/>
      <c r="F2741" s="674"/>
      <c r="G2741" s="674"/>
      <c r="H2741" s="674"/>
      <c r="I2741" s="675"/>
      <c r="J2741" s="675"/>
      <c r="K2741" s="674"/>
      <c r="L2741" s="674"/>
      <c r="M2741" s="675"/>
    </row>
    <row r="2742" spans="4:13" x14ac:dyDescent="0.2">
      <c r="D2742" s="673"/>
      <c r="E2742" s="674"/>
      <c r="F2742" s="674"/>
      <c r="G2742" s="674"/>
      <c r="H2742" s="674"/>
      <c r="I2742" s="675"/>
      <c r="J2742" s="675"/>
      <c r="K2742" s="674"/>
      <c r="L2742" s="674"/>
      <c r="M2742" s="675"/>
    </row>
    <row r="2743" spans="4:13" x14ac:dyDescent="0.2">
      <c r="D2743" s="673"/>
      <c r="E2743" s="674"/>
      <c r="F2743" s="674"/>
      <c r="G2743" s="674"/>
      <c r="H2743" s="674"/>
      <c r="I2743" s="675"/>
      <c r="J2743" s="675"/>
      <c r="K2743" s="674"/>
      <c r="L2743" s="674"/>
      <c r="M2743" s="675"/>
    </row>
    <row r="2744" spans="4:13" x14ac:dyDescent="0.2">
      <c r="D2744" s="673"/>
      <c r="E2744" s="674"/>
      <c r="F2744" s="674"/>
      <c r="G2744" s="674"/>
      <c r="H2744" s="674"/>
      <c r="I2744" s="675"/>
      <c r="J2744" s="675"/>
      <c r="K2744" s="674"/>
      <c r="L2744" s="674"/>
      <c r="M2744" s="675"/>
    </row>
    <row r="2745" spans="4:13" x14ac:dyDescent="0.2">
      <c r="D2745" s="673"/>
      <c r="E2745" s="674"/>
      <c r="F2745" s="674"/>
      <c r="G2745" s="674"/>
      <c r="H2745" s="674"/>
      <c r="I2745" s="675"/>
      <c r="J2745" s="675"/>
      <c r="K2745" s="674"/>
      <c r="L2745" s="674"/>
      <c r="M2745" s="675"/>
    </row>
    <row r="2746" spans="4:13" x14ac:dyDescent="0.2">
      <c r="D2746" s="673"/>
      <c r="E2746" s="674"/>
      <c r="F2746" s="674"/>
      <c r="G2746" s="674"/>
      <c r="H2746" s="674"/>
      <c r="I2746" s="675"/>
      <c r="J2746" s="675"/>
      <c r="K2746" s="674"/>
      <c r="L2746" s="674"/>
      <c r="M2746" s="675"/>
    </row>
    <row r="2747" spans="4:13" x14ac:dyDescent="0.2">
      <c r="D2747" s="673"/>
      <c r="E2747" s="674"/>
      <c r="F2747" s="674"/>
      <c r="G2747" s="674"/>
      <c r="H2747" s="674"/>
      <c r="I2747" s="675"/>
      <c r="J2747" s="675"/>
      <c r="K2747" s="674"/>
      <c r="L2747" s="674"/>
      <c r="M2747" s="675"/>
    </row>
    <row r="2748" spans="4:13" x14ac:dyDescent="0.2">
      <c r="D2748" s="673"/>
      <c r="E2748" s="674"/>
      <c r="F2748" s="674"/>
      <c r="G2748" s="674"/>
      <c r="H2748" s="674"/>
      <c r="I2748" s="675"/>
      <c r="J2748" s="675"/>
      <c r="K2748" s="674"/>
      <c r="L2748" s="674"/>
      <c r="M2748" s="675"/>
    </row>
    <row r="2749" spans="4:13" x14ac:dyDescent="0.2">
      <c r="D2749" s="673"/>
      <c r="E2749" s="674"/>
      <c r="F2749" s="674"/>
      <c r="G2749" s="674"/>
      <c r="H2749" s="674"/>
      <c r="I2749" s="675"/>
      <c r="J2749" s="675"/>
      <c r="K2749" s="674"/>
      <c r="L2749" s="674"/>
      <c r="M2749" s="675"/>
    </row>
    <row r="2750" spans="4:13" x14ac:dyDescent="0.2">
      <c r="D2750" s="673"/>
      <c r="E2750" s="674"/>
      <c r="F2750" s="674"/>
      <c r="G2750" s="674"/>
      <c r="H2750" s="674"/>
      <c r="I2750" s="675"/>
      <c r="J2750" s="675"/>
      <c r="K2750" s="674"/>
      <c r="L2750" s="674"/>
      <c r="M2750" s="675"/>
    </row>
    <row r="2751" spans="4:13" x14ac:dyDescent="0.2">
      <c r="D2751" s="673"/>
      <c r="E2751" s="674"/>
      <c r="F2751" s="674"/>
      <c r="G2751" s="674"/>
      <c r="H2751" s="674"/>
      <c r="I2751" s="675"/>
      <c r="J2751" s="675"/>
      <c r="K2751" s="674"/>
      <c r="L2751" s="674"/>
      <c r="M2751" s="675"/>
    </row>
    <row r="2752" spans="4:13" x14ac:dyDescent="0.2">
      <c r="D2752" s="673"/>
      <c r="E2752" s="674"/>
      <c r="F2752" s="674"/>
      <c r="G2752" s="674"/>
      <c r="H2752" s="674"/>
      <c r="I2752" s="675"/>
      <c r="J2752" s="675"/>
      <c r="K2752" s="674"/>
      <c r="L2752" s="674"/>
      <c r="M2752" s="675"/>
    </row>
    <row r="2753" spans="4:13" x14ac:dyDescent="0.2">
      <c r="D2753" s="673"/>
      <c r="E2753" s="674"/>
      <c r="F2753" s="674"/>
      <c r="G2753" s="674"/>
      <c r="H2753" s="674"/>
      <c r="I2753" s="675"/>
      <c r="J2753" s="675"/>
      <c r="K2753" s="674"/>
      <c r="L2753" s="674"/>
      <c r="M2753" s="675"/>
    </row>
    <row r="2754" spans="4:13" x14ac:dyDescent="0.2">
      <c r="D2754" s="673"/>
      <c r="E2754" s="674"/>
      <c r="F2754" s="674"/>
      <c r="G2754" s="674"/>
      <c r="H2754" s="674"/>
      <c r="I2754" s="675"/>
      <c r="J2754" s="675"/>
      <c r="K2754" s="674"/>
      <c r="L2754" s="674"/>
      <c r="M2754" s="675"/>
    </row>
    <row r="2755" spans="4:13" x14ac:dyDescent="0.2">
      <c r="D2755" s="673"/>
      <c r="E2755" s="674"/>
      <c r="F2755" s="674"/>
      <c r="G2755" s="674"/>
      <c r="H2755" s="674"/>
      <c r="I2755" s="675"/>
      <c r="J2755" s="675"/>
      <c r="K2755" s="674"/>
      <c r="L2755" s="674"/>
      <c r="M2755" s="675"/>
    </row>
    <row r="2756" spans="4:13" x14ac:dyDescent="0.2">
      <c r="D2756" s="673"/>
      <c r="E2756" s="674"/>
      <c r="F2756" s="674"/>
      <c r="G2756" s="674"/>
      <c r="H2756" s="674"/>
      <c r="I2756" s="675"/>
      <c r="J2756" s="675"/>
      <c r="K2756" s="674"/>
      <c r="L2756" s="674"/>
      <c r="M2756" s="675"/>
    </row>
    <row r="2757" spans="4:13" x14ac:dyDescent="0.2">
      <c r="D2757" s="673"/>
      <c r="E2757" s="674"/>
      <c r="F2757" s="674"/>
      <c r="G2757" s="674"/>
      <c r="H2757" s="674"/>
      <c r="I2757" s="675"/>
      <c r="J2757" s="675"/>
      <c r="K2757" s="674"/>
      <c r="L2757" s="674"/>
      <c r="M2757" s="675"/>
    </row>
    <row r="2758" spans="4:13" x14ac:dyDescent="0.2">
      <c r="D2758" s="673"/>
      <c r="E2758" s="674"/>
      <c r="F2758" s="674"/>
      <c r="G2758" s="674"/>
      <c r="H2758" s="674"/>
      <c r="I2758" s="675"/>
      <c r="J2758" s="675"/>
      <c r="K2758" s="674"/>
      <c r="L2758" s="674"/>
      <c r="M2758" s="675"/>
    </row>
    <row r="2759" spans="4:13" x14ac:dyDescent="0.2">
      <c r="D2759" s="673"/>
      <c r="E2759" s="674"/>
      <c r="F2759" s="674"/>
      <c r="G2759" s="674"/>
      <c r="H2759" s="674"/>
      <c r="I2759" s="675"/>
      <c r="J2759" s="675"/>
      <c r="K2759" s="674"/>
      <c r="L2759" s="674"/>
      <c r="M2759" s="675"/>
    </row>
    <row r="2760" spans="4:13" x14ac:dyDescent="0.2">
      <c r="D2760" s="673"/>
      <c r="E2760" s="674"/>
      <c r="F2760" s="674"/>
      <c r="G2760" s="674"/>
      <c r="H2760" s="674"/>
      <c r="I2760" s="675"/>
      <c r="J2760" s="675"/>
      <c r="K2760" s="674"/>
      <c r="L2760" s="674"/>
      <c r="M2760" s="675"/>
    </row>
    <row r="2761" spans="4:13" x14ac:dyDescent="0.2">
      <c r="D2761" s="673"/>
      <c r="E2761" s="674"/>
      <c r="F2761" s="674"/>
      <c r="G2761" s="674"/>
      <c r="H2761" s="674"/>
      <c r="I2761" s="675"/>
      <c r="J2761" s="675"/>
      <c r="K2761" s="674"/>
      <c r="L2761" s="674"/>
      <c r="M2761" s="675"/>
    </row>
    <row r="2762" spans="4:13" x14ac:dyDescent="0.2">
      <c r="D2762" s="673"/>
      <c r="E2762" s="674"/>
      <c r="F2762" s="674"/>
      <c r="G2762" s="674"/>
      <c r="H2762" s="674"/>
      <c r="I2762" s="675"/>
      <c r="J2762" s="675"/>
      <c r="K2762" s="674"/>
      <c r="L2762" s="674"/>
      <c r="M2762" s="675"/>
    </row>
    <row r="2763" spans="4:13" x14ac:dyDescent="0.2">
      <c r="D2763" s="673"/>
      <c r="E2763" s="674"/>
      <c r="F2763" s="674"/>
      <c r="G2763" s="674"/>
      <c r="H2763" s="674"/>
      <c r="I2763" s="675"/>
      <c r="J2763" s="675"/>
      <c r="K2763" s="674"/>
      <c r="L2763" s="674"/>
      <c r="M2763" s="675"/>
    </row>
    <row r="2764" spans="4:13" x14ac:dyDescent="0.2">
      <c r="D2764" s="673"/>
      <c r="E2764" s="674"/>
      <c r="F2764" s="674"/>
      <c r="G2764" s="674"/>
      <c r="H2764" s="674"/>
      <c r="I2764" s="675"/>
      <c r="J2764" s="675"/>
      <c r="K2764" s="674"/>
      <c r="L2764" s="674"/>
      <c r="M2764" s="675"/>
    </row>
    <row r="2765" spans="4:13" x14ac:dyDescent="0.2">
      <c r="D2765" s="673"/>
      <c r="E2765" s="674"/>
      <c r="F2765" s="674"/>
      <c r="G2765" s="674"/>
      <c r="H2765" s="674"/>
      <c r="I2765" s="675"/>
      <c r="J2765" s="675"/>
      <c r="K2765" s="674"/>
      <c r="L2765" s="674"/>
      <c r="M2765" s="675"/>
    </row>
    <row r="2766" spans="4:13" x14ac:dyDescent="0.2">
      <c r="D2766" s="673"/>
      <c r="E2766" s="674"/>
      <c r="F2766" s="674"/>
      <c r="G2766" s="674"/>
      <c r="H2766" s="674"/>
      <c r="I2766" s="675"/>
      <c r="J2766" s="675"/>
      <c r="K2766" s="674"/>
      <c r="L2766" s="674"/>
      <c r="M2766" s="675"/>
    </row>
    <row r="2767" spans="4:13" x14ac:dyDescent="0.2">
      <c r="D2767" s="673"/>
      <c r="E2767" s="674"/>
      <c r="F2767" s="674"/>
      <c r="G2767" s="674"/>
      <c r="H2767" s="674"/>
      <c r="I2767" s="675"/>
      <c r="J2767" s="675"/>
      <c r="K2767" s="674"/>
      <c r="L2767" s="674"/>
      <c r="M2767" s="675"/>
    </row>
    <row r="2768" spans="4:13" x14ac:dyDescent="0.2">
      <c r="D2768" s="673"/>
      <c r="E2768" s="674"/>
      <c r="F2768" s="674"/>
      <c r="G2768" s="674"/>
      <c r="H2768" s="674"/>
      <c r="I2768" s="675"/>
      <c r="J2768" s="675"/>
      <c r="K2768" s="674"/>
      <c r="L2768" s="674"/>
      <c r="M2768" s="675"/>
    </row>
    <row r="2769" spans="4:13" x14ac:dyDescent="0.2">
      <c r="D2769" s="673"/>
      <c r="E2769" s="674"/>
      <c r="F2769" s="674"/>
      <c r="G2769" s="674"/>
      <c r="H2769" s="674"/>
      <c r="I2769" s="675"/>
      <c r="J2769" s="675"/>
      <c r="K2769" s="674"/>
      <c r="L2769" s="674"/>
      <c r="M2769" s="675"/>
    </row>
    <row r="2770" spans="4:13" x14ac:dyDescent="0.2">
      <c r="D2770" s="673"/>
      <c r="E2770" s="674"/>
      <c r="F2770" s="674"/>
      <c r="G2770" s="674"/>
      <c r="H2770" s="674"/>
      <c r="I2770" s="675"/>
      <c r="J2770" s="675"/>
      <c r="K2770" s="674"/>
      <c r="L2770" s="674"/>
      <c r="M2770" s="675"/>
    </row>
    <row r="2771" spans="4:13" x14ac:dyDescent="0.2">
      <c r="D2771" s="673"/>
      <c r="E2771" s="674"/>
      <c r="F2771" s="674"/>
      <c r="G2771" s="674"/>
      <c r="H2771" s="674"/>
      <c r="I2771" s="675"/>
      <c r="J2771" s="675"/>
      <c r="K2771" s="674"/>
      <c r="L2771" s="674"/>
      <c r="M2771" s="675"/>
    </row>
    <row r="2772" spans="4:13" x14ac:dyDescent="0.2">
      <c r="D2772" s="673"/>
      <c r="E2772" s="674"/>
      <c r="F2772" s="674"/>
      <c r="G2772" s="674"/>
      <c r="H2772" s="674"/>
      <c r="I2772" s="675"/>
      <c r="J2772" s="675"/>
      <c r="K2772" s="674"/>
      <c r="L2772" s="674"/>
      <c r="M2772" s="675"/>
    </row>
    <row r="2773" spans="4:13" x14ac:dyDescent="0.2">
      <c r="D2773" s="673"/>
      <c r="E2773" s="674"/>
      <c r="F2773" s="674"/>
      <c r="G2773" s="674"/>
      <c r="H2773" s="674"/>
      <c r="I2773" s="675"/>
      <c r="J2773" s="675"/>
      <c r="K2773" s="674"/>
      <c r="L2773" s="674"/>
      <c r="M2773" s="675"/>
    </row>
    <row r="2774" spans="4:13" x14ac:dyDescent="0.2">
      <c r="D2774" s="673"/>
      <c r="E2774" s="674"/>
      <c r="F2774" s="674"/>
      <c r="G2774" s="674"/>
      <c r="H2774" s="674"/>
      <c r="I2774" s="675"/>
      <c r="J2774" s="675"/>
      <c r="K2774" s="674"/>
      <c r="L2774" s="674"/>
      <c r="M2774" s="675"/>
    </row>
    <row r="2775" spans="4:13" x14ac:dyDescent="0.2">
      <c r="D2775" s="673"/>
      <c r="E2775" s="674"/>
      <c r="F2775" s="674"/>
      <c r="G2775" s="674"/>
      <c r="H2775" s="674"/>
      <c r="I2775" s="675"/>
      <c r="J2775" s="675"/>
      <c r="K2775" s="674"/>
      <c r="L2775" s="674"/>
      <c r="M2775" s="675"/>
    </row>
    <row r="2776" spans="4:13" x14ac:dyDescent="0.2">
      <c r="D2776" s="673"/>
      <c r="E2776" s="674"/>
      <c r="F2776" s="674"/>
      <c r="G2776" s="674"/>
      <c r="H2776" s="674"/>
      <c r="I2776" s="675"/>
      <c r="J2776" s="675"/>
      <c r="K2776" s="674"/>
      <c r="L2776" s="674"/>
      <c r="M2776" s="675"/>
    </row>
    <row r="2777" spans="4:13" x14ac:dyDescent="0.2">
      <c r="D2777" s="673"/>
      <c r="E2777" s="674"/>
      <c r="F2777" s="674"/>
      <c r="G2777" s="674"/>
      <c r="H2777" s="674"/>
      <c r="I2777" s="675"/>
      <c r="J2777" s="675"/>
      <c r="K2777" s="674"/>
      <c r="L2777" s="674"/>
      <c r="M2777" s="675"/>
    </row>
    <row r="2778" spans="4:13" x14ac:dyDescent="0.2">
      <c r="D2778" s="673"/>
      <c r="E2778" s="674"/>
      <c r="F2778" s="674"/>
      <c r="G2778" s="674"/>
      <c r="H2778" s="674"/>
      <c r="I2778" s="675"/>
      <c r="J2778" s="675"/>
      <c r="K2778" s="674"/>
      <c r="L2778" s="674"/>
      <c r="M2778" s="675"/>
    </row>
    <row r="2779" spans="4:13" x14ac:dyDescent="0.2">
      <c r="D2779" s="673"/>
      <c r="E2779" s="674"/>
      <c r="F2779" s="674"/>
      <c r="G2779" s="674"/>
      <c r="H2779" s="674"/>
      <c r="I2779" s="675"/>
      <c r="J2779" s="675"/>
      <c r="K2779" s="674"/>
      <c r="L2779" s="674"/>
      <c r="M2779" s="675"/>
    </row>
    <row r="2780" spans="4:13" x14ac:dyDescent="0.2">
      <c r="D2780" s="673"/>
      <c r="E2780" s="674"/>
      <c r="F2780" s="674"/>
      <c r="G2780" s="674"/>
      <c r="H2780" s="674"/>
      <c r="I2780" s="675"/>
      <c r="J2780" s="675"/>
      <c r="K2780" s="674"/>
      <c r="L2780" s="674"/>
      <c r="M2780" s="675"/>
    </row>
    <row r="2781" spans="4:13" x14ac:dyDescent="0.2">
      <c r="D2781" s="673"/>
      <c r="E2781" s="674"/>
      <c r="F2781" s="674"/>
      <c r="G2781" s="674"/>
      <c r="H2781" s="674"/>
      <c r="I2781" s="675"/>
      <c r="J2781" s="675"/>
      <c r="K2781" s="674"/>
      <c r="L2781" s="674"/>
      <c r="M2781" s="675"/>
    </row>
    <row r="2782" spans="4:13" x14ac:dyDescent="0.2">
      <c r="D2782" s="673"/>
      <c r="E2782" s="674"/>
      <c r="F2782" s="674"/>
      <c r="G2782" s="674"/>
      <c r="H2782" s="674"/>
      <c r="I2782" s="675"/>
      <c r="J2782" s="675"/>
      <c r="K2782" s="674"/>
      <c r="L2782" s="674"/>
      <c r="M2782" s="675"/>
    </row>
    <row r="2783" spans="4:13" x14ac:dyDescent="0.2">
      <c r="D2783" s="673"/>
      <c r="E2783" s="674"/>
      <c r="F2783" s="674"/>
      <c r="G2783" s="674"/>
      <c r="H2783" s="674"/>
      <c r="I2783" s="675"/>
      <c r="J2783" s="675"/>
      <c r="K2783" s="674"/>
      <c r="L2783" s="674"/>
      <c r="M2783" s="675"/>
    </row>
    <row r="2784" spans="4:13" x14ac:dyDescent="0.2">
      <c r="D2784" s="673"/>
      <c r="E2784" s="674"/>
      <c r="F2784" s="674"/>
      <c r="G2784" s="674"/>
      <c r="H2784" s="674"/>
      <c r="I2784" s="675"/>
      <c r="J2784" s="675"/>
      <c r="K2784" s="674"/>
      <c r="L2784" s="674"/>
      <c r="M2784" s="675"/>
    </row>
    <row r="2785" spans="4:13" x14ac:dyDescent="0.2">
      <c r="D2785" s="673"/>
      <c r="E2785" s="674"/>
      <c r="F2785" s="674"/>
      <c r="G2785" s="674"/>
      <c r="H2785" s="674"/>
      <c r="I2785" s="675"/>
      <c r="J2785" s="675"/>
      <c r="K2785" s="674"/>
      <c r="L2785" s="674"/>
      <c r="M2785" s="675"/>
    </row>
    <row r="2786" spans="4:13" x14ac:dyDescent="0.2">
      <c r="D2786" s="673"/>
      <c r="E2786" s="674"/>
      <c r="F2786" s="674"/>
      <c r="G2786" s="674"/>
      <c r="H2786" s="674"/>
      <c r="I2786" s="675"/>
      <c r="J2786" s="675"/>
      <c r="K2786" s="674"/>
      <c r="L2786" s="674"/>
      <c r="M2786" s="675"/>
    </row>
    <row r="2787" spans="4:13" x14ac:dyDescent="0.2">
      <c r="D2787" s="673"/>
      <c r="E2787" s="674"/>
      <c r="F2787" s="674"/>
      <c r="G2787" s="674"/>
      <c r="H2787" s="674"/>
      <c r="I2787" s="675"/>
      <c r="J2787" s="675"/>
      <c r="K2787" s="674"/>
      <c r="L2787" s="674"/>
      <c r="M2787" s="675"/>
    </row>
    <row r="2788" spans="4:13" x14ac:dyDescent="0.2">
      <c r="D2788" s="673"/>
      <c r="E2788" s="674"/>
      <c r="F2788" s="674"/>
      <c r="G2788" s="674"/>
      <c r="H2788" s="674"/>
      <c r="I2788" s="675"/>
      <c r="J2788" s="675"/>
      <c r="K2788" s="674"/>
      <c r="L2788" s="674"/>
      <c r="M2788" s="675"/>
    </row>
    <row r="2789" spans="4:13" x14ac:dyDescent="0.2">
      <c r="D2789" s="673"/>
      <c r="E2789" s="674"/>
      <c r="F2789" s="674"/>
      <c r="G2789" s="674"/>
      <c r="H2789" s="674"/>
      <c r="I2789" s="675"/>
      <c r="J2789" s="675"/>
      <c r="K2789" s="674"/>
      <c r="L2789" s="674"/>
      <c r="M2789" s="675"/>
    </row>
    <row r="2790" spans="4:13" x14ac:dyDescent="0.2">
      <c r="D2790" s="673"/>
      <c r="E2790" s="674"/>
      <c r="F2790" s="674"/>
      <c r="G2790" s="674"/>
      <c r="H2790" s="674"/>
      <c r="I2790" s="675"/>
      <c r="J2790" s="675"/>
      <c r="K2790" s="674"/>
      <c r="L2790" s="674"/>
      <c r="M2790" s="675"/>
    </row>
    <row r="2791" spans="4:13" x14ac:dyDescent="0.2">
      <c r="D2791" s="673"/>
      <c r="E2791" s="674"/>
      <c r="F2791" s="674"/>
      <c r="G2791" s="674"/>
      <c r="H2791" s="674"/>
      <c r="I2791" s="675"/>
      <c r="J2791" s="675"/>
      <c r="K2791" s="674"/>
      <c r="L2791" s="674"/>
      <c r="M2791" s="675"/>
    </row>
    <row r="2792" spans="4:13" x14ac:dyDescent="0.2">
      <c r="D2792" s="673"/>
      <c r="E2792" s="674"/>
      <c r="F2792" s="674"/>
      <c r="G2792" s="674"/>
      <c r="H2792" s="674"/>
      <c r="I2792" s="675"/>
      <c r="J2792" s="675"/>
      <c r="K2792" s="674"/>
      <c r="L2792" s="674"/>
      <c r="M2792" s="675"/>
    </row>
    <row r="2793" spans="4:13" x14ac:dyDescent="0.2">
      <c r="D2793" s="673"/>
      <c r="E2793" s="674"/>
      <c r="F2793" s="674"/>
      <c r="G2793" s="674"/>
      <c r="H2793" s="674"/>
      <c r="I2793" s="675"/>
      <c r="J2793" s="675"/>
      <c r="K2793" s="674"/>
      <c r="L2793" s="674"/>
      <c r="M2793" s="675"/>
    </row>
    <row r="2794" spans="4:13" x14ac:dyDescent="0.2">
      <c r="D2794" s="673"/>
      <c r="E2794" s="674"/>
      <c r="F2794" s="674"/>
      <c r="G2794" s="674"/>
      <c r="H2794" s="674"/>
      <c r="I2794" s="675"/>
      <c r="J2794" s="675"/>
      <c r="K2794" s="674"/>
      <c r="L2794" s="674"/>
      <c r="M2794" s="675"/>
    </row>
    <row r="2795" spans="4:13" x14ac:dyDescent="0.2">
      <c r="D2795" s="673"/>
      <c r="E2795" s="674"/>
      <c r="F2795" s="674"/>
      <c r="G2795" s="674"/>
      <c r="H2795" s="674"/>
      <c r="I2795" s="675"/>
      <c r="J2795" s="675"/>
      <c r="K2795" s="674"/>
      <c r="L2795" s="674"/>
      <c r="M2795" s="675"/>
    </row>
    <row r="2796" spans="4:13" x14ac:dyDescent="0.2">
      <c r="D2796" s="673"/>
      <c r="E2796" s="674"/>
      <c r="F2796" s="674"/>
      <c r="G2796" s="674"/>
      <c r="H2796" s="674"/>
      <c r="I2796" s="675"/>
      <c r="J2796" s="675"/>
      <c r="K2796" s="674"/>
      <c r="L2796" s="674"/>
      <c r="M2796" s="675"/>
    </row>
    <row r="2797" spans="4:13" x14ac:dyDescent="0.2">
      <c r="D2797" s="673"/>
      <c r="E2797" s="674"/>
      <c r="F2797" s="674"/>
      <c r="G2797" s="674"/>
      <c r="H2797" s="674"/>
      <c r="I2797" s="675"/>
      <c r="J2797" s="675"/>
      <c r="K2797" s="674"/>
      <c r="L2797" s="674"/>
      <c r="M2797" s="675"/>
    </row>
    <row r="2798" spans="4:13" x14ac:dyDescent="0.2">
      <c r="D2798" s="673"/>
      <c r="E2798" s="674"/>
      <c r="F2798" s="674"/>
      <c r="G2798" s="674"/>
      <c r="H2798" s="674"/>
      <c r="I2798" s="675"/>
      <c r="J2798" s="675"/>
      <c r="K2798" s="674"/>
      <c r="L2798" s="674"/>
      <c r="M2798" s="675"/>
    </row>
    <row r="2799" spans="4:13" x14ac:dyDescent="0.2">
      <c r="D2799" s="673"/>
      <c r="E2799" s="674"/>
      <c r="F2799" s="674"/>
      <c r="G2799" s="674"/>
      <c r="H2799" s="674"/>
      <c r="I2799" s="675"/>
      <c r="J2799" s="675"/>
      <c r="K2799" s="674"/>
      <c r="L2799" s="674"/>
      <c r="M2799" s="675"/>
    </row>
    <row r="2800" spans="4:13" x14ac:dyDescent="0.2">
      <c r="D2800" s="673"/>
      <c r="E2800" s="674"/>
      <c r="F2800" s="674"/>
      <c r="G2800" s="674"/>
      <c r="H2800" s="674"/>
      <c r="I2800" s="675"/>
      <c r="J2800" s="675"/>
      <c r="K2800" s="674"/>
      <c r="L2800" s="674"/>
      <c r="M2800" s="675"/>
    </row>
    <row r="2801" spans="4:13" x14ac:dyDescent="0.2">
      <c r="D2801" s="673"/>
      <c r="E2801" s="674"/>
      <c r="F2801" s="674"/>
      <c r="G2801" s="674"/>
      <c r="H2801" s="674"/>
      <c r="I2801" s="675"/>
      <c r="J2801" s="675"/>
      <c r="K2801" s="674"/>
      <c r="L2801" s="674"/>
      <c r="M2801" s="675"/>
    </row>
    <row r="2802" spans="4:13" x14ac:dyDescent="0.2">
      <c r="D2802" s="673"/>
      <c r="E2802" s="674"/>
      <c r="F2802" s="674"/>
      <c r="G2802" s="674"/>
      <c r="H2802" s="674"/>
      <c r="I2802" s="675"/>
      <c r="J2802" s="675"/>
      <c r="K2802" s="674"/>
      <c r="L2802" s="674"/>
      <c r="M2802" s="675"/>
    </row>
    <row r="2803" spans="4:13" x14ac:dyDescent="0.2">
      <c r="D2803" s="673"/>
      <c r="E2803" s="674"/>
      <c r="F2803" s="674"/>
      <c r="G2803" s="674"/>
      <c r="H2803" s="674"/>
      <c r="I2803" s="675"/>
      <c r="J2803" s="675"/>
      <c r="K2803" s="674"/>
      <c r="L2803" s="674"/>
      <c r="M2803" s="675"/>
    </row>
    <row r="2804" spans="4:13" x14ac:dyDescent="0.2">
      <c r="D2804" s="673"/>
      <c r="E2804" s="674"/>
      <c r="F2804" s="674"/>
      <c r="G2804" s="674"/>
      <c r="H2804" s="674"/>
      <c r="I2804" s="675"/>
      <c r="J2804" s="675"/>
      <c r="K2804" s="674"/>
      <c r="L2804" s="674"/>
      <c r="M2804" s="675"/>
    </row>
    <row r="2805" spans="4:13" x14ac:dyDescent="0.2">
      <c r="D2805" s="673"/>
      <c r="E2805" s="674"/>
      <c r="F2805" s="674"/>
      <c r="G2805" s="674"/>
      <c r="H2805" s="674"/>
      <c r="I2805" s="675"/>
      <c r="J2805" s="675"/>
      <c r="K2805" s="674"/>
      <c r="L2805" s="674"/>
      <c r="M2805" s="675"/>
    </row>
    <row r="2806" spans="4:13" x14ac:dyDescent="0.2">
      <c r="D2806" s="673"/>
      <c r="E2806" s="674"/>
      <c r="F2806" s="674"/>
      <c r="G2806" s="674"/>
      <c r="H2806" s="674"/>
      <c r="I2806" s="675"/>
      <c r="J2806" s="675"/>
      <c r="K2806" s="674"/>
      <c r="L2806" s="674"/>
      <c r="M2806" s="675"/>
    </row>
    <row r="2807" spans="4:13" x14ac:dyDescent="0.2">
      <c r="D2807" s="673"/>
      <c r="E2807" s="674"/>
      <c r="F2807" s="674"/>
      <c r="G2807" s="674"/>
      <c r="H2807" s="674"/>
      <c r="I2807" s="675"/>
      <c r="J2807" s="675"/>
      <c r="K2807" s="674"/>
      <c r="L2807" s="674"/>
      <c r="M2807" s="675"/>
    </row>
    <row r="2808" spans="4:13" x14ac:dyDescent="0.2">
      <c r="D2808" s="673"/>
      <c r="E2808" s="674"/>
      <c r="F2808" s="674"/>
      <c r="G2808" s="674"/>
      <c r="H2808" s="674"/>
      <c r="I2808" s="675"/>
      <c r="J2808" s="675"/>
      <c r="K2808" s="674"/>
      <c r="L2808" s="674"/>
      <c r="M2808" s="675"/>
    </row>
    <row r="2809" spans="4:13" x14ac:dyDescent="0.2">
      <c r="D2809" s="673"/>
      <c r="E2809" s="674"/>
      <c r="F2809" s="674"/>
      <c r="G2809" s="674"/>
      <c r="H2809" s="674"/>
      <c r="I2809" s="675"/>
      <c r="J2809" s="675"/>
      <c r="K2809" s="674"/>
      <c r="L2809" s="674"/>
      <c r="M2809" s="675"/>
    </row>
    <row r="2810" spans="4:13" x14ac:dyDescent="0.2">
      <c r="D2810" s="673"/>
      <c r="E2810" s="674"/>
      <c r="F2810" s="674"/>
      <c r="G2810" s="674"/>
      <c r="H2810" s="674"/>
      <c r="I2810" s="675"/>
      <c r="J2810" s="675"/>
      <c r="K2810" s="674"/>
      <c r="L2810" s="674"/>
      <c r="M2810" s="675"/>
    </row>
    <row r="2811" spans="4:13" x14ac:dyDescent="0.2">
      <c r="D2811" s="673"/>
      <c r="E2811" s="674"/>
      <c r="F2811" s="674"/>
      <c r="G2811" s="674"/>
      <c r="H2811" s="674"/>
      <c r="I2811" s="675"/>
      <c r="J2811" s="675"/>
      <c r="K2811" s="674"/>
      <c r="L2811" s="674"/>
      <c r="M2811" s="675"/>
    </row>
    <row r="2812" spans="4:13" x14ac:dyDescent="0.2">
      <c r="D2812" s="673"/>
      <c r="E2812" s="674"/>
      <c r="F2812" s="674"/>
      <c r="G2812" s="674"/>
      <c r="H2812" s="674"/>
      <c r="I2812" s="675"/>
      <c r="J2812" s="675"/>
      <c r="K2812" s="674"/>
      <c r="L2812" s="674"/>
      <c r="M2812" s="675"/>
    </row>
    <row r="2813" spans="4:13" x14ac:dyDescent="0.2">
      <c r="D2813" s="673"/>
      <c r="E2813" s="674"/>
      <c r="F2813" s="674"/>
      <c r="G2813" s="674"/>
      <c r="H2813" s="674"/>
      <c r="I2813" s="675"/>
      <c r="J2813" s="675"/>
      <c r="K2813" s="674"/>
      <c r="L2813" s="674"/>
      <c r="M2813" s="675"/>
    </row>
    <row r="2814" spans="4:13" x14ac:dyDescent="0.2">
      <c r="D2814" s="673"/>
      <c r="E2814" s="674"/>
      <c r="F2814" s="674"/>
      <c r="G2814" s="674"/>
      <c r="H2814" s="674"/>
      <c r="I2814" s="675"/>
      <c r="J2814" s="675"/>
      <c r="K2814" s="674"/>
      <c r="L2814" s="674"/>
      <c r="M2814" s="675"/>
    </row>
    <row r="2815" spans="4:13" x14ac:dyDescent="0.2">
      <c r="D2815" s="673"/>
      <c r="E2815" s="674"/>
      <c r="F2815" s="674"/>
      <c r="G2815" s="674"/>
      <c r="H2815" s="674"/>
      <c r="I2815" s="675"/>
      <c r="J2815" s="675"/>
      <c r="K2815" s="674"/>
      <c r="L2815" s="674"/>
      <c r="M2815" s="675"/>
    </row>
    <row r="2816" spans="4:13" x14ac:dyDescent="0.2">
      <c r="D2816" s="673"/>
      <c r="E2816" s="674"/>
      <c r="F2816" s="674"/>
      <c r="G2816" s="674"/>
      <c r="H2816" s="674"/>
      <c r="I2816" s="675"/>
      <c r="J2816" s="675"/>
      <c r="K2816" s="674"/>
      <c r="L2816" s="674"/>
      <c r="M2816" s="675"/>
    </row>
    <row r="2817" spans="4:13" x14ac:dyDescent="0.2">
      <c r="D2817" s="673"/>
      <c r="E2817" s="674"/>
      <c r="F2817" s="674"/>
      <c r="G2817" s="674"/>
      <c r="H2817" s="674"/>
      <c r="I2817" s="675"/>
      <c r="J2817" s="675"/>
      <c r="K2817" s="674"/>
      <c r="L2817" s="674"/>
      <c r="M2817" s="675"/>
    </row>
    <row r="2818" spans="4:13" x14ac:dyDescent="0.2">
      <c r="D2818" s="673"/>
      <c r="E2818" s="674"/>
      <c r="F2818" s="674"/>
      <c r="G2818" s="674"/>
      <c r="H2818" s="674"/>
      <c r="I2818" s="675"/>
      <c r="J2818" s="675"/>
      <c r="K2818" s="674"/>
      <c r="L2818" s="674"/>
      <c r="M2818" s="675"/>
    </row>
    <row r="2819" spans="4:13" x14ac:dyDescent="0.2">
      <c r="D2819" s="673"/>
      <c r="E2819" s="674"/>
      <c r="F2819" s="674"/>
      <c r="G2819" s="674"/>
      <c r="H2819" s="674"/>
      <c r="I2819" s="675"/>
      <c r="J2819" s="675"/>
      <c r="K2819" s="674"/>
      <c r="L2819" s="674"/>
      <c r="M2819" s="675"/>
    </row>
    <row r="2820" spans="4:13" x14ac:dyDescent="0.2">
      <c r="D2820" s="673"/>
      <c r="E2820" s="674"/>
      <c r="F2820" s="674"/>
      <c r="G2820" s="674"/>
      <c r="H2820" s="674"/>
      <c r="I2820" s="675"/>
      <c r="J2820" s="675"/>
      <c r="K2820" s="674"/>
      <c r="L2820" s="674"/>
      <c r="M2820" s="675"/>
    </row>
    <row r="2821" spans="4:13" x14ac:dyDescent="0.2">
      <c r="D2821" s="673"/>
      <c r="E2821" s="674"/>
      <c r="F2821" s="674"/>
      <c r="G2821" s="674"/>
      <c r="H2821" s="674"/>
      <c r="I2821" s="675"/>
      <c r="J2821" s="675"/>
      <c r="K2821" s="674"/>
      <c r="L2821" s="674"/>
      <c r="M2821" s="675"/>
    </row>
    <row r="2822" spans="4:13" x14ac:dyDescent="0.2">
      <c r="D2822" s="673"/>
      <c r="E2822" s="674"/>
      <c r="F2822" s="674"/>
      <c r="G2822" s="674"/>
      <c r="H2822" s="674"/>
      <c r="I2822" s="675"/>
      <c r="J2822" s="675"/>
      <c r="K2822" s="674"/>
      <c r="L2822" s="674"/>
      <c r="M2822" s="675"/>
    </row>
    <row r="2823" spans="4:13" x14ac:dyDescent="0.2">
      <c r="D2823" s="673"/>
      <c r="E2823" s="674"/>
      <c r="F2823" s="674"/>
      <c r="G2823" s="674"/>
      <c r="H2823" s="674"/>
      <c r="I2823" s="675"/>
      <c r="J2823" s="675"/>
      <c r="K2823" s="674"/>
      <c r="L2823" s="674"/>
      <c r="M2823" s="675"/>
    </row>
    <row r="2824" spans="4:13" x14ac:dyDescent="0.2">
      <c r="D2824" s="673"/>
      <c r="E2824" s="674"/>
      <c r="F2824" s="674"/>
      <c r="G2824" s="674"/>
      <c r="H2824" s="674"/>
      <c r="I2824" s="675"/>
      <c r="J2824" s="675"/>
      <c r="K2824" s="674"/>
      <c r="L2824" s="674"/>
      <c r="M2824" s="675"/>
    </row>
    <row r="2825" spans="4:13" x14ac:dyDescent="0.2">
      <c r="D2825" s="673"/>
      <c r="E2825" s="674"/>
      <c r="F2825" s="674"/>
      <c r="G2825" s="674"/>
      <c r="H2825" s="674"/>
      <c r="I2825" s="675"/>
      <c r="J2825" s="675"/>
      <c r="K2825" s="674"/>
      <c r="L2825" s="674"/>
      <c r="M2825" s="675"/>
    </row>
    <row r="2826" spans="4:13" x14ac:dyDescent="0.2">
      <c r="D2826" s="673"/>
      <c r="E2826" s="674"/>
      <c r="F2826" s="674"/>
      <c r="G2826" s="674"/>
      <c r="H2826" s="674"/>
      <c r="I2826" s="675"/>
      <c r="J2826" s="675"/>
      <c r="K2826" s="674"/>
      <c r="L2826" s="674"/>
      <c r="M2826" s="675"/>
    </row>
    <row r="2827" spans="4:13" x14ac:dyDescent="0.2">
      <c r="D2827" s="673"/>
      <c r="E2827" s="674"/>
      <c r="F2827" s="674"/>
      <c r="G2827" s="674"/>
      <c r="H2827" s="674"/>
      <c r="I2827" s="675"/>
      <c r="J2827" s="675"/>
      <c r="K2827" s="674"/>
      <c r="L2827" s="674"/>
      <c r="M2827" s="675"/>
    </row>
    <row r="2828" spans="4:13" x14ac:dyDescent="0.2">
      <c r="D2828" s="673"/>
      <c r="E2828" s="674"/>
      <c r="F2828" s="674"/>
      <c r="G2828" s="674"/>
      <c r="H2828" s="674"/>
      <c r="I2828" s="675"/>
      <c r="J2828" s="675"/>
      <c r="K2828" s="674"/>
      <c r="L2828" s="674"/>
      <c r="M2828" s="675"/>
    </row>
    <row r="2829" spans="4:13" x14ac:dyDescent="0.2">
      <c r="D2829" s="673"/>
      <c r="E2829" s="674"/>
      <c r="F2829" s="674"/>
      <c r="G2829" s="674"/>
      <c r="H2829" s="674"/>
      <c r="I2829" s="675"/>
      <c r="J2829" s="675"/>
      <c r="K2829" s="674"/>
      <c r="L2829" s="674"/>
      <c r="M2829" s="675"/>
    </row>
    <row r="2830" spans="4:13" x14ac:dyDescent="0.2">
      <c r="D2830" s="673"/>
      <c r="E2830" s="674"/>
      <c r="F2830" s="674"/>
      <c r="G2830" s="674"/>
      <c r="H2830" s="674"/>
      <c r="I2830" s="675"/>
      <c r="J2830" s="675"/>
      <c r="K2830" s="674"/>
      <c r="L2830" s="674"/>
      <c r="M2830" s="675"/>
    </row>
    <row r="2831" spans="4:13" x14ac:dyDescent="0.2">
      <c r="D2831" s="673"/>
      <c r="E2831" s="674"/>
      <c r="F2831" s="674"/>
      <c r="G2831" s="674"/>
      <c r="H2831" s="674"/>
      <c r="I2831" s="675"/>
      <c r="J2831" s="675"/>
      <c r="K2831" s="674"/>
      <c r="L2831" s="674"/>
      <c r="M2831" s="675"/>
    </row>
    <row r="2832" spans="4:13" x14ac:dyDescent="0.2">
      <c r="D2832" s="673"/>
      <c r="E2832" s="674"/>
      <c r="F2832" s="674"/>
      <c r="G2832" s="674"/>
      <c r="H2832" s="674"/>
      <c r="I2832" s="675"/>
      <c r="J2832" s="675"/>
      <c r="K2832" s="674"/>
      <c r="L2832" s="674"/>
      <c r="M2832" s="675"/>
    </row>
    <row r="2833" spans="4:13" x14ac:dyDescent="0.2">
      <c r="D2833" s="673"/>
      <c r="E2833" s="674"/>
      <c r="F2833" s="674"/>
      <c r="G2833" s="674"/>
      <c r="H2833" s="674"/>
      <c r="I2833" s="675"/>
      <c r="J2833" s="675"/>
      <c r="K2833" s="674"/>
      <c r="L2833" s="674"/>
      <c r="M2833" s="675"/>
    </row>
    <row r="2834" spans="4:13" x14ac:dyDescent="0.2">
      <c r="D2834" s="673"/>
      <c r="E2834" s="674"/>
      <c r="F2834" s="674"/>
      <c r="G2834" s="674"/>
      <c r="H2834" s="674"/>
      <c r="I2834" s="675"/>
      <c r="J2834" s="675"/>
      <c r="K2834" s="674"/>
      <c r="L2834" s="674"/>
      <c r="M2834" s="675"/>
    </row>
    <row r="2835" spans="4:13" x14ac:dyDescent="0.2">
      <c r="D2835" s="673"/>
      <c r="E2835" s="674"/>
      <c r="F2835" s="674"/>
      <c r="G2835" s="674"/>
      <c r="H2835" s="674"/>
      <c r="I2835" s="675"/>
      <c r="J2835" s="675"/>
      <c r="K2835" s="674"/>
      <c r="L2835" s="674"/>
      <c r="M2835" s="675"/>
    </row>
    <row r="2836" spans="4:13" x14ac:dyDescent="0.2">
      <c r="D2836" s="673"/>
      <c r="E2836" s="674"/>
      <c r="F2836" s="674"/>
      <c r="G2836" s="674"/>
      <c r="H2836" s="674"/>
      <c r="I2836" s="675"/>
      <c r="J2836" s="675"/>
      <c r="K2836" s="674"/>
      <c r="L2836" s="674"/>
      <c r="M2836" s="675"/>
    </row>
    <row r="2837" spans="4:13" x14ac:dyDescent="0.2">
      <c r="D2837" s="673"/>
      <c r="E2837" s="674"/>
      <c r="F2837" s="674"/>
      <c r="G2837" s="674"/>
      <c r="H2837" s="674"/>
      <c r="I2837" s="675"/>
      <c r="J2837" s="675"/>
      <c r="K2837" s="674"/>
      <c r="L2837" s="674"/>
      <c r="M2837" s="675"/>
    </row>
    <row r="2838" spans="4:13" x14ac:dyDescent="0.2">
      <c r="D2838" s="673"/>
      <c r="E2838" s="674"/>
      <c r="F2838" s="674"/>
      <c r="G2838" s="674"/>
      <c r="H2838" s="674"/>
      <c r="I2838" s="675"/>
      <c r="J2838" s="675"/>
      <c r="K2838" s="674"/>
      <c r="L2838" s="674"/>
      <c r="M2838" s="675"/>
    </row>
    <row r="2839" spans="4:13" x14ac:dyDescent="0.2">
      <c r="D2839" s="673"/>
      <c r="E2839" s="674"/>
      <c r="F2839" s="674"/>
      <c r="G2839" s="674"/>
      <c r="H2839" s="674"/>
      <c r="I2839" s="675"/>
      <c r="J2839" s="675"/>
      <c r="K2839" s="674"/>
      <c r="L2839" s="674"/>
      <c r="M2839" s="675"/>
    </row>
    <row r="2840" spans="4:13" x14ac:dyDescent="0.2">
      <c r="D2840" s="673"/>
      <c r="E2840" s="674"/>
      <c r="F2840" s="674"/>
      <c r="G2840" s="674"/>
      <c r="H2840" s="674"/>
      <c r="I2840" s="675"/>
      <c r="J2840" s="675"/>
      <c r="K2840" s="674"/>
      <c r="L2840" s="674"/>
      <c r="M2840" s="675"/>
    </row>
    <row r="2841" spans="4:13" x14ac:dyDescent="0.2">
      <c r="D2841" s="673"/>
      <c r="E2841" s="674"/>
      <c r="F2841" s="674"/>
      <c r="G2841" s="674"/>
      <c r="H2841" s="674"/>
      <c r="I2841" s="675"/>
      <c r="J2841" s="675"/>
      <c r="K2841" s="674"/>
      <c r="L2841" s="674"/>
      <c r="M2841" s="675"/>
    </row>
    <row r="2842" spans="4:13" x14ac:dyDescent="0.2">
      <c r="D2842" s="673"/>
      <c r="E2842" s="674"/>
      <c r="F2842" s="674"/>
      <c r="G2842" s="674"/>
      <c r="H2842" s="674"/>
      <c r="I2842" s="675"/>
      <c r="J2842" s="675"/>
      <c r="K2842" s="674"/>
      <c r="L2842" s="674"/>
      <c r="M2842" s="675"/>
    </row>
    <row r="2843" spans="4:13" x14ac:dyDescent="0.2">
      <c r="D2843" s="673"/>
      <c r="E2843" s="674"/>
      <c r="F2843" s="674"/>
      <c r="G2843" s="674"/>
      <c r="H2843" s="674"/>
      <c r="I2843" s="675"/>
      <c r="J2843" s="675"/>
      <c r="K2843" s="674"/>
      <c r="L2843" s="674"/>
      <c r="M2843" s="675"/>
    </row>
    <row r="2844" spans="4:13" x14ac:dyDescent="0.2">
      <c r="D2844" s="673"/>
      <c r="E2844" s="674"/>
      <c r="F2844" s="674"/>
      <c r="G2844" s="674"/>
      <c r="H2844" s="674"/>
      <c r="I2844" s="675"/>
      <c r="J2844" s="675"/>
      <c r="K2844" s="674"/>
      <c r="L2844" s="674"/>
      <c r="M2844" s="675"/>
    </row>
    <row r="2845" spans="4:13" x14ac:dyDescent="0.2">
      <c r="D2845" s="673"/>
      <c r="E2845" s="674"/>
      <c r="F2845" s="674"/>
      <c r="G2845" s="674"/>
      <c r="H2845" s="674"/>
      <c r="I2845" s="675"/>
      <c r="J2845" s="675"/>
      <c r="K2845" s="674"/>
      <c r="L2845" s="674"/>
      <c r="M2845" s="675"/>
    </row>
    <row r="2846" spans="4:13" x14ac:dyDescent="0.2">
      <c r="D2846" s="673"/>
      <c r="E2846" s="674"/>
      <c r="F2846" s="674"/>
      <c r="G2846" s="674"/>
      <c r="H2846" s="674"/>
      <c r="I2846" s="675"/>
      <c r="J2846" s="675"/>
      <c r="K2846" s="674"/>
      <c r="L2846" s="674"/>
      <c r="M2846" s="675"/>
    </row>
    <row r="2847" spans="4:13" x14ac:dyDescent="0.2">
      <c r="D2847" s="673"/>
      <c r="E2847" s="674"/>
      <c r="F2847" s="674"/>
      <c r="G2847" s="674"/>
      <c r="H2847" s="674"/>
      <c r="I2847" s="675"/>
      <c r="J2847" s="675"/>
      <c r="K2847" s="674"/>
      <c r="L2847" s="674"/>
      <c r="M2847" s="675"/>
    </row>
    <row r="2848" spans="4:13" x14ac:dyDescent="0.2">
      <c r="D2848" s="673"/>
      <c r="E2848" s="674"/>
      <c r="F2848" s="674"/>
      <c r="G2848" s="674"/>
      <c r="H2848" s="674"/>
      <c r="I2848" s="675"/>
      <c r="J2848" s="675"/>
      <c r="K2848" s="674"/>
      <c r="L2848" s="674"/>
      <c r="M2848" s="675"/>
    </row>
    <row r="2849" spans="4:13" x14ac:dyDescent="0.2">
      <c r="D2849" s="673"/>
      <c r="E2849" s="674"/>
      <c r="F2849" s="674"/>
      <c r="G2849" s="674"/>
      <c r="H2849" s="674"/>
      <c r="I2849" s="675"/>
      <c r="J2849" s="675"/>
      <c r="K2849" s="674"/>
      <c r="L2849" s="674"/>
      <c r="M2849" s="675"/>
    </row>
    <row r="2850" spans="4:13" x14ac:dyDescent="0.2">
      <c r="D2850" s="673"/>
      <c r="E2850" s="674"/>
      <c r="F2850" s="674"/>
      <c r="G2850" s="674"/>
      <c r="H2850" s="674"/>
      <c r="I2850" s="675"/>
      <c r="J2850" s="675"/>
      <c r="K2850" s="674"/>
      <c r="L2850" s="674"/>
      <c r="M2850" s="675"/>
    </row>
    <row r="2851" spans="4:13" x14ac:dyDescent="0.2">
      <c r="D2851" s="673"/>
      <c r="E2851" s="674"/>
      <c r="F2851" s="674"/>
      <c r="G2851" s="674"/>
      <c r="H2851" s="674"/>
      <c r="I2851" s="675"/>
      <c r="J2851" s="675"/>
      <c r="K2851" s="674"/>
      <c r="L2851" s="674"/>
      <c r="M2851" s="675"/>
    </row>
    <row r="2852" spans="4:13" x14ac:dyDescent="0.2">
      <c r="D2852" s="673"/>
      <c r="E2852" s="674"/>
      <c r="F2852" s="674"/>
      <c r="G2852" s="674"/>
      <c r="H2852" s="674"/>
      <c r="I2852" s="675"/>
      <c r="J2852" s="675"/>
      <c r="K2852" s="674"/>
      <c r="L2852" s="674"/>
      <c r="M2852" s="675"/>
    </row>
    <row r="2853" spans="4:13" x14ac:dyDescent="0.2">
      <c r="D2853" s="673"/>
      <c r="E2853" s="674"/>
      <c r="F2853" s="674"/>
      <c r="G2853" s="674"/>
      <c r="H2853" s="674"/>
      <c r="I2853" s="675"/>
      <c r="J2853" s="675"/>
      <c r="K2853" s="674"/>
      <c r="L2853" s="674"/>
      <c r="M2853" s="675"/>
    </row>
    <row r="2854" spans="4:13" x14ac:dyDescent="0.2">
      <c r="D2854" s="673"/>
      <c r="E2854" s="674"/>
      <c r="F2854" s="674"/>
      <c r="G2854" s="674"/>
      <c r="H2854" s="674"/>
      <c r="I2854" s="675"/>
      <c r="J2854" s="675"/>
      <c r="K2854" s="674"/>
      <c r="L2854" s="674"/>
      <c r="M2854" s="675"/>
    </row>
    <row r="2855" spans="4:13" x14ac:dyDescent="0.2">
      <c r="D2855" s="673"/>
      <c r="E2855" s="674"/>
      <c r="F2855" s="674"/>
      <c r="G2855" s="674"/>
      <c r="H2855" s="674"/>
      <c r="I2855" s="675"/>
      <c r="J2855" s="675"/>
      <c r="K2855" s="674"/>
      <c r="L2855" s="674"/>
      <c r="M2855" s="675"/>
    </row>
    <row r="2856" spans="4:13" x14ac:dyDescent="0.2">
      <c r="D2856" s="673"/>
      <c r="E2856" s="674"/>
      <c r="F2856" s="674"/>
      <c r="G2856" s="674"/>
      <c r="H2856" s="674"/>
      <c r="I2856" s="675"/>
      <c r="J2856" s="675"/>
      <c r="K2856" s="674"/>
      <c r="L2856" s="674"/>
      <c r="M2856" s="675"/>
    </row>
    <row r="2857" spans="4:13" x14ac:dyDescent="0.2">
      <c r="D2857" s="673"/>
      <c r="E2857" s="674"/>
      <c r="F2857" s="674"/>
      <c r="G2857" s="674"/>
      <c r="H2857" s="674"/>
      <c r="I2857" s="675"/>
      <c r="J2857" s="675"/>
      <c r="K2857" s="674"/>
      <c r="L2857" s="674"/>
      <c r="M2857" s="675"/>
    </row>
    <row r="2858" spans="4:13" x14ac:dyDescent="0.2">
      <c r="D2858" s="673"/>
      <c r="E2858" s="674"/>
      <c r="F2858" s="674"/>
      <c r="G2858" s="674"/>
      <c r="H2858" s="674"/>
      <c r="I2858" s="675"/>
      <c r="J2858" s="675"/>
      <c r="K2858" s="674"/>
      <c r="L2858" s="674"/>
      <c r="M2858" s="675"/>
    </row>
    <row r="2859" spans="4:13" x14ac:dyDescent="0.2">
      <c r="D2859" s="673"/>
      <c r="E2859" s="674"/>
      <c r="F2859" s="674"/>
      <c r="G2859" s="674"/>
      <c r="H2859" s="674"/>
      <c r="I2859" s="675"/>
      <c r="J2859" s="675"/>
      <c r="K2859" s="674"/>
      <c r="L2859" s="674"/>
      <c r="M2859" s="675"/>
    </row>
    <row r="2860" spans="4:13" x14ac:dyDescent="0.2">
      <c r="D2860" s="673"/>
      <c r="E2860" s="674"/>
      <c r="F2860" s="674"/>
      <c r="G2860" s="674"/>
      <c r="H2860" s="674"/>
      <c r="I2860" s="675"/>
      <c r="J2860" s="675"/>
      <c r="K2860" s="674"/>
      <c r="L2860" s="674"/>
      <c r="M2860" s="675"/>
    </row>
    <row r="2861" spans="4:13" x14ac:dyDescent="0.2">
      <c r="D2861" s="673"/>
      <c r="E2861" s="674"/>
      <c r="F2861" s="674"/>
      <c r="G2861" s="674"/>
      <c r="H2861" s="674"/>
      <c r="I2861" s="675"/>
      <c r="J2861" s="675"/>
      <c r="K2861" s="674"/>
      <c r="L2861" s="674"/>
      <c r="M2861" s="675"/>
    </row>
    <row r="2862" spans="4:13" x14ac:dyDescent="0.2">
      <c r="D2862" s="673"/>
      <c r="E2862" s="674"/>
      <c r="F2862" s="674"/>
      <c r="G2862" s="674"/>
      <c r="H2862" s="674"/>
      <c r="I2862" s="675"/>
      <c r="J2862" s="675"/>
      <c r="K2862" s="674"/>
      <c r="L2862" s="674"/>
      <c r="M2862" s="675"/>
    </row>
    <row r="2863" spans="4:13" x14ac:dyDescent="0.2">
      <c r="D2863" s="673"/>
      <c r="E2863" s="674"/>
      <c r="F2863" s="674"/>
      <c r="G2863" s="674"/>
      <c r="H2863" s="674"/>
      <c r="I2863" s="675"/>
      <c r="J2863" s="675"/>
      <c r="K2863" s="674"/>
      <c r="L2863" s="674"/>
      <c r="M2863" s="675"/>
    </row>
    <row r="2864" spans="4:13" x14ac:dyDescent="0.2">
      <c r="D2864" s="673"/>
      <c r="E2864" s="674"/>
      <c r="F2864" s="674"/>
      <c r="G2864" s="674"/>
      <c r="H2864" s="674"/>
      <c r="I2864" s="675"/>
      <c r="J2864" s="675"/>
      <c r="K2864" s="674"/>
      <c r="L2864" s="674"/>
      <c r="M2864" s="675"/>
    </row>
    <row r="2865" spans="4:13" x14ac:dyDescent="0.2">
      <c r="D2865" s="673"/>
      <c r="E2865" s="674"/>
      <c r="F2865" s="674"/>
      <c r="G2865" s="674"/>
      <c r="H2865" s="674"/>
      <c r="I2865" s="675"/>
      <c r="J2865" s="675"/>
      <c r="K2865" s="674"/>
      <c r="L2865" s="674"/>
      <c r="M2865" s="675"/>
    </row>
    <row r="2866" spans="4:13" x14ac:dyDescent="0.2">
      <c r="D2866" s="673"/>
      <c r="E2866" s="674"/>
      <c r="F2866" s="674"/>
      <c r="G2866" s="674"/>
      <c r="H2866" s="674"/>
      <c r="I2866" s="675"/>
      <c r="J2866" s="675"/>
      <c r="K2866" s="674"/>
      <c r="L2866" s="674"/>
      <c r="M2866" s="675"/>
    </row>
    <row r="2867" spans="4:13" x14ac:dyDescent="0.2">
      <c r="D2867" s="673"/>
      <c r="E2867" s="674"/>
      <c r="F2867" s="674"/>
      <c r="G2867" s="674"/>
      <c r="H2867" s="674"/>
      <c r="I2867" s="675"/>
      <c r="J2867" s="675"/>
      <c r="K2867" s="674"/>
      <c r="L2867" s="674"/>
      <c r="M2867" s="675"/>
    </row>
    <row r="2868" spans="4:13" x14ac:dyDescent="0.2">
      <c r="D2868" s="673"/>
      <c r="E2868" s="674"/>
      <c r="F2868" s="674"/>
      <c r="G2868" s="674"/>
      <c r="H2868" s="674"/>
      <c r="I2868" s="675"/>
      <c r="J2868" s="675"/>
      <c r="K2868" s="674"/>
      <c r="L2868" s="674"/>
      <c r="M2868" s="675"/>
    </row>
    <row r="2869" spans="4:13" x14ac:dyDescent="0.2">
      <c r="D2869" s="673"/>
      <c r="E2869" s="674"/>
      <c r="F2869" s="674"/>
      <c r="G2869" s="674"/>
      <c r="H2869" s="674"/>
      <c r="I2869" s="675"/>
      <c r="J2869" s="675"/>
      <c r="K2869" s="674"/>
      <c r="L2869" s="674"/>
      <c r="M2869" s="675"/>
    </row>
    <row r="2870" spans="4:13" x14ac:dyDescent="0.2">
      <c r="D2870" s="673"/>
      <c r="E2870" s="674"/>
      <c r="F2870" s="674"/>
      <c r="G2870" s="674"/>
      <c r="H2870" s="674"/>
      <c r="I2870" s="675"/>
      <c r="J2870" s="675"/>
      <c r="K2870" s="674"/>
      <c r="L2870" s="674"/>
      <c r="M2870" s="675"/>
    </row>
    <row r="2871" spans="4:13" x14ac:dyDescent="0.2">
      <c r="D2871" s="673"/>
      <c r="E2871" s="674"/>
      <c r="F2871" s="674"/>
      <c r="G2871" s="674"/>
      <c r="H2871" s="674"/>
      <c r="I2871" s="675"/>
      <c r="J2871" s="675"/>
      <c r="K2871" s="674"/>
      <c r="L2871" s="674"/>
      <c r="M2871" s="675"/>
    </row>
    <row r="2872" spans="4:13" x14ac:dyDescent="0.2">
      <c r="D2872" s="673"/>
      <c r="E2872" s="674"/>
      <c r="F2872" s="674"/>
      <c r="G2872" s="674"/>
      <c r="H2872" s="674"/>
      <c r="I2872" s="675"/>
      <c r="J2872" s="675"/>
      <c r="K2872" s="674"/>
      <c r="L2872" s="674"/>
      <c r="M2872" s="675"/>
    </row>
    <row r="2873" spans="4:13" x14ac:dyDescent="0.2">
      <c r="D2873" s="673"/>
      <c r="E2873" s="674"/>
      <c r="F2873" s="674"/>
      <c r="G2873" s="674"/>
      <c r="H2873" s="674"/>
      <c r="I2873" s="675"/>
      <c r="J2873" s="675"/>
      <c r="K2873" s="674"/>
      <c r="L2873" s="674"/>
      <c r="M2873" s="675"/>
    </row>
    <row r="2874" spans="4:13" x14ac:dyDescent="0.2">
      <c r="D2874" s="673"/>
      <c r="E2874" s="674"/>
      <c r="F2874" s="674"/>
      <c r="G2874" s="674"/>
      <c r="H2874" s="674"/>
      <c r="I2874" s="675"/>
      <c r="J2874" s="675"/>
      <c r="K2874" s="674"/>
      <c r="L2874" s="674"/>
      <c r="M2874" s="675"/>
    </row>
    <row r="2875" spans="4:13" x14ac:dyDescent="0.2">
      <c r="D2875" s="673"/>
      <c r="E2875" s="674"/>
      <c r="F2875" s="674"/>
      <c r="G2875" s="674"/>
      <c r="H2875" s="674"/>
      <c r="I2875" s="675"/>
      <c r="J2875" s="675"/>
      <c r="K2875" s="674"/>
      <c r="L2875" s="674"/>
      <c r="M2875" s="675"/>
    </row>
    <row r="2876" spans="4:13" x14ac:dyDescent="0.2">
      <c r="D2876" s="673"/>
      <c r="E2876" s="674"/>
      <c r="F2876" s="674"/>
      <c r="G2876" s="674"/>
      <c r="H2876" s="674"/>
      <c r="I2876" s="675"/>
      <c r="J2876" s="675"/>
      <c r="K2876" s="674"/>
      <c r="L2876" s="674"/>
      <c r="M2876" s="675"/>
    </row>
    <row r="2877" spans="4:13" x14ac:dyDescent="0.2">
      <c r="D2877" s="673"/>
      <c r="E2877" s="674"/>
      <c r="F2877" s="674"/>
      <c r="G2877" s="674"/>
      <c r="H2877" s="674"/>
      <c r="I2877" s="675"/>
      <c r="J2877" s="675"/>
      <c r="K2877" s="674"/>
      <c r="L2877" s="674"/>
      <c r="M2877" s="675"/>
    </row>
    <row r="2878" spans="4:13" x14ac:dyDescent="0.2">
      <c r="D2878" s="673"/>
      <c r="E2878" s="674"/>
      <c r="F2878" s="674"/>
      <c r="G2878" s="674"/>
      <c r="H2878" s="674"/>
      <c r="I2878" s="675"/>
      <c r="J2878" s="675"/>
      <c r="K2878" s="674"/>
      <c r="L2878" s="674"/>
      <c r="M2878" s="675"/>
    </row>
    <row r="2879" spans="4:13" x14ac:dyDescent="0.2">
      <c r="D2879" s="673"/>
      <c r="E2879" s="674"/>
      <c r="F2879" s="674"/>
      <c r="G2879" s="674"/>
      <c r="H2879" s="674"/>
      <c r="I2879" s="675"/>
      <c r="J2879" s="675"/>
      <c r="K2879" s="674"/>
      <c r="L2879" s="674"/>
      <c r="M2879" s="675"/>
    </row>
    <row r="2880" spans="4:13" x14ac:dyDescent="0.2">
      <c r="D2880" s="673"/>
      <c r="E2880" s="674"/>
      <c r="F2880" s="674"/>
      <c r="G2880" s="674"/>
      <c r="H2880" s="674"/>
      <c r="I2880" s="675"/>
      <c r="J2880" s="675"/>
      <c r="K2880" s="674"/>
      <c r="L2880" s="674"/>
      <c r="M2880" s="675"/>
    </row>
    <row r="2881" spans="4:13" x14ac:dyDescent="0.2">
      <c r="D2881" s="673"/>
      <c r="E2881" s="674"/>
      <c r="F2881" s="674"/>
      <c r="G2881" s="674"/>
      <c r="H2881" s="674"/>
      <c r="I2881" s="675"/>
      <c r="J2881" s="675"/>
      <c r="K2881" s="674"/>
      <c r="L2881" s="674"/>
      <c r="M2881" s="675"/>
    </row>
    <row r="2882" spans="4:13" x14ac:dyDescent="0.2">
      <c r="D2882" s="673"/>
      <c r="E2882" s="674"/>
      <c r="F2882" s="674"/>
      <c r="G2882" s="674"/>
      <c r="H2882" s="674"/>
      <c r="I2882" s="675"/>
      <c r="J2882" s="675"/>
      <c r="K2882" s="674"/>
      <c r="L2882" s="674"/>
      <c r="M2882" s="675"/>
    </row>
    <row r="2883" spans="4:13" x14ac:dyDescent="0.2">
      <c r="D2883" s="673"/>
      <c r="E2883" s="674"/>
      <c r="F2883" s="674"/>
      <c r="G2883" s="674"/>
      <c r="H2883" s="674"/>
      <c r="I2883" s="675"/>
      <c r="J2883" s="675"/>
      <c r="K2883" s="674"/>
      <c r="L2883" s="674"/>
      <c r="M2883" s="675"/>
    </row>
    <row r="2884" spans="4:13" x14ac:dyDescent="0.2">
      <c r="D2884" s="673"/>
      <c r="E2884" s="674"/>
      <c r="F2884" s="674"/>
      <c r="G2884" s="674"/>
      <c r="H2884" s="674"/>
      <c r="I2884" s="675"/>
      <c r="J2884" s="675"/>
      <c r="K2884" s="674"/>
      <c r="L2884" s="674"/>
      <c r="M2884" s="675"/>
    </row>
    <row r="2885" spans="4:13" x14ac:dyDescent="0.2">
      <c r="D2885" s="673"/>
      <c r="E2885" s="674"/>
      <c r="F2885" s="674"/>
      <c r="G2885" s="674"/>
      <c r="H2885" s="674"/>
      <c r="I2885" s="675"/>
      <c r="J2885" s="675"/>
      <c r="K2885" s="674"/>
      <c r="L2885" s="674"/>
      <c r="M2885" s="675"/>
    </row>
    <row r="2886" spans="4:13" x14ac:dyDescent="0.2">
      <c r="D2886" s="673"/>
      <c r="E2886" s="674"/>
      <c r="F2886" s="674"/>
      <c r="G2886" s="674"/>
      <c r="H2886" s="674"/>
      <c r="I2886" s="675"/>
      <c r="J2886" s="675"/>
      <c r="K2886" s="674"/>
      <c r="L2886" s="674"/>
      <c r="M2886" s="675"/>
    </row>
    <row r="2887" spans="4:13" x14ac:dyDescent="0.2">
      <c r="D2887" s="673"/>
      <c r="E2887" s="674"/>
      <c r="F2887" s="674"/>
      <c r="G2887" s="674"/>
      <c r="H2887" s="674"/>
      <c r="I2887" s="675"/>
      <c r="J2887" s="675"/>
      <c r="K2887" s="674"/>
      <c r="L2887" s="674"/>
      <c r="M2887" s="675"/>
    </row>
  </sheetData>
  <mergeCells count="6">
    <mergeCell ref="A598:D598"/>
    <mergeCell ref="A1:H1"/>
    <mergeCell ref="A2:H2"/>
    <mergeCell ref="B4:C4"/>
    <mergeCell ref="D5:F7"/>
    <mergeCell ref="G7:H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2"/>
  <sheetViews>
    <sheetView zoomScaleNormal="100" workbookViewId="0">
      <selection activeCell="K42" sqref="K42"/>
    </sheetView>
  </sheetViews>
  <sheetFormatPr baseColWidth="10" defaultRowHeight="15" x14ac:dyDescent="0.25"/>
  <cols>
    <col min="8" max="8" width="12.85546875" bestFit="1" customWidth="1"/>
  </cols>
  <sheetData>
    <row r="2" spans="1:10" ht="17.25" x14ac:dyDescent="0.25">
      <c r="A2" s="1832" t="s">
        <v>858</v>
      </c>
      <c r="B2" s="1832"/>
      <c r="C2" s="1832"/>
      <c r="D2" s="1832"/>
      <c r="E2" s="1832"/>
      <c r="F2" s="1832"/>
      <c r="G2" s="1832"/>
      <c r="H2" s="1832"/>
      <c r="I2" s="1832"/>
      <c r="J2" s="435"/>
    </row>
    <row r="3" spans="1:10" x14ac:dyDescent="0.25">
      <c r="A3" s="435"/>
      <c r="B3" s="436"/>
      <c r="C3" s="436"/>
      <c r="D3" s="436"/>
      <c r="E3" s="436"/>
      <c r="F3" s="436"/>
      <c r="G3" s="436"/>
      <c r="H3" s="436"/>
      <c r="I3" s="436"/>
      <c r="J3" s="435"/>
    </row>
    <row r="4" spans="1:10" ht="16.5" x14ac:dyDescent="0.3">
      <c r="A4" s="435"/>
      <c r="B4" s="437" t="s">
        <v>629</v>
      </c>
      <c r="C4" s="1833" t="s">
        <v>829</v>
      </c>
      <c r="D4" s="1833"/>
      <c r="E4" s="1833"/>
      <c r="F4" s="1833"/>
      <c r="G4" s="1833"/>
      <c r="H4" s="1833"/>
      <c r="I4" s="436"/>
      <c r="J4" s="435"/>
    </row>
    <row r="5" spans="1:10" ht="15.75" thickBot="1" x14ac:dyDescent="0.3">
      <c r="A5" s="435"/>
      <c r="B5" s="438"/>
      <c r="C5" s="438"/>
      <c r="D5" s="438"/>
      <c r="E5" s="438"/>
      <c r="F5" s="438"/>
      <c r="G5" s="438"/>
      <c r="H5" s="435"/>
      <c r="I5" s="435"/>
      <c r="J5" s="435"/>
    </row>
    <row r="6" spans="1:10" ht="15.75" thickBot="1" x14ac:dyDescent="0.3">
      <c r="A6" s="435"/>
      <c r="B6" s="439"/>
      <c r="C6" s="440" t="s">
        <v>859</v>
      </c>
      <c r="D6" s="1834" t="s">
        <v>860</v>
      </c>
      <c r="E6" s="1835"/>
      <c r="F6" s="1835"/>
      <c r="G6" s="1836"/>
      <c r="H6" s="441" t="s">
        <v>861</v>
      </c>
      <c r="I6" s="435"/>
      <c r="J6" s="435"/>
    </row>
    <row r="7" spans="1:10" ht="15.75" thickBot="1" x14ac:dyDescent="0.3">
      <c r="A7" s="435"/>
      <c r="B7" s="435"/>
      <c r="C7" s="442" t="s">
        <v>636</v>
      </c>
      <c r="D7" s="1837" t="str">
        <f>B17</f>
        <v>RETRIBUCIONES COMPLEMENTARIAS-PLAZO FIJO</v>
      </c>
      <c r="E7" s="1838"/>
      <c r="F7" s="1838"/>
      <c r="G7" s="1839"/>
      <c r="H7" s="712">
        <f>I24</f>
        <v>288706</v>
      </c>
      <c r="I7" s="435"/>
      <c r="J7" s="435"/>
    </row>
    <row r="8" spans="1:10" ht="15.75" thickBot="1" x14ac:dyDescent="0.3">
      <c r="A8" s="435"/>
      <c r="B8" s="435"/>
      <c r="C8" s="442" t="str">
        <f>A27</f>
        <v>65.11.11</v>
      </c>
      <c r="D8" s="1826" t="str">
        <f>B27</f>
        <v>OBLIGACIONES DEL EMPLEADOR (Essalud,ONP,AFP y Otros)</v>
      </c>
      <c r="E8" s="1827"/>
      <c r="F8" s="1827"/>
      <c r="G8" s="1828"/>
      <c r="H8" s="712">
        <f>H35</f>
        <v>46294</v>
      </c>
      <c r="I8" s="435"/>
      <c r="J8" s="435"/>
    </row>
    <row r="9" spans="1:10" ht="15.75" thickBot="1" x14ac:dyDescent="0.3">
      <c r="A9" s="435"/>
      <c r="B9" s="435"/>
      <c r="C9" s="442" t="str">
        <f>A38</f>
        <v>65.11.13</v>
      </c>
      <c r="D9" s="1826" t="str">
        <f>B38</f>
        <v>GASTOS VARIABLES Y OCASIONALES</v>
      </c>
      <c r="E9" s="1827"/>
      <c r="F9" s="1827"/>
      <c r="G9" s="1828"/>
      <c r="H9" s="712">
        <f>H45</f>
        <v>6000</v>
      </c>
      <c r="I9" s="435"/>
      <c r="J9" s="435"/>
    </row>
    <row r="10" spans="1:10" ht="15.75" thickBot="1" x14ac:dyDescent="0.3">
      <c r="A10" s="435"/>
      <c r="B10" s="435"/>
      <c r="C10" s="442" t="str">
        <f>A48</f>
        <v>65.11.20</v>
      </c>
      <c r="D10" s="1826" t="str">
        <f>B48</f>
        <v>VIATICOS</v>
      </c>
      <c r="E10" s="1827"/>
      <c r="F10" s="1827"/>
      <c r="G10" s="1828"/>
      <c r="H10" s="712">
        <f>J55</f>
        <v>0</v>
      </c>
      <c r="I10" s="435"/>
      <c r="J10" s="435"/>
    </row>
    <row r="11" spans="1:10" ht="15.75" thickBot="1" x14ac:dyDescent="0.3">
      <c r="A11" s="435"/>
      <c r="B11" s="435"/>
      <c r="C11" s="442" t="s">
        <v>862</v>
      </c>
      <c r="D11" s="1826" t="str">
        <f>B57</f>
        <v>EQUIPO Y MATERIAL DURADERO</v>
      </c>
      <c r="E11" s="1827"/>
      <c r="F11" s="1827"/>
      <c r="G11" s="1828"/>
      <c r="H11" s="712">
        <f>I98</f>
        <v>17135.5</v>
      </c>
      <c r="I11" s="435"/>
      <c r="J11" s="435"/>
    </row>
    <row r="12" spans="1:10" ht="15.75" thickBot="1" x14ac:dyDescent="0.3">
      <c r="A12" s="435"/>
      <c r="B12" s="435"/>
      <c r="C12" s="442" t="s">
        <v>863</v>
      </c>
      <c r="D12" s="1826" t="str">
        <f>B100</f>
        <v>VESTUARIO</v>
      </c>
      <c r="E12" s="1827"/>
      <c r="F12" s="1827"/>
      <c r="G12" s="1828"/>
      <c r="H12" s="712">
        <f>I108</f>
        <v>1825</v>
      </c>
      <c r="I12" s="435"/>
      <c r="J12" s="435"/>
    </row>
    <row r="13" spans="1:10" ht="15.75" thickBot="1" x14ac:dyDescent="0.3">
      <c r="A13" s="435"/>
      <c r="B13" s="435"/>
      <c r="C13" s="442" t="s">
        <v>863</v>
      </c>
      <c r="D13" s="1826" t="str">
        <f>B111</f>
        <v>COMBUSTIBLE Y LUBRICANTES</v>
      </c>
      <c r="E13" s="1827"/>
      <c r="F13" s="1827"/>
      <c r="G13" s="1828"/>
      <c r="H13" s="712">
        <f>I116</f>
        <v>1575</v>
      </c>
      <c r="I13" s="435"/>
      <c r="J13" s="435"/>
    </row>
    <row r="14" spans="1:10" ht="15.75" thickBot="1" x14ac:dyDescent="0.3">
      <c r="A14" s="435"/>
      <c r="B14" s="435"/>
      <c r="C14" s="442" t="s">
        <v>864</v>
      </c>
      <c r="D14" s="1829" t="s">
        <v>865</v>
      </c>
      <c r="E14" s="1830"/>
      <c r="F14" s="1830"/>
      <c r="G14" s="1831"/>
      <c r="H14" s="713">
        <f>I129</f>
        <v>10500</v>
      </c>
      <c r="I14" s="435"/>
      <c r="J14" s="435"/>
    </row>
    <row r="15" spans="1:10" ht="16.5" thickBot="1" x14ac:dyDescent="0.3">
      <c r="A15" s="435"/>
      <c r="B15" s="435"/>
      <c r="C15" s="714"/>
      <c r="D15" s="1818" t="s">
        <v>866</v>
      </c>
      <c r="E15" s="1819"/>
      <c r="F15" s="1819"/>
      <c r="G15" s="1820"/>
      <c r="H15" s="715">
        <f>SUM(H7:H14)</f>
        <v>372035.5</v>
      </c>
      <c r="I15" s="435"/>
      <c r="J15" s="435"/>
    </row>
    <row r="16" spans="1:10" x14ac:dyDescent="0.25">
      <c r="A16" s="443"/>
      <c r="B16" s="439"/>
      <c r="C16" s="439"/>
      <c r="D16" s="439"/>
      <c r="E16" s="439"/>
      <c r="F16" s="439"/>
      <c r="G16" s="439"/>
      <c r="H16" s="439"/>
      <c r="I16" s="439"/>
      <c r="J16" s="443"/>
    </row>
    <row r="17" spans="1:10" ht="19.5" customHeight="1" x14ac:dyDescent="0.25">
      <c r="A17" s="444" t="s">
        <v>636</v>
      </c>
      <c r="B17" s="1840" t="s">
        <v>867</v>
      </c>
      <c r="C17" s="1840"/>
      <c r="D17" s="1840"/>
      <c r="E17" s="1840"/>
      <c r="F17" s="1840"/>
      <c r="G17" s="1840"/>
      <c r="H17" s="1840"/>
      <c r="I17" s="1840"/>
      <c r="J17" s="443"/>
    </row>
    <row r="18" spans="1:10" x14ac:dyDescent="0.25">
      <c r="A18" s="446"/>
      <c r="B18" s="1821" t="s">
        <v>868</v>
      </c>
      <c r="C18" s="1821"/>
      <c r="D18" s="1821"/>
      <c r="E18" s="447"/>
      <c r="F18" s="447"/>
      <c r="G18" s="447"/>
      <c r="H18" s="447"/>
      <c r="I18" s="447"/>
      <c r="J18" s="443"/>
    </row>
    <row r="19" spans="1:10" ht="38.25" x14ac:dyDescent="0.25">
      <c r="A19" s="448"/>
      <c r="B19" s="1337" t="s">
        <v>869</v>
      </c>
      <c r="C19" s="1337" t="s">
        <v>740</v>
      </c>
      <c r="D19" s="1337" t="s">
        <v>870</v>
      </c>
      <c r="E19" s="1337" t="s">
        <v>871</v>
      </c>
      <c r="F19" s="1337" t="s">
        <v>872</v>
      </c>
      <c r="G19" s="1337" t="s">
        <v>873</v>
      </c>
      <c r="H19" s="1337" t="s">
        <v>874</v>
      </c>
      <c r="I19" s="1337" t="s">
        <v>875</v>
      </c>
      <c r="J19" s="443"/>
    </row>
    <row r="20" spans="1:10" ht="51" customHeight="1" x14ac:dyDescent="0.25">
      <c r="A20" s="448"/>
      <c r="B20" s="449" t="s">
        <v>637</v>
      </c>
      <c r="C20" s="450" t="s">
        <v>638</v>
      </c>
      <c r="D20" s="450">
        <v>1</v>
      </c>
      <c r="E20" s="1340">
        <v>6500</v>
      </c>
      <c r="F20" s="451">
        <v>1</v>
      </c>
      <c r="G20" s="1340">
        <v>20</v>
      </c>
      <c r="H20" s="1340">
        <v>5554.75</v>
      </c>
      <c r="I20" s="1340">
        <v>111095</v>
      </c>
      <c r="J20" s="443"/>
    </row>
    <row r="21" spans="1:10" ht="51" customHeight="1" x14ac:dyDescent="0.25">
      <c r="A21" s="448"/>
      <c r="B21" s="449" t="s">
        <v>639</v>
      </c>
      <c r="C21" s="450" t="s">
        <v>638</v>
      </c>
      <c r="D21" s="450">
        <v>3</v>
      </c>
      <c r="E21" s="452">
        <v>4900</v>
      </c>
      <c r="F21" s="451">
        <v>1</v>
      </c>
      <c r="G21" s="1340">
        <v>20</v>
      </c>
      <c r="H21" s="1340">
        <v>4236.75</v>
      </c>
      <c r="I21" s="1340">
        <v>84735</v>
      </c>
      <c r="J21" s="443"/>
    </row>
    <row r="22" spans="1:10" ht="76.5" customHeight="1" x14ac:dyDescent="0.25">
      <c r="A22" s="448"/>
      <c r="B22" s="449" t="s">
        <v>640</v>
      </c>
      <c r="C22" s="450" t="s">
        <v>638</v>
      </c>
      <c r="D22" s="450">
        <v>1</v>
      </c>
      <c r="E22" s="1340">
        <v>4350</v>
      </c>
      <c r="F22" s="451">
        <v>1</v>
      </c>
      <c r="G22" s="1340">
        <v>20</v>
      </c>
      <c r="H22" s="1340">
        <v>3775.8</v>
      </c>
      <c r="I22" s="1340">
        <v>75516</v>
      </c>
      <c r="J22" s="443"/>
    </row>
    <row r="23" spans="1:10" ht="76.5" customHeight="1" x14ac:dyDescent="0.25">
      <c r="A23" s="448"/>
      <c r="B23" s="449" t="s">
        <v>641</v>
      </c>
      <c r="C23" s="450" t="s">
        <v>638</v>
      </c>
      <c r="D23" s="450">
        <v>1</v>
      </c>
      <c r="E23" s="1340">
        <v>4000</v>
      </c>
      <c r="F23" s="451">
        <v>1</v>
      </c>
      <c r="G23" s="1340">
        <v>5</v>
      </c>
      <c r="H23" s="1340">
        <v>3472</v>
      </c>
      <c r="I23" s="1340">
        <v>17360</v>
      </c>
      <c r="J23" s="443"/>
    </row>
    <row r="24" spans="1:10" x14ac:dyDescent="0.25">
      <c r="A24" s="448"/>
      <c r="B24" s="1813" t="s">
        <v>239</v>
      </c>
      <c r="C24" s="1814"/>
      <c r="D24" s="1814"/>
      <c r="E24" s="1814"/>
      <c r="F24" s="1814"/>
      <c r="G24" s="1814"/>
      <c r="H24" s="1815"/>
      <c r="I24" s="453">
        <f>SUM(I20:I23)</f>
        <v>288706</v>
      </c>
      <c r="J24" s="443"/>
    </row>
    <row r="25" spans="1:10" x14ac:dyDescent="0.25">
      <c r="A25" s="448"/>
      <c r="B25" s="439"/>
      <c r="C25" s="439"/>
      <c r="D25" s="439"/>
      <c r="E25" s="439"/>
      <c r="F25" s="439"/>
      <c r="G25" s="439"/>
      <c r="H25" s="439"/>
      <c r="I25" s="454"/>
      <c r="J25" s="443"/>
    </row>
    <row r="26" spans="1:10" x14ac:dyDescent="0.25">
      <c r="A26" s="448"/>
      <c r="B26" s="439"/>
      <c r="C26" s="439"/>
      <c r="D26" s="439"/>
      <c r="E26" s="439"/>
      <c r="F26" s="439"/>
      <c r="G26" s="439"/>
      <c r="H26" s="439"/>
      <c r="I26" s="454"/>
      <c r="J26" s="443"/>
    </row>
    <row r="27" spans="1:10" ht="15" customHeight="1" x14ac:dyDescent="0.25">
      <c r="A27" s="444" t="s">
        <v>642</v>
      </c>
      <c r="B27" s="1840" t="s">
        <v>648</v>
      </c>
      <c r="C27" s="1840"/>
      <c r="D27" s="1840"/>
      <c r="E27" s="1840"/>
      <c r="F27" s="1840"/>
      <c r="G27" s="1840"/>
      <c r="H27" s="1840"/>
      <c r="I27" s="454"/>
      <c r="J27" s="443"/>
    </row>
    <row r="28" spans="1:10" x14ac:dyDescent="0.25">
      <c r="A28" s="455"/>
      <c r="B28" s="456"/>
      <c r="C28" s="439"/>
      <c r="D28" s="439"/>
      <c r="E28" s="439"/>
      <c r="F28" s="439"/>
      <c r="G28" s="439"/>
      <c r="H28" s="439"/>
      <c r="I28" s="454"/>
      <c r="J28" s="443"/>
    </row>
    <row r="29" spans="1:10" ht="22.5" customHeight="1" x14ac:dyDescent="0.25">
      <c r="A29" s="448"/>
      <c r="B29" s="1822" t="s">
        <v>869</v>
      </c>
      <c r="C29" s="1822" t="s">
        <v>876</v>
      </c>
      <c r="D29" s="1823" t="s">
        <v>877</v>
      </c>
      <c r="E29" s="1823"/>
      <c r="F29" s="1338" t="s">
        <v>878</v>
      </c>
      <c r="G29" s="439"/>
      <c r="H29" s="439"/>
      <c r="I29" s="454"/>
      <c r="J29" s="443"/>
    </row>
    <row r="30" spans="1:10" x14ac:dyDescent="0.25">
      <c r="A30" s="448"/>
      <c r="B30" s="1822"/>
      <c r="C30" s="1822"/>
      <c r="D30" s="1824">
        <v>0.13200000000000001</v>
      </c>
      <c r="E30" s="1824"/>
      <c r="F30" s="1339"/>
      <c r="G30" s="457" t="s">
        <v>873</v>
      </c>
      <c r="H30" s="1337" t="s">
        <v>454</v>
      </c>
      <c r="I30" s="454"/>
      <c r="J30" s="443"/>
    </row>
    <row r="31" spans="1:10" ht="63.75" x14ac:dyDescent="0.25">
      <c r="A31" s="448"/>
      <c r="B31" s="449" t="s">
        <v>637</v>
      </c>
      <c r="C31" s="1340">
        <v>4500</v>
      </c>
      <c r="D31" s="1825">
        <v>594</v>
      </c>
      <c r="E31" s="1825"/>
      <c r="F31" s="450">
        <v>351.25</v>
      </c>
      <c r="G31" s="479">
        <v>20</v>
      </c>
      <c r="H31" s="1340">
        <v>18905</v>
      </c>
      <c r="I31" s="458">
        <f>D31+M29+F31</f>
        <v>945.25</v>
      </c>
      <c r="J31" s="459"/>
    </row>
    <row r="32" spans="1:10" ht="51" x14ac:dyDescent="0.25">
      <c r="A32" s="460"/>
      <c r="B32" s="449" t="s">
        <v>639</v>
      </c>
      <c r="C32" s="1340">
        <v>3500</v>
      </c>
      <c r="D32" s="1825">
        <v>462</v>
      </c>
      <c r="E32" s="1825"/>
      <c r="F32" s="450">
        <v>201.25</v>
      </c>
      <c r="G32" s="711">
        <v>20</v>
      </c>
      <c r="H32" s="1340">
        <v>13265</v>
      </c>
      <c r="I32" s="458">
        <f>D32+M30+F32</f>
        <v>663.25</v>
      </c>
      <c r="J32" s="461"/>
    </row>
    <row r="33" spans="1:10" ht="76.5" x14ac:dyDescent="0.25">
      <c r="A33" s="448"/>
      <c r="B33" s="449" t="s">
        <v>640</v>
      </c>
      <c r="C33" s="1340">
        <v>4350</v>
      </c>
      <c r="D33" s="1825">
        <v>574.20000000000005</v>
      </c>
      <c r="E33" s="1825"/>
      <c r="F33" s="450">
        <v>0</v>
      </c>
      <c r="G33" s="479">
        <v>20</v>
      </c>
      <c r="H33" s="1340">
        <v>11484</v>
      </c>
      <c r="I33" s="458">
        <f>D33+M31+F33</f>
        <v>574.20000000000005</v>
      </c>
      <c r="J33" s="443"/>
    </row>
    <row r="34" spans="1:10" ht="76.5" x14ac:dyDescent="0.25">
      <c r="A34" s="448"/>
      <c r="B34" s="449" t="s">
        <v>641</v>
      </c>
      <c r="C34" s="1340">
        <v>4000</v>
      </c>
      <c r="D34" s="1825">
        <v>528</v>
      </c>
      <c r="E34" s="1825"/>
      <c r="F34" s="462">
        <v>0</v>
      </c>
      <c r="G34" s="479">
        <v>5</v>
      </c>
      <c r="H34" s="1340">
        <v>2640</v>
      </c>
      <c r="I34" s="458">
        <f>D34+F34</f>
        <v>528</v>
      </c>
      <c r="J34" s="443"/>
    </row>
    <row r="35" spans="1:10" x14ac:dyDescent="0.25">
      <c r="A35" s="448"/>
      <c r="B35" s="1334" t="s">
        <v>239</v>
      </c>
      <c r="C35" s="1335"/>
      <c r="D35" s="1335"/>
      <c r="E35" s="1335"/>
      <c r="F35" s="1335"/>
      <c r="G35" s="1336"/>
      <c r="H35" s="453">
        <f>SUM(H31:H34)</f>
        <v>46294</v>
      </c>
      <c r="I35" s="458"/>
      <c r="J35" s="443"/>
    </row>
    <row r="36" spans="1:10" x14ac:dyDescent="0.25">
      <c r="A36" s="448"/>
      <c r="B36" s="439"/>
      <c r="C36" s="439"/>
      <c r="D36" s="439"/>
      <c r="E36" s="439"/>
      <c r="F36" s="439"/>
      <c r="G36" s="439"/>
      <c r="H36" s="454"/>
      <c r="I36" s="458"/>
      <c r="J36" s="443"/>
    </row>
    <row r="37" spans="1:10" x14ac:dyDescent="0.25">
      <c r="A37" s="448"/>
      <c r="B37" s="439"/>
      <c r="C37" s="439"/>
      <c r="D37" s="439"/>
      <c r="E37" s="439"/>
      <c r="F37" s="439"/>
      <c r="G37" s="439"/>
      <c r="H37" s="454"/>
      <c r="I37" s="454"/>
      <c r="J37" s="443"/>
    </row>
    <row r="38" spans="1:10" ht="15" customHeight="1" x14ac:dyDescent="0.25">
      <c r="A38" s="444" t="s">
        <v>644</v>
      </c>
      <c r="B38" s="1840" t="s">
        <v>649</v>
      </c>
      <c r="C38" s="1840"/>
      <c r="D38" s="1840"/>
      <c r="E38" s="1840"/>
      <c r="F38" s="1840"/>
      <c r="G38" s="1840"/>
      <c r="H38" s="1840"/>
      <c r="I38" s="454"/>
      <c r="J38" s="443"/>
    </row>
    <row r="39" spans="1:10" x14ac:dyDescent="0.25">
      <c r="A39" s="448"/>
      <c r="B39" s="439"/>
      <c r="C39" s="439"/>
      <c r="D39" s="439"/>
      <c r="E39" s="439"/>
      <c r="F39" s="439"/>
      <c r="G39" s="439"/>
      <c r="H39" s="454"/>
      <c r="I39" s="454"/>
      <c r="J39" s="443"/>
    </row>
    <row r="40" spans="1:10" ht="25.5" x14ac:dyDescent="0.25">
      <c r="A40" s="448"/>
      <c r="B40" s="1337" t="s">
        <v>869</v>
      </c>
      <c r="C40" s="1337" t="s">
        <v>879</v>
      </c>
      <c r="D40" s="1337"/>
      <c r="E40" s="1337"/>
      <c r="F40" s="1337" t="s">
        <v>880</v>
      </c>
      <c r="G40" s="1337" t="s">
        <v>881</v>
      </c>
      <c r="H40" s="463" t="s">
        <v>454</v>
      </c>
      <c r="I40" s="454"/>
      <c r="J40" s="443"/>
    </row>
    <row r="41" spans="1:10" ht="51" customHeight="1" x14ac:dyDescent="0.25">
      <c r="A41" s="448"/>
      <c r="B41" s="449" t="s">
        <v>637</v>
      </c>
      <c r="C41" s="450">
        <v>1</v>
      </c>
      <c r="D41" s="450"/>
      <c r="E41" s="450"/>
      <c r="F41" s="450">
        <v>5</v>
      </c>
      <c r="G41" s="1340">
        <v>300</v>
      </c>
      <c r="H41" s="1340">
        <f>F41*G41</f>
        <v>1500</v>
      </c>
      <c r="I41" s="454"/>
      <c r="J41" s="443"/>
    </row>
    <row r="42" spans="1:10" ht="51" x14ac:dyDescent="0.25">
      <c r="A42" s="448"/>
      <c r="B42" s="449" t="s">
        <v>639</v>
      </c>
      <c r="C42" s="450">
        <v>3</v>
      </c>
      <c r="D42" s="450"/>
      <c r="E42" s="450"/>
      <c r="F42" s="450">
        <v>5</v>
      </c>
      <c r="G42" s="1340">
        <v>300</v>
      </c>
      <c r="H42" s="1340">
        <f>F42*G42</f>
        <v>1500</v>
      </c>
      <c r="I42" s="454"/>
      <c r="J42" s="443"/>
    </row>
    <row r="43" spans="1:10" ht="76.5" x14ac:dyDescent="0.25">
      <c r="A43" s="448"/>
      <c r="B43" s="449" t="s">
        <v>640</v>
      </c>
      <c r="C43" s="450">
        <v>1</v>
      </c>
      <c r="D43" s="450"/>
      <c r="E43" s="450"/>
      <c r="F43" s="450">
        <v>5</v>
      </c>
      <c r="G43" s="1340">
        <v>300</v>
      </c>
      <c r="H43" s="1340">
        <f>F43*G43</f>
        <v>1500</v>
      </c>
      <c r="I43" s="454"/>
      <c r="J43" s="443"/>
    </row>
    <row r="44" spans="1:10" ht="76.5" x14ac:dyDescent="0.25">
      <c r="A44" s="448"/>
      <c r="B44" s="449" t="s">
        <v>641</v>
      </c>
      <c r="C44" s="450">
        <v>1</v>
      </c>
      <c r="D44" s="450"/>
      <c r="E44" s="450"/>
      <c r="F44" s="450">
        <v>5</v>
      </c>
      <c r="G44" s="1340">
        <v>300</v>
      </c>
      <c r="H44" s="1340">
        <f>F44*G44</f>
        <v>1500</v>
      </c>
      <c r="I44" s="454"/>
      <c r="J44" s="443"/>
    </row>
    <row r="45" spans="1:10" x14ac:dyDescent="0.25">
      <c r="A45" s="448"/>
      <c r="B45" s="1813" t="s">
        <v>239</v>
      </c>
      <c r="C45" s="1814"/>
      <c r="D45" s="1814"/>
      <c r="E45" s="1814"/>
      <c r="F45" s="1814"/>
      <c r="G45" s="1815"/>
      <c r="H45" s="453">
        <f>SUM(H41:H44)</f>
        <v>6000</v>
      </c>
      <c r="I45" s="454"/>
      <c r="J45" s="443"/>
    </row>
    <row r="46" spans="1:10" x14ac:dyDescent="0.25">
      <c r="A46" s="448"/>
      <c r="B46" s="439"/>
      <c r="C46" s="439"/>
      <c r="D46" s="439"/>
      <c r="E46" s="439"/>
      <c r="F46" s="439"/>
      <c r="G46" s="439"/>
      <c r="H46" s="454"/>
      <c r="I46" s="454"/>
      <c r="J46" s="443"/>
    </row>
    <row r="47" spans="1:10" x14ac:dyDescent="0.25">
      <c r="A47" s="448"/>
      <c r="B47" s="439"/>
      <c r="C47" s="439"/>
      <c r="D47" s="439"/>
      <c r="E47" s="439"/>
      <c r="F47" s="439"/>
      <c r="G47" s="439"/>
      <c r="H47" s="454"/>
      <c r="I47" s="454"/>
      <c r="J47" s="443"/>
    </row>
    <row r="48" spans="1:10" x14ac:dyDescent="0.25">
      <c r="A48" s="444" t="s">
        <v>645</v>
      </c>
      <c r="B48" s="456" t="s">
        <v>650</v>
      </c>
      <c r="C48" s="439"/>
      <c r="D48" s="439"/>
      <c r="E48" s="439"/>
      <c r="F48" s="439"/>
      <c r="G48" s="439"/>
      <c r="H48" s="454"/>
      <c r="I48" s="454"/>
      <c r="J48" s="443"/>
    </row>
    <row r="49" spans="1:10" x14ac:dyDescent="0.25">
      <c r="A49" s="448"/>
      <c r="B49" s="439"/>
      <c r="C49" s="439"/>
      <c r="D49" s="439"/>
      <c r="E49" s="439"/>
      <c r="F49" s="439"/>
      <c r="G49" s="439"/>
      <c r="H49" s="454"/>
      <c r="I49" s="454"/>
      <c r="J49" s="443"/>
    </row>
    <row r="50" spans="1:10" ht="25.5" x14ac:dyDescent="0.25">
      <c r="A50" s="448"/>
      <c r="B50" s="1337" t="s">
        <v>882</v>
      </c>
      <c r="C50" s="1337" t="s">
        <v>883</v>
      </c>
      <c r="D50" s="464" t="s">
        <v>632</v>
      </c>
      <c r="E50" s="464" t="s">
        <v>880</v>
      </c>
      <c r="F50" s="464" t="s">
        <v>884</v>
      </c>
      <c r="G50" s="464" t="s">
        <v>885</v>
      </c>
      <c r="H50" s="465" t="s">
        <v>886</v>
      </c>
      <c r="I50" s="466" t="s">
        <v>887</v>
      </c>
      <c r="J50" s="463" t="s">
        <v>239</v>
      </c>
    </row>
    <row r="51" spans="1:10" ht="63.75" x14ac:dyDescent="0.25">
      <c r="A51" s="448"/>
      <c r="B51" s="449" t="s">
        <v>637</v>
      </c>
      <c r="C51" s="450" t="s">
        <v>771</v>
      </c>
      <c r="D51" s="450">
        <v>8</v>
      </c>
      <c r="E51" s="450">
        <v>0</v>
      </c>
      <c r="F51" s="1340">
        <v>140</v>
      </c>
      <c r="G51" s="1340">
        <f>+D51*F51</f>
        <v>1120</v>
      </c>
      <c r="H51" s="1340">
        <v>1</v>
      </c>
      <c r="I51" s="1340">
        <v>140</v>
      </c>
      <c r="J51" s="1340">
        <f>+E51*G51*H51</f>
        <v>0</v>
      </c>
    </row>
    <row r="52" spans="1:10" ht="51" customHeight="1" x14ac:dyDescent="0.25">
      <c r="A52" s="448"/>
      <c r="B52" s="449" t="s">
        <v>639</v>
      </c>
      <c r="C52" s="450" t="s">
        <v>771</v>
      </c>
      <c r="D52" s="450">
        <v>8</v>
      </c>
      <c r="E52" s="450">
        <v>0</v>
      </c>
      <c r="F52" s="1340">
        <v>140</v>
      </c>
      <c r="G52" s="1340">
        <f>+D52*F52</f>
        <v>1120</v>
      </c>
      <c r="H52" s="1340">
        <v>3</v>
      </c>
      <c r="I52" s="1340">
        <v>140</v>
      </c>
      <c r="J52" s="1340">
        <f>+E52*G52*H52</f>
        <v>0</v>
      </c>
    </row>
    <row r="53" spans="1:10" ht="76.5" x14ac:dyDescent="0.25">
      <c r="A53" s="448"/>
      <c r="B53" s="449" t="s">
        <v>640</v>
      </c>
      <c r="C53" s="450" t="s">
        <v>771</v>
      </c>
      <c r="D53" s="450">
        <v>1</v>
      </c>
      <c r="E53" s="450">
        <v>0</v>
      </c>
      <c r="F53" s="1340">
        <v>140</v>
      </c>
      <c r="G53" s="1340">
        <f>F53*D53</f>
        <v>140</v>
      </c>
      <c r="H53" s="1340">
        <v>1</v>
      </c>
      <c r="I53" s="1340">
        <v>140</v>
      </c>
      <c r="J53" s="1340">
        <f>+E53*G53*H53</f>
        <v>0</v>
      </c>
    </row>
    <row r="54" spans="1:10" ht="76.5" x14ac:dyDescent="0.25">
      <c r="A54" s="448"/>
      <c r="B54" s="449" t="s">
        <v>641</v>
      </c>
      <c r="C54" s="450" t="s">
        <v>771</v>
      </c>
      <c r="D54" s="450">
        <v>8</v>
      </c>
      <c r="E54" s="450">
        <v>0</v>
      </c>
      <c r="F54" s="1340">
        <v>140</v>
      </c>
      <c r="G54" s="1340">
        <f>F54*D54</f>
        <v>1120</v>
      </c>
      <c r="H54" s="1340">
        <v>1</v>
      </c>
      <c r="I54" s="1340">
        <v>140</v>
      </c>
      <c r="J54" s="1340">
        <f>+E54*G54*H54</f>
        <v>0</v>
      </c>
    </row>
    <row r="55" spans="1:10" x14ac:dyDescent="0.25">
      <c r="A55" s="448"/>
      <c r="B55" s="1813" t="s">
        <v>239</v>
      </c>
      <c r="C55" s="1814"/>
      <c r="D55" s="1814"/>
      <c r="E55" s="1814"/>
      <c r="F55" s="1814"/>
      <c r="G55" s="1814"/>
      <c r="H55" s="1815"/>
      <c r="I55" s="453"/>
      <c r="J55" s="453">
        <f>SUM(J51:J54)</f>
        <v>0</v>
      </c>
    </row>
    <row r="56" spans="1:10" x14ac:dyDescent="0.25">
      <c r="A56" s="448"/>
      <c r="B56" s="439"/>
      <c r="C56" s="439"/>
      <c r="D56" s="439"/>
      <c r="E56" s="439"/>
      <c r="F56" s="439"/>
      <c r="G56" s="439"/>
      <c r="H56" s="439"/>
      <c r="I56" s="454"/>
      <c r="J56" s="443"/>
    </row>
    <row r="57" spans="1:10" x14ac:dyDescent="0.25">
      <c r="A57" s="444" t="s">
        <v>646</v>
      </c>
      <c r="B57" s="1816" t="s">
        <v>888</v>
      </c>
      <c r="C57" s="1816"/>
      <c r="D57" s="1816"/>
      <c r="E57" s="1816"/>
      <c r="F57" s="443"/>
      <c r="G57" s="443"/>
      <c r="H57" s="443"/>
      <c r="I57" s="443"/>
      <c r="J57" s="443"/>
    </row>
    <row r="58" spans="1:10" x14ac:dyDescent="0.25">
      <c r="A58" s="467"/>
      <c r="B58" s="435"/>
      <c r="C58" s="443"/>
      <c r="D58" s="443"/>
      <c r="E58" s="443"/>
      <c r="F58" s="443"/>
      <c r="G58" s="443"/>
      <c r="H58" s="443"/>
      <c r="I58" s="443"/>
      <c r="J58" s="443"/>
    </row>
    <row r="59" spans="1:10" ht="38.25" x14ac:dyDescent="0.25">
      <c r="A59" s="448"/>
      <c r="B59" s="1337" t="s">
        <v>882</v>
      </c>
      <c r="C59" s="468" t="s">
        <v>647</v>
      </c>
      <c r="D59" s="468" t="s">
        <v>889</v>
      </c>
      <c r="E59" s="1337" t="s">
        <v>871</v>
      </c>
      <c r="F59" s="1337" t="s">
        <v>872</v>
      </c>
      <c r="G59" s="1337" t="s">
        <v>890</v>
      </c>
      <c r="H59" s="1337" t="s">
        <v>874</v>
      </c>
      <c r="I59" s="1337" t="s">
        <v>875</v>
      </c>
      <c r="J59" s="443"/>
    </row>
    <row r="60" spans="1:10" ht="36" x14ac:dyDescent="0.25">
      <c r="A60" s="448"/>
      <c r="B60" s="469" t="s">
        <v>891</v>
      </c>
      <c r="C60" s="470"/>
      <c r="D60" s="470"/>
      <c r="E60" s="471"/>
      <c r="F60" s="471"/>
      <c r="G60" s="471"/>
      <c r="H60" s="471"/>
      <c r="I60" s="472">
        <f>SUM(I61:I84)</f>
        <v>1715.5</v>
      </c>
      <c r="J60" s="443"/>
    </row>
    <row r="61" spans="1:10" x14ac:dyDescent="0.25">
      <c r="A61" s="448"/>
      <c r="B61" s="702" t="s">
        <v>662</v>
      </c>
      <c r="C61" s="706" t="s">
        <v>653</v>
      </c>
      <c r="D61" s="707">
        <v>10</v>
      </c>
      <c r="E61" s="670">
        <v>10</v>
      </c>
      <c r="F61" s="1340">
        <v>1</v>
      </c>
      <c r="G61" s="1340">
        <v>1</v>
      </c>
      <c r="H61" s="1340">
        <f>I61</f>
        <v>100</v>
      </c>
      <c r="I61" s="1340">
        <f>+E61*D61</f>
        <v>100</v>
      </c>
      <c r="J61" s="443"/>
    </row>
    <row r="62" spans="1:10" x14ac:dyDescent="0.25">
      <c r="A62" s="448"/>
      <c r="B62" s="702" t="s">
        <v>663</v>
      </c>
      <c r="C62" s="706" t="s">
        <v>653</v>
      </c>
      <c r="D62" s="707">
        <v>10</v>
      </c>
      <c r="E62" s="670">
        <v>1.5</v>
      </c>
      <c r="F62" s="1340">
        <v>1</v>
      </c>
      <c r="G62" s="1340">
        <v>1</v>
      </c>
      <c r="H62" s="1340">
        <f t="shared" ref="H62:H71" si="0">I62</f>
        <v>15</v>
      </c>
      <c r="I62" s="1340">
        <f>+E62*D62</f>
        <v>15</v>
      </c>
      <c r="J62" s="443"/>
    </row>
    <row r="63" spans="1:10" x14ac:dyDescent="0.25">
      <c r="A63" s="448"/>
      <c r="B63" s="702" t="s">
        <v>1144</v>
      </c>
      <c r="C63" s="706" t="s">
        <v>653</v>
      </c>
      <c r="D63" s="707">
        <v>4</v>
      </c>
      <c r="E63" s="670">
        <v>45</v>
      </c>
      <c r="F63" s="1340">
        <v>1</v>
      </c>
      <c r="G63" s="1340">
        <v>1</v>
      </c>
      <c r="H63" s="1340">
        <f t="shared" si="0"/>
        <v>180</v>
      </c>
      <c r="I63" s="1340">
        <f>+E63*D63</f>
        <v>180</v>
      </c>
      <c r="J63" s="443"/>
    </row>
    <row r="64" spans="1:10" x14ac:dyDescent="0.25">
      <c r="A64" s="448"/>
      <c r="B64" s="702" t="s">
        <v>664</v>
      </c>
      <c r="C64" s="706" t="s">
        <v>665</v>
      </c>
      <c r="D64" s="707">
        <v>3</v>
      </c>
      <c r="E64" s="670">
        <v>2.5</v>
      </c>
      <c r="F64" s="1340">
        <v>1</v>
      </c>
      <c r="G64" s="1340">
        <v>1</v>
      </c>
      <c r="H64" s="1340">
        <f t="shared" si="0"/>
        <v>7.5</v>
      </c>
      <c r="I64" s="1340">
        <f>+E64*D64</f>
        <v>7.5</v>
      </c>
      <c r="J64" s="443"/>
    </row>
    <row r="65" spans="1:10" x14ac:dyDescent="0.25">
      <c r="A65" s="448"/>
      <c r="B65" s="702" t="s">
        <v>666</v>
      </c>
      <c r="C65" s="706" t="s">
        <v>667</v>
      </c>
      <c r="D65" s="707">
        <v>3</v>
      </c>
      <c r="E65" s="670">
        <v>1.5</v>
      </c>
      <c r="F65" s="1340">
        <v>1</v>
      </c>
      <c r="G65" s="1340">
        <v>1</v>
      </c>
      <c r="H65" s="1340">
        <f t="shared" si="0"/>
        <v>4.5</v>
      </c>
      <c r="I65" s="1340">
        <f t="shared" ref="I65:I97" si="1">+E65*D65</f>
        <v>4.5</v>
      </c>
      <c r="J65" s="443"/>
    </row>
    <row r="66" spans="1:10" x14ac:dyDescent="0.25">
      <c r="A66" s="448"/>
      <c r="B66" s="702" t="s">
        <v>668</v>
      </c>
      <c r="C66" s="706" t="s">
        <v>653</v>
      </c>
      <c r="D66" s="707">
        <v>3</v>
      </c>
      <c r="E66" s="670">
        <v>5</v>
      </c>
      <c r="F66" s="1340">
        <v>1</v>
      </c>
      <c r="G66" s="1340">
        <v>1</v>
      </c>
      <c r="H66" s="1340">
        <f t="shared" si="0"/>
        <v>15</v>
      </c>
      <c r="I66" s="1340">
        <f t="shared" si="1"/>
        <v>15</v>
      </c>
      <c r="J66" s="443"/>
    </row>
    <row r="67" spans="1:10" x14ac:dyDescent="0.25">
      <c r="A67" s="448"/>
      <c r="B67" s="702" t="s">
        <v>669</v>
      </c>
      <c r="C67" s="706" t="s">
        <v>653</v>
      </c>
      <c r="D67" s="707">
        <v>3</v>
      </c>
      <c r="E67" s="670">
        <v>20</v>
      </c>
      <c r="F67" s="1340">
        <v>1</v>
      </c>
      <c r="G67" s="1340">
        <v>1</v>
      </c>
      <c r="H67" s="1340">
        <f t="shared" si="0"/>
        <v>60</v>
      </c>
      <c r="I67" s="1340">
        <f t="shared" si="1"/>
        <v>60</v>
      </c>
      <c r="J67" s="443"/>
    </row>
    <row r="68" spans="1:10" x14ac:dyDescent="0.25">
      <c r="A68" s="448"/>
      <c r="B68" s="702" t="s">
        <v>670</v>
      </c>
      <c r="C68" s="706" t="s">
        <v>653</v>
      </c>
      <c r="D68" s="707">
        <v>3</v>
      </c>
      <c r="E68" s="670">
        <v>6.5</v>
      </c>
      <c r="F68" s="1340">
        <v>1</v>
      </c>
      <c r="G68" s="1340">
        <v>1</v>
      </c>
      <c r="H68" s="1340">
        <f t="shared" si="0"/>
        <v>19.5</v>
      </c>
      <c r="I68" s="1340">
        <f t="shared" si="1"/>
        <v>19.5</v>
      </c>
      <c r="J68" s="443"/>
    </row>
    <row r="69" spans="1:10" x14ac:dyDescent="0.25">
      <c r="A69" s="448"/>
      <c r="B69" s="702" t="s">
        <v>671</v>
      </c>
      <c r="C69" s="706" t="s">
        <v>672</v>
      </c>
      <c r="D69" s="707">
        <v>25</v>
      </c>
      <c r="E69" s="670">
        <v>0.5</v>
      </c>
      <c r="F69" s="1340">
        <v>1</v>
      </c>
      <c r="G69" s="1340">
        <v>1</v>
      </c>
      <c r="H69" s="1340">
        <f t="shared" si="0"/>
        <v>12.5</v>
      </c>
      <c r="I69" s="1340">
        <f t="shared" si="1"/>
        <v>12.5</v>
      </c>
      <c r="J69" s="443"/>
    </row>
    <row r="70" spans="1:10" x14ac:dyDescent="0.25">
      <c r="A70" s="448"/>
      <c r="B70" s="702" t="s">
        <v>673</v>
      </c>
      <c r="C70" s="706" t="s">
        <v>653</v>
      </c>
      <c r="D70" s="707">
        <v>25</v>
      </c>
      <c r="E70" s="670">
        <v>1.5</v>
      </c>
      <c r="F70" s="1340">
        <v>1</v>
      </c>
      <c r="G70" s="1340">
        <v>1</v>
      </c>
      <c r="H70" s="1340">
        <f t="shared" si="0"/>
        <v>37.5</v>
      </c>
      <c r="I70" s="1340">
        <f t="shared" si="1"/>
        <v>37.5</v>
      </c>
      <c r="J70" s="443"/>
    </row>
    <row r="71" spans="1:10" x14ac:dyDescent="0.25">
      <c r="A71" s="448"/>
      <c r="B71" s="702" t="s">
        <v>674</v>
      </c>
      <c r="C71" s="706" t="s">
        <v>675</v>
      </c>
      <c r="D71" s="707">
        <v>3</v>
      </c>
      <c r="E71" s="670">
        <v>18</v>
      </c>
      <c r="F71" s="1340">
        <v>1</v>
      </c>
      <c r="G71" s="1340">
        <v>1</v>
      </c>
      <c r="H71" s="1340">
        <f t="shared" si="0"/>
        <v>54</v>
      </c>
      <c r="I71" s="1340">
        <f t="shared" si="1"/>
        <v>54</v>
      </c>
      <c r="J71" s="443"/>
    </row>
    <row r="72" spans="1:10" x14ac:dyDescent="0.25">
      <c r="A72" s="448"/>
      <c r="B72" s="702" t="s">
        <v>676</v>
      </c>
      <c r="C72" s="706" t="s">
        <v>677</v>
      </c>
      <c r="D72" s="707">
        <v>3</v>
      </c>
      <c r="E72" s="670">
        <v>3</v>
      </c>
      <c r="F72" s="1340">
        <v>1</v>
      </c>
      <c r="G72" s="1340">
        <v>1</v>
      </c>
      <c r="H72" s="1340">
        <f>I72</f>
        <v>9</v>
      </c>
      <c r="I72" s="1340">
        <f t="shared" si="1"/>
        <v>9</v>
      </c>
      <c r="J72" s="443"/>
    </row>
    <row r="73" spans="1:10" x14ac:dyDescent="0.25">
      <c r="A73" s="448"/>
      <c r="B73" s="702" t="s">
        <v>678</v>
      </c>
      <c r="C73" s="706" t="s">
        <v>653</v>
      </c>
      <c r="D73" s="707">
        <v>3</v>
      </c>
      <c r="E73" s="670">
        <v>5</v>
      </c>
      <c r="F73" s="1340">
        <v>1</v>
      </c>
      <c r="G73" s="1340">
        <v>1</v>
      </c>
      <c r="H73" s="1340">
        <f>I73</f>
        <v>15</v>
      </c>
      <c r="I73" s="1340">
        <f t="shared" si="1"/>
        <v>15</v>
      </c>
      <c r="J73" s="443"/>
    </row>
    <row r="74" spans="1:10" x14ac:dyDescent="0.25">
      <c r="A74" s="448"/>
      <c r="B74" s="702" t="s">
        <v>679</v>
      </c>
      <c r="C74" s="706" t="s">
        <v>653</v>
      </c>
      <c r="D74" s="707">
        <v>3</v>
      </c>
      <c r="E74" s="670">
        <v>4</v>
      </c>
      <c r="F74" s="1340">
        <v>1</v>
      </c>
      <c r="G74" s="1340">
        <v>1</v>
      </c>
      <c r="H74" s="1340">
        <f t="shared" ref="H74:H97" si="2">I74</f>
        <v>12</v>
      </c>
      <c r="I74" s="1340">
        <f t="shared" si="1"/>
        <v>12</v>
      </c>
      <c r="J74" s="443"/>
    </row>
    <row r="75" spans="1:10" x14ac:dyDescent="0.25">
      <c r="A75" s="448"/>
      <c r="B75" s="702" t="s">
        <v>680</v>
      </c>
      <c r="C75" s="706" t="s">
        <v>667</v>
      </c>
      <c r="D75" s="707">
        <v>1</v>
      </c>
      <c r="E75" s="670">
        <v>20</v>
      </c>
      <c r="F75" s="1340">
        <v>1</v>
      </c>
      <c r="G75" s="1340">
        <v>1</v>
      </c>
      <c r="H75" s="1340">
        <f t="shared" si="2"/>
        <v>20</v>
      </c>
      <c r="I75" s="1340">
        <f t="shared" si="1"/>
        <v>20</v>
      </c>
      <c r="J75" s="443"/>
    </row>
    <row r="76" spans="1:10" x14ac:dyDescent="0.25">
      <c r="A76" s="448"/>
      <c r="B76" s="702" t="s">
        <v>681</v>
      </c>
      <c r="C76" s="706" t="s">
        <v>667</v>
      </c>
      <c r="D76" s="707">
        <v>1</v>
      </c>
      <c r="E76" s="670">
        <v>20</v>
      </c>
      <c r="F76" s="1340">
        <v>1</v>
      </c>
      <c r="G76" s="1340">
        <v>1</v>
      </c>
      <c r="H76" s="1340">
        <f t="shared" si="2"/>
        <v>20</v>
      </c>
      <c r="I76" s="1340">
        <f t="shared" si="1"/>
        <v>20</v>
      </c>
      <c r="J76" s="443"/>
    </row>
    <row r="77" spans="1:10" x14ac:dyDescent="0.25">
      <c r="A77" s="448"/>
      <c r="B77" s="702" t="s">
        <v>682</v>
      </c>
      <c r="C77" s="706" t="s">
        <v>667</v>
      </c>
      <c r="D77" s="707">
        <v>1</v>
      </c>
      <c r="E77" s="670">
        <v>15</v>
      </c>
      <c r="F77" s="1340">
        <v>1</v>
      </c>
      <c r="G77" s="1340">
        <v>1</v>
      </c>
      <c r="H77" s="1340">
        <f t="shared" si="2"/>
        <v>15</v>
      </c>
      <c r="I77" s="1340">
        <f t="shared" si="1"/>
        <v>15</v>
      </c>
      <c r="J77" s="443"/>
    </row>
    <row r="78" spans="1:10" x14ac:dyDescent="0.25">
      <c r="A78" s="448"/>
      <c r="B78" s="702" t="s">
        <v>683</v>
      </c>
      <c r="C78" s="706" t="s">
        <v>653</v>
      </c>
      <c r="D78" s="707">
        <v>1</v>
      </c>
      <c r="E78" s="670">
        <v>30</v>
      </c>
      <c r="F78" s="1340">
        <v>1</v>
      </c>
      <c r="G78" s="1340">
        <v>1</v>
      </c>
      <c r="H78" s="1340">
        <f t="shared" si="2"/>
        <v>30</v>
      </c>
      <c r="I78" s="1340">
        <f t="shared" si="1"/>
        <v>30</v>
      </c>
      <c r="J78" s="443"/>
    </row>
    <row r="79" spans="1:10" x14ac:dyDescent="0.25">
      <c r="A79" s="448"/>
      <c r="B79" s="702" t="s">
        <v>684</v>
      </c>
      <c r="C79" s="706" t="s">
        <v>653</v>
      </c>
      <c r="D79" s="707">
        <v>1</v>
      </c>
      <c r="E79" s="670">
        <v>30</v>
      </c>
      <c r="F79" s="1340">
        <v>1</v>
      </c>
      <c r="G79" s="1340">
        <v>1</v>
      </c>
      <c r="H79" s="1340">
        <f t="shared" si="2"/>
        <v>30</v>
      </c>
      <c r="I79" s="1340">
        <f t="shared" si="1"/>
        <v>30</v>
      </c>
      <c r="J79" s="443"/>
    </row>
    <row r="80" spans="1:10" x14ac:dyDescent="0.25">
      <c r="A80" s="448"/>
      <c r="B80" s="702" t="s">
        <v>685</v>
      </c>
      <c r="C80" s="706" t="s">
        <v>667</v>
      </c>
      <c r="D80" s="707">
        <v>1</v>
      </c>
      <c r="E80" s="670">
        <v>10</v>
      </c>
      <c r="F80" s="1340">
        <v>1</v>
      </c>
      <c r="G80" s="1340">
        <v>1</v>
      </c>
      <c r="H80" s="1340">
        <f t="shared" si="2"/>
        <v>10</v>
      </c>
      <c r="I80" s="1340">
        <f t="shared" si="1"/>
        <v>10</v>
      </c>
      <c r="J80" s="443"/>
    </row>
    <row r="81" spans="1:10" x14ac:dyDescent="0.25">
      <c r="A81" s="448"/>
      <c r="B81" s="702" t="s">
        <v>686</v>
      </c>
      <c r="C81" s="706" t="s">
        <v>687</v>
      </c>
      <c r="D81" s="707">
        <v>3</v>
      </c>
      <c r="E81" s="670">
        <v>35</v>
      </c>
      <c r="F81" s="1340">
        <v>1</v>
      </c>
      <c r="G81" s="1340">
        <v>1</v>
      </c>
      <c r="H81" s="1340">
        <f t="shared" si="2"/>
        <v>105</v>
      </c>
      <c r="I81" s="1340">
        <f t="shared" si="1"/>
        <v>105</v>
      </c>
      <c r="J81" s="443"/>
    </row>
    <row r="82" spans="1:10" x14ac:dyDescent="0.25">
      <c r="A82" s="448"/>
      <c r="B82" s="702" t="s">
        <v>688</v>
      </c>
      <c r="C82" s="706" t="s">
        <v>689</v>
      </c>
      <c r="D82" s="707">
        <v>3</v>
      </c>
      <c r="E82" s="670">
        <v>32</v>
      </c>
      <c r="F82" s="1340">
        <v>1</v>
      </c>
      <c r="G82" s="1340">
        <v>1</v>
      </c>
      <c r="H82" s="1340">
        <f t="shared" si="2"/>
        <v>96</v>
      </c>
      <c r="I82" s="1340">
        <f t="shared" si="1"/>
        <v>96</v>
      </c>
      <c r="J82" s="443"/>
    </row>
    <row r="83" spans="1:10" x14ac:dyDescent="0.25">
      <c r="A83" s="448"/>
      <c r="B83" s="702" t="s">
        <v>690</v>
      </c>
      <c r="C83" s="706" t="s">
        <v>691</v>
      </c>
      <c r="D83" s="707">
        <v>1</v>
      </c>
      <c r="E83" s="670">
        <v>8</v>
      </c>
      <c r="F83" s="1340">
        <v>1</v>
      </c>
      <c r="G83" s="1340">
        <v>1</v>
      </c>
      <c r="H83" s="1340">
        <f t="shared" si="2"/>
        <v>8</v>
      </c>
      <c r="I83" s="1340">
        <f t="shared" si="1"/>
        <v>8</v>
      </c>
      <c r="J83" s="443"/>
    </row>
    <row r="84" spans="1:10" x14ac:dyDescent="0.25">
      <c r="A84" s="448"/>
      <c r="B84" s="702" t="s">
        <v>692</v>
      </c>
      <c r="C84" s="706" t="s">
        <v>653</v>
      </c>
      <c r="D84" s="707">
        <v>3</v>
      </c>
      <c r="E84" s="670">
        <v>280</v>
      </c>
      <c r="F84" s="1340">
        <v>1</v>
      </c>
      <c r="G84" s="1340">
        <v>1</v>
      </c>
      <c r="H84" s="1340">
        <v>0</v>
      </c>
      <c r="I84" s="1340">
        <f>+E84*D84</f>
        <v>840</v>
      </c>
      <c r="J84" s="443"/>
    </row>
    <row r="85" spans="1:10" x14ac:dyDescent="0.25">
      <c r="A85" s="448"/>
      <c r="B85" s="469" t="s">
        <v>892</v>
      </c>
      <c r="C85" s="473"/>
      <c r="D85" s="473"/>
      <c r="E85" s="473"/>
      <c r="F85" s="474"/>
      <c r="G85" s="474"/>
      <c r="H85" s="474"/>
      <c r="I85" s="472">
        <f>SUM(I86:I90)</f>
        <v>3120</v>
      </c>
      <c r="J85" s="443"/>
    </row>
    <row r="86" spans="1:10" x14ac:dyDescent="0.25">
      <c r="A86" s="448"/>
      <c r="B86" s="709" t="s">
        <v>703</v>
      </c>
      <c r="C86" s="704" t="s">
        <v>638</v>
      </c>
      <c r="D86" s="708">
        <v>1</v>
      </c>
      <c r="E86" s="670">
        <v>3000</v>
      </c>
      <c r="F86" s="1340">
        <v>1</v>
      </c>
      <c r="G86" s="1340">
        <v>1</v>
      </c>
      <c r="H86" s="1340">
        <f t="shared" si="2"/>
        <v>3000</v>
      </c>
      <c r="I86" s="1340">
        <f>+E86*D86</f>
        <v>3000</v>
      </c>
      <c r="J86" s="443"/>
    </row>
    <row r="87" spans="1:10" x14ac:dyDescent="0.25">
      <c r="A87" s="448"/>
      <c r="B87" s="709" t="s">
        <v>704</v>
      </c>
      <c r="C87" s="704" t="s">
        <v>647</v>
      </c>
      <c r="D87" s="708">
        <v>3</v>
      </c>
      <c r="E87" s="670">
        <v>10</v>
      </c>
      <c r="F87" s="1340">
        <v>1</v>
      </c>
      <c r="G87" s="1340">
        <v>1</v>
      </c>
      <c r="H87" s="1340">
        <f t="shared" si="2"/>
        <v>30</v>
      </c>
      <c r="I87" s="1340">
        <f t="shared" si="1"/>
        <v>30</v>
      </c>
      <c r="J87" s="443"/>
    </row>
    <row r="88" spans="1:10" x14ac:dyDescent="0.25">
      <c r="A88" s="448"/>
      <c r="B88" s="709" t="s">
        <v>705</v>
      </c>
      <c r="C88" s="704" t="s">
        <v>647</v>
      </c>
      <c r="D88" s="708">
        <v>3</v>
      </c>
      <c r="E88" s="670">
        <v>10</v>
      </c>
      <c r="F88" s="1340">
        <v>1</v>
      </c>
      <c r="G88" s="1340">
        <v>1</v>
      </c>
      <c r="H88" s="1340">
        <f t="shared" si="2"/>
        <v>30</v>
      </c>
      <c r="I88" s="1340">
        <f t="shared" si="1"/>
        <v>30</v>
      </c>
      <c r="J88" s="443"/>
    </row>
    <row r="89" spans="1:10" x14ac:dyDescent="0.25">
      <c r="A89" s="448"/>
      <c r="B89" s="709" t="s">
        <v>706</v>
      </c>
      <c r="C89" s="704" t="s">
        <v>647</v>
      </c>
      <c r="D89" s="708">
        <v>3</v>
      </c>
      <c r="E89" s="670">
        <v>10</v>
      </c>
      <c r="F89" s="1340">
        <v>1</v>
      </c>
      <c r="G89" s="1340">
        <v>1</v>
      </c>
      <c r="H89" s="1340">
        <f t="shared" si="2"/>
        <v>30</v>
      </c>
      <c r="I89" s="1340">
        <f t="shared" si="1"/>
        <v>30</v>
      </c>
      <c r="J89" s="443"/>
    </row>
    <row r="90" spans="1:10" x14ac:dyDescent="0.25">
      <c r="A90" s="448"/>
      <c r="B90" s="709" t="s">
        <v>707</v>
      </c>
      <c r="C90" s="704" t="s">
        <v>647</v>
      </c>
      <c r="D90" s="708">
        <v>3</v>
      </c>
      <c r="E90" s="670">
        <v>10</v>
      </c>
      <c r="F90" s="1340">
        <v>1</v>
      </c>
      <c r="G90" s="1340">
        <v>1</v>
      </c>
      <c r="H90" s="1340">
        <f t="shared" si="2"/>
        <v>30</v>
      </c>
      <c r="I90" s="1340">
        <f t="shared" si="1"/>
        <v>30</v>
      </c>
      <c r="J90" s="443"/>
    </row>
    <row r="91" spans="1:10" ht="36" x14ac:dyDescent="0.25">
      <c r="A91" s="448"/>
      <c r="B91" s="469" t="s">
        <v>893</v>
      </c>
      <c r="C91" s="473"/>
      <c r="D91" s="473"/>
      <c r="E91" s="473"/>
      <c r="F91" s="474"/>
      <c r="G91" s="474"/>
      <c r="H91" s="474"/>
      <c r="I91" s="472">
        <f>SUM(I92:I97)</f>
        <v>12300</v>
      </c>
      <c r="J91" s="443"/>
    </row>
    <row r="92" spans="1:10" x14ac:dyDescent="0.25">
      <c r="A92" s="448"/>
      <c r="B92" s="702" t="s">
        <v>654</v>
      </c>
      <c r="C92" s="704" t="s">
        <v>647</v>
      </c>
      <c r="D92" s="705">
        <v>1</v>
      </c>
      <c r="E92" s="670">
        <v>1700</v>
      </c>
      <c r="F92" s="1340">
        <v>1</v>
      </c>
      <c r="G92" s="1340">
        <v>1</v>
      </c>
      <c r="H92" s="1340">
        <f t="shared" si="2"/>
        <v>1700</v>
      </c>
      <c r="I92" s="1340">
        <f t="shared" si="1"/>
        <v>1700</v>
      </c>
      <c r="J92" s="443"/>
    </row>
    <row r="93" spans="1:10" x14ac:dyDescent="0.25">
      <c r="A93" s="448"/>
      <c r="B93" s="702" t="s">
        <v>655</v>
      </c>
      <c r="C93" s="704" t="s">
        <v>647</v>
      </c>
      <c r="D93" s="705">
        <v>1</v>
      </c>
      <c r="E93" s="670">
        <v>700</v>
      </c>
      <c r="F93" s="1340">
        <v>1</v>
      </c>
      <c r="G93" s="1340">
        <v>1</v>
      </c>
      <c r="H93" s="1340">
        <f t="shared" si="2"/>
        <v>700</v>
      </c>
      <c r="I93" s="1340">
        <f t="shared" si="1"/>
        <v>700</v>
      </c>
      <c r="J93" s="443"/>
    </row>
    <row r="94" spans="1:10" x14ac:dyDescent="0.25">
      <c r="A94" s="448"/>
      <c r="B94" s="702" t="s">
        <v>656</v>
      </c>
      <c r="C94" s="704" t="s">
        <v>647</v>
      </c>
      <c r="D94" s="705">
        <v>0</v>
      </c>
      <c r="E94" s="670">
        <v>2200</v>
      </c>
      <c r="F94" s="1340">
        <v>1</v>
      </c>
      <c r="G94" s="1340">
        <v>1</v>
      </c>
      <c r="H94" s="1340">
        <f t="shared" si="2"/>
        <v>0</v>
      </c>
      <c r="I94" s="1340">
        <f t="shared" si="1"/>
        <v>0</v>
      </c>
      <c r="J94" s="443"/>
    </row>
    <row r="95" spans="1:10" x14ac:dyDescent="0.25">
      <c r="A95" s="448"/>
      <c r="B95" s="702" t="s">
        <v>657</v>
      </c>
      <c r="C95" s="704" t="s">
        <v>647</v>
      </c>
      <c r="D95" s="703">
        <v>2</v>
      </c>
      <c r="E95" s="670">
        <v>3500</v>
      </c>
      <c r="F95" s="1340">
        <v>1</v>
      </c>
      <c r="G95" s="1340">
        <v>1</v>
      </c>
      <c r="H95" s="1340">
        <f t="shared" si="2"/>
        <v>7000</v>
      </c>
      <c r="I95" s="1340">
        <f t="shared" si="1"/>
        <v>7000</v>
      </c>
      <c r="J95" s="443"/>
    </row>
    <row r="96" spans="1:10" x14ac:dyDescent="0.25">
      <c r="A96" s="448"/>
      <c r="B96" s="702" t="s">
        <v>658</v>
      </c>
      <c r="C96" s="704" t="s">
        <v>647</v>
      </c>
      <c r="D96" s="703">
        <v>1</v>
      </c>
      <c r="E96" s="670">
        <v>2900</v>
      </c>
      <c r="F96" s="1340">
        <v>1</v>
      </c>
      <c r="G96" s="1340">
        <v>1</v>
      </c>
      <c r="H96" s="1340">
        <f t="shared" si="2"/>
        <v>2900</v>
      </c>
      <c r="I96" s="1340">
        <f t="shared" si="1"/>
        <v>2900</v>
      </c>
      <c r="J96" s="443"/>
    </row>
    <row r="97" spans="1:10" x14ac:dyDescent="0.25">
      <c r="A97" s="448"/>
      <c r="B97" s="702" t="s">
        <v>659</v>
      </c>
      <c r="C97" s="704" t="s">
        <v>653</v>
      </c>
      <c r="D97" s="703">
        <v>0</v>
      </c>
      <c r="E97" s="670">
        <v>0</v>
      </c>
      <c r="F97" s="1340">
        <v>1</v>
      </c>
      <c r="G97" s="1340">
        <v>1</v>
      </c>
      <c r="H97" s="1340">
        <f t="shared" si="2"/>
        <v>0</v>
      </c>
      <c r="I97" s="1340">
        <f t="shared" si="1"/>
        <v>0</v>
      </c>
      <c r="J97" s="443"/>
    </row>
    <row r="98" spans="1:10" x14ac:dyDescent="0.25">
      <c r="A98" s="448"/>
      <c r="B98" s="1813" t="s">
        <v>239</v>
      </c>
      <c r="C98" s="1814"/>
      <c r="D98" s="1814"/>
      <c r="E98" s="1814"/>
      <c r="F98" s="1814"/>
      <c r="G98" s="1814"/>
      <c r="H98" s="1815"/>
      <c r="I98" s="453">
        <f>I91+I60+I85</f>
        <v>17135.5</v>
      </c>
      <c r="J98" s="443"/>
    </row>
    <row r="99" spans="1:10" x14ac:dyDescent="0.25">
      <c r="A99" s="448"/>
      <c r="B99" s="439"/>
      <c r="C99" s="439"/>
      <c r="D99" s="439"/>
      <c r="E99" s="439"/>
      <c r="F99" s="439"/>
      <c r="G99" s="439"/>
      <c r="H99" s="439"/>
      <c r="I99" s="454"/>
      <c r="J99" s="443"/>
    </row>
    <row r="100" spans="1:10" ht="25.5" x14ac:dyDescent="0.25">
      <c r="A100" s="444" t="s">
        <v>863</v>
      </c>
      <c r="B100" s="1333" t="s">
        <v>894</v>
      </c>
      <c r="C100" s="1333"/>
      <c r="D100" s="439"/>
      <c r="E100" s="447"/>
      <c r="F100" s="447"/>
      <c r="G100" s="447"/>
      <c r="H100" s="447"/>
      <c r="I100" s="445"/>
      <c r="J100" s="443"/>
    </row>
    <row r="101" spans="1:10" x14ac:dyDescent="0.25">
      <c r="A101" s="455"/>
      <c r="B101" s="1333"/>
      <c r="C101" s="1333"/>
      <c r="D101" s="439"/>
      <c r="E101" s="447"/>
      <c r="F101" s="447"/>
      <c r="G101" s="447"/>
      <c r="H101" s="447"/>
      <c r="I101" s="445"/>
      <c r="J101" s="443"/>
    </row>
    <row r="102" spans="1:10" ht="38.25" x14ac:dyDescent="0.25">
      <c r="A102" s="448"/>
      <c r="B102" s="1337" t="s">
        <v>844</v>
      </c>
      <c r="C102" s="1337" t="s">
        <v>895</v>
      </c>
      <c r="D102" s="1337" t="s">
        <v>889</v>
      </c>
      <c r="E102" s="1337" t="s">
        <v>871</v>
      </c>
      <c r="F102" s="1337" t="s">
        <v>872</v>
      </c>
      <c r="G102" s="1337" t="s">
        <v>890</v>
      </c>
      <c r="H102" s="1337" t="s">
        <v>874</v>
      </c>
      <c r="I102" s="1337" t="s">
        <v>875</v>
      </c>
      <c r="J102" s="443"/>
    </row>
    <row r="103" spans="1:10" x14ac:dyDescent="0.25">
      <c r="A103" s="448"/>
      <c r="B103" s="702" t="s">
        <v>1094</v>
      </c>
      <c r="C103" s="701" t="s">
        <v>653</v>
      </c>
      <c r="D103" s="708">
        <v>5</v>
      </c>
      <c r="E103" s="670">
        <v>70</v>
      </c>
      <c r="F103" s="1340">
        <v>1</v>
      </c>
      <c r="G103" s="1340">
        <v>1</v>
      </c>
      <c r="H103" s="1340">
        <f>I103</f>
        <v>350</v>
      </c>
      <c r="I103" s="1340">
        <f>+E103*D103</f>
        <v>350</v>
      </c>
      <c r="J103" s="443"/>
    </row>
    <row r="104" spans="1:10" x14ac:dyDescent="0.25">
      <c r="A104" s="448"/>
      <c r="B104" s="702" t="s">
        <v>708</v>
      </c>
      <c r="C104" s="701" t="s">
        <v>653</v>
      </c>
      <c r="D104" s="708">
        <v>5</v>
      </c>
      <c r="E104" s="670">
        <v>20</v>
      </c>
      <c r="F104" s="1340">
        <v>1</v>
      </c>
      <c r="G104" s="1340">
        <v>1</v>
      </c>
      <c r="H104" s="1340">
        <f t="shared" ref="H104:H107" si="3">I104</f>
        <v>100</v>
      </c>
      <c r="I104" s="1340">
        <f t="shared" ref="I104:I107" si="4">+E104*D104</f>
        <v>100</v>
      </c>
      <c r="J104" s="443"/>
    </row>
    <row r="105" spans="1:10" x14ac:dyDescent="0.25">
      <c r="A105" s="448"/>
      <c r="B105" s="702" t="s">
        <v>709</v>
      </c>
      <c r="C105" s="701" t="s">
        <v>653</v>
      </c>
      <c r="D105" s="708">
        <v>5</v>
      </c>
      <c r="E105" s="670">
        <v>70</v>
      </c>
      <c r="F105" s="1340">
        <v>1</v>
      </c>
      <c r="G105" s="1340">
        <v>1</v>
      </c>
      <c r="H105" s="1340">
        <f t="shared" si="3"/>
        <v>350</v>
      </c>
      <c r="I105" s="1340">
        <f t="shared" si="4"/>
        <v>350</v>
      </c>
      <c r="J105" s="443"/>
    </row>
    <row r="106" spans="1:10" x14ac:dyDescent="0.25">
      <c r="A106" s="448"/>
      <c r="B106" s="702" t="s">
        <v>710</v>
      </c>
      <c r="C106" s="701" t="s">
        <v>653</v>
      </c>
      <c r="D106" s="708">
        <v>5</v>
      </c>
      <c r="E106" s="670">
        <v>180</v>
      </c>
      <c r="F106" s="1340">
        <v>1</v>
      </c>
      <c r="G106" s="1340">
        <v>1</v>
      </c>
      <c r="H106" s="1340">
        <f t="shared" si="3"/>
        <v>900</v>
      </c>
      <c r="I106" s="1340">
        <f t="shared" si="4"/>
        <v>900</v>
      </c>
      <c r="J106" s="443"/>
    </row>
    <row r="107" spans="1:10" x14ac:dyDescent="0.25">
      <c r="A107" s="448"/>
      <c r="B107" s="702" t="s">
        <v>711</v>
      </c>
      <c r="C107" s="701" t="s">
        <v>653</v>
      </c>
      <c r="D107" s="708">
        <v>5</v>
      </c>
      <c r="E107" s="670">
        <v>25</v>
      </c>
      <c r="F107" s="1340">
        <v>1</v>
      </c>
      <c r="G107" s="1340">
        <v>1</v>
      </c>
      <c r="H107" s="1340">
        <f t="shared" si="3"/>
        <v>125</v>
      </c>
      <c r="I107" s="1340">
        <f t="shared" si="4"/>
        <v>125</v>
      </c>
      <c r="J107" s="443"/>
    </row>
    <row r="108" spans="1:10" x14ac:dyDescent="0.25">
      <c r="A108" s="448"/>
      <c r="B108" s="1813" t="s">
        <v>239</v>
      </c>
      <c r="C108" s="1814"/>
      <c r="D108" s="1814"/>
      <c r="E108" s="1814"/>
      <c r="F108" s="1814"/>
      <c r="G108" s="1814"/>
      <c r="H108" s="1815"/>
      <c r="I108" s="453">
        <f>SUM(I103:I107)</f>
        <v>1825</v>
      </c>
      <c r="J108" s="443"/>
    </row>
    <row r="109" spans="1:10" x14ac:dyDescent="0.25">
      <c r="A109" s="448"/>
      <c r="B109" s="443"/>
      <c r="C109" s="443"/>
      <c r="D109" s="443"/>
      <c r="E109" s="443"/>
      <c r="F109" s="443"/>
      <c r="G109" s="443"/>
      <c r="H109" s="443"/>
      <c r="I109" s="443"/>
      <c r="J109" s="443"/>
    </row>
    <row r="110" spans="1:10" x14ac:dyDescent="0.25">
      <c r="A110" s="448"/>
      <c r="B110" s="443"/>
      <c r="C110" s="443"/>
      <c r="D110" s="443"/>
      <c r="E110" s="443"/>
      <c r="F110" s="443"/>
      <c r="G110" s="443"/>
      <c r="H110" s="443"/>
      <c r="I110" s="443"/>
      <c r="J110" s="443"/>
    </row>
    <row r="111" spans="1:10" x14ac:dyDescent="0.25">
      <c r="A111" s="444" t="s">
        <v>863</v>
      </c>
      <c r="B111" s="1816" t="s">
        <v>896</v>
      </c>
      <c r="C111" s="1816"/>
      <c r="D111" s="1816"/>
      <c r="E111" s="1816"/>
      <c r="F111" s="443"/>
      <c r="G111" s="443"/>
      <c r="H111" s="443"/>
      <c r="I111" s="443"/>
      <c r="J111" s="443"/>
    </row>
    <row r="112" spans="1:10" x14ac:dyDescent="0.25">
      <c r="A112" s="455"/>
      <c r="B112" s="475"/>
      <c r="C112" s="443"/>
      <c r="D112" s="443"/>
      <c r="E112" s="443"/>
      <c r="F112" s="443"/>
      <c r="G112" s="443"/>
      <c r="H112" s="443"/>
      <c r="I112" s="443"/>
      <c r="J112" s="443"/>
    </row>
    <row r="113" spans="1:10" ht="38.25" x14ac:dyDescent="0.25">
      <c r="A113" s="443"/>
      <c r="B113" s="1337" t="s">
        <v>844</v>
      </c>
      <c r="C113" s="468" t="s">
        <v>895</v>
      </c>
      <c r="D113" s="468" t="s">
        <v>889</v>
      </c>
      <c r="E113" s="1337" t="s">
        <v>871</v>
      </c>
      <c r="F113" s="1337" t="s">
        <v>872</v>
      </c>
      <c r="G113" s="1337" t="s">
        <v>890</v>
      </c>
      <c r="H113" s="1337" t="s">
        <v>874</v>
      </c>
      <c r="I113" s="1337" t="s">
        <v>875</v>
      </c>
      <c r="J113" s="476"/>
    </row>
    <row r="114" spans="1:10" x14ac:dyDescent="0.25">
      <c r="A114" s="443"/>
      <c r="B114" s="702" t="s">
        <v>1157</v>
      </c>
      <c r="C114" s="704" t="s">
        <v>712</v>
      </c>
      <c r="D114" s="708">
        <v>25</v>
      </c>
      <c r="E114" s="670">
        <v>15</v>
      </c>
      <c r="F114" s="1340">
        <v>1</v>
      </c>
      <c r="G114" s="1340">
        <v>1</v>
      </c>
      <c r="H114" s="1340">
        <f>I114</f>
        <v>375</v>
      </c>
      <c r="I114" s="1340">
        <f>+E114*D114</f>
        <v>375</v>
      </c>
      <c r="J114" s="476"/>
    </row>
    <row r="115" spans="1:10" x14ac:dyDescent="0.25">
      <c r="A115" s="443"/>
      <c r="B115" s="702" t="s">
        <v>713</v>
      </c>
      <c r="C115" s="704" t="s">
        <v>712</v>
      </c>
      <c r="D115" s="708">
        <v>10</v>
      </c>
      <c r="E115" s="670">
        <v>120</v>
      </c>
      <c r="F115" s="1340">
        <v>1</v>
      </c>
      <c r="G115" s="1340">
        <v>1</v>
      </c>
      <c r="H115" s="1340">
        <f>I115</f>
        <v>1200</v>
      </c>
      <c r="I115" s="1340">
        <f>+E115*D115</f>
        <v>1200</v>
      </c>
      <c r="J115" s="476"/>
    </row>
    <row r="116" spans="1:10" x14ac:dyDescent="0.25">
      <c r="A116" s="443"/>
      <c r="B116" s="1813" t="s">
        <v>239</v>
      </c>
      <c r="C116" s="1814"/>
      <c r="D116" s="1814"/>
      <c r="E116" s="1814"/>
      <c r="F116" s="1814"/>
      <c r="G116" s="1814"/>
      <c r="H116" s="1815"/>
      <c r="I116" s="453">
        <f>SUM(I114:I115)</f>
        <v>1575</v>
      </c>
      <c r="J116" s="476"/>
    </row>
    <row r="117" spans="1:10" x14ac:dyDescent="0.25">
      <c r="A117" s="443"/>
      <c r="B117" s="443"/>
      <c r="C117" s="443"/>
      <c r="D117" s="443"/>
      <c r="E117" s="443"/>
      <c r="F117" s="443"/>
      <c r="G117" s="443"/>
      <c r="H117" s="443"/>
      <c r="I117" s="443"/>
      <c r="J117" s="476"/>
    </row>
    <row r="118" spans="1:10" x14ac:dyDescent="0.25">
      <c r="A118" s="477" t="s">
        <v>651</v>
      </c>
      <c r="B118" s="475" t="s">
        <v>821</v>
      </c>
      <c r="C118" s="443"/>
      <c r="D118" s="443"/>
      <c r="E118" s="443"/>
      <c r="F118" s="443"/>
      <c r="G118" s="443"/>
      <c r="H118" s="443"/>
      <c r="I118" s="443"/>
      <c r="J118" s="443"/>
    </row>
    <row r="119" spans="1:10" x14ac:dyDescent="0.25">
      <c r="A119" s="455"/>
      <c r="B119" s="475"/>
      <c r="C119" s="443"/>
      <c r="D119" s="443"/>
      <c r="E119" s="443"/>
      <c r="F119" s="443"/>
      <c r="G119" s="443"/>
      <c r="H119" s="443"/>
      <c r="I119" s="443"/>
      <c r="J119" s="443"/>
    </row>
    <row r="120" spans="1:10" ht="38.25" x14ac:dyDescent="0.25">
      <c r="A120" s="443"/>
      <c r="B120" s="1337" t="s">
        <v>897</v>
      </c>
      <c r="C120" s="468" t="s">
        <v>895</v>
      </c>
      <c r="D120" s="468" t="s">
        <v>889</v>
      </c>
      <c r="E120" s="1337" t="s">
        <v>871</v>
      </c>
      <c r="F120" s="1337" t="s">
        <v>872</v>
      </c>
      <c r="G120" s="1337" t="s">
        <v>890</v>
      </c>
      <c r="H120" s="1337" t="s">
        <v>874</v>
      </c>
      <c r="I120" s="1337" t="s">
        <v>875</v>
      </c>
      <c r="J120" s="443"/>
    </row>
    <row r="121" spans="1:10" x14ac:dyDescent="0.25">
      <c r="A121" s="443"/>
      <c r="B121" s="449"/>
      <c r="C121" s="450"/>
      <c r="D121" s="450"/>
      <c r="E121" s="1340"/>
      <c r="F121" s="1340"/>
      <c r="G121" s="1340"/>
      <c r="H121" s="1340"/>
      <c r="I121" s="1340"/>
      <c r="J121" s="443"/>
    </row>
    <row r="122" spans="1:10" x14ac:dyDescent="0.25">
      <c r="A122" s="443"/>
      <c r="B122" s="1813" t="s">
        <v>239</v>
      </c>
      <c r="C122" s="1814"/>
      <c r="D122" s="1814"/>
      <c r="E122" s="1814"/>
      <c r="F122" s="1814"/>
      <c r="G122" s="1814"/>
      <c r="H122" s="1815"/>
      <c r="I122" s="453"/>
      <c r="J122" s="443"/>
    </row>
    <row r="123" spans="1:10" x14ac:dyDescent="0.25">
      <c r="A123" s="443"/>
      <c r="B123" s="443"/>
      <c r="C123" s="443"/>
      <c r="D123" s="443"/>
      <c r="E123" s="443"/>
      <c r="F123" s="443"/>
      <c r="G123" s="443"/>
      <c r="H123" s="443"/>
      <c r="I123" s="443"/>
      <c r="J123" s="443"/>
    </row>
    <row r="124" spans="1:10" x14ac:dyDescent="0.25">
      <c r="A124" s="444" t="s">
        <v>864</v>
      </c>
      <c r="B124" s="1816" t="s">
        <v>898</v>
      </c>
      <c r="C124" s="1816"/>
      <c r="D124" s="1816"/>
      <c r="E124" s="1816"/>
      <c r="F124" s="443"/>
      <c r="G124" s="443"/>
      <c r="H124" s="443"/>
      <c r="I124" s="443"/>
      <c r="J124" s="443"/>
    </row>
    <row r="125" spans="1:10" x14ac:dyDescent="0.25">
      <c r="A125" s="455"/>
      <c r="B125" s="475"/>
      <c r="C125" s="443"/>
      <c r="D125" s="443"/>
      <c r="E125" s="443"/>
      <c r="F125" s="443"/>
      <c r="G125" s="443"/>
      <c r="H125" s="443"/>
      <c r="I125" s="443"/>
      <c r="J125" s="443"/>
    </row>
    <row r="126" spans="1:10" ht="38.25" x14ac:dyDescent="0.25">
      <c r="A126" s="443"/>
      <c r="B126" s="1337" t="s">
        <v>897</v>
      </c>
      <c r="C126" s="468" t="s">
        <v>895</v>
      </c>
      <c r="D126" s="468" t="s">
        <v>889</v>
      </c>
      <c r="E126" s="1337" t="s">
        <v>871</v>
      </c>
      <c r="F126" s="1337" t="s">
        <v>872</v>
      </c>
      <c r="G126" s="1337" t="s">
        <v>890</v>
      </c>
      <c r="H126" s="1337" t="s">
        <v>874</v>
      </c>
      <c r="I126" s="1337" t="s">
        <v>875</v>
      </c>
      <c r="J126" s="443"/>
    </row>
    <row r="127" spans="1:10" x14ac:dyDescent="0.25">
      <c r="A127" s="443"/>
      <c r="B127" s="702" t="s">
        <v>652</v>
      </c>
      <c r="C127" s="701" t="s">
        <v>638</v>
      </c>
      <c r="D127" s="703">
        <v>1</v>
      </c>
      <c r="E127" s="670">
        <v>500</v>
      </c>
      <c r="F127" s="1340">
        <v>1</v>
      </c>
      <c r="G127" s="1340">
        <v>1</v>
      </c>
      <c r="H127" s="1340">
        <f>I127</f>
        <v>500</v>
      </c>
      <c r="I127" s="1340">
        <f>+E127*D127</f>
        <v>500</v>
      </c>
      <c r="J127" s="443"/>
    </row>
    <row r="128" spans="1:10" x14ac:dyDescent="0.25">
      <c r="A128" s="443"/>
      <c r="B128" s="702" t="s">
        <v>899</v>
      </c>
      <c r="C128" s="701" t="s">
        <v>643</v>
      </c>
      <c r="D128" s="703">
        <v>1</v>
      </c>
      <c r="E128" s="670">
        <v>500</v>
      </c>
      <c r="F128" s="1340">
        <v>1</v>
      </c>
      <c r="G128" s="1340">
        <v>20</v>
      </c>
      <c r="H128" s="1340">
        <f>+D128*E128*G128</f>
        <v>10000</v>
      </c>
      <c r="I128" s="1340">
        <f>+H128</f>
        <v>10000</v>
      </c>
      <c r="J128" s="443"/>
    </row>
    <row r="129" spans="1:10" x14ac:dyDescent="0.25">
      <c r="A129" s="443"/>
      <c r="B129" s="1813" t="s">
        <v>239</v>
      </c>
      <c r="C129" s="1814"/>
      <c r="D129" s="1814"/>
      <c r="E129" s="1814"/>
      <c r="F129" s="1814"/>
      <c r="G129" s="1814"/>
      <c r="H129" s="1815"/>
      <c r="I129" s="453">
        <f>+I127+I128</f>
        <v>10500</v>
      </c>
      <c r="J129" s="443"/>
    </row>
    <row r="130" spans="1:10" x14ac:dyDescent="0.25">
      <c r="A130" s="443"/>
      <c r="B130" s="443"/>
      <c r="C130" s="443"/>
      <c r="D130" s="443"/>
      <c r="E130" s="443"/>
      <c r="F130" s="443"/>
      <c r="G130" s="443"/>
      <c r="H130" s="443"/>
      <c r="I130" s="443"/>
      <c r="J130" s="443"/>
    </row>
    <row r="131" spans="1:10" x14ac:dyDescent="0.25">
      <c r="A131" s="443"/>
      <c r="B131" s="478"/>
      <c r="C131" s="478"/>
      <c r="D131" s="478"/>
      <c r="E131" s="447"/>
      <c r="F131" s="447"/>
      <c r="G131" s="447"/>
      <c r="H131" s="447"/>
      <c r="I131" s="447"/>
      <c r="J131" s="443"/>
    </row>
    <row r="132" spans="1:10" x14ac:dyDescent="0.25">
      <c r="A132" s="443"/>
      <c r="B132" s="1817" t="s">
        <v>900</v>
      </c>
      <c r="C132" s="1817"/>
      <c r="D132" s="1817"/>
      <c r="E132" s="1817"/>
      <c r="F132" s="1817"/>
      <c r="G132" s="1817"/>
      <c r="H132" s="1817"/>
      <c r="I132" s="453">
        <f>I24+H35+H45+J55+I98+I108+I116+I122+I129</f>
        <v>372035.5</v>
      </c>
      <c r="J132" s="443"/>
    </row>
  </sheetData>
  <mergeCells count="36">
    <mergeCell ref="B108:H108"/>
    <mergeCell ref="B98:H98"/>
    <mergeCell ref="B17:I17"/>
    <mergeCell ref="B27:H27"/>
    <mergeCell ref="B38:H38"/>
    <mergeCell ref="D34:E34"/>
    <mergeCell ref="B45:G45"/>
    <mergeCell ref="B55:H55"/>
    <mergeCell ref="D9:G9"/>
    <mergeCell ref="A2:I2"/>
    <mergeCell ref="C4:H4"/>
    <mergeCell ref="D6:G6"/>
    <mergeCell ref="D7:G7"/>
    <mergeCell ref="D8:G8"/>
    <mergeCell ref="D10:G10"/>
    <mergeCell ref="D11:G11"/>
    <mergeCell ref="D12:G12"/>
    <mergeCell ref="D13:G13"/>
    <mergeCell ref="D14:G14"/>
    <mergeCell ref="D15:G15"/>
    <mergeCell ref="B18:D18"/>
    <mergeCell ref="B24:H24"/>
    <mergeCell ref="B57:E57"/>
    <mergeCell ref="B29:B30"/>
    <mergeCell ref="C29:C30"/>
    <mergeCell ref="D29:E29"/>
    <mergeCell ref="D30:E30"/>
    <mergeCell ref="D31:E31"/>
    <mergeCell ref="D32:E32"/>
    <mergeCell ref="D33:E33"/>
    <mergeCell ref="B122:H122"/>
    <mergeCell ref="B124:E124"/>
    <mergeCell ref="B129:H129"/>
    <mergeCell ref="B132:H132"/>
    <mergeCell ref="B111:E111"/>
    <mergeCell ref="B116:H1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2"/>
  <sheetViews>
    <sheetView topLeftCell="A17" workbookViewId="0">
      <selection activeCell="L123" sqref="L123"/>
    </sheetView>
  </sheetViews>
  <sheetFormatPr baseColWidth="10" defaultRowHeight="15" x14ac:dyDescent="0.25"/>
  <cols>
    <col min="8" max="8" width="15.42578125" customWidth="1"/>
    <col min="10" max="10" width="11.7109375" bestFit="1" customWidth="1"/>
  </cols>
  <sheetData>
    <row r="2" spans="1:10" ht="17.25" x14ac:dyDescent="0.25">
      <c r="A2" s="1832" t="s">
        <v>1762</v>
      </c>
      <c r="B2" s="1832"/>
      <c r="C2" s="1832"/>
      <c r="D2" s="1832"/>
      <c r="E2" s="1832"/>
      <c r="F2" s="1832"/>
      <c r="G2" s="1832"/>
      <c r="H2" s="1832"/>
      <c r="I2" s="1832"/>
      <c r="J2" s="435"/>
    </row>
    <row r="3" spans="1:10" ht="17.25" customHeight="1" x14ac:dyDescent="0.25">
      <c r="A3" s="435"/>
      <c r="B3" s="436"/>
      <c r="C3" s="436"/>
      <c r="D3" s="436"/>
      <c r="E3" s="436"/>
      <c r="F3" s="436"/>
      <c r="G3" s="436"/>
      <c r="H3" s="436"/>
      <c r="I3" s="436"/>
      <c r="J3" s="435"/>
    </row>
    <row r="4" spans="1:10" ht="16.5" x14ac:dyDescent="0.3">
      <c r="A4" s="435"/>
      <c r="B4" s="437" t="s">
        <v>629</v>
      </c>
      <c r="C4" s="1833" t="s">
        <v>829</v>
      </c>
      <c r="D4" s="1833"/>
      <c r="E4" s="1833"/>
      <c r="F4" s="1833"/>
      <c r="G4" s="1833"/>
      <c r="H4" s="1833"/>
      <c r="I4" s="436"/>
      <c r="J4" s="435"/>
    </row>
    <row r="5" spans="1:10" ht="16.5" customHeight="1" thickBot="1" x14ac:dyDescent="0.3">
      <c r="A5" s="435"/>
      <c r="B5" s="438"/>
      <c r="C5" s="438"/>
      <c r="D5" s="438"/>
      <c r="E5" s="438"/>
      <c r="F5" s="438"/>
      <c r="G5" s="438"/>
      <c r="H5" s="435"/>
      <c r="I5" s="435"/>
      <c r="J5" s="435"/>
    </row>
    <row r="6" spans="1:10" ht="15.75" thickBot="1" x14ac:dyDescent="0.3">
      <c r="A6" s="435"/>
      <c r="B6" s="439"/>
      <c r="C6" s="440" t="s">
        <v>859</v>
      </c>
      <c r="D6" s="1834" t="s">
        <v>860</v>
      </c>
      <c r="E6" s="1835"/>
      <c r="F6" s="1835"/>
      <c r="G6" s="1836"/>
      <c r="H6" s="441" t="s">
        <v>861</v>
      </c>
      <c r="I6" s="435"/>
      <c r="J6" s="435"/>
    </row>
    <row r="7" spans="1:10" ht="15.75" thickBot="1" x14ac:dyDescent="0.3">
      <c r="A7" s="435"/>
      <c r="B7" s="435"/>
      <c r="C7" s="442" t="s">
        <v>636</v>
      </c>
      <c r="D7" s="1837" t="str">
        <f>B17</f>
        <v>RETRIBUCIONES COMPLEMENTARIAS-PLAZO FIJO</v>
      </c>
      <c r="E7" s="1838"/>
      <c r="F7" s="1838"/>
      <c r="G7" s="1839"/>
      <c r="H7" s="712">
        <f>I23</f>
        <v>207794.75</v>
      </c>
      <c r="I7" s="435"/>
      <c r="J7" s="435"/>
    </row>
    <row r="8" spans="1:10" ht="15.75" customHeight="1" thickBot="1" x14ac:dyDescent="0.3">
      <c r="A8" s="435"/>
      <c r="B8" s="435"/>
      <c r="C8" s="442" t="str">
        <f>A25</f>
        <v>65.11.11</v>
      </c>
      <c r="D8" s="1826" t="str">
        <f>B25</f>
        <v>OBLIGACIONES DEL EMPLEADOR (Essalud,ONP,AFP y Otros)</v>
      </c>
      <c r="E8" s="1827"/>
      <c r="F8" s="1827"/>
      <c r="G8" s="1828"/>
      <c r="H8" s="712">
        <f>H32</f>
        <v>33705.25</v>
      </c>
      <c r="I8" s="435"/>
      <c r="J8" s="435"/>
    </row>
    <row r="9" spans="1:10" ht="15.75" customHeight="1" thickBot="1" x14ac:dyDescent="0.3">
      <c r="A9" s="435"/>
      <c r="B9" s="435"/>
      <c r="C9" s="442" t="str">
        <f>A34</f>
        <v>65.11.13</v>
      </c>
      <c r="D9" s="1826" t="str">
        <f>B34</f>
        <v>GASTOS VARIABLES Y OCASIONALES</v>
      </c>
      <c r="E9" s="1827"/>
      <c r="F9" s="1827"/>
      <c r="G9" s="1828"/>
      <c r="H9" s="712">
        <f>H40</f>
        <v>4500</v>
      </c>
      <c r="I9" s="435"/>
      <c r="J9" s="435"/>
    </row>
    <row r="10" spans="1:10" ht="15.75" customHeight="1" thickBot="1" x14ac:dyDescent="0.3">
      <c r="A10" s="435"/>
      <c r="B10" s="435"/>
      <c r="C10" s="442" t="str">
        <f>A42</f>
        <v>65.11.20</v>
      </c>
      <c r="D10" s="1826" t="str">
        <f>B42</f>
        <v>VIATICOS</v>
      </c>
      <c r="E10" s="1827"/>
      <c r="F10" s="1827"/>
      <c r="G10" s="1828"/>
      <c r="H10" s="712">
        <f>J48</f>
        <v>0</v>
      </c>
      <c r="I10" s="435"/>
      <c r="J10" s="435"/>
    </row>
    <row r="11" spans="1:10" ht="15.75" thickBot="1" x14ac:dyDescent="0.3">
      <c r="A11" s="435"/>
      <c r="B11" s="435"/>
      <c r="C11" s="442" t="s">
        <v>862</v>
      </c>
      <c r="D11" s="1826" t="str">
        <f>B51</f>
        <v>EQUIPO Y MATERIAL DURADERO</v>
      </c>
      <c r="E11" s="1827"/>
      <c r="F11" s="1827"/>
      <c r="G11" s="1828"/>
      <c r="H11" s="712">
        <f>I88</f>
        <v>5434.1000000000058</v>
      </c>
      <c r="I11" s="435"/>
      <c r="J11" s="435"/>
    </row>
    <row r="12" spans="1:10" ht="15.75" customHeight="1" thickBot="1" x14ac:dyDescent="0.3">
      <c r="A12" s="435"/>
      <c r="B12" s="435"/>
      <c r="C12" s="442" t="s">
        <v>863</v>
      </c>
      <c r="D12" s="1826" t="str">
        <f>B90</f>
        <v>VESTUARIO</v>
      </c>
      <c r="E12" s="1827"/>
      <c r="F12" s="1827"/>
      <c r="G12" s="1828"/>
      <c r="H12" s="712">
        <f>I98</f>
        <v>0</v>
      </c>
      <c r="I12" s="435"/>
      <c r="J12" s="435"/>
    </row>
    <row r="13" spans="1:10" ht="15.75" thickBot="1" x14ac:dyDescent="0.3">
      <c r="A13" s="435"/>
      <c r="B13" s="435"/>
      <c r="C13" s="442" t="s">
        <v>863</v>
      </c>
      <c r="D13" s="1826" t="str">
        <f>B101</f>
        <v>COMBUSTIBLE Y LUBRICANTES</v>
      </c>
      <c r="E13" s="1827"/>
      <c r="F13" s="1827"/>
      <c r="G13" s="1828"/>
      <c r="H13" s="712">
        <f>I106</f>
        <v>0</v>
      </c>
      <c r="I13" s="435"/>
      <c r="J13" s="435"/>
    </row>
    <row r="14" spans="1:10" ht="15.75" customHeight="1" thickBot="1" x14ac:dyDescent="0.3">
      <c r="A14" s="435"/>
      <c r="B14" s="435"/>
      <c r="C14" s="442" t="s">
        <v>864</v>
      </c>
      <c r="D14" s="1829" t="s">
        <v>865</v>
      </c>
      <c r="E14" s="1830"/>
      <c r="F14" s="1830"/>
      <c r="G14" s="1831"/>
      <c r="H14" s="713">
        <f>+I119</f>
        <v>0</v>
      </c>
      <c r="I14" s="435"/>
      <c r="J14" s="435"/>
    </row>
    <row r="15" spans="1:10" ht="16.5" thickBot="1" x14ac:dyDescent="0.3">
      <c r="A15" s="435"/>
      <c r="B15" s="435"/>
      <c r="C15" s="714"/>
      <c r="D15" s="1818" t="s">
        <v>866</v>
      </c>
      <c r="E15" s="1819"/>
      <c r="F15" s="1819"/>
      <c r="G15" s="1820"/>
      <c r="H15" s="715">
        <f>SUM(H7:H14)</f>
        <v>251434.1</v>
      </c>
      <c r="I15" s="435"/>
      <c r="J15" s="1408"/>
    </row>
    <row r="16" spans="1:10" ht="16.5" customHeight="1" x14ac:dyDescent="0.25">
      <c r="A16" s="443"/>
      <c r="B16" s="439"/>
      <c r="C16" s="439"/>
      <c r="D16" s="439"/>
      <c r="E16" s="439"/>
      <c r="F16" s="439"/>
      <c r="G16" s="439"/>
      <c r="H16" s="1407">
        <v>251434.1</v>
      </c>
      <c r="I16" s="439"/>
      <c r="J16" s="1409"/>
    </row>
    <row r="17" spans="1:10" ht="24.75" customHeight="1" x14ac:dyDescent="0.25">
      <c r="A17" s="444" t="s">
        <v>636</v>
      </c>
      <c r="B17" s="1840" t="s">
        <v>867</v>
      </c>
      <c r="C17" s="1840"/>
      <c r="D17" s="1840"/>
      <c r="E17" s="1840"/>
      <c r="F17" s="439"/>
      <c r="G17" s="439"/>
      <c r="H17" s="439"/>
      <c r="I17" s="445"/>
      <c r="J17" s="1409"/>
    </row>
    <row r="18" spans="1:10" ht="13.5" customHeight="1" x14ac:dyDescent="0.25">
      <c r="A18" s="446"/>
      <c r="B18" s="1821" t="s">
        <v>868</v>
      </c>
      <c r="C18" s="1821"/>
      <c r="D18" s="1821"/>
      <c r="E18" s="447"/>
      <c r="F18" s="447"/>
      <c r="G18" s="447"/>
      <c r="H18" s="447"/>
      <c r="I18" s="447"/>
      <c r="J18" s="443"/>
    </row>
    <row r="19" spans="1:10" ht="15" customHeight="1" x14ac:dyDescent="0.25">
      <c r="A19" s="448"/>
      <c r="B19" s="1337" t="s">
        <v>869</v>
      </c>
      <c r="C19" s="1337" t="s">
        <v>740</v>
      </c>
      <c r="D19" s="1337" t="s">
        <v>870</v>
      </c>
      <c r="E19" s="1337" t="s">
        <v>871</v>
      </c>
      <c r="F19" s="1337" t="s">
        <v>872</v>
      </c>
      <c r="G19" s="1337" t="s">
        <v>873</v>
      </c>
      <c r="H19" s="1337" t="s">
        <v>874</v>
      </c>
      <c r="I19" s="1337" t="s">
        <v>875</v>
      </c>
      <c r="J19" s="443"/>
    </row>
    <row r="20" spans="1:10" ht="51" x14ac:dyDescent="0.25">
      <c r="A20" s="448"/>
      <c r="B20" s="449" t="str">
        <f>B29</f>
        <v>PROFESIONAL II(Supervisor)</v>
      </c>
      <c r="C20" s="450" t="s">
        <v>638</v>
      </c>
      <c r="D20" s="450">
        <v>1</v>
      </c>
      <c r="E20" s="1340">
        <v>6500</v>
      </c>
      <c r="F20" s="451">
        <v>1</v>
      </c>
      <c r="G20" s="1340">
        <v>20</v>
      </c>
      <c r="H20" s="1340">
        <f>E20-I29</f>
        <v>5554.75</v>
      </c>
      <c r="I20" s="1340">
        <f>+D20*G20*H20</f>
        <v>111095</v>
      </c>
      <c r="J20" s="443"/>
    </row>
    <row r="21" spans="1:10" ht="51" x14ac:dyDescent="0.25">
      <c r="A21" s="448"/>
      <c r="B21" s="449" t="str">
        <f>+B30</f>
        <v>PROFESIONAL  IV(Profesional de planta)</v>
      </c>
      <c r="C21" s="450" t="s">
        <v>638</v>
      </c>
      <c r="D21" s="450">
        <v>1</v>
      </c>
      <c r="E21" s="452">
        <v>4900</v>
      </c>
      <c r="F21" s="451">
        <v>1</v>
      </c>
      <c r="G21" s="1340">
        <v>5</v>
      </c>
      <c r="H21" s="1340">
        <f>E21-I30</f>
        <v>4236.75</v>
      </c>
      <c r="I21" s="1340">
        <f t="shared" ref="I21:I22" si="0">+D21*G21*H21</f>
        <v>21183.75</v>
      </c>
      <c r="J21" s="443"/>
    </row>
    <row r="22" spans="1:10" ht="76.5" x14ac:dyDescent="0.25">
      <c r="A22" s="448"/>
      <c r="B22" s="449" t="str">
        <f>+B31</f>
        <v>PROFESIONAL VI (Asistente tecnico administrativo)</v>
      </c>
      <c r="C22" s="450" t="s">
        <v>638</v>
      </c>
      <c r="D22" s="450">
        <v>1</v>
      </c>
      <c r="E22" s="1340">
        <v>4350</v>
      </c>
      <c r="F22" s="451">
        <v>1</v>
      </c>
      <c r="G22" s="1340">
        <v>20</v>
      </c>
      <c r="H22" s="1340">
        <f>E22-I31</f>
        <v>3775.8</v>
      </c>
      <c r="I22" s="1340">
        <f t="shared" si="0"/>
        <v>75516</v>
      </c>
      <c r="J22" s="443"/>
    </row>
    <row r="23" spans="1:10" x14ac:dyDescent="0.25">
      <c r="A23" s="448"/>
      <c r="B23" s="1813" t="s">
        <v>239</v>
      </c>
      <c r="C23" s="1814"/>
      <c r="D23" s="1814"/>
      <c r="E23" s="1814"/>
      <c r="F23" s="1814"/>
      <c r="G23" s="1814"/>
      <c r="H23" s="1815"/>
      <c r="I23" s="453">
        <f>SUM(I20:I22)</f>
        <v>207794.75</v>
      </c>
      <c r="J23" s="443"/>
    </row>
    <row r="24" spans="1:10" x14ac:dyDescent="0.25">
      <c r="A24" s="448"/>
      <c r="B24" s="439"/>
      <c r="C24" s="439"/>
      <c r="D24" s="439"/>
      <c r="E24" s="439"/>
      <c r="F24" s="439"/>
      <c r="G24" s="439"/>
      <c r="H24" s="439"/>
      <c r="I24" s="454"/>
      <c r="J24" s="443"/>
    </row>
    <row r="25" spans="1:10" x14ac:dyDescent="0.25">
      <c r="A25" s="444" t="s">
        <v>642</v>
      </c>
      <c r="B25" s="1840" t="s">
        <v>648</v>
      </c>
      <c r="C25" s="1840"/>
      <c r="D25" s="1840"/>
      <c r="E25" s="1840"/>
      <c r="F25" s="439"/>
      <c r="G25" s="439"/>
      <c r="H25" s="439"/>
      <c r="I25" s="454"/>
      <c r="J25" s="443"/>
    </row>
    <row r="26" spans="1:10" ht="15" customHeight="1" x14ac:dyDescent="0.25">
      <c r="A26" s="455"/>
      <c r="B26" s="1333"/>
      <c r="C26" s="439"/>
      <c r="D26" s="439"/>
      <c r="E26" s="439"/>
      <c r="F26" s="439"/>
      <c r="G26" s="439"/>
      <c r="H26" s="439"/>
      <c r="I26" s="454"/>
      <c r="J26" s="443"/>
    </row>
    <row r="27" spans="1:10" ht="22.5" x14ac:dyDescent="0.25">
      <c r="A27" s="448"/>
      <c r="B27" s="1822" t="s">
        <v>869</v>
      </c>
      <c r="C27" s="1822" t="s">
        <v>876</v>
      </c>
      <c r="D27" s="1823" t="s">
        <v>877</v>
      </c>
      <c r="E27" s="1823"/>
      <c r="F27" s="1338" t="s">
        <v>878</v>
      </c>
      <c r="G27" s="439"/>
      <c r="H27" s="439"/>
      <c r="I27" s="454"/>
      <c r="J27" s="443"/>
    </row>
    <row r="28" spans="1:10" ht="22.5" customHeight="1" x14ac:dyDescent="0.25">
      <c r="A28" s="448"/>
      <c r="B28" s="1822"/>
      <c r="C28" s="1822"/>
      <c r="D28" s="1824">
        <v>0.13200000000000001</v>
      </c>
      <c r="E28" s="1824"/>
      <c r="F28" s="1339"/>
      <c r="G28" s="457" t="s">
        <v>873</v>
      </c>
      <c r="H28" s="1337" t="s">
        <v>454</v>
      </c>
      <c r="I28" s="454"/>
      <c r="J28" s="443"/>
    </row>
    <row r="29" spans="1:10" ht="51" x14ac:dyDescent="0.25">
      <c r="A29" s="448"/>
      <c r="B29" s="449" t="s">
        <v>1751</v>
      </c>
      <c r="C29" s="1340">
        <v>4500</v>
      </c>
      <c r="D29" s="1825">
        <f>+$D$28*C29</f>
        <v>594</v>
      </c>
      <c r="E29" s="1825"/>
      <c r="F29" s="450">
        <f>((C29*12)-25900)*0.15/12</f>
        <v>351.25</v>
      </c>
      <c r="G29" s="479">
        <v>20</v>
      </c>
      <c r="H29" s="1340">
        <f>(D29+F29)*G29</f>
        <v>18905</v>
      </c>
      <c r="I29" s="458">
        <f>D29+M27+F29</f>
        <v>945.25</v>
      </c>
      <c r="J29" s="459"/>
    </row>
    <row r="30" spans="1:10" ht="51" x14ac:dyDescent="0.25">
      <c r="A30" s="460"/>
      <c r="B30" s="449" t="s">
        <v>639</v>
      </c>
      <c r="C30" s="1340">
        <v>3500</v>
      </c>
      <c r="D30" s="1825">
        <f>+$D$28*C30</f>
        <v>462</v>
      </c>
      <c r="E30" s="1825"/>
      <c r="F30" s="450">
        <f>((C30*12)-25900)*0.15/12</f>
        <v>201.25</v>
      </c>
      <c r="G30" s="711">
        <v>5</v>
      </c>
      <c r="H30" s="1340">
        <f>(D30+F30)*G30</f>
        <v>3316.25</v>
      </c>
      <c r="I30" s="458">
        <f>D30+M28+F30</f>
        <v>663.25</v>
      </c>
      <c r="J30" s="461"/>
    </row>
    <row r="31" spans="1:10" ht="76.5" x14ac:dyDescent="0.25">
      <c r="A31" s="448"/>
      <c r="B31" s="449" t="s">
        <v>640</v>
      </c>
      <c r="C31" s="1340">
        <f>+E22</f>
        <v>4350</v>
      </c>
      <c r="D31" s="1825">
        <f>+$D$28*C31</f>
        <v>574.20000000000005</v>
      </c>
      <c r="E31" s="1825"/>
      <c r="F31" s="450">
        <v>0</v>
      </c>
      <c r="G31" s="479">
        <v>20</v>
      </c>
      <c r="H31" s="1340">
        <f>(D31+F31)*G31</f>
        <v>11484</v>
      </c>
      <c r="I31" s="458">
        <f>D31+M29+F31</f>
        <v>574.20000000000005</v>
      </c>
      <c r="J31" s="443"/>
    </row>
    <row r="32" spans="1:10" x14ac:dyDescent="0.25">
      <c r="A32" s="448"/>
      <c r="B32" s="1334" t="s">
        <v>239</v>
      </c>
      <c r="C32" s="1335"/>
      <c r="D32" s="1335"/>
      <c r="E32" s="1335"/>
      <c r="F32" s="1335"/>
      <c r="G32" s="1336"/>
      <c r="H32" s="453">
        <f>SUM(H29:H31)</f>
        <v>33705.25</v>
      </c>
      <c r="I32" s="454"/>
      <c r="J32" s="443"/>
    </row>
    <row r="33" spans="1:10" x14ac:dyDescent="0.25">
      <c r="A33" s="448"/>
      <c r="B33" s="439"/>
      <c r="C33" s="439"/>
      <c r="D33" s="439"/>
      <c r="E33" s="439"/>
      <c r="F33" s="439"/>
      <c r="G33" s="439"/>
      <c r="H33" s="454"/>
      <c r="I33" s="454"/>
      <c r="J33" s="443"/>
    </row>
    <row r="34" spans="1:10" x14ac:dyDescent="0.25">
      <c r="A34" s="444" t="s">
        <v>644</v>
      </c>
      <c r="B34" s="1840" t="s">
        <v>649</v>
      </c>
      <c r="C34" s="1840"/>
      <c r="D34" s="1840"/>
      <c r="E34" s="439"/>
      <c r="F34" s="439"/>
      <c r="G34" s="439"/>
      <c r="H34" s="454"/>
      <c r="I34" s="454"/>
      <c r="J34" s="443"/>
    </row>
    <row r="35" spans="1:10" ht="15" customHeight="1" x14ac:dyDescent="0.25">
      <c r="A35" s="448"/>
      <c r="B35" s="439"/>
      <c r="C35" s="439"/>
      <c r="D35" s="439"/>
      <c r="E35" s="439"/>
      <c r="F35" s="439"/>
      <c r="G35" s="439"/>
      <c r="H35" s="454"/>
      <c r="I35" s="454"/>
      <c r="J35" s="443"/>
    </row>
    <row r="36" spans="1:10" ht="25.5" x14ac:dyDescent="0.25">
      <c r="A36" s="448"/>
      <c r="B36" s="1337" t="s">
        <v>869</v>
      </c>
      <c r="C36" s="1337" t="s">
        <v>879</v>
      </c>
      <c r="D36" s="1337"/>
      <c r="E36" s="1337"/>
      <c r="F36" s="1337" t="s">
        <v>880</v>
      </c>
      <c r="G36" s="1337" t="s">
        <v>881</v>
      </c>
      <c r="H36" s="463" t="s">
        <v>454</v>
      </c>
      <c r="I36" s="454"/>
      <c r="J36" s="443"/>
    </row>
    <row r="37" spans="1:10" ht="51" x14ac:dyDescent="0.25">
      <c r="A37" s="448"/>
      <c r="B37" s="449" t="str">
        <f>B29</f>
        <v>PROFESIONAL II(Supervisor)</v>
      </c>
      <c r="C37" s="450">
        <v>1</v>
      </c>
      <c r="D37" s="450"/>
      <c r="E37" s="450"/>
      <c r="F37" s="450">
        <v>5</v>
      </c>
      <c r="G37" s="1340">
        <v>300</v>
      </c>
      <c r="H37" s="1340">
        <f>F37*G37</f>
        <v>1500</v>
      </c>
      <c r="I37" s="454"/>
      <c r="J37" s="443"/>
    </row>
    <row r="38" spans="1:10" ht="51" x14ac:dyDescent="0.25">
      <c r="A38" s="448"/>
      <c r="B38" s="449" t="str">
        <f>B30</f>
        <v>PROFESIONAL  IV(Profesional de planta)</v>
      </c>
      <c r="C38" s="450">
        <v>3</v>
      </c>
      <c r="D38" s="450"/>
      <c r="E38" s="450"/>
      <c r="F38" s="450">
        <v>5</v>
      </c>
      <c r="G38" s="1340">
        <v>300</v>
      </c>
      <c r="H38" s="1340">
        <f>F38*G38</f>
        <v>1500</v>
      </c>
      <c r="I38" s="454"/>
      <c r="J38" s="443"/>
    </row>
    <row r="39" spans="1:10" ht="76.5" x14ac:dyDescent="0.25">
      <c r="A39" s="448"/>
      <c r="B39" s="449" t="str">
        <f>B31</f>
        <v>PROFESIONAL VI (Asistente tecnico administrativo)</v>
      </c>
      <c r="C39" s="450">
        <v>1</v>
      </c>
      <c r="D39" s="450"/>
      <c r="E39" s="450"/>
      <c r="F39" s="450">
        <v>5</v>
      </c>
      <c r="G39" s="1340">
        <v>300</v>
      </c>
      <c r="H39" s="1340">
        <f>F39*G39</f>
        <v>1500</v>
      </c>
      <c r="I39" s="454"/>
      <c r="J39" s="443"/>
    </row>
    <row r="40" spans="1:10" x14ac:dyDescent="0.25">
      <c r="A40" s="448"/>
      <c r="B40" s="1813" t="s">
        <v>239</v>
      </c>
      <c r="C40" s="1814"/>
      <c r="D40" s="1814"/>
      <c r="E40" s="1814"/>
      <c r="F40" s="1814"/>
      <c r="G40" s="1815"/>
      <c r="H40" s="453">
        <f>SUM(H37:H39)</f>
        <v>4500</v>
      </c>
      <c r="I40" s="454"/>
      <c r="J40" s="443"/>
    </row>
    <row r="41" spans="1:10" x14ac:dyDescent="0.25">
      <c r="A41" s="448"/>
      <c r="B41" s="439"/>
      <c r="C41" s="439"/>
      <c r="D41" s="439"/>
      <c r="E41" s="439"/>
      <c r="F41" s="439"/>
      <c r="G41" s="439"/>
      <c r="H41" s="454"/>
      <c r="I41" s="454"/>
      <c r="J41" s="443"/>
    </row>
    <row r="42" spans="1:10" x14ac:dyDescent="0.25">
      <c r="A42" s="444" t="s">
        <v>645</v>
      </c>
      <c r="B42" s="1333" t="s">
        <v>650</v>
      </c>
      <c r="C42" s="439"/>
      <c r="D42" s="439"/>
      <c r="E42" s="439"/>
      <c r="F42" s="439"/>
      <c r="G42" s="439"/>
      <c r="H42" s="454"/>
      <c r="I42" s="454"/>
      <c r="J42" s="443"/>
    </row>
    <row r="43" spans="1:10" x14ac:dyDescent="0.25">
      <c r="A43" s="448"/>
      <c r="B43" s="439"/>
      <c r="C43" s="439"/>
      <c r="D43" s="439"/>
      <c r="E43" s="439"/>
      <c r="F43" s="439"/>
      <c r="G43" s="439"/>
      <c r="H43" s="454"/>
      <c r="I43" s="454"/>
      <c r="J43" s="443"/>
    </row>
    <row r="44" spans="1:10" ht="25.5" x14ac:dyDescent="0.25">
      <c r="A44" s="448"/>
      <c r="B44" s="1337" t="s">
        <v>882</v>
      </c>
      <c r="C44" s="1337" t="s">
        <v>883</v>
      </c>
      <c r="D44" s="464" t="s">
        <v>632</v>
      </c>
      <c r="E44" s="464" t="s">
        <v>880</v>
      </c>
      <c r="F44" s="464" t="s">
        <v>884</v>
      </c>
      <c r="G44" s="464" t="s">
        <v>885</v>
      </c>
      <c r="H44" s="465" t="s">
        <v>886</v>
      </c>
      <c r="I44" s="466" t="s">
        <v>887</v>
      </c>
      <c r="J44" s="463" t="s">
        <v>239</v>
      </c>
    </row>
    <row r="45" spans="1:10" ht="51" x14ac:dyDescent="0.25">
      <c r="A45" s="448"/>
      <c r="B45" s="449" t="str">
        <f>B37</f>
        <v>PROFESIONAL II(Supervisor)</v>
      </c>
      <c r="C45" s="450" t="s">
        <v>771</v>
      </c>
      <c r="D45" s="450">
        <v>8</v>
      </c>
      <c r="E45" s="450">
        <v>0</v>
      </c>
      <c r="F45" s="1340">
        <v>140</v>
      </c>
      <c r="G45" s="1340">
        <f>+D45*F45</f>
        <v>1120</v>
      </c>
      <c r="H45" s="1340">
        <v>1</v>
      </c>
      <c r="I45" s="1340">
        <v>140</v>
      </c>
      <c r="J45" s="1340">
        <f>+E45*G45*H45</f>
        <v>0</v>
      </c>
    </row>
    <row r="46" spans="1:10" ht="51" x14ac:dyDescent="0.25">
      <c r="A46" s="448"/>
      <c r="B46" s="449" t="str">
        <f>B38</f>
        <v>PROFESIONAL  IV(Profesional de planta)</v>
      </c>
      <c r="C46" s="450" t="s">
        <v>771</v>
      </c>
      <c r="D46" s="450">
        <v>8</v>
      </c>
      <c r="E46" s="450">
        <v>0</v>
      </c>
      <c r="F46" s="1340">
        <v>140</v>
      </c>
      <c r="G46" s="1340">
        <f>+D46*F46</f>
        <v>1120</v>
      </c>
      <c r="H46" s="1340">
        <v>3</v>
      </c>
      <c r="I46" s="1340">
        <v>140</v>
      </c>
      <c r="J46" s="1340">
        <f>+E46*G46*H46</f>
        <v>0</v>
      </c>
    </row>
    <row r="47" spans="1:10" ht="76.5" x14ac:dyDescent="0.25">
      <c r="A47" s="448"/>
      <c r="B47" s="449" t="str">
        <f>B39</f>
        <v>PROFESIONAL VI (Asistente tecnico administrativo)</v>
      </c>
      <c r="C47" s="450" t="s">
        <v>771</v>
      </c>
      <c r="D47" s="450">
        <v>1</v>
      </c>
      <c r="E47" s="450">
        <v>0</v>
      </c>
      <c r="F47" s="1340">
        <v>140</v>
      </c>
      <c r="G47" s="1340">
        <f>F47*D47</f>
        <v>140</v>
      </c>
      <c r="H47" s="1340">
        <v>1</v>
      </c>
      <c r="I47" s="1340">
        <v>140</v>
      </c>
      <c r="J47" s="1340">
        <f>+E47*G47*H47</f>
        <v>0</v>
      </c>
    </row>
    <row r="48" spans="1:10" x14ac:dyDescent="0.25">
      <c r="A48" s="448"/>
      <c r="B48" s="1813" t="s">
        <v>239</v>
      </c>
      <c r="C48" s="1814"/>
      <c r="D48" s="1814"/>
      <c r="E48" s="1814"/>
      <c r="F48" s="1814"/>
      <c r="G48" s="1814"/>
      <c r="H48" s="1815"/>
      <c r="I48" s="453"/>
      <c r="J48" s="453">
        <f>SUM(J45:J47)</f>
        <v>0</v>
      </c>
    </row>
    <row r="49" spans="1:10" x14ac:dyDescent="0.25">
      <c r="A49" s="448"/>
      <c r="B49" s="439"/>
      <c r="C49" s="439"/>
      <c r="D49" s="439"/>
      <c r="E49" s="439"/>
      <c r="F49" s="439"/>
      <c r="G49" s="439"/>
      <c r="H49" s="439"/>
      <c r="I49" s="454"/>
      <c r="J49" s="443"/>
    </row>
    <row r="50" spans="1:10" x14ac:dyDescent="0.25">
      <c r="A50" s="448"/>
      <c r="B50" s="439"/>
      <c r="C50" s="439"/>
      <c r="D50" s="439"/>
      <c r="E50" s="439"/>
      <c r="F50" s="439"/>
      <c r="G50" s="439"/>
      <c r="H50" s="439"/>
      <c r="I50" s="454"/>
      <c r="J50" s="443"/>
    </row>
    <row r="51" spans="1:10" x14ac:dyDescent="0.25">
      <c r="A51" s="444" t="s">
        <v>646</v>
      </c>
      <c r="B51" s="1816" t="s">
        <v>888</v>
      </c>
      <c r="C51" s="1816"/>
      <c r="D51" s="1816"/>
      <c r="E51" s="1816"/>
      <c r="F51" s="443"/>
      <c r="G51" s="443"/>
      <c r="H51" s="443"/>
      <c r="I51" s="443"/>
      <c r="J51" s="443"/>
    </row>
    <row r="52" spans="1:10" ht="15" customHeight="1" x14ac:dyDescent="0.25">
      <c r="A52" s="467"/>
      <c r="B52" s="435"/>
      <c r="C52" s="443"/>
      <c r="D52" s="443"/>
      <c r="E52" s="443"/>
      <c r="F52" s="443"/>
      <c r="G52" s="443"/>
      <c r="H52" s="443"/>
      <c r="I52" s="443"/>
      <c r="J52" s="443"/>
    </row>
    <row r="53" spans="1:10" ht="38.25" x14ac:dyDescent="0.25">
      <c r="A53" s="448"/>
      <c r="B53" s="1337" t="s">
        <v>882</v>
      </c>
      <c r="C53" s="468" t="s">
        <v>647</v>
      </c>
      <c r="D53" s="468" t="s">
        <v>889</v>
      </c>
      <c r="E53" s="1337" t="s">
        <v>871</v>
      </c>
      <c r="F53" s="1337" t="s">
        <v>872</v>
      </c>
      <c r="G53" s="1337" t="s">
        <v>890</v>
      </c>
      <c r="H53" s="1337" t="s">
        <v>874</v>
      </c>
      <c r="I53" s="1337" t="s">
        <v>875</v>
      </c>
      <c r="J53" s="443"/>
    </row>
    <row r="54" spans="1:10" ht="36" x14ac:dyDescent="0.25">
      <c r="A54" s="448"/>
      <c r="B54" s="469" t="s">
        <v>891</v>
      </c>
      <c r="C54" s="470"/>
      <c r="D54" s="470"/>
      <c r="E54" s="471"/>
      <c r="F54" s="471"/>
      <c r="G54" s="471"/>
      <c r="H54" s="471"/>
      <c r="I54" s="472">
        <f>SUM(I55:I78)</f>
        <v>1068</v>
      </c>
      <c r="J54" s="443"/>
    </row>
    <row r="55" spans="1:10" x14ac:dyDescent="0.25">
      <c r="A55" s="448"/>
      <c r="B55" s="702" t="s">
        <v>662</v>
      </c>
      <c r="C55" s="706" t="s">
        <v>653</v>
      </c>
      <c r="D55" s="707">
        <v>5</v>
      </c>
      <c r="E55" s="670">
        <v>10</v>
      </c>
      <c r="F55" s="1340">
        <v>1</v>
      </c>
      <c r="G55" s="1340">
        <v>1</v>
      </c>
      <c r="H55" s="1340">
        <f>I55</f>
        <v>50</v>
      </c>
      <c r="I55" s="1340">
        <f>+E55*D55</f>
        <v>50</v>
      </c>
      <c r="J55" s="443"/>
    </row>
    <row r="56" spans="1:10" x14ac:dyDescent="0.25">
      <c r="A56" s="448"/>
      <c r="B56" s="702" t="s">
        <v>663</v>
      </c>
      <c r="C56" s="706" t="s">
        <v>653</v>
      </c>
      <c r="D56" s="707">
        <v>5</v>
      </c>
      <c r="E56" s="670">
        <v>1.5</v>
      </c>
      <c r="F56" s="1340">
        <v>1</v>
      </c>
      <c r="G56" s="1340">
        <v>1</v>
      </c>
      <c r="H56" s="1340">
        <f t="shared" ref="H56:H65" si="1">I56</f>
        <v>7.5</v>
      </c>
      <c r="I56" s="1340">
        <f>+E56*D56</f>
        <v>7.5</v>
      </c>
      <c r="J56" s="443"/>
    </row>
    <row r="57" spans="1:10" x14ac:dyDescent="0.25">
      <c r="A57" s="448"/>
      <c r="B57" s="702" t="s">
        <v>1144</v>
      </c>
      <c r="C57" s="706" t="s">
        <v>653</v>
      </c>
      <c r="D57" s="707">
        <v>4</v>
      </c>
      <c r="E57" s="670">
        <v>45</v>
      </c>
      <c r="F57" s="1340">
        <v>1</v>
      </c>
      <c r="G57" s="1340">
        <v>1</v>
      </c>
      <c r="H57" s="1340">
        <f t="shared" si="1"/>
        <v>180</v>
      </c>
      <c r="I57" s="1340">
        <f>+E57*D57</f>
        <v>180</v>
      </c>
      <c r="J57" s="443"/>
    </row>
    <row r="58" spans="1:10" x14ac:dyDescent="0.25">
      <c r="A58" s="448"/>
      <c r="B58" s="702" t="s">
        <v>664</v>
      </c>
      <c r="C58" s="706" t="s">
        <v>665</v>
      </c>
      <c r="D58" s="707">
        <v>3</v>
      </c>
      <c r="E58" s="670">
        <v>2.5</v>
      </c>
      <c r="F58" s="1340">
        <v>1</v>
      </c>
      <c r="G58" s="1340">
        <v>1</v>
      </c>
      <c r="H58" s="1340">
        <f t="shared" si="1"/>
        <v>7.5</v>
      </c>
      <c r="I58" s="1340">
        <f>+E58*D58</f>
        <v>7.5</v>
      </c>
      <c r="J58" s="443"/>
    </row>
    <row r="59" spans="1:10" x14ac:dyDescent="0.25">
      <c r="A59" s="448"/>
      <c r="B59" s="702" t="s">
        <v>666</v>
      </c>
      <c r="C59" s="706" t="s">
        <v>667</v>
      </c>
      <c r="D59" s="707">
        <v>3</v>
      </c>
      <c r="E59" s="670">
        <v>1.5</v>
      </c>
      <c r="F59" s="1340">
        <v>1</v>
      </c>
      <c r="G59" s="1340">
        <v>1</v>
      </c>
      <c r="H59" s="1340">
        <f t="shared" si="1"/>
        <v>4.5</v>
      </c>
      <c r="I59" s="1340">
        <f t="shared" ref="I59:I87" si="2">+E59*D59</f>
        <v>4.5</v>
      </c>
      <c r="J59" s="443"/>
    </row>
    <row r="60" spans="1:10" x14ac:dyDescent="0.25">
      <c r="A60" s="448"/>
      <c r="B60" s="702" t="s">
        <v>668</v>
      </c>
      <c r="C60" s="706" t="s">
        <v>653</v>
      </c>
      <c r="D60" s="707">
        <v>3</v>
      </c>
      <c r="E60" s="670">
        <v>5</v>
      </c>
      <c r="F60" s="1340">
        <v>1</v>
      </c>
      <c r="G60" s="1340">
        <v>1</v>
      </c>
      <c r="H60" s="1340">
        <f t="shared" si="1"/>
        <v>15</v>
      </c>
      <c r="I60" s="1340">
        <f t="shared" si="2"/>
        <v>15</v>
      </c>
      <c r="J60" s="443"/>
    </row>
    <row r="61" spans="1:10" x14ac:dyDescent="0.25">
      <c r="A61" s="448"/>
      <c r="B61" s="1404" t="s">
        <v>669</v>
      </c>
      <c r="C61" s="706" t="s">
        <v>653</v>
      </c>
      <c r="D61" s="707">
        <v>3</v>
      </c>
      <c r="E61" s="670">
        <v>20</v>
      </c>
      <c r="F61" s="1340">
        <v>1</v>
      </c>
      <c r="G61" s="1340">
        <v>1</v>
      </c>
      <c r="H61" s="1340">
        <f t="shared" si="1"/>
        <v>60</v>
      </c>
      <c r="I61" s="1340">
        <f t="shared" si="2"/>
        <v>60</v>
      </c>
      <c r="J61" s="443"/>
    </row>
    <row r="62" spans="1:10" x14ac:dyDescent="0.25">
      <c r="A62" s="448"/>
      <c r="B62" s="702" t="s">
        <v>670</v>
      </c>
      <c r="C62" s="706" t="s">
        <v>653</v>
      </c>
      <c r="D62" s="707">
        <v>3</v>
      </c>
      <c r="E62" s="670">
        <v>6.5</v>
      </c>
      <c r="F62" s="1340">
        <v>1</v>
      </c>
      <c r="G62" s="1340">
        <v>1</v>
      </c>
      <c r="H62" s="1340">
        <f t="shared" si="1"/>
        <v>19.5</v>
      </c>
      <c r="I62" s="1340">
        <f t="shared" si="2"/>
        <v>19.5</v>
      </c>
      <c r="J62" s="443"/>
    </row>
    <row r="63" spans="1:10" x14ac:dyDescent="0.25">
      <c r="A63" s="448"/>
      <c r="B63" s="702" t="s">
        <v>671</v>
      </c>
      <c r="C63" s="706" t="s">
        <v>672</v>
      </c>
      <c r="D63" s="707">
        <v>10</v>
      </c>
      <c r="E63" s="670">
        <v>0.5</v>
      </c>
      <c r="F63" s="1340">
        <v>1</v>
      </c>
      <c r="G63" s="1340">
        <v>1</v>
      </c>
      <c r="H63" s="1340">
        <f t="shared" si="1"/>
        <v>5</v>
      </c>
      <c r="I63" s="1340">
        <f t="shared" si="2"/>
        <v>5</v>
      </c>
      <c r="J63" s="443"/>
    </row>
    <row r="64" spans="1:10" x14ac:dyDescent="0.25">
      <c r="A64" s="448"/>
      <c r="B64" s="702" t="s">
        <v>673</v>
      </c>
      <c r="C64" s="706" t="s">
        <v>653</v>
      </c>
      <c r="D64" s="707">
        <v>10</v>
      </c>
      <c r="E64" s="670">
        <v>1.5</v>
      </c>
      <c r="F64" s="1340">
        <v>1</v>
      </c>
      <c r="G64" s="1340">
        <v>1</v>
      </c>
      <c r="H64" s="1340">
        <f t="shared" si="1"/>
        <v>15</v>
      </c>
      <c r="I64" s="1340">
        <f t="shared" si="2"/>
        <v>15</v>
      </c>
      <c r="J64" s="443"/>
    </row>
    <row r="65" spans="1:10" x14ac:dyDescent="0.25">
      <c r="A65" s="448"/>
      <c r="B65" s="702" t="s">
        <v>674</v>
      </c>
      <c r="C65" s="706" t="s">
        <v>675</v>
      </c>
      <c r="D65" s="707">
        <v>3</v>
      </c>
      <c r="E65" s="670">
        <v>18</v>
      </c>
      <c r="F65" s="1340">
        <v>1</v>
      </c>
      <c r="G65" s="1340">
        <v>1</v>
      </c>
      <c r="H65" s="1340">
        <f t="shared" si="1"/>
        <v>54</v>
      </c>
      <c r="I65" s="1340">
        <f t="shared" si="2"/>
        <v>54</v>
      </c>
      <c r="J65" s="443"/>
    </row>
    <row r="66" spans="1:10" x14ac:dyDescent="0.25">
      <c r="A66" s="448"/>
      <c r="B66" s="702" t="s">
        <v>676</v>
      </c>
      <c r="C66" s="706" t="s">
        <v>677</v>
      </c>
      <c r="D66" s="707">
        <v>3</v>
      </c>
      <c r="E66" s="670">
        <v>3</v>
      </c>
      <c r="F66" s="1340">
        <v>1</v>
      </c>
      <c r="G66" s="1340">
        <v>1</v>
      </c>
      <c r="H66" s="1340">
        <f>I66</f>
        <v>9</v>
      </c>
      <c r="I66" s="1340">
        <f t="shared" si="2"/>
        <v>9</v>
      </c>
      <c r="J66" s="443"/>
    </row>
    <row r="67" spans="1:10" x14ac:dyDescent="0.25">
      <c r="A67" s="448"/>
      <c r="B67" s="702" t="s">
        <v>678</v>
      </c>
      <c r="C67" s="706" t="s">
        <v>653</v>
      </c>
      <c r="D67" s="707">
        <v>3</v>
      </c>
      <c r="E67" s="670">
        <v>5</v>
      </c>
      <c r="F67" s="1340">
        <v>1</v>
      </c>
      <c r="G67" s="1340">
        <v>1</v>
      </c>
      <c r="H67" s="1340">
        <f>I67</f>
        <v>15</v>
      </c>
      <c r="I67" s="1340">
        <f t="shared" si="2"/>
        <v>15</v>
      </c>
      <c r="J67" s="443"/>
    </row>
    <row r="68" spans="1:10" x14ac:dyDescent="0.25">
      <c r="A68" s="448"/>
      <c r="B68" s="702" t="s">
        <v>679</v>
      </c>
      <c r="C68" s="706" t="s">
        <v>653</v>
      </c>
      <c r="D68" s="707">
        <v>3</v>
      </c>
      <c r="E68" s="670">
        <v>4</v>
      </c>
      <c r="F68" s="1340">
        <v>1</v>
      </c>
      <c r="G68" s="1340">
        <v>1</v>
      </c>
      <c r="H68" s="1340">
        <f t="shared" ref="H68:H87" si="3">I68</f>
        <v>12</v>
      </c>
      <c r="I68" s="1340">
        <f t="shared" si="2"/>
        <v>12</v>
      </c>
      <c r="J68" s="443"/>
    </row>
    <row r="69" spans="1:10" x14ac:dyDescent="0.25">
      <c r="A69" s="448"/>
      <c r="B69" s="702" t="s">
        <v>680</v>
      </c>
      <c r="C69" s="706" t="s">
        <v>667</v>
      </c>
      <c r="D69" s="707">
        <v>1</v>
      </c>
      <c r="E69" s="670">
        <v>20</v>
      </c>
      <c r="F69" s="1340">
        <v>1</v>
      </c>
      <c r="G69" s="1340">
        <v>1</v>
      </c>
      <c r="H69" s="1340">
        <f t="shared" si="3"/>
        <v>20</v>
      </c>
      <c r="I69" s="1340">
        <f t="shared" si="2"/>
        <v>20</v>
      </c>
      <c r="J69" s="443"/>
    </row>
    <row r="70" spans="1:10" x14ac:dyDescent="0.25">
      <c r="A70" s="448"/>
      <c r="B70" s="702" t="s">
        <v>681</v>
      </c>
      <c r="C70" s="706" t="s">
        <v>667</v>
      </c>
      <c r="D70" s="707">
        <v>1</v>
      </c>
      <c r="E70" s="670">
        <v>20</v>
      </c>
      <c r="F70" s="1340">
        <v>1</v>
      </c>
      <c r="G70" s="1340">
        <v>1</v>
      </c>
      <c r="H70" s="1340">
        <f t="shared" si="3"/>
        <v>20</v>
      </c>
      <c r="I70" s="1340">
        <f t="shared" si="2"/>
        <v>20</v>
      </c>
      <c r="J70" s="443"/>
    </row>
    <row r="71" spans="1:10" x14ac:dyDescent="0.25">
      <c r="A71" s="448"/>
      <c r="B71" s="702" t="s">
        <v>682</v>
      </c>
      <c r="C71" s="706" t="s">
        <v>667</v>
      </c>
      <c r="D71" s="707">
        <v>1</v>
      </c>
      <c r="E71" s="670">
        <v>15</v>
      </c>
      <c r="F71" s="1340">
        <v>1</v>
      </c>
      <c r="G71" s="1340">
        <v>1</v>
      </c>
      <c r="H71" s="1340">
        <f t="shared" si="3"/>
        <v>15</v>
      </c>
      <c r="I71" s="1340">
        <f t="shared" si="2"/>
        <v>15</v>
      </c>
      <c r="J71" s="443"/>
    </row>
    <row r="72" spans="1:10" x14ac:dyDescent="0.25">
      <c r="A72" s="448"/>
      <c r="B72" s="702" t="s">
        <v>683</v>
      </c>
      <c r="C72" s="706" t="s">
        <v>653</v>
      </c>
      <c r="D72" s="707">
        <v>1</v>
      </c>
      <c r="E72" s="670">
        <v>30</v>
      </c>
      <c r="F72" s="1340">
        <v>1</v>
      </c>
      <c r="G72" s="1340">
        <v>1</v>
      </c>
      <c r="H72" s="1340">
        <f t="shared" si="3"/>
        <v>30</v>
      </c>
      <c r="I72" s="1340">
        <f t="shared" si="2"/>
        <v>30</v>
      </c>
      <c r="J72" s="443"/>
    </row>
    <row r="73" spans="1:10" x14ac:dyDescent="0.25">
      <c r="A73" s="448"/>
      <c r="B73" s="702" t="s">
        <v>684</v>
      </c>
      <c r="C73" s="706" t="s">
        <v>653</v>
      </c>
      <c r="D73" s="707">
        <v>1</v>
      </c>
      <c r="E73" s="670">
        <v>30</v>
      </c>
      <c r="F73" s="1340">
        <v>1</v>
      </c>
      <c r="G73" s="1340">
        <v>1</v>
      </c>
      <c r="H73" s="1340">
        <f t="shared" si="3"/>
        <v>30</v>
      </c>
      <c r="I73" s="1340">
        <f t="shared" si="2"/>
        <v>30</v>
      </c>
      <c r="J73" s="443"/>
    </row>
    <row r="74" spans="1:10" x14ac:dyDescent="0.25">
      <c r="A74" s="448"/>
      <c r="B74" s="702" t="s">
        <v>685</v>
      </c>
      <c r="C74" s="706" t="s">
        <v>667</v>
      </c>
      <c r="D74" s="707">
        <v>1</v>
      </c>
      <c r="E74" s="670">
        <v>10</v>
      </c>
      <c r="F74" s="1340">
        <v>1</v>
      </c>
      <c r="G74" s="1340">
        <v>1</v>
      </c>
      <c r="H74" s="1340">
        <f t="shared" si="3"/>
        <v>10</v>
      </c>
      <c r="I74" s="1340">
        <f t="shared" si="2"/>
        <v>10</v>
      </c>
      <c r="J74" s="443"/>
    </row>
    <row r="75" spans="1:10" x14ac:dyDescent="0.25">
      <c r="A75" s="448"/>
      <c r="B75" s="702" t="s">
        <v>686</v>
      </c>
      <c r="C75" s="706" t="s">
        <v>687</v>
      </c>
      <c r="D75" s="707">
        <v>3</v>
      </c>
      <c r="E75" s="670">
        <v>35</v>
      </c>
      <c r="F75" s="1340">
        <v>1</v>
      </c>
      <c r="G75" s="1340">
        <v>1</v>
      </c>
      <c r="H75" s="1340">
        <f t="shared" si="3"/>
        <v>105</v>
      </c>
      <c r="I75" s="1340">
        <f t="shared" si="2"/>
        <v>105</v>
      </c>
      <c r="J75" s="443"/>
    </row>
    <row r="76" spans="1:10" x14ac:dyDescent="0.25">
      <c r="A76" s="448"/>
      <c r="B76" s="702" t="s">
        <v>688</v>
      </c>
      <c r="C76" s="706" t="s">
        <v>689</v>
      </c>
      <c r="D76" s="707">
        <v>3</v>
      </c>
      <c r="E76" s="670">
        <v>32</v>
      </c>
      <c r="F76" s="1340">
        <v>1</v>
      </c>
      <c r="G76" s="1340">
        <v>1</v>
      </c>
      <c r="H76" s="1340">
        <f t="shared" si="3"/>
        <v>96</v>
      </c>
      <c r="I76" s="1340">
        <f t="shared" si="2"/>
        <v>96</v>
      </c>
      <c r="J76" s="443"/>
    </row>
    <row r="77" spans="1:10" x14ac:dyDescent="0.25">
      <c r="A77" s="448"/>
      <c r="B77" s="702" t="s">
        <v>690</v>
      </c>
      <c r="C77" s="706" t="s">
        <v>691</v>
      </c>
      <c r="D77" s="707">
        <v>1</v>
      </c>
      <c r="E77" s="670">
        <v>8</v>
      </c>
      <c r="F77" s="1340">
        <v>1</v>
      </c>
      <c r="G77" s="1340">
        <v>1</v>
      </c>
      <c r="H77" s="1340">
        <f t="shared" si="3"/>
        <v>8</v>
      </c>
      <c r="I77" s="1340">
        <f t="shared" si="2"/>
        <v>8</v>
      </c>
      <c r="J77" s="443"/>
    </row>
    <row r="78" spans="1:10" x14ac:dyDescent="0.25">
      <c r="A78" s="448"/>
      <c r="B78" s="702" t="s">
        <v>692</v>
      </c>
      <c r="C78" s="706" t="s">
        <v>653</v>
      </c>
      <c r="D78" s="707">
        <v>1</v>
      </c>
      <c r="E78" s="670">
        <v>280</v>
      </c>
      <c r="F78" s="1340">
        <v>1</v>
      </c>
      <c r="G78" s="1340">
        <v>1</v>
      </c>
      <c r="H78" s="1340">
        <v>0</v>
      </c>
      <c r="I78" s="1340">
        <f>+E78*D78</f>
        <v>280</v>
      </c>
      <c r="J78" s="443"/>
    </row>
    <row r="79" spans="1:10" x14ac:dyDescent="0.25">
      <c r="A79" s="448"/>
      <c r="B79" s="469" t="s">
        <v>892</v>
      </c>
      <c r="C79" s="473"/>
      <c r="D79" s="473"/>
      <c r="E79" s="473"/>
      <c r="F79" s="474"/>
      <c r="G79" s="474"/>
      <c r="H79" s="474"/>
      <c r="I79" s="472">
        <f>SUM(I80:I84)</f>
        <v>1966.1000000000058</v>
      </c>
      <c r="J79" s="443"/>
    </row>
    <row r="80" spans="1:10" x14ac:dyDescent="0.25">
      <c r="A80" s="448"/>
      <c r="B80" s="709" t="s">
        <v>703</v>
      </c>
      <c r="C80" s="704" t="s">
        <v>638</v>
      </c>
      <c r="D80" s="708">
        <v>1</v>
      </c>
      <c r="E80" s="670">
        <v>1926.1000000000058</v>
      </c>
      <c r="F80" s="1340">
        <v>1</v>
      </c>
      <c r="G80" s="1340">
        <v>1</v>
      </c>
      <c r="H80" s="1340">
        <f t="shared" si="3"/>
        <v>1926.1000000000058</v>
      </c>
      <c r="I80" s="1340">
        <f>+E80*D80</f>
        <v>1926.1000000000058</v>
      </c>
      <c r="J80" s="443"/>
    </row>
    <row r="81" spans="1:10" x14ac:dyDescent="0.25">
      <c r="A81" s="448"/>
      <c r="B81" s="709" t="s">
        <v>704</v>
      </c>
      <c r="C81" s="704" t="s">
        <v>647</v>
      </c>
      <c r="D81" s="708">
        <v>1</v>
      </c>
      <c r="E81" s="670">
        <v>10</v>
      </c>
      <c r="F81" s="1340">
        <v>1</v>
      </c>
      <c r="G81" s="1340">
        <v>1</v>
      </c>
      <c r="H81" s="1340">
        <f t="shared" si="3"/>
        <v>10</v>
      </c>
      <c r="I81" s="1340">
        <f t="shared" si="2"/>
        <v>10</v>
      </c>
      <c r="J81" s="443"/>
    </row>
    <row r="82" spans="1:10" x14ac:dyDescent="0.25">
      <c r="A82" s="448"/>
      <c r="B82" s="709" t="s">
        <v>705</v>
      </c>
      <c r="C82" s="704" t="s">
        <v>647</v>
      </c>
      <c r="D82" s="708">
        <v>1</v>
      </c>
      <c r="E82" s="670">
        <v>10</v>
      </c>
      <c r="F82" s="1340">
        <v>1</v>
      </c>
      <c r="G82" s="1340">
        <v>1</v>
      </c>
      <c r="H82" s="1340">
        <f t="shared" si="3"/>
        <v>10</v>
      </c>
      <c r="I82" s="1340">
        <f t="shared" si="2"/>
        <v>10</v>
      </c>
      <c r="J82" s="443"/>
    </row>
    <row r="83" spans="1:10" x14ac:dyDescent="0.25">
      <c r="A83" s="448"/>
      <c r="B83" s="709" t="s">
        <v>706</v>
      </c>
      <c r="C83" s="704" t="s">
        <v>647</v>
      </c>
      <c r="D83" s="708">
        <v>1</v>
      </c>
      <c r="E83" s="670">
        <v>10</v>
      </c>
      <c r="F83" s="1340">
        <v>1</v>
      </c>
      <c r="G83" s="1340">
        <v>1</v>
      </c>
      <c r="H83" s="1340">
        <f t="shared" si="3"/>
        <v>10</v>
      </c>
      <c r="I83" s="1340">
        <f t="shared" si="2"/>
        <v>10</v>
      </c>
      <c r="J83" s="443"/>
    </row>
    <row r="84" spans="1:10" x14ac:dyDescent="0.25">
      <c r="A84" s="448"/>
      <c r="B84" s="709" t="s">
        <v>707</v>
      </c>
      <c r="C84" s="704" t="s">
        <v>647</v>
      </c>
      <c r="D84" s="708">
        <v>1</v>
      </c>
      <c r="E84" s="670">
        <v>10</v>
      </c>
      <c r="F84" s="1340">
        <v>1</v>
      </c>
      <c r="G84" s="1340">
        <v>1</v>
      </c>
      <c r="H84" s="1340">
        <f t="shared" si="3"/>
        <v>10</v>
      </c>
      <c r="I84" s="1340">
        <f t="shared" si="2"/>
        <v>10</v>
      </c>
      <c r="J84" s="443"/>
    </row>
    <row r="85" spans="1:10" ht="36" x14ac:dyDescent="0.25">
      <c r="A85" s="448"/>
      <c r="B85" s="469" t="s">
        <v>893</v>
      </c>
      <c r="C85" s="473"/>
      <c r="D85" s="473"/>
      <c r="E85" s="473"/>
      <c r="F85" s="474"/>
      <c r="G85" s="474"/>
      <c r="H85" s="474"/>
      <c r="I85" s="472">
        <f>SUM(I86:I87)</f>
        <v>2400</v>
      </c>
      <c r="J85" s="443"/>
    </row>
    <row r="86" spans="1:10" x14ac:dyDescent="0.25">
      <c r="A86" s="448"/>
      <c r="B86" s="702" t="s">
        <v>654</v>
      </c>
      <c r="C86" s="704" t="s">
        <v>647</v>
      </c>
      <c r="D86" s="705">
        <v>1</v>
      </c>
      <c r="E86" s="670">
        <v>1700</v>
      </c>
      <c r="F86" s="1340">
        <v>1</v>
      </c>
      <c r="G86" s="1340">
        <v>1</v>
      </c>
      <c r="H86" s="1340">
        <f t="shared" si="3"/>
        <v>1700</v>
      </c>
      <c r="I86" s="1340">
        <f t="shared" si="2"/>
        <v>1700</v>
      </c>
      <c r="J86" s="443"/>
    </row>
    <row r="87" spans="1:10" x14ac:dyDescent="0.25">
      <c r="A87" s="448"/>
      <c r="B87" s="702" t="s">
        <v>655</v>
      </c>
      <c r="C87" s="704" t="s">
        <v>647</v>
      </c>
      <c r="D87" s="705">
        <v>1</v>
      </c>
      <c r="E87" s="670">
        <v>700</v>
      </c>
      <c r="F87" s="1340">
        <v>1</v>
      </c>
      <c r="G87" s="1340">
        <v>1</v>
      </c>
      <c r="H87" s="1340">
        <f t="shared" si="3"/>
        <v>700</v>
      </c>
      <c r="I87" s="1340">
        <f t="shared" si="2"/>
        <v>700</v>
      </c>
      <c r="J87" s="443"/>
    </row>
    <row r="88" spans="1:10" x14ac:dyDescent="0.25">
      <c r="A88" s="448"/>
      <c r="B88" s="1813" t="s">
        <v>239</v>
      </c>
      <c r="C88" s="1814"/>
      <c r="D88" s="1814"/>
      <c r="E88" s="1814"/>
      <c r="F88" s="1814"/>
      <c r="G88" s="1814"/>
      <c r="H88" s="1815"/>
      <c r="I88" s="453">
        <f>I85+I54+I79</f>
        <v>5434.1000000000058</v>
      </c>
      <c r="J88" s="443"/>
    </row>
    <row r="89" spans="1:10" x14ac:dyDescent="0.25">
      <c r="A89" s="448"/>
      <c r="B89" s="443"/>
      <c r="C89" s="443"/>
      <c r="D89" s="443"/>
      <c r="E89" s="443"/>
      <c r="F89" s="443"/>
      <c r="G89" s="443"/>
      <c r="H89" s="443"/>
      <c r="I89" s="443"/>
      <c r="J89" s="443"/>
    </row>
    <row r="90" spans="1:10" ht="25.5" x14ac:dyDescent="0.25">
      <c r="A90" s="444" t="s">
        <v>863</v>
      </c>
      <c r="B90" s="1333" t="s">
        <v>894</v>
      </c>
      <c r="C90" s="1333"/>
      <c r="D90" s="439"/>
      <c r="E90" s="447"/>
      <c r="F90" s="447"/>
      <c r="G90" s="447"/>
      <c r="H90" s="447"/>
      <c r="I90" s="445"/>
      <c r="J90" s="443"/>
    </row>
    <row r="91" spans="1:10" x14ac:dyDescent="0.25">
      <c r="A91" s="455"/>
      <c r="B91" s="1333"/>
      <c r="C91" s="1333"/>
      <c r="D91" s="439"/>
      <c r="E91" s="447"/>
      <c r="F91" s="447"/>
      <c r="G91" s="447"/>
      <c r="H91" s="447"/>
      <c r="I91" s="445"/>
      <c r="J91" s="443"/>
    </row>
    <row r="92" spans="1:10" ht="38.25" x14ac:dyDescent="0.25">
      <c r="A92" s="448"/>
      <c r="B92" s="1337" t="s">
        <v>844</v>
      </c>
      <c r="C92" s="1337" t="s">
        <v>895</v>
      </c>
      <c r="D92" s="1337" t="s">
        <v>889</v>
      </c>
      <c r="E92" s="1337" t="s">
        <v>871</v>
      </c>
      <c r="F92" s="1337" t="s">
        <v>872</v>
      </c>
      <c r="G92" s="1337" t="s">
        <v>890</v>
      </c>
      <c r="H92" s="1337" t="s">
        <v>874</v>
      </c>
      <c r="I92" s="1337" t="s">
        <v>875</v>
      </c>
      <c r="J92" s="443"/>
    </row>
    <row r="93" spans="1:10" x14ac:dyDescent="0.25">
      <c r="A93" s="448"/>
      <c r="B93" s="702" t="s">
        <v>1094</v>
      </c>
      <c r="C93" s="701" t="s">
        <v>653</v>
      </c>
      <c r="D93" s="708">
        <v>0</v>
      </c>
      <c r="E93" s="670">
        <v>70</v>
      </c>
      <c r="F93" s="1340">
        <v>1</v>
      </c>
      <c r="G93" s="1340">
        <v>1</v>
      </c>
      <c r="H93" s="1340">
        <f>I93</f>
        <v>0</v>
      </c>
      <c r="I93" s="1340">
        <f>+E93*D93</f>
        <v>0</v>
      </c>
      <c r="J93" s="443"/>
    </row>
    <row r="94" spans="1:10" x14ac:dyDescent="0.25">
      <c r="A94" s="448"/>
      <c r="B94" s="702" t="s">
        <v>708</v>
      </c>
      <c r="C94" s="701" t="s">
        <v>653</v>
      </c>
      <c r="D94" s="708">
        <v>0</v>
      </c>
      <c r="E94" s="670">
        <v>20</v>
      </c>
      <c r="F94" s="1340">
        <v>1</v>
      </c>
      <c r="G94" s="1340">
        <v>1</v>
      </c>
      <c r="H94" s="1340">
        <f t="shared" ref="H94:H97" si="4">I94</f>
        <v>0</v>
      </c>
      <c r="I94" s="1340">
        <f t="shared" ref="I94:I97" si="5">+E94*D94</f>
        <v>0</v>
      </c>
      <c r="J94" s="443"/>
    </row>
    <row r="95" spans="1:10" x14ac:dyDescent="0.25">
      <c r="A95" s="448"/>
      <c r="B95" s="702" t="s">
        <v>709</v>
      </c>
      <c r="C95" s="701" t="s">
        <v>653</v>
      </c>
      <c r="D95" s="708">
        <v>0</v>
      </c>
      <c r="E95" s="670">
        <v>70</v>
      </c>
      <c r="F95" s="1340">
        <v>1</v>
      </c>
      <c r="G95" s="1340">
        <v>1</v>
      </c>
      <c r="H95" s="1340">
        <f t="shared" si="4"/>
        <v>0</v>
      </c>
      <c r="I95" s="1340">
        <f t="shared" si="5"/>
        <v>0</v>
      </c>
      <c r="J95" s="443"/>
    </row>
    <row r="96" spans="1:10" x14ac:dyDescent="0.25">
      <c r="A96" s="448"/>
      <c r="B96" s="702" t="s">
        <v>710</v>
      </c>
      <c r="C96" s="701" t="s">
        <v>653</v>
      </c>
      <c r="D96" s="708">
        <v>0</v>
      </c>
      <c r="E96" s="670">
        <v>180</v>
      </c>
      <c r="F96" s="1340">
        <v>1</v>
      </c>
      <c r="G96" s="1340">
        <v>1</v>
      </c>
      <c r="H96" s="1340">
        <f t="shared" si="4"/>
        <v>0</v>
      </c>
      <c r="I96" s="1340">
        <f t="shared" si="5"/>
        <v>0</v>
      </c>
      <c r="J96" s="443"/>
    </row>
    <row r="97" spans="1:10" x14ac:dyDescent="0.25">
      <c r="A97" s="448"/>
      <c r="B97" s="702" t="s">
        <v>711</v>
      </c>
      <c r="C97" s="701" t="s">
        <v>653</v>
      </c>
      <c r="D97" s="708">
        <v>0</v>
      </c>
      <c r="E97" s="670">
        <v>25</v>
      </c>
      <c r="F97" s="1340">
        <v>1</v>
      </c>
      <c r="G97" s="1340">
        <v>1</v>
      </c>
      <c r="H97" s="1340">
        <f t="shared" si="4"/>
        <v>0</v>
      </c>
      <c r="I97" s="1340">
        <f t="shared" si="5"/>
        <v>0</v>
      </c>
      <c r="J97" s="443"/>
    </row>
    <row r="98" spans="1:10" x14ac:dyDescent="0.25">
      <c r="A98" s="448"/>
      <c r="B98" s="1813" t="s">
        <v>239</v>
      </c>
      <c r="C98" s="1814"/>
      <c r="D98" s="1814"/>
      <c r="E98" s="1814"/>
      <c r="F98" s="1814"/>
      <c r="G98" s="1814"/>
      <c r="H98" s="1815"/>
      <c r="I98" s="453">
        <f>SUM(I93:I97)</f>
        <v>0</v>
      </c>
      <c r="J98" s="443"/>
    </row>
    <row r="99" spans="1:10" x14ac:dyDescent="0.25">
      <c r="A99" s="448"/>
      <c r="B99" s="443"/>
      <c r="C99" s="443"/>
      <c r="D99" s="443"/>
      <c r="E99" s="443"/>
      <c r="F99" s="443"/>
      <c r="G99" s="443"/>
      <c r="H99" s="443"/>
      <c r="I99" s="443"/>
      <c r="J99" s="443"/>
    </row>
    <row r="100" spans="1:10" x14ac:dyDescent="0.25">
      <c r="A100" s="448"/>
      <c r="B100" s="443"/>
      <c r="C100" s="443"/>
      <c r="D100" s="443"/>
      <c r="E100" s="443"/>
      <c r="F100" s="443"/>
      <c r="G100" s="443"/>
      <c r="H100" s="443"/>
      <c r="I100" s="443"/>
      <c r="J100" s="443"/>
    </row>
    <row r="101" spans="1:10" x14ac:dyDescent="0.25">
      <c r="A101" s="444" t="s">
        <v>863</v>
      </c>
      <c r="B101" s="1816" t="s">
        <v>896</v>
      </c>
      <c r="C101" s="1816"/>
      <c r="D101" s="1816"/>
      <c r="E101" s="1816"/>
      <c r="F101" s="443"/>
      <c r="G101" s="443"/>
      <c r="H101" s="443"/>
      <c r="I101" s="443"/>
      <c r="J101" s="443"/>
    </row>
    <row r="102" spans="1:10" ht="15" customHeight="1" x14ac:dyDescent="0.25">
      <c r="A102" s="455"/>
      <c r="B102" s="475"/>
      <c r="C102" s="443"/>
      <c r="D102" s="443"/>
      <c r="E102" s="443"/>
      <c r="F102" s="443"/>
      <c r="G102" s="443"/>
      <c r="H102" s="443"/>
      <c r="I102" s="443"/>
      <c r="J102" s="443"/>
    </row>
    <row r="103" spans="1:10" ht="38.25" x14ac:dyDescent="0.25">
      <c r="A103" s="443"/>
      <c r="B103" s="1337" t="s">
        <v>844</v>
      </c>
      <c r="C103" s="468" t="s">
        <v>895</v>
      </c>
      <c r="D103" s="468" t="s">
        <v>889</v>
      </c>
      <c r="E103" s="1337" t="s">
        <v>871</v>
      </c>
      <c r="F103" s="1337" t="s">
        <v>872</v>
      </c>
      <c r="G103" s="1337" t="s">
        <v>890</v>
      </c>
      <c r="H103" s="1337" t="s">
        <v>874</v>
      </c>
      <c r="I103" s="1337" t="s">
        <v>875</v>
      </c>
      <c r="J103" s="476"/>
    </row>
    <row r="104" spans="1:10" x14ac:dyDescent="0.25">
      <c r="A104" s="443"/>
      <c r="B104" s="702" t="s">
        <v>1157</v>
      </c>
      <c r="C104" s="704" t="s">
        <v>712</v>
      </c>
      <c r="D104" s="708">
        <v>0</v>
      </c>
      <c r="E104" s="670">
        <v>15</v>
      </c>
      <c r="F104" s="1340">
        <v>1</v>
      </c>
      <c r="G104" s="1340">
        <v>1</v>
      </c>
      <c r="H104" s="1340">
        <f>I104</f>
        <v>0</v>
      </c>
      <c r="I104" s="1340">
        <f>+E104*D104</f>
        <v>0</v>
      </c>
      <c r="J104" s="476"/>
    </row>
    <row r="105" spans="1:10" x14ac:dyDescent="0.25">
      <c r="A105" s="443"/>
      <c r="B105" s="702" t="s">
        <v>713</v>
      </c>
      <c r="C105" s="704" t="s">
        <v>712</v>
      </c>
      <c r="D105" s="708">
        <v>0</v>
      </c>
      <c r="E105" s="670">
        <v>120</v>
      </c>
      <c r="F105" s="1340">
        <v>1</v>
      </c>
      <c r="G105" s="1340">
        <v>1</v>
      </c>
      <c r="H105" s="1340">
        <f>I105</f>
        <v>0</v>
      </c>
      <c r="I105" s="1340">
        <f>+E105*D105</f>
        <v>0</v>
      </c>
      <c r="J105" s="476"/>
    </row>
    <row r="106" spans="1:10" x14ac:dyDescent="0.25">
      <c r="A106" s="443"/>
      <c r="B106" s="1813" t="s">
        <v>239</v>
      </c>
      <c r="C106" s="1814"/>
      <c r="D106" s="1814"/>
      <c r="E106" s="1814"/>
      <c r="F106" s="1814"/>
      <c r="G106" s="1814"/>
      <c r="H106" s="1815"/>
      <c r="I106" s="453">
        <f>SUM(I104:I105)</f>
        <v>0</v>
      </c>
      <c r="J106" s="476"/>
    </row>
    <row r="107" spans="1:10" x14ac:dyDescent="0.25">
      <c r="A107" s="443"/>
      <c r="B107" s="443"/>
      <c r="C107" s="443"/>
      <c r="D107" s="443"/>
      <c r="E107" s="443"/>
      <c r="F107" s="443"/>
      <c r="G107" s="443"/>
      <c r="H107" s="443"/>
      <c r="I107" s="443"/>
      <c r="J107" s="476"/>
    </row>
    <row r="108" spans="1:10" x14ac:dyDescent="0.25">
      <c r="A108" s="477" t="s">
        <v>651</v>
      </c>
      <c r="B108" s="475" t="s">
        <v>821</v>
      </c>
      <c r="C108" s="443"/>
      <c r="D108" s="443"/>
      <c r="E108" s="443"/>
      <c r="F108" s="443"/>
      <c r="G108" s="443"/>
      <c r="H108" s="443"/>
      <c r="I108" s="443"/>
      <c r="J108" s="443"/>
    </row>
    <row r="109" spans="1:10" x14ac:dyDescent="0.25">
      <c r="A109" s="455"/>
      <c r="B109" s="475"/>
      <c r="C109" s="443"/>
      <c r="D109" s="443"/>
      <c r="E109" s="443"/>
      <c r="F109" s="443"/>
      <c r="G109" s="443"/>
      <c r="H109" s="443"/>
      <c r="I109" s="443"/>
      <c r="J109" s="443"/>
    </row>
    <row r="110" spans="1:10" ht="38.25" x14ac:dyDescent="0.25">
      <c r="A110" s="443"/>
      <c r="B110" s="1337" t="s">
        <v>897</v>
      </c>
      <c r="C110" s="468" t="s">
        <v>895</v>
      </c>
      <c r="D110" s="468" t="s">
        <v>889</v>
      </c>
      <c r="E110" s="1337" t="s">
        <v>871</v>
      </c>
      <c r="F110" s="1337" t="s">
        <v>872</v>
      </c>
      <c r="G110" s="1337" t="s">
        <v>890</v>
      </c>
      <c r="H110" s="1337" t="s">
        <v>874</v>
      </c>
      <c r="I110" s="1337" t="s">
        <v>875</v>
      </c>
      <c r="J110" s="443"/>
    </row>
    <row r="111" spans="1:10" x14ac:dyDescent="0.25">
      <c r="A111" s="443"/>
      <c r="B111" s="449"/>
      <c r="C111" s="450"/>
      <c r="D111" s="450"/>
      <c r="E111" s="1340"/>
      <c r="F111" s="1340"/>
      <c r="G111" s="1340"/>
      <c r="H111" s="1340"/>
      <c r="I111" s="1340"/>
      <c r="J111" s="443"/>
    </row>
    <row r="112" spans="1:10" x14ac:dyDescent="0.25">
      <c r="A112" s="443"/>
      <c r="B112" s="1813" t="s">
        <v>239</v>
      </c>
      <c r="C112" s="1814"/>
      <c r="D112" s="1814"/>
      <c r="E112" s="1814"/>
      <c r="F112" s="1814"/>
      <c r="G112" s="1814"/>
      <c r="H112" s="1815"/>
      <c r="I112" s="453"/>
      <c r="J112" s="443"/>
    </row>
    <row r="113" spans="1:10" x14ac:dyDescent="0.25">
      <c r="A113" s="443"/>
      <c r="B113" s="443"/>
      <c r="C113" s="443"/>
      <c r="D113" s="443"/>
      <c r="E113" s="443"/>
      <c r="F113" s="443"/>
      <c r="G113" s="443"/>
      <c r="H113" s="443"/>
      <c r="I113" s="443"/>
      <c r="J113" s="443"/>
    </row>
    <row r="114" spans="1:10" x14ac:dyDescent="0.25">
      <c r="A114" s="444" t="s">
        <v>864</v>
      </c>
      <c r="B114" s="1816" t="s">
        <v>898</v>
      </c>
      <c r="C114" s="1816"/>
      <c r="D114" s="1816"/>
      <c r="E114" s="1816"/>
      <c r="F114" s="443"/>
      <c r="G114" s="443"/>
      <c r="H114" s="443"/>
      <c r="I114" s="443"/>
      <c r="J114" s="443"/>
    </row>
    <row r="115" spans="1:10" ht="15" customHeight="1" x14ac:dyDescent="0.25">
      <c r="A115" s="455"/>
      <c r="B115" s="475"/>
      <c r="C115" s="443"/>
      <c r="D115" s="443"/>
      <c r="E115" s="443"/>
      <c r="F115" s="443"/>
      <c r="G115" s="443"/>
      <c r="H115" s="443"/>
      <c r="I115" s="443"/>
      <c r="J115" s="443"/>
    </row>
    <row r="116" spans="1:10" ht="38.25" x14ac:dyDescent="0.25">
      <c r="A116" s="443"/>
      <c r="B116" s="1337" t="s">
        <v>897</v>
      </c>
      <c r="C116" s="468" t="s">
        <v>895</v>
      </c>
      <c r="D116" s="468" t="s">
        <v>889</v>
      </c>
      <c r="E116" s="1337" t="s">
        <v>871</v>
      </c>
      <c r="F116" s="1337" t="s">
        <v>872</v>
      </c>
      <c r="G116" s="1337" t="s">
        <v>890</v>
      </c>
      <c r="H116" s="1337" t="s">
        <v>874</v>
      </c>
      <c r="I116" s="1337" t="s">
        <v>875</v>
      </c>
      <c r="J116" s="443"/>
    </row>
    <row r="117" spans="1:10" x14ac:dyDescent="0.25">
      <c r="A117" s="443"/>
      <c r="B117" s="702" t="s">
        <v>652</v>
      </c>
      <c r="C117" s="701" t="s">
        <v>638</v>
      </c>
      <c r="D117" s="703">
        <v>0</v>
      </c>
      <c r="E117" s="670">
        <v>500</v>
      </c>
      <c r="F117" s="1340">
        <v>1</v>
      </c>
      <c r="G117" s="1340">
        <v>1</v>
      </c>
      <c r="H117" s="1340">
        <f>I117</f>
        <v>0</v>
      </c>
      <c r="I117" s="1340">
        <f>+E117*D117</f>
        <v>0</v>
      </c>
      <c r="J117" s="443"/>
    </row>
    <row r="118" spans="1:10" x14ac:dyDescent="0.25">
      <c r="A118" s="443"/>
      <c r="B118" s="702" t="s">
        <v>899</v>
      </c>
      <c r="C118" s="701" t="s">
        <v>643</v>
      </c>
      <c r="D118" s="703">
        <v>1</v>
      </c>
      <c r="E118" s="670">
        <v>500</v>
      </c>
      <c r="F118" s="1340">
        <v>1</v>
      </c>
      <c r="G118" s="1340">
        <v>0</v>
      </c>
      <c r="H118" s="1340">
        <f>+D118*E118*G118</f>
        <v>0</v>
      </c>
      <c r="I118" s="1340">
        <f>+H118</f>
        <v>0</v>
      </c>
      <c r="J118" s="443"/>
    </row>
    <row r="119" spans="1:10" x14ac:dyDescent="0.25">
      <c r="A119" s="443"/>
      <c r="B119" s="1813" t="s">
        <v>239</v>
      </c>
      <c r="C119" s="1814"/>
      <c r="D119" s="1814"/>
      <c r="E119" s="1814"/>
      <c r="F119" s="1814"/>
      <c r="G119" s="1814"/>
      <c r="H119" s="1815"/>
      <c r="I119" s="453">
        <f>+I117+I118</f>
        <v>0</v>
      </c>
      <c r="J119" s="443"/>
    </row>
    <row r="120" spans="1:10" x14ac:dyDescent="0.25">
      <c r="A120" s="443"/>
      <c r="B120" s="443"/>
      <c r="C120" s="443"/>
      <c r="D120" s="443"/>
      <c r="E120" s="443"/>
      <c r="F120" s="443"/>
      <c r="G120" s="443"/>
      <c r="H120" s="443"/>
      <c r="I120" s="443"/>
      <c r="J120" s="443"/>
    </row>
    <row r="121" spans="1:10" x14ac:dyDescent="0.25">
      <c r="A121" s="443"/>
      <c r="B121" s="478"/>
      <c r="C121" s="478"/>
      <c r="D121" s="478"/>
      <c r="E121" s="447"/>
      <c r="F121" s="447"/>
      <c r="G121" s="447"/>
      <c r="H121" s="447"/>
      <c r="I121" s="447"/>
      <c r="J121" s="443"/>
    </row>
    <row r="122" spans="1:10" x14ac:dyDescent="0.25">
      <c r="A122" s="443"/>
      <c r="B122" s="1817" t="s">
        <v>900</v>
      </c>
      <c r="C122" s="1817"/>
      <c r="D122" s="1817"/>
      <c r="E122" s="1817"/>
      <c r="F122" s="1817"/>
      <c r="G122" s="1817"/>
      <c r="H122" s="1817"/>
      <c r="I122" s="453">
        <f>+I119+I112+I106+I98+I88+J48+H40+H32+I23</f>
        <v>251434.1</v>
      </c>
      <c r="J122" s="443"/>
    </row>
  </sheetData>
  <mergeCells count="35">
    <mergeCell ref="B106:H106"/>
    <mergeCell ref="B112:H112"/>
    <mergeCell ref="B114:E114"/>
    <mergeCell ref="B119:H119"/>
    <mergeCell ref="B122:H122"/>
    <mergeCell ref="B48:H48"/>
    <mergeCell ref="B51:E51"/>
    <mergeCell ref="B88:H88"/>
    <mergeCell ref="B98:H98"/>
    <mergeCell ref="B101:E101"/>
    <mergeCell ref="A2:I2"/>
    <mergeCell ref="D6:G6"/>
    <mergeCell ref="B17:E17"/>
    <mergeCell ref="B18:D18"/>
    <mergeCell ref="B23:H23"/>
    <mergeCell ref="D30:E30"/>
    <mergeCell ref="D31:E31"/>
    <mergeCell ref="B34:D34"/>
    <mergeCell ref="B40:G40"/>
    <mergeCell ref="D28:E28"/>
    <mergeCell ref="D29:E29"/>
    <mergeCell ref="B25:E25"/>
    <mergeCell ref="B27:B28"/>
    <mergeCell ref="C27:C28"/>
    <mergeCell ref="D27:E27"/>
    <mergeCell ref="C4:H4"/>
    <mergeCell ref="D7:G7"/>
    <mergeCell ref="D8:G8"/>
    <mergeCell ref="D9:G9"/>
    <mergeCell ref="D10:G10"/>
    <mergeCell ref="D11:G11"/>
    <mergeCell ref="D12:G12"/>
    <mergeCell ref="D13:G13"/>
    <mergeCell ref="D14:G14"/>
    <mergeCell ref="D15:G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G26" sqref="G26"/>
    </sheetView>
  </sheetViews>
  <sheetFormatPr baseColWidth="10" defaultRowHeight="15" x14ac:dyDescent="0.25"/>
  <cols>
    <col min="2" max="2" width="75.85546875" customWidth="1"/>
  </cols>
  <sheetData>
    <row r="2" spans="1:6" ht="17.25" x14ac:dyDescent="0.25">
      <c r="A2" s="1832" t="s">
        <v>901</v>
      </c>
      <c r="B2" s="1832"/>
      <c r="C2" s="1832"/>
      <c r="D2" s="1832"/>
      <c r="E2" s="1832"/>
      <c r="F2" s="1832"/>
    </row>
    <row r="3" spans="1:6" x14ac:dyDescent="0.25">
      <c r="A3" s="443"/>
      <c r="B3" s="436"/>
      <c r="C3" s="436"/>
      <c r="D3" s="436"/>
      <c r="E3" s="436"/>
      <c r="F3" s="436"/>
    </row>
    <row r="4" spans="1:6" x14ac:dyDescent="0.25">
      <c r="A4" s="480" t="s">
        <v>629</v>
      </c>
      <c r="B4" s="1841"/>
      <c r="C4" s="1841"/>
      <c r="D4" s="1841"/>
      <c r="E4" s="1841"/>
      <c r="F4" s="1841"/>
    </row>
    <row r="5" spans="1:6" x14ac:dyDescent="0.25">
      <c r="A5" s="480"/>
      <c r="B5" s="481"/>
      <c r="C5" s="480"/>
      <c r="D5" s="480"/>
      <c r="E5" s="480"/>
      <c r="F5" s="436"/>
    </row>
    <row r="6" spans="1:6" x14ac:dyDescent="0.25">
      <c r="A6" s="480" t="s">
        <v>810</v>
      </c>
      <c r="B6" s="481" t="s">
        <v>902</v>
      </c>
      <c r="C6" s="482"/>
      <c r="D6" s="480"/>
      <c r="E6" s="482"/>
      <c r="F6" s="436"/>
    </row>
    <row r="7" spans="1:6" x14ac:dyDescent="0.25">
      <c r="A7" s="480" t="s">
        <v>812</v>
      </c>
      <c r="B7" s="483" t="s">
        <v>830</v>
      </c>
      <c r="C7" s="484"/>
      <c r="D7" s="480"/>
      <c r="E7" s="480"/>
      <c r="F7" s="485"/>
    </row>
    <row r="8" spans="1:6" x14ac:dyDescent="0.25">
      <c r="A8" s="486"/>
      <c r="B8" s="443"/>
      <c r="C8" s="443"/>
      <c r="D8" s="443"/>
      <c r="E8" s="443"/>
      <c r="F8" s="443"/>
    </row>
    <row r="9" spans="1:6" x14ac:dyDescent="0.25">
      <c r="A9" s="1842" t="s">
        <v>903</v>
      </c>
      <c r="B9" s="1843" t="s">
        <v>904</v>
      </c>
      <c r="C9" s="1844" t="s">
        <v>845</v>
      </c>
      <c r="D9" s="1843" t="s">
        <v>846</v>
      </c>
      <c r="E9" s="1843" t="s">
        <v>847</v>
      </c>
      <c r="F9" s="1843" t="s">
        <v>905</v>
      </c>
    </row>
    <row r="10" spans="1:6" x14ac:dyDescent="0.25">
      <c r="A10" s="1842"/>
      <c r="B10" s="1843"/>
      <c r="C10" s="1844"/>
      <c r="D10" s="1843"/>
      <c r="E10" s="1843"/>
      <c r="F10" s="1843"/>
    </row>
    <row r="11" spans="1:6" x14ac:dyDescent="0.25">
      <c r="A11" s="487"/>
      <c r="B11" s="488"/>
      <c r="C11" s="489"/>
      <c r="D11" s="488"/>
      <c r="E11" s="488"/>
      <c r="F11" s="490">
        <f>SUM(F12:F14)</f>
        <v>16400</v>
      </c>
    </row>
    <row r="12" spans="1:6" x14ac:dyDescent="0.25">
      <c r="A12" s="491" t="s">
        <v>645</v>
      </c>
      <c r="B12" s="702" t="s">
        <v>1090</v>
      </c>
      <c r="C12" s="701" t="s">
        <v>695</v>
      </c>
      <c r="D12" s="707">
        <v>4</v>
      </c>
      <c r="E12" s="670">
        <v>2000</v>
      </c>
      <c r="F12" s="492">
        <f>D12*E12</f>
        <v>8000</v>
      </c>
    </row>
    <row r="13" spans="1:6" x14ac:dyDescent="0.25">
      <c r="A13" s="491" t="s">
        <v>645</v>
      </c>
      <c r="B13" s="702" t="s">
        <v>906</v>
      </c>
      <c r="C13" s="701" t="s">
        <v>696</v>
      </c>
      <c r="D13" s="707">
        <v>4</v>
      </c>
      <c r="E13" s="670">
        <v>600</v>
      </c>
      <c r="F13" s="492">
        <f t="shared" ref="F13:F19" si="0">D13*E13</f>
        <v>2400</v>
      </c>
    </row>
    <row r="14" spans="1:6" x14ac:dyDescent="0.25">
      <c r="A14" s="491" t="s">
        <v>645</v>
      </c>
      <c r="B14" s="702" t="s">
        <v>907</v>
      </c>
      <c r="C14" s="701" t="s">
        <v>696</v>
      </c>
      <c r="D14" s="707">
        <v>4</v>
      </c>
      <c r="E14" s="670">
        <v>1500</v>
      </c>
      <c r="F14" s="492">
        <f t="shared" si="0"/>
        <v>6000</v>
      </c>
    </row>
    <row r="15" spans="1:6" x14ac:dyDescent="0.25">
      <c r="A15" s="491" t="s">
        <v>645</v>
      </c>
      <c r="B15" s="702" t="s">
        <v>1091</v>
      </c>
      <c r="C15" s="701" t="s">
        <v>696</v>
      </c>
      <c r="D15" s="707">
        <v>6</v>
      </c>
      <c r="E15" s="670">
        <v>600</v>
      </c>
      <c r="F15" s="492">
        <f t="shared" si="0"/>
        <v>3600</v>
      </c>
    </row>
    <row r="16" spans="1:6" x14ac:dyDescent="0.25">
      <c r="A16" s="491" t="s">
        <v>645</v>
      </c>
      <c r="B16" s="702" t="s">
        <v>1092</v>
      </c>
      <c r="C16" s="701" t="s">
        <v>696</v>
      </c>
      <c r="D16" s="707">
        <v>6</v>
      </c>
      <c r="E16" s="670">
        <v>340</v>
      </c>
      <c r="F16" s="492">
        <f t="shared" si="0"/>
        <v>2040</v>
      </c>
    </row>
    <row r="17" spans="1:6" x14ac:dyDescent="0.25">
      <c r="A17" s="491" t="s">
        <v>645</v>
      </c>
      <c r="B17" s="702" t="s">
        <v>1093</v>
      </c>
      <c r="C17" s="701" t="s">
        <v>638</v>
      </c>
      <c r="D17" s="707">
        <v>4</v>
      </c>
      <c r="E17" s="670">
        <v>2000</v>
      </c>
      <c r="F17" s="492">
        <f t="shared" si="0"/>
        <v>8000</v>
      </c>
    </row>
    <row r="18" spans="1:6" x14ac:dyDescent="0.25">
      <c r="A18" s="491" t="s">
        <v>645</v>
      </c>
      <c r="B18" s="702" t="s">
        <v>697</v>
      </c>
      <c r="C18" s="701" t="s">
        <v>638</v>
      </c>
      <c r="D18" s="707">
        <v>1</v>
      </c>
      <c r="E18" s="670">
        <v>8120</v>
      </c>
      <c r="F18" s="492">
        <f t="shared" si="0"/>
        <v>8120</v>
      </c>
    </row>
    <row r="19" spans="1:6" x14ac:dyDescent="0.25">
      <c r="A19" s="491" t="s">
        <v>645</v>
      </c>
      <c r="B19" s="702" t="s">
        <v>698</v>
      </c>
      <c r="C19" s="701" t="s">
        <v>638</v>
      </c>
      <c r="D19" s="707">
        <v>24</v>
      </c>
      <c r="E19" s="670">
        <v>140</v>
      </c>
      <c r="F19" s="492">
        <f t="shared" si="0"/>
        <v>3360</v>
      </c>
    </row>
    <row r="20" spans="1:6" x14ac:dyDescent="0.25">
      <c r="A20" s="493"/>
      <c r="B20" s="494" t="s">
        <v>908</v>
      </c>
      <c r="C20" s="493"/>
      <c r="D20" s="493"/>
      <c r="E20" s="493"/>
      <c r="F20" s="495">
        <f>SUM(F12:F19)</f>
        <v>41520</v>
      </c>
    </row>
  </sheetData>
  <mergeCells count="8">
    <mergeCell ref="A2:F2"/>
    <mergeCell ref="B4:F4"/>
    <mergeCell ref="A9:A10"/>
    <mergeCell ref="B9:B10"/>
    <mergeCell ref="C9:C10"/>
    <mergeCell ref="D9:D10"/>
    <mergeCell ref="E9:E10"/>
    <mergeCell ref="F9:F10"/>
  </mergeCells>
  <phoneticPr fontId="10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4"/>
  <sheetViews>
    <sheetView workbookViewId="0">
      <selection activeCell="N81" sqref="N81"/>
    </sheetView>
  </sheetViews>
  <sheetFormatPr baseColWidth="10" defaultRowHeight="15" x14ac:dyDescent="0.25"/>
  <sheetData>
    <row r="2" spans="1:7" ht="16.5" x14ac:dyDescent="0.25">
      <c r="A2" s="1857" t="s">
        <v>914</v>
      </c>
      <c r="B2" s="1857"/>
      <c r="C2" s="1857"/>
      <c r="D2" s="1857"/>
      <c r="E2" s="1857"/>
      <c r="F2" s="1857"/>
      <c r="G2" s="1857"/>
    </row>
    <row r="3" spans="1:7" x14ac:dyDescent="0.25">
      <c r="A3" s="501"/>
      <c r="B3" s="501"/>
      <c r="C3" s="501"/>
      <c r="D3" s="501"/>
      <c r="E3" s="501"/>
      <c r="F3" s="501"/>
      <c r="G3" s="501"/>
    </row>
    <row r="4" spans="1:7" x14ac:dyDescent="0.25">
      <c r="A4" s="502"/>
      <c r="B4" s="503" t="s">
        <v>629</v>
      </c>
      <c r="C4" s="1841"/>
      <c r="D4" s="1841"/>
      <c r="E4" s="1841"/>
      <c r="F4" s="1841"/>
      <c r="G4" s="1841"/>
    </row>
    <row r="5" spans="1:7" x14ac:dyDescent="0.25">
      <c r="A5" s="502"/>
      <c r="B5" s="503"/>
      <c r="C5" s="503"/>
      <c r="D5" s="503"/>
      <c r="E5" s="503"/>
      <c r="F5" s="504"/>
      <c r="G5" s="504"/>
    </row>
    <row r="6" spans="1:7" x14ac:dyDescent="0.25">
      <c r="A6" s="502"/>
      <c r="B6" s="503" t="s">
        <v>810</v>
      </c>
      <c r="C6" s="505" t="s">
        <v>910</v>
      </c>
      <c r="D6" s="503"/>
      <c r="E6" s="505"/>
      <c r="F6" s="504"/>
      <c r="G6" s="504"/>
    </row>
    <row r="7" spans="1:7" x14ac:dyDescent="0.25">
      <c r="A7" s="502"/>
      <c r="B7" s="503" t="s">
        <v>812</v>
      </c>
      <c r="C7" s="506" t="s">
        <v>830</v>
      </c>
      <c r="D7" s="503"/>
      <c r="E7" s="506"/>
      <c r="F7" s="507"/>
      <c r="G7" s="508"/>
    </row>
    <row r="8" spans="1:7" ht="15.75" thickBot="1" x14ac:dyDescent="0.3">
      <c r="A8" s="502"/>
      <c r="B8" s="503"/>
      <c r="C8" s="506"/>
      <c r="D8" s="503"/>
      <c r="E8" s="506"/>
      <c r="F8" s="508"/>
      <c r="G8" s="508"/>
    </row>
    <row r="9" spans="1:7" ht="15.75" thickBot="1" x14ac:dyDescent="0.3">
      <c r="A9" s="509"/>
      <c r="B9" s="510" t="s">
        <v>859</v>
      </c>
      <c r="C9" s="1858" t="s">
        <v>860</v>
      </c>
      <c r="D9" s="1859"/>
      <c r="E9" s="1859"/>
      <c r="F9" s="1860"/>
      <c r="G9" s="511" t="s">
        <v>915</v>
      </c>
    </row>
    <row r="10" spans="1:7" x14ac:dyDescent="0.25">
      <c r="A10" s="509"/>
      <c r="B10" s="512" t="s">
        <v>636</v>
      </c>
      <c r="C10" s="513" t="s">
        <v>911</v>
      </c>
      <c r="D10" s="509"/>
      <c r="E10" s="509"/>
      <c r="F10" s="514"/>
      <c r="G10" s="515">
        <f>G26</f>
        <v>13742.400000000001</v>
      </c>
    </row>
    <row r="11" spans="1:7" x14ac:dyDescent="0.25">
      <c r="A11" s="509"/>
      <c r="B11" s="516" t="s">
        <v>645</v>
      </c>
      <c r="C11" s="513" t="s">
        <v>916</v>
      </c>
      <c r="D11" s="509"/>
      <c r="E11" s="509"/>
      <c r="F11" s="514"/>
      <c r="G11" s="515">
        <f>G35</f>
        <v>1236.816</v>
      </c>
    </row>
    <row r="12" spans="1:7" x14ac:dyDescent="0.25">
      <c r="A12" s="509"/>
      <c r="B12" s="516" t="s">
        <v>651</v>
      </c>
      <c r="C12" s="513" t="s">
        <v>650</v>
      </c>
      <c r="D12" s="509"/>
      <c r="E12" s="509"/>
      <c r="F12" s="514"/>
      <c r="G12" s="515">
        <f>G42</f>
        <v>3360</v>
      </c>
    </row>
    <row r="13" spans="1:7" x14ac:dyDescent="0.25">
      <c r="A13" s="509"/>
      <c r="B13" s="516" t="s">
        <v>661</v>
      </c>
      <c r="C13" s="513" t="s">
        <v>917</v>
      </c>
      <c r="D13" s="509"/>
      <c r="E13" s="509"/>
      <c r="F13" s="514"/>
      <c r="G13" s="515">
        <f>G51</f>
        <v>608</v>
      </c>
    </row>
    <row r="14" spans="1:7" x14ac:dyDescent="0.25">
      <c r="A14" s="509"/>
      <c r="B14" s="516" t="s">
        <v>862</v>
      </c>
      <c r="C14" s="513" t="s">
        <v>912</v>
      </c>
      <c r="D14" s="509"/>
      <c r="E14" s="509"/>
      <c r="F14" s="514"/>
      <c r="G14" s="515">
        <f>G73</f>
        <v>7302.7839999999997</v>
      </c>
    </row>
    <row r="15" spans="1:7" ht="15.75" thickBot="1" x14ac:dyDescent="0.3">
      <c r="A15" s="509"/>
      <c r="B15" s="516" t="s">
        <v>918</v>
      </c>
      <c r="C15" s="513" t="s">
        <v>919</v>
      </c>
      <c r="D15" s="509"/>
      <c r="E15" s="509"/>
      <c r="F15" s="514"/>
      <c r="G15" s="515">
        <f>G79</f>
        <v>3750</v>
      </c>
    </row>
    <row r="16" spans="1:7" x14ac:dyDescent="0.25">
      <c r="A16" s="509"/>
      <c r="B16" s="517"/>
      <c r="C16" s="518"/>
      <c r="D16" s="519"/>
      <c r="E16" s="519"/>
      <c r="F16" s="520"/>
      <c r="G16" s="521"/>
    </row>
    <row r="17" spans="1:7" ht="15.75" thickBot="1" x14ac:dyDescent="0.3">
      <c r="A17" s="509"/>
      <c r="B17" s="522"/>
      <c r="C17" s="523" t="s">
        <v>920</v>
      </c>
      <c r="D17" s="524"/>
      <c r="E17" s="525" t="s">
        <v>921</v>
      </c>
      <c r="F17" s="526"/>
      <c r="G17" s="527">
        <f>SUM(G10:G16)</f>
        <v>30000</v>
      </c>
    </row>
    <row r="18" spans="1:7" x14ac:dyDescent="0.25">
      <c r="A18" s="509"/>
      <c r="B18" s="528"/>
      <c r="C18" s="528"/>
      <c r="D18" s="509"/>
      <c r="E18" s="509"/>
      <c r="F18" s="509"/>
      <c r="G18" s="509"/>
    </row>
    <row r="19" spans="1:7" x14ac:dyDescent="0.25">
      <c r="A19" s="529"/>
      <c r="B19" s="529"/>
      <c r="C19" s="529"/>
      <c r="D19" s="529"/>
      <c r="E19" s="529"/>
      <c r="F19" s="529"/>
      <c r="G19" s="529"/>
    </row>
    <row r="20" spans="1:7" x14ac:dyDescent="0.25">
      <c r="A20" s="530" t="s">
        <v>636</v>
      </c>
      <c r="B20" s="531" t="s">
        <v>922</v>
      </c>
      <c r="C20" s="529"/>
      <c r="D20" s="529"/>
      <c r="E20" s="529"/>
      <c r="F20" s="529"/>
      <c r="G20" s="532"/>
    </row>
    <row r="21" spans="1:7" x14ac:dyDescent="0.25">
      <c r="A21" s="533"/>
      <c r="B21" s="533"/>
      <c r="C21" s="529"/>
      <c r="D21" s="529"/>
      <c r="E21" s="529"/>
      <c r="F21" s="529"/>
      <c r="G21" s="534"/>
    </row>
    <row r="22" spans="1:7" x14ac:dyDescent="0.25">
      <c r="A22" s="529"/>
      <c r="B22" s="531" t="s">
        <v>913</v>
      </c>
      <c r="C22" s="529"/>
      <c r="D22" s="529"/>
      <c r="E22" s="529"/>
      <c r="F22" s="529"/>
      <c r="G22" s="529"/>
    </row>
    <row r="23" spans="1:7" ht="26.25" x14ac:dyDescent="0.25">
      <c r="A23" s="535" t="s">
        <v>923</v>
      </c>
      <c r="B23" s="536" t="s">
        <v>869</v>
      </c>
      <c r="C23" s="537"/>
      <c r="D23" s="537" t="s">
        <v>924</v>
      </c>
      <c r="E23" s="537" t="s">
        <v>880</v>
      </c>
      <c r="F23" s="537" t="s">
        <v>881</v>
      </c>
      <c r="G23" s="537" t="s">
        <v>454</v>
      </c>
    </row>
    <row r="24" spans="1:7" x14ac:dyDescent="0.25">
      <c r="A24" s="529"/>
      <c r="B24" s="538" t="s">
        <v>925</v>
      </c>
      <c r="C24" s="539"/>
      <c r="D24" s="539">
        <v>1</v>
      </c>
      <c r="E24" s="539">
        <v>1</v>
      </c>
      <c r="F24" s="540">
        <v>7395.3</v>
      </c>
      <c r="G24" s="541">
        <f>F24*E24*D24</f>
        <v>7395.3</v>
      </c>
    </row>
    <row r="25" spans="1:7" x14ac:dyDescent="0.25">
      <c r="A25" s="542"/>
      <c r="B25" s="543" t="s">
        <v>926</v>
      </c>
      <c r="C25" s="544"/>
      <c r="D25" s="545">
        <v>1</v>
      </c>
      <c r="E25" s="546">
        <v>1</v>
      </c>
      <c r="F25" s="547">
        <v>6347.1</v>
      </c>
      <c r="G25" s="547">
        <f>E25*F25*D25</f>
        <v>6347.1</v>
      </c>
    </row>
    <row r="26" spans="1:7" x14ac:dyDescent="0.25">
      <c r="A26" s="529"/>
      <c r="B26" s="548" t="s">
        <v>239</v>
      </c>
      <c r="C26" s="549"/>
      <c r="D26" s="550"/>
      <c r="E26" s="549"/>
      <c r="F26" s="549"/>
      <c r="G26" s="551">
        <f>SUM(G24:G25)</f>
        <v>13742.400000000001</v>
      </c>
    </row>
    <row r="27" spans="1:7" x14ac:dyDescent="0.25">
      <c r="A27" s="529"/>
      <c r="B27" s="552"/>
      <c r="C27" s="552"/>
      <c r="D27" s="529"/>
      <c r="E27" s="552"/>
      <c r="F27" s="552"/>
      <c r="G27" s="553"/>
    </row>
    <row r="28" spans="1:7" x14ac:dyDescent="0.25">
      <c r="A28" s="529"/>
      <c r="B28" s="552"/>
      <c r="C28" s="552"/>
      <c r="D28" s="529"/>
      <c r="E28" s="552"/>
      <c r="F28" s="552"/>
      <c r="G28" s="553"/>
    </row>
    <row r="29" spans="1:7" x14ac:dyDescent="0.25">
      <c r="A29" s="530" t="s">
        <v>645</v>
      </c>
      <c r="B29" s="531" t="s">
        <v>916</v>
      </c>
      <c r="C29" s="529"/>
      <c r="D29" s="529"/>
      <c r="E29" s="529"/>
      <c r="F29" s="530"/>
      <c r="G29" s="532"/>
    </row>
    <row r="30" spans="1:7" x14ac:dyDescent="0.25">
      <c r="A30" s="533"/>
      <c r="B30" s="533"/>
      <c r="C30" s="529"/>
      <c r="D30" s="529"/>
      <c r="E30" s="529"/>
      <c r="F30" s="529"/>
      <c r="G30" s="529"/>
    </row>
    <row r="31" spans="1:7" x14ac:dyDescent="0.25">
      <c r="A31" s="535" t="s">
        <v>923</v>
      </c>
      <c r="B31" s="531" t="s">
        <v>913</v>
      </c>
      <c r="C31" s="529"/>
      <c r="D31" s="529"/>
      <c r="E31" s="529"/>
      <c r="F31" s="529"/>
      <c r="G31" s="529"/>
    </row>
    <row r="32" spans="1:7" ht="26.25" x14ac:dyDescent="0.25">
      <c r="A32" s="529"/>
      <c r="B32" s="536" t="s">
        <v>869</v>
      </c>
      <c r="C32" s="537"/>
      <c r="D32" s="554" t="s">
        <v>924</v>
      </c>
      <c r="E32" s="537" t="s">
        <v>880</v>
      </c>
      <c r="F32" s="537" t="s">
        <v>881</v>
      </c>
      <c r="G32" s="537" t="s">
        <v>454</v>
      </c>
    </row>
    <row r="33" spans="1:7" x14ac:dyDescent="0.25">
      <c r="A33" s="529"/>
      <c r="B33" s="538" t="str">
        <f>B24</f>
        <v>COMISION LIQUIDADORA</v>
      </c>
      <c r="C33" s="555"/>
      <c r="D33" s="556">
        <f>D24</f>
        <v>1</v>
      </c>
      <c r="E33" s="557">
        <v>1</v>
      </c>
      <c r="F33" s="558">
        <f>+F24*0.09</f>
        <v>665.577</v>
      </c>
      <c r="G33" s="559">
        <f>+D33*E33*F33</f>
        <v>665.577</v>
      </c>
    </row>
    <row r="34" spans="1:7" x14ac:dyDescent="0.25">
      <c r="A34" s="542"/>
      <c r="B34" s="538" t="str">
        <f>B25</f>
        <v>ASISENTE ADMINISTRATIVO</v>
      </c>
      <c r="C34" s="555"/>
      <c r="D34" s="556">
        <v>1</v>
      </c>
      <c r="E34" s="557">
        <v>1</v>
      </c>
      <c r="F34" s="558">
        <f>+F25*0.09</f>
        <v>571.23900000000003</v>
      </c>
      <c r="G34" s="559">
        <f>+D34*E34*F34</f>
        <v>571.23900000000003</v>
      </c>
    </row>
    <row r="35" spans="1:7" x14ac:dyDescent="0.25">
      <c r="A35" s="529"/>
      <c r="B35" s="548" t="s">
        <v>239</v>
      </c>
      <c r="C35" s="549"/>
      <c r="D35" s="549"/>
      <c r="E35" s="550"/>
      <c r="F35" s="560"/>
      <c r="G35" s="551">
        <f>SUM(G33:G34)</f>
        <v>1236.816</v>
      </c>
    </row>
    <row r="36" spans="1:7" x14ac:dyDescent="0.25">
      <c r="A36" s="529"/>
      <c r="B36" s="552"/>
      <c r="C36" s="552"/>
      <c r="D36" s="552"/>
      <c r="E36" s="529"/>
      <c r="F36" s="552"/>
      <c r="G36" s="553"/>
    </row>
    <row r="37" spans="1:7" x14ac:dyDescent="0.25">
      <c r="A37" s="561" t="s">
        <v>651</v>
      </c>
      <c r="B37" s="562" t="s">
        <v>650</v>
      </c>
      <c r="C37" s="563"/>
      <c r="D37" s="564"/>
      <c r="E37" s="564"/>
      <c r="F37" s="563"/>
      <c r="G37" s="565"/>
    </row>
    <row r="38" spans="1:7" x14ac:dyDescent="0.25">
      <c r="A38" s="561"/>
      <c r="B38" s="562"/>
      <c r="C38" s="563"/>
      <c r="D38" s="564"/>
      <c r="E38" s="564"/>
      <c r="F38" s="564"/>
      <c r="G38" s="564"/>
    </row>
    <row r="39" spans="1:7" x14ac:dyDescent="0.25">
      <c r="A39" s="566"/>
      <c r="B39" s="1861" t="s">
        <v>630</v>
      </c>
      <c r="C39" s="1862"/>
      <c r="D39" s="567" t="s">
        <v>876</v>
      </c>
      <c r="E39" s="567" t="s">
        <v>632</v>
      </c>
      <c r="F39" s="567" t="s">
        <v>927</v>
      </c>
      <c r="G39" s="567" t="s">
        <v>239</v>
      </c>
    </row>
    <row r="40" spans="1:7" x14ac:dyDescent="0.25">
      <c r="A40" s="568"/>
      <c r="B40" s="1855" t="s">
        <v>928</v>
      </c>
      <c r="C40" s="1856"/>
      <c r="D40" s="569">
        <v>140</v>
      </c>
      <c r="E40" s="570">
        <v>20</v>
      </c>
      <c r="F40" s="571">
        <f>E40*D40</f>
        <v>2800</v>
      </c>
      <c r="G40" s="572">
        <f>F40</f>
        <v>2800</v>
      </c>
    </row>
    <row r="41" spans="1:7" x14ac:dyDescent="0.25">
      <c r="A41" s="568"/>
      <c r="B41" s="1855" t="s">
        <v>929</v>
      </c>
      <c r="C41" s="1856"/>
      <c r="D41" s="569">
        <v>140</v>
      </c>
      <c r="E41" s="570">
        <v>4</v>
      </c>
      <c r="F41" s="571">
        <f>E41*D41</f>
        <v>560</v>
      </c>
      <c r="G41" s="572">
        <f>F41</f>
        <v>560</v>
      </c>
    </row>
    <row r="42" spans="1:7" x14ac:dyDescent="0.25">
      <c r="A42" s="566"/>
      <c r="B42" s="573" t="s">
        <v>239</v>
      </c>
      <c r="C42" s="574"/>
      <c r="D42" s="574"/>
      <c r="E42" s="574"/>
      <c r="F42" s="575"/>
      <c r="G42" s="576">
        <f>+SUM(G40:G41)</f>
        <v>3360</v>
      </c>
    </row>
    <row r="43" spans="1:7" x14ac:dyDescent="0.25">
      <c r="A43" s="529"/>
      <c r="B43" s="552"/>
      <c r="C43" s="552"/>
      <c r="D43" s="529"/>
      <c r="E43" s="552"/>
      <c r="F43" s="552"/>
      <c r="G43" s="553"/>
    </row>
    <row r="44" spans="1:7" x14ac:dyDescent="0.25">
      <c r="A44" s="529"/>
      <c r="B44" s="552"/>
      <c r="C44" s="552"/>
      <c r="D44" s="529"/>
      <c r="E44" s="552"/>
      <c r="F44" s="552"/>
      <c r="G44" s="553"/>
    </row>
    <row r="45" spans="1:7" x14ac:dyDescent="0.25">
      <c r="A45" s="577" t="s">
        <v>661</v>
      </c>
      <c r="B45" s="531" t="s">
        <v>917</v>
      </c>
      <c r="C45" s="509"/>
      <c r="D45" s="578"/>
      <c r="E45" s="509"/>
      <c r="F45" s="509"/>
      <c r="G45" s="579"/>
    </row>
    <row r="46" spans="1:7" x14ac:dyDescent="0.25">
      <c r="A46" s="577"/>
      <c r="B46" s="531"/>
      <c r="C46" s="509"/>
      <c r="D46" s="578"/>
      <c r="E46" s="509"/>
      <c r="F46" s="509"/>
      <c r="G46" s="577"/>
    </row>
    <row r="47" spans="1:7" x14ac:dyDescent="0.25">
      <c r="A47" s="577"/>
      <c r="B47" s="531" t="s">
        <v>930</v>
      </c>
      <c r="C47" s="509"/>
      <c r="D47" s="578"/>
      <c r="E47" s="509"/>
      <c r="F47" s="509"/>
      <c r="G47" s="577"/>
    </row>
    <row r="48" spans="1:7" x14ac:dyDescent="0.25">
      <c r="A48" s="530"/>
      <c r="B48" s="580"/>
      <c r="C48" s="529"/>
      <c r="D48" s="552"/>
      <c r="E48" s="529"/>
      <c r="F48" s="529"/>
      <c r="G48" s="529"/>
    </row>
    <row r="49" spans="1:7" x14ac:dyDescent="0.25">
      <c r="A49" s="529"/>
      <c r="B49" s="1845" t="s">
        <v>630</v>
      </c>
      <c r="C49" s="1846"/>
      <c r="D49" s="537" t="s">
        <v>883</v>
      </c>
      <c r="E49" s="537" t="s">
        <v>632</v>
      </c>
      <c r="F49" s="537" t="s">
        <v>931</v>
      </c>
      <c r="G49" s="537" t="s">
        <v>239</v>
      </c>
    </row>
    <row r="50" spans="1:7" ht="26.25" x14ac:dyDescent="0.25">
      <c r="A50" s="529"/>
      <c r="B50" s="581" t="s">
        <v>932</v>
      </c>
      <c r="C50" s="582"/>
      <c r="D50" s="582" t="s">
        <v>933</v>
      </c>
      <c r="E50" s="582">
        <v>40</v>
      </c>
      <c r="F50" s="582">
        <v>15.2</v>
      </c>
      <c r="G50" s="547">
        <f>E50*F50</f>
        <v>608</v>
      </c>
    </row>
    <row r="51" spans="1:7" x14ac:dyDescent="0.25">
      <c r="A51" s="529"/>
      <c r="B51" s="548" t="s">
        <v>239</v>
      </c>
      <c r="C51" s="549"/>
      <c r="D51" s="549"/>
      <c r="E51" s="560"/>
      <c r="F51" s="560"/>
      <c r="G51" s="583">
        <f>SUM(G50:G50)</f>
        <v>608</v>
      </c>
    </row>
    <row r="52" spans="1:7" x14ac:dyDescent="0.25">
      <c r="A52" s="529"/>
      <c r="B52" s="552"/>
      <c r="C52" s="552"/>
      <c r="D52" s="552"/>
      <c r="E52" s="552"/>
      <c r="F52" s="552"/>
      <c r="G52" s="553"/>
    </row>
    <row r="53" spans="1:7" x14ac:dyDescent="0.25">
      <c r="A53" s="530" t="s">
        <v>862</v>
      </c>
      <c r="B53" s="531" t="s">
        <v>912</v>
      </c>
      <c r="C53" s="529"/>
      <c r="D53" s="552"/>
      <c r="E53" s="529"/>
      <c r="F53" s="529"/>
      <c r="G53" s="532"/>
    </row>
    <row r="54" spans="1:7" x14ac:dyDescent="0.25">
      <c r="A54" s="530"/>
      <c r="B54" s="580"/>
      <c r="C54" s="529"/>
      <c r="D54" s="552"/>
      <c r="E54" s="529"/>
      <c r="F54" s="529"/>
      <c r="G54" s="532"/>
    </row>
    <row r="55" spans="1:7" x14ac:dyDescent="0.25">
      <c r="A55" s="530"/>
      <c r="B55" s="531" t="s">
        <v>891</v>
      </c>
      <c r="C55" s="529"/>
      <c r="D55" s="552"/>
      <c r="E55" s="529"/>
      <c r="F55" s="529"/>
      <c r="G55" s="530"/>
    </row>
    <row r="56" spans="1:7" x14ac:dyDescent="0.25">
      <c r="A56" s="530"/>
      <c r="B56" s="580"/>
      <c r="C56" s="529"/>
      <c r="D56" s="552"/>
      <c r="E56" s="529"/>
      <c r="F56" s="529"/>
      <c r="G56" s="529"/>
    </row>
    <row r="57" spans="1:7" x14ac:dyDescent="0.25">
      <c r="A57" s="509"/>
      <c r="B57" s="1847" t="s">
        <v>630</v>
      </c>
      <c r="C57" s="1848"/>
      <c r="D57" s="584" t="s">
        <v>883</v>
      </c>
      <c r="E57" s="584" t="s">
        <v>632</v>
      </c>
      <c r="F57" s="584" t="s">
        <v>931</v>
      </c>
      <c r="G57" s="584" t="s">
        <v>239</v>
      </c>
    </row>
    <row r="58" spans="1:7" x14ac:dyDescent="0.25">
      <c r="A58" s="585"/>
      <c r="B58" s="586" t="s">
        <v>934</v>
      </c>
      <c r="C58" s="587"/>
      <c r="D58" s="588" t="s">
        <v>883</v>
      </c>
      <c r="E58" s="589">
        <v>90</v>
      </c>
      <c r="F58" s="590">
        <v>15</v>
      </c>
      <c r="G58" s="591">
        <f>+F58*E58</f>
        <v>1350</v>
      </c>
    </row>
    <row r="59" spans="1:7" x14ac:dyDescent="0.25">
      <c r="A59" s="585"/>
      <c r="B59" s="586" t="s">
        <v>935</v>
      </c>
      <c r="C59" s="587"/>
      <c r="D59" s="588" t="s">
        <v>883</v>
      </c>
      <c r="E59" s="589">
        <v>50</v>
      </c>
      <c r="F59" s="590">
        <v>25</v>
      </c>
      <c r="G59" s="591">
        <f t="shared" ref="G59:G72" si="0">+F59*E59</f>
        <v>1250</v>
      </c>
    </row>
    <row r="60" spans="1:7" x14ac:dyDescent="0.25">
      <c r="A60" s="585"/>
      <c r="B60" s="586" t="s">
        <v>936</v>
      </c>
      <c r="C60" s="587"/>
      <c r="D60" s="588" t="s">
        <v>937</v>
      </c>
      <c r="E60" s="589">
        <v>8</v>
      </c>
      <c r="F60" s="590">
        <v>6.5979999999999999</v>
      </c>
      <c r="G60" s="591">
        <f>+F60*E60</f>
        <v>52.783999999999999</v>
      </c>
    </row>
    <row r="61" spans="1:7" x14ac:dyDescent="0.25">
      <c r="A61" s="585"/>
      <c r="B61" s="586" t="s">
        <v>938</v>
      </c>
      <c r="C61" s="587"/>
      <c r="D61" s="588" t="s">
        <v>883</v>
      </c>
      <c r="E61" s="589">
        <v>10</v>
      </c>
      <c r="F61" s="590">
        <v>5</v>
      </c>
      <c r="G61" s="591">
        <f t="shared" si="0"/>
        <v>50</v>
      </c>
    </row>
    <row r="62" spans="1:7" x14ac:dyDescent="0.25">
      <c r="A62" s="585"/>
      <c r="B62" s="586" t="s">
        <v>939</v>
      </c>
      <c r="C62" s="587"/>
      <c r="D62" s="588" t="s">
        <v>940</v>
      </c>
      <c r="E62" s="589">
        <v>20</v>
      </c>
      <c r="F62" s="590">
        <v>18</v>
      </c>
      <c r="G62" s="591">
        <f t="shared" si="0"/>
        <v>360</v>
      </c>
    </row>
    <row r="63" spans="1:7" x14ac:dyDescent="0.25">
      <c r="A63" s="585"/>
      <c r="B63" s="586" t="s">
        <v>941</v>
      </c>
      <c r="C63" s="587"/>
      <c r="D63" s="588" t="s">
        <v>942</v>
      </c>
      <c r="E63" s="589">
        <v>3</v>
      </c>
      <c r="F63" s="590">
        <v>50</v>
      </c>
      <c r="G63" s="591">
        <f t="shared" si="0"/>
        <v>150</v>
      </c>
    </row>
    <row r="64" spans="1:7" x14ac:dyDescent="0.25">
      <c r="A64" s="585"/>
      <c r="B64" s="586" t="s">
        <v>943</v>
      </c>
      <c r="C64" s="587"/>
      <c r="D64" s="592" t="s">
        <v>944</v>
      </c>
      <c r="E64" s="589">
        <v>10</v>
      </c>
      <c r="F64" s="590">
        <v>32</v>
      </c>
      <c r="G64" s="591">
        <f t="shared" si="0"/>
        <v>320</v>
      </c>
    </row>
    <row r="65" spans="1:7" x14ac:dyDescent="0.25">
      <c r="A65" s="585"/>
      <c r="B65" s="586" t="s">
        <v>945</v>
      </c>
      <c r="C65" s="587"/>
      <c r="D65" s="592" t="s">
        <v>883</v>
      </c>
      <c r="E65" s="589">
        <v>40</v>
      </c>
      <c r="F65" s="590">
        <v>20</v>
      </c>
      <c r="G65" s="591">
        <f t="shared" si="0"/>
        <v>800</v>
      </c>
    </row>
    <row r="66" spans="1:7" x14ac:dyDescent="0.25">
      <c r="A66" s="585"/>
      <c r="B66" s="586" t="s">
        <v>946</v>
      </c>
      <c r="C66" s="587"/>
      <c r="D66" s="592" t="s">
        <v>883</v>
      </c>
      <c r="E66" s="589">
        <v>15</v>
      </c>
      <c r="F66" s="590">
        <v>10</v>
      </c>
      <c r="G66" s="591">
        <f t="shared" si="0"/>
        <v>150</v>
      </c>
    </row>
    <row r="67" spans="1:7" x14ac:dyDescent="0.25">
      <c r="A67" s="585"/>
      <c r="B67" s="593" t="s">
        <v>947</v>
      </c>
      <c r="C67" s="594"/>
      <c r="D67" s="595" t="s">
        <v>883</v>
      </c>
      <c r="E67" s="596">
        <v>6</v>
      </c>
      <c r="F67" s="590">
        <v>12</v>
      </c>
      <c r="G67" s="591">
        <f t="shared" si="0"/>
        <v>72</v>
      </c>
    </row>
    <row r="68" spans="1:7" x14ac:dyDescent="0.25">
      <c r="A68" s="585"/>
      <c r="B68" s="586" t="s">
        <v>948</v>
      </c>
      <c r="C68" s="587"/>
      <c r="D68" s="592" t="s">
        <v>883</v>
      </c>
      <c r="E68" s="589">
        <v>80</v>
      </c>
      <c r="F68" s="590">
        <v>6</v>
      </c>
      <c r="G68" s="591">
        <f t="shared" si="0"/>
        <v>480</v>
      </c>
    </row>
    <row r="69" spans="1:7" x14ac:dyDescent="0.25">
      <c r="A69" s="585"/>
      <c r="B69" s="586" t="s">
        <v>949</v>
      </c>
      <c r="C69" s="587"/>
      <c r="D69" s="592" t="s">
        <v>883</v>
      </c>
      <c r="E69" s="589">
        <v>12</v>
      </c>
      <c r="F69" s="590">
        <v>25</v>
      </c>
      <c r="G69" s="591">
        <f t="shared" si="0"/>
        <v>300</v>
      </c>
    </row>
    <row r="70" spans="1:7" x14ac:dyDescent="0.25">
      <c r="A70" s="585"/>
      <c r="B70" s="586" t="s">
        <v>950</v>
      </c>
      <c r="C70" s="587"/>
      <c r="D70" s="592" t="s">
        <v>883</v>
      </c>
      <c r="E70" s="589">
        <v>220</v>
      </c>
      <c r="F70" s="590">
        <v>5</v>
      </c>
      <c r="G70" s="591">
        <f t="shared" si="0"/>
        <v>1100</v>
      </c>
    </row>
    <row r="71" spans="1:7" x14ac:dyDescent="0.25">
      <c r="A71" s="585"/>
      <c r="B71" s="586" t="s">
        <v>951</v>
      </c>
      <c r="C71" s="587"/>
      <c r="D71" s="592" t="s">
        <v>952</v>
      </c>
      <c r="E71" s="589">
        <v>12</v>
      </c>
      <c r="F71" s="590">
        <v>14</v>
      </c>
      <c r="G71" s="591">
        <f t="shared" si="0"/>
        <v>168</v>
      </c>
    </row>
    <row r="72" spans="1:7" x14ac:dyDescent="0.25">
      <c r="A72" s="585"/>
      <c r="B72" s="593" t="s">
        <v>953</v>
      </c>
      <c r="C72" s="594"/>
      <c r="D72" s="595" t="s">
        <v>883</v>
      </c>
      <c r="E72" s="596">
        <v>7000</v>
      </c>
      <c r="F72" s="590">
        <v>0.1</v>
      </c>
      <c r="G72" s="591">
        <f t="shared" si="0"/>
        <v>700</v>
      </c>
    </row>
    <row r="73" spans="1:7" x14ac:dyDescent="0.25">
      <c r="A73" s="529"/>
      <c r="B73" s="536" t="s">
        <v>239</v>
      </c>
      <c r="C73" s="597"/>
      <c r="D73" s="597"/>
      <c r="E73" s="537"/>
      <c r="F73" s="537"/>
      <c r="G73" s="598">
        <f>SUM(G58:G72)</f>
        <v>7302.7839999999997</v>
      </c>
    </row>
    <row r="74" spans="1:7" x14ac:dyDescent="0.25">
      <c r="A74" s="529"/>
      <c r="B74" s="552"/>
      <c r="C74" s="552"/>
      <c r="D74" s="552"/>
      <c r="E74" s="552"/>
      <c r="F74" s="552"/>
      <c r="G74" s="553"/>
    </row>
    <row r="75" spans="1:7" x14ac:dyDescent="0.25">
      <c r="A75" s="599" t="s">
        <v>918</v>
      </c>
      <c r="B75" s="600" t="s">
        <v>954</v>
      </c>
      <c r="C75" s="601"/>
      <c r="D75" s="602"/>
      <c r="E75" s="602"/>
      <c r="F75" s="603"/>
      <c r="G75" s="604"/>
    </row>
    <row r="76" spans="1:7" x14ac:dyDescent="0.25">
      <c r="A76" s="599"/>
      <c r="B76" s="605"/>
      <c r="C76" s="601"/>
      <c r="D76" s="602"/>
      <c r="E76" s="602"/>
      <c r="F76" s="602"/>
      <c r="G76" s="602"/>
    </row>
    <row r="77" spans="1:7" ht="26.25" x14ac:dyDescent="0.25">
      <c r="A77" s="601"/>
      <c r="B77" s="1849" t="s">
        <v>630</v>
      </c>
      <c r="C77" s="1850"/>
      <c r="D77" s="1411" t="s">
        <v>883</v>
      </c>
      <c r="E77" s="1411" t="s">
        <v>813</v>
      </c>
      <c r="F77" s="606" t="s">
        <v>931</v>
      </c>
      <c r="G77" s="607" t="s">
        <v>454</v>
      </c>
    </row>
    <row r="78" spans="1:7" x14ac:dyDescent="0.25">
      <c r="A78" s="585"/>
      <c r="B78" s="1851" t="s">
        <v>955</v>
      </c>
      <c r="C78" s="1851"/>
      <c r="D78" s="1412" t="s">
        <v>956</v>
      </c>
      <c r="E78" s="1412">
        <v>15</v>
      </c>
      <c r="F78" s="1413">
        <v>250</v>
      </c>
      <c r="G78" s="1414">
        <f>+F78*E78</f>
        <v>3750</v>
      </c>
    </row>
    <row r="79" spans="1:7" x14ac:dyDescent="0.25">
      <c r="A79" s="608" t="s">
        <v>923</v>
      </c>
      <c r="B79" s="1852" t="s">
        <v>239</v>
      </c>
      <c r="C79" s="1853"/>
      <c r="D79" s="1853"/>
      <c r="E79" s="1853"/>
      <c r="F79" s="1854"/>
      <c r="G79" s="609">
        <f>SUM(G78:G78)</f>
        <v>3750</v>
      </c>
    </row>
    <row r="80" spans="1:7" x14ac:dyDescent="0.25">
      <c r="A80" s="601"/>
      <c r="B80" s="610"/>
      <c r="C80" s="610"/>
      <c r="D80" s="610"/>
      <c r="E80" s="610"/>
      <c r="F80" s="552"/>
      <c r="G80" s="529"/>
    </row>
    <row r="81" spans="1:7" x14ac:dyDescent="0.25">
      <c r="A81" s="535"/>
      <c r="B81" s="552"/>
      <c r="C81" s="552"/>
      <c r="D81" s="529"/>
      <c r="E81" s="552"/>
      <c r="F81" s="552"/>
      <c r="G81" s="529"/>
    </row>
    <row r="82" spans="1:7" x14ac:dyDescent="0.25">
      <c r="A82" s="611"/>
      <c r="B82" s="578"/>
      <c r="C82" s="578"/>
      <c r="D82" s="509"/>
      <c r="E82" s="577" t="s">
        <v>957</v>
      </c>
      <c r="F82" s="577" t="s">
        <v>958</v>
      </c>
      <c r="G82" s="612">
        <f>G79+G73+G51+G42+G35+G26</f>
        <v>30000</v>
      </c>
    </row>
    <row r="84" spans="1:7" x14ac:dyDescent="0.25">
      <c r="G84" s="1410"/>
    </row>
  </sheetData>
  <mergeCells count="11">
    <mergeCell ref="B41:C41"/>
    <mergeCell ref="A2:G2"/>
    <mergeCell ref="C4:G4"/>
    <mergeCell ref="C9:F9"/>
    <mergeCell ref="B39:C39"/>
    <mergeCell ref="B40:C40"/>
    <mergeCell ref="B49:C49"/>
    <mergeCell ref="B57:C57"/>
    <mergeCell ref="B77:C77"/>
    <mergeCell ref="B78:C78"/>
    <mergeCell ref="B79:F7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2"/>
  <sheetViews>
    <sheetView workbookViewId="0">
      <selection activeCell="K25" sqref="K25"/>
    </sheetView>
  </sheetViews>
  <sheetFormatPr baseColWidth="10" defaultRowHeight="15" x14ac:dyDescent="0.25"/>
  <cols>
    <col min="3" max="3" width="28.140625" customWidth="1"/>
  </cols>
  <sheetData>
    <row r="2" spans="1:7" ht="16.5" x14ac:dyDescent="0.3">
      <c r="A2" s="1870" t="s">
        <v>959</v>
      </c>
      <c r="B2" s="1870"/>
      <c r="C2" s="1870"/>
      <c r="D2" s="1870"/>
      <c r="E2" s="1870"/>
      <c r="F2" s="1870"/>
      <c r="G2" s="1870"/>
    </row>
    <row r="3" spans="1:7" x14ac:dyDescent="0.25">
      <c r="A3" s="613"/>
      <c r="B3" s="613"/>
      <c r="C3" s="613"/>
      <c r="D3" s="613"/>
      <c r="E3" s="613"/>
      <c r="F3" s="613"/>
      <c r="G3" s="613"/>
    </row>
    <row r="4" spans="1:7" ht="16.5" x14ac:dyDescent="0.3">
      <c r="A4" s="614"/>
      <c r="B4" s="615" t="s">
        <v>629</v>
      </c>
      <c r="C4" s="1833"/>
      <c r="D4" s="1833"/>
      <c r="E4" s="1833"/>
      <c r="F4" s="1833"/>
      <c r="G4" s="1833"/>
    </row>
    <row r="5" spans="1:7" x14ac:dyDescent="0.25">
      <c r="A5" s="614"/>
      <c r="B5" s="497"/>
      <c r="C5" s="497" t="s">
        <v>909</v>
      </c>
      <c r="D5" s="497"/>
      <c r="E5" s="497"/>
      <c r="F5" s="616"/>
      <c r="G5" s="616"/>
    </row>
    <row r="6" spans="1:7" x14ac:dyDescent="0.25">
      <c r="A6" s="614"/>
      <c r="B6" s="497" t="s">
        <v>810</v>
      </c>
      <c r="C6" s="498" t="s">
        <v>910</v>
      </c>
      <c r="D6" s="497"/>
      <c r="E6" s="498"/>
      <c r="F6" s="616"/>
      <c r="G6" s="616"/>
    </row>
    <row r="7" spans="1:7" x14ac:dyDescent="0.25">
      <c r="A7" s="614"/>
      <c r="B7" s="497" t="s">
        <v>812</v>
      </c>
      <c r="C7" s="499" t="s">
        <v>830</v>
      </c>
      <c r="D7" s="497"/>
      <c r="E7" s="499"/>
      <c r="F7" s="617"/>
      <c r="G7" s="618"/>
    </row>
    <row r="8" spans="1:7" x14ac:dyDescent="0.25">
      <c r="A8" s="619"/>
      <c r="B8" s="620"/>
      <c r="C8" s="621"/>
      <c r="D8" s="620"/>
      <c r="E8" s="621"/>
      <c r="F8" s="622"/>
      <c r="G8" s="622"/>
    </row>
    <row r="9" spans="1:7" x14ac:dyDescent="0.25">
      <c r="A9" s="623"/>
      <c r="B9" s="624" t="s">
        <v>859</v>
      </c>
      <c r="C9" s="1871" t="s">
        <v>860</v>
      </c>
      <c r="D9" s="1871"/>
      <c r="E9" s="1871"/>
      <c r="F9" s="1871"/>
      <c r="G9" s="624" t="s">
        <v>915</v>
      </c>
    </row>
    <row r="10" spans="1:7" x14ac:dyDescent="0.25">
      <c r="A10" s="623"/>
      <c r="B10" s="625">
        <v>1</v>
      </c>
      <c r="C10" s="625" t="str">
        <f>+B19</f>
        <v>PERSONAL</v>
      </c>
      <c r="D10" s="1863"/>
      <c r="E10" s="1864"/>
      <c r="F10" s="1865"/>
      <c r="G10" s="626">
        <f>+G26</f>
        <v>73953</v>
      </c>
    </row>
    <row r="11" spans="1:7" x14ac:dyDescent="0.25">
      <c r="A11" s="623"/>
      <c r="B11" s="625">
        <v>2</v>
      </c>
      <c r="C11" s="625" t="str">
        <f>+B28</f>
        <v>MATERIALES Y EQUIPOS</v>
      </c>
      <c r="D11" s="1863"/>
      <c r="E11" s="1864"/>
      <c r="F11" s="1865"/>
      <c r="G11" s="626">
        <f>+G43</f>
        <v>2327</v>
      </c>
    </row>
    <row r="12" spans="1:7" x14ac:dyDescent="0.25">
      <c r="A12" s="623"/>
      <c r="B12" s="625">
        <v>3</v>
      </c>
      <c r="C12" s="625" t="str">
        <f>+B45</f>
        <v>VIATICOS</v>
      </c>
      <c r="D12" s="1863"/>
      <c r="E12" s="1864"/>
      <c r="F12" s="1865"/>
      <c r="G12" s="626">
        <f>+G50</f>
        <v>13720</v>
      </c>
    </row>
    <row r="13" spans="1:7" x14ac:dyDescent="0.25">
      <c r="A13" s="623"/>
      <c r="B13" s="625">
        <v>4</v>
      </c>
      <c r="C13" s="625" t="str">
        <f>+B53</f>
        <v>COMBUSTIBLE Y LUBRICANTE</v>
      </c>
      <c r="D13" s="1863"/>
      <c r="E13" s="1864"/>
      <c r="F13" s="1865"/>
      <c r="G13" s="626">
        <f>+G59</f>
        <v>0</v>
      </c>
    </row>
    <row r="14" spans="1:7" x14ac:dyDescent="0.25">
      <c r="A14" s="623"/>
      <c r="B14" s="627"/>
      <c r="C14" s="627"/>
      <c r="D14" s="1863"/>
      <c r="E14" s="1864"/>
      <c r="F14" s="1865"/>
      <c r="G14" s="1866">
        <f>SUM(G10:G13)</f>
        <v>90000</v>
      </c>
    </row>
    <row r="15" spans="1:7" x14ac:dyDescent="0.25">
      <c r="A15" s="623"/>
      <c r="B15" s="627"/>
      <c r="C15" s="628" t="s">
        <v>960</v>
      </c>
      <c r="D15" s="1863" t="s">
        <v>921</v>
      </c>
      <c r="E15" s="1864"/>
      <c r="F15" s="1865"/>
      <c r="G15" s="1866"/>
    </row>
    <row r="16" spans="1:7" x14ac:dyDescent="0.25">
      <c r="A16" s="623"/>
      <c r="B16" s="500"/>
      <c r="C16" s="500"/>
      <c r="D16" s="623"/>
      <c r="E16" s="623"/>
      <c r="F16" s="623"/>
      <c r="G16" s="623">
        <v>90000</v>
      </c>
    </row>
    <row r="17" spans="1:7" x14ac:dyDescent="0.25">
      <c r="B17" s="629" t="s">
        <v>961</v>
      </c>
      <c r="C17" s="630"/>
      <c r="D17" s="630"/>
      <c r="E17" s="630"/>
      <c r="F17" s="631"/>
      <c r="G17" s="630"/>
    </row>
    <row r="18" spans="1:7" x14ac:dyDescent="0.25">
      <c r="A18" s="623"/>
      <c r="B18" s="623"/>
      <c r="C18" s="623"/>
      <c r="D18" s="623"/>
      <c r="E18" s="623"/>
      <c r="F18" s="623"/>
      <c r="G18" s="623"/>
    </row>
    <row r="19" spans="1:7" x14ac:dyDescent="0.25">
      <c r="A19" s="632">
        <v>1</v>
      </c>
      <c r="B19" s="633" t="s">
        <v>962</v>
      </c>
      <c r="C19" s="623"/>
      <c r="D19" s="623"/>
      <c r="E19" s="623"/>
      <c r="F19" s="623"/>
      <c r="G19" s="634"/>
    </row>
    <row r="20" spans="1:7" x14ac:dyDescent="0.25">
      <c r="A20" s="635"/>
      <c r="B20" s="635"/>
      <c r="C20" s="623"/>
      <c r="D20" s="623"/>
      <c r="E20" s="623"/>
      <c r="F20" s="623"/>
      <c r="G20" s="623"/>
    </row>
    <row r="21" spans="1:7" x14ac:dyDescent="0.25">
      <c r="A21" s="636" t="s">
        <v>923</v>
      </c>
      <c r="B21" s="624" t="s">
        <v>869</v>
      </c>
      <c r="C21" s="624"/>
      <c r="D21" s="624" t="s">
        <v>924</v>
      </c>
      <c r="E21" s="624" t="s">
        <v>880</v>
      </c>
      <c r="F21" s="624" t="s">
        <v>881</v>
      </c>
      <c r="G21" s="624" t="s">
        <v>454</v>
      </c>
    </row>
    <row r="22" spans="1:7" x14ac:dyDescent="0.25">
      <c r="A22" s="623"/>
      <c r="B22" s="637"/>
      <c r="C22" s="627" t="s">
        <v>963</v>
      </c>
      <c r="D22" s="638">
        <v>1</v>
      </c>
      <c r="E22" s="639">
        <v>4</v>
      </c>
      <c r="F22" s="639">
        <v>6947.09</v>
      </c>
      <c r="G22" s="639">
        <f>+D22*E22*F22</f>
        <v>27788.36</v>
      </c>
    </row>
    <row r="23" spans="1:7" x14ac:dyDescent="0.25">
      <c r="A23" s="623"/>
      <c r="B23" s="637"/>
      <c r="C23" s="627" t="s">
        <v>964</v>
      </c>
      <c r="D23" s="638">
        <v>1</v>
      </c>
      <c r="E23" s="639">
        <v>4</v>
      </c>
      <c r="F23" s="639">
        <v>3641.63</v>
      </c>
      <c r="G23" s="639">
        <f>+D23*E23*F23</f>
        <v>14566.52</v>
      </c>
    </row>
    <row r="24" spans="1:7" x14ac:dyDescent="0.25">
      <c r="A24" s="623"/>
      <c r="B24" s="637"/>
      <c r="C24" s="627" t="s">
        <v>965</v>
      </c>
      <c r="D24" s="638">
        <v>1</v>
      </c>
      <c r="E24" s="639">
        <v>4</v>
      </c>
      <c r="F24" s="639">
        <v>4874.18</v>
      </c>
      <c r="G24" s="639">
        <f>+D24*E24*F24</f>
        <v>19496.72</v>
      </c>
    </row>
    <row r="25" spans="1:7" x14ac:dyDescent="0.25">
      <c r="A25" s="623"/>
      <c r="B25" s="637"/>
      <c r="C25" s="627" t="s">
        <v>966</v>
      </c>
      <c r="D25" s="638">
        <v>1</v>
      </c>
      <c r="E25" s="639">
        <v>4</v>
      </c>
      <c r="F25" s="639">
        <v>3025.35</v>
      </c>
      <c r="G25" s="639">
        <f>+D25*E25*F25</f>
        <v>12101.4</v>
      </c>
    </row>
    <row r="26" spans="1:7" x14ac:dyDescent="0.25">
      <c r="A26" s="623"/>
      <c r="B26" s="628" t="s">
        <v>239</v>
      </c>
      <c r="C26" s="640"/>
      <c r="D26" s="627"/>
      <c r="E26" s="640"/>
      <c r="F26" s="640"/>
      <c r="G26" s="641">
        <f>SUM(G22:G25)</f>
        <v>73953</v>
      </c>
    </row>
    <row r="27" spans="1:7" x14ac:dyDescent="0.25">
      <c r="A27" s="623"/>
      <c r="B27" s="630"/>
      <c r="C27" s="630"/>
      <c r="D27" s="623"/>
      <c r="E27" s="630"/>
      <c r="F27" s="630"/>
      <c r="G27" s="642"/>
    </row>
    <row r="28" spans="1:7" x14ac:dyDescent="0.25">
      <c r="A28" s="632">
        <v>2</v>
      </c>
      <c r="B28" s="633" t="s">
        <v>967</v>
      </c>
      <c r="C28" s="623"/>
      <c r="D28" s="623"/>
      <c r="E28" s="623"/>
      <c r="F28" s="632"/>
      <c r="G28" s="643"/>
    </row>
    <row r="29" spans="1:7" x14ac:dyDescent="0.25">
      <c r="A29" s="635"/>
      <c r="B29" s="635"/>
      <c r="C29" s="623"/>
      <c r="D29" s="623"/>
      <c r="E29" s="623"/>
      <c r="F29" s="623"/>
      <c r="G29" s="644"/>
    </row>
    <row r="30" spans="1:7" x14ac:dyDescent="0.25">
      <c r="A30" s="623"/>
      <c r="B30" s="629"/>
      <c r="C30" s="623"/>
      <c r="D30" s="623"/>
      <c r="E30" s="623"/>
      <c r="F30" s="623"/>
      <c r="G30" s="623"/>
    </row>
    <row r="31" spans="1:7" x14ac:dyDescent="0.25">
      <c r="A31" s="623"/>
      <c r="B31" s="645"/>
      <c r="C31" s="645" t="s">
        <v>630</v>
      </c>
      <c r="D31" s="624" t="s">
        <v>883</v>
      </c>
      <c r="E31" s="624" t="s">
        <v>632</v>
      </c>
      <c r="F31" s="624" t="s">
        <v>931</v>
      </c>
      <c r="G31" s="624" t="s">
        <v>239</v>
      </c>
    </row>
    <row r="32" spans="1:7" x14ac:dyDescent="0.25">
      <c r="A32" s="623"/>
      <c r="B32" s="646"/>
      <c r="C32" s="647" t="s">
        <v>968</v>
      </c>
      <c r="D32" s="648" t="s">
        <v>647</v>
      </c>
      <c r="E32" s="649">
        <v>40</v>
      </c>
      <c r="F32" s="649">
        <v>0.3</v>
      </c>
      <c r="G32" s="649">
        <f>+E32*F32</f>
        <v>12</v>
      </c>
    </row>
    <row r="33" spans="1:7" x14ac:dyDescent="0.25">
      <c r="A33" s="623"/>
      <c r="B33" s="646"/>
      <c r="C33" s="647" t="s">
        <v>662</v>
      </c>
      <c r="D33" s="648" t="s">
        <v>647</v>
      </c>
      <c r="E33" s="649">
        <v>10</v>
      </c>
      <c r="F33" s="649">
        <v>7</v>
      </c>
      <c r="G33" s="649">
        <f>+E33*F33</f>
        <v>70</v>
      </c>
    </row>
    <row r="34" spans="1:7" x14ac:dyDescent="0.25">
      <c r="A34" s="623"/>
      <c r="B34" s="646"/>
      <c r="C34" s="647" t="s">
        <v>969</v>
      </c>
      <c r="D34" s="648" t="s">
        <v>647</v>
      </c>
      <c r="E34" s="649">
        <v>10</v>
      </c>
      <c r="F34" s="649">
        <v>2</v>
      </c>
      <c r="G34" s="649">
        <f t="shared" ref="G34:G42" si="0">+E34*F34</f>
        <v>20</v>
      </c>
    </row>
    <row r="35" spans="1:7" x14ac:dyDescent="0.25">
      <c r="A35" s="623"/>
      <c r="B35" s="646"/>
      <c r="C35" s="647" t="s">
        <v>970</v>
      </c>
      <c r="D35" s="648" t="s">
        <v>689</v>
      </c>
      <c r="E35" s="649">
        <v>8</v>
      </c>
      <c r="F35" s="649">
        <v>25</v>
      </c>
      <c r="G35" s="649">
        <f t="shared" si="0"/>
        <v>200</v>
      </c>
    </row>
    <row r="36" spans="1:7" x14ac:dyDescent="0.25">
      <c r="A36" s="623"/>
      <c r="B36" s="646"/>
      <c r="C36" s="647" t="s">
        <v>971</v>
      </c>
      <c r="D36" s="648" t="s">
        <v>647</v>
      </c>
      <c r="E36" s="649">
        <v>4500</v>
      </c>
      <c r="F36" s="649">
        <v>0.1</v>
      </c>
      <c r="G36" s="649">
        <f t="shared" si="0"/>
        <v>450</v>
      </c>
    </row>
    <row r="37" spans="1:7" x14ac:dyDescent="0.25">
      <c r="A37" s="623"/>
      <c r="B37" s="646"/>
      <c r="C37" s="647" t="s">
        <v>719</v>
      </c>
      <c r="D37" s="648" t="s">
        <v>647</v>
      </c>
      <c r="E37" s="649">
        <v>2</v>
      </c>
      <c r="F37" s="649">
        <v>80</v>
      </c>
      <c r="G37" s="649">
        <f t="shared" si="0"/>
        <v>160</v>
      </c>
    </row>
    <row r="38" spans="1:7" x14ac:dyDescent="0.25">
      <c r="A38" s="623"/>
      <c r="B38" s="646"/>
      <c r="C38" s="647" t="s">
        <v>972</v>
      </c>
      <c r="D38" s="648" t="s">
        <v>647</v>
      </c>
      <c r="E38" s="649">
        <v>8</v>
      </c>
      <c r="F38" s="649">
        <v>2.5</v>
      </c>
      <c r="G38" s="649">
        <f t="shared" si="0"/>
        <v>20</v>
      </c>
    </row>
    <row r="39" spans="1:7" x14ac:dyDescent="0.25">
      <c r="A39" s="623"/>
      <c r="B39" s="646"/>
      <c r="C39" s="647" t="s">
        <v>973</v>
      </c>
      <c r="D39" s="648" t="s">
        <v>647</v>
      </c>
      <c r="E39" s="649">
        <v>2</v>
      </c>
      <c r="F39" s="649">
        <v>15</v>
      </c>
      <c r="G39" s="649">
        <f t="shared" si="0"/>
        <v>30</v>
      </c>
    </row>
    <row r="40" spans="1:7" x14ac:dyDescent="0.25">
      <c r="A40" s="623"/>
      <c r="B40" s="646"/>
      <c r="C40" s="647" t="s">
        <v>734</v>
      </c>
      <c r="D40" s="648" t="s">
        <v>647</v>
      </c>
      <c r="E40" s="649">
        <v>10</v>
      </c>
      <c r="F40" s="649">
        <v>0.5</v>
      </c>
      <c r="G40" s="649">
        <f t="shared" si="0"/>
        <v>5</v>
      </c>
    </row>
    <row r="41" spans="1:7" x14ac:dyDescent="0.25">
      <c r="A41" s="623"/>
      <c r="B41" s="646"/>
      <c r="C41" s="647" t="s">
        <v>750</v>
      </c>
      <c r="D41" s="648" t="s">
        <v>647</v>
      </c>
      <c r="E41" s="649">
        <v>1</v>
      </c>
      <c r="F41" s="649">
        <v>1200</v>
      </c>
      <c r="G41" s="649">
        <f t="shared" si="0"/>
        <v>1200</v>
      </c>
    </row>
    <row r="42" spans="1:7" x14ac:dyDescent="0.25">
      <c r="A42" s="623"/>
      <c r="B42" s="646"/>
      <c r="C42" s="647" t="s">
        <v>1161</v>
      </c>
      <c r="D42" s="648" t="s">
        <v>647</v>
      </c>
      <c r="E42" s="649">
        <v>4</v>
      </c>
      <c r="F42" s="649">
        <v>40</v>
      </c>
      <c r="G42" s="649">
        <f t="shared" si="0"/>
        <v>160</v>
      </c>
    </row>
    <row r="43" spans="1:7" x14ac:dyDescent="0.25">
      <c r="A43" s="623"/>
      <c r="B43" s="628" t="s">
        <v>239</v>
      </c>
      <c r="C43" s="628"/>
      <c r="D43" s="628"/>
      <c r="E43" s="628"/>
      <c r="F43" s="628"/>
      <c r="G43" s="650">
        <f>+SUM(G32:G42)</f>
        <v>2327</v>
      </c>
    </row>
    <row r="44" spans="1:7" x14ac:dyDescent="0.25">
      <c r="A44" s="623"/>
      <c r="B44" s="651"/>
      <c r="C44" s="651"/>
      <c r="D44" s="651"/>
      <c r="E44" s="651"/>
      <c r="F44" s="635"/>
      <c r="G44" s="644"/>
    </row>
    <row r="45" spans="1:7" x14ac:dyDescent="0.25">
      <c r="A45" s="632">
        <v>3</v>
      </c>
      <c r="B45" s="652" t="s">
        <v>650</v>
      </c>
      <c r="C45" s="653"/>
      <c r="D45" s="654"/>
      <c r="E45" s="654"/>
      <c r="F45" s="653"/>
      <c r="G45" s="643"/>
    </row>
    <row r="46" spans="1:7" x14ac:dyDescent="0.25">
      <c r="A46" s="655"/>
      <c r="B46" s="652"/>
      <c r="C46" s="653"/>
      <c r="D46" s="654"/>
      <c r="E46" s="654"/>
      <c r="F46" s="654"/>
      <c r="G46" s="654"/>
    </row>
    <row r="47" spans="1:7" x14ac:dyDescent="0.25">
      <c r="A47" s="656"/>
      <c r="B47" s="645"/>
      <c r="C47" s="645" t="s">
        <v>630</v>
      </c>
      <c r="D47" s="645" t="s">
        <v>876</v>
      </c>
      <c r="E47" s="645" t="s">
        <v>632</v>
      </c>
      <c r="F47" s="645" t="s">
        <v>927</v>
      </c>
      <c r="G47" s="645" t="s">
        <v>239</v>
      </c>
    </row>
    <row r="48" spans="1:7" x14ac:dyDescent="0.25">
      <c r="A48" s="656"/>
      <c r="B48" s="657"/>
      <c r="C48" s="658" t="s">
        <v>974</v>
      </c>
      <c r="D48" s="659">
        <v>140</v>
      </c>
      <c r="E48" s="660">
        <v>1</v>
      </c>
      <c r="F48" s="661">
        <v>67</v>
      </c>
      <c r="G48" s="661">
        <f>+D48*E48*F48</f>
        <v>9380</v>
      </c>
    </row>
    <row r="49" spans="1:7" x14ac:dyDescent="0.25">
      <c r="A49" s="656"/>
      <c r="B49" s="657"/>
      <c r="C49" s="658" t="s">
        <v>1770</v>
      </c>
      <c r="D49" s="659">
        <v>140</v>
      </c>
      <c r="E49" s="660">
        <v>1</v>
      </c>
      <c r="F49" s="661">
        <v>31</v>
      </c>
      <c r="G49" s="661">
        <f>+D49*E49*F49</f>
        <v>4340</v>
      </c>
    </row>
    <row r="50" spans="1:7" x14ac:dyDescent="0.25">
      <c r="A50" s="656"/>
      <c r="B50" s="662" t="s">
        <v>239</v>
      </c>
      <c r="C50" s="1867"/>
      <c r="D50" s="1868"/>
      <c r="E50" s="1868"/>
      <c r="F50" s="1869"/>
      <c r="G50" s="663">
        <f>+SUM(G48:G49)</f>
        <v>13720</v>
      </c>
    </row>
    <row r="51" spans="1:7" x14ac:dyDescent="0.25">
      <c r="A51" s="623"/>
      <c r="B51" s="630"/>
      <c r="C51" s="630"/>
      <c r="D51" s="623"/>
      <c r="E51" s="630"/>
      <c r="F51" s="630"/>
      <c r="G51" s="664"/>
    </row>
    <row r="52" spans="1:7" x14ac:dyDescent="0.25">
      <c r="A52" s="623"/>
      <c r="B52" s="630"/>
      <c r="C52" s="630"/>
      <c r="D52" s="623"/>
      <c r="E52" s="630"/>
      <c r="F52" s="630"/>
      <c r="G52" s="664"/>
    </row>
    <row r="53" spans="1:7" x14ac:dyDescent="0.25">
      <c r="A53" s="632">
        <v>4</v>
      </c>
      <c r="B53" s="633" t="s">
        <v>975</v>
      </c>
      <c r="C53" s="623"/>
      <c r="D53" s="630"/>
      <c r="E53" s="623"/>
      <c r="F53" s="623"/>
      <c r="G53" s="634"/>
    </row>
    <row r="54" spans="1:7" x14ac:dyDescent="0.25">
      <c r="A54" s="632"/>
      <c r="B54" s="633"/>
      <c r="C54" s="623"/>
      <c r="D54" s="630"/>
      <c r="E54" s="623"/>
      <c r="F54" s="623"/>
      <c r="G54" s="634"/>
    </row>
    <row r="55" spans="1:7" x14ac:dyDescent="0.25">
      <c r="A55" s="623"/>
      <c r="B55" s="1415"/>
      <c r="C55" s="1415" t="s">
        <v>630</v>
      </c>
      <c r="D55" s="1415" t="s">
        <v>883</v>
      </c>
      <c r="E55" s="1415" t="s">
        <v>632</v>
      </c>
      <c r="F55" s="1415" t="s">
        <v>931</v>
      </c>
      <c r="G55" s="1415" t="s">
        <v>239</v>
      </c>
    </row>
    <row r="56" spans="1:7" x14ac:dyDescent="0.25">
      <c r="A56" s="623"/>
      <c r="B56" s="662"/>
      <c r="C56" s="665" t="s">
        <v>932</v>
      </c>
      <c r="D56" s="666" t="s">
        <v>933</v>
      </c>
      <c r="E56" s="666">
        <v>0</v>
      </c>
      <c r="F56" s="666">
        <v>15.4</v>
      </c>
      <c r="G56" s="666">
        <f>E56*F56</f>
        <v>0</v>
      </c>
    </row>
    <row r="57" spans="1:7" x14ac:dyDescent="0.25">
      <c r="A57" s="623"/>
      <c r="B57" s="662"/>
      <c r="C57" s="665" t="s">
        <v>976</v>
      </c>
      <c r="D57" s="666" t="s">
        <v>977</v>
      </c>
      <c r="E57" s="666">
        <v>0</v>
      </c>
      <c r="F57" s="666">
        <v>24</v>
      </c>
      <c r="G57" s="666">
        <f>E57*F57</f>
        <v>0</v>
      </c>
    </row>
    <row r="58" spans="1:7" x14ac:dyDescent="0.25">
      <c r="A58" s="623"/>
      <c r="B58" s="662"/>
      <c r="C58" s="665" t="s">
        <v>978</v>
      </c>
      <c r="D58" s="666" t="s">
        <v>647</v>
      </c>
      <c r="E58" s="666">
        <v>0</v>
      </c>
      <c r="F58" s="666">
        <v>60</v>
      </c>
      <c r="G58" s="666">
        <f>E58*F58</f>
        <v>0</v>
      </c>
    </row>
    <row r="59" spans="1:7" x14ac:dyDescent="0.25">
      <c r="A59" s="623"/>
      <c r="B59" s="662" t="s">
        <v>239</v>
      </c>
      <c r="C59" s="666"/>
      <c r="D59" s="666"/>
      <c r="E59" s="666"/>
      <c r="F59" s="666"/>
      <c r="G59" s="662">
        <f>SUM(G56:G58)</f>
        <v>0</v>
      </c>
    </row>
    <row r="60" spans="1:7" x14ac:dyDescent="0.25">
      <c r="A60" s="623"/>
      <c r="B60" s="630"/>
      <c r="C60" s="630"/>
      <c r="D60" s="630"/>
      <c r="E60" s="630"/>
      <c r="F60" s="630"/>
      <c r="G60" s="664"/>
    </row>
    <row r="61" spans="1:7" x14ac:dyDescent="0.25">
      <c r="A61" s="636"/>
      <c r="B61" s="630"/>
      <c r="C61" s="630"/>
      <c r="D61" s="623"/>
      <c r="E61" s="630"/>
      <c r="F61" s="630"/>
      <c r="G61" s="623"/>
    </row>
    <row r="62" spans="1:7" x14ac:dyDescent="0.25">
      <c r="A62" s="636"/>
      <c r="B62" s="630"/>
      <c r="C62" s="630"/>
      <c r="D62" s="623"/>
      <c r="E62" s="632" t="s">
        <v>979</v>
      </c>
      <c r="F62" s="632" t="s">
        <v>958</v>
      </c>
      <c r="G62" s="635">
        <f>G59+G50+G43+G26</f>
        <v>90000</v>
      </c>
    </row>
  </sheetData>
  <mergeCells count="11">
    <mergeCell ref="D12:F12"/>
    <mergeCell ref="A2:G2"/>
    <mergeCell ref="C4:G4"/>
    <mergeCell ref="C9:F9"/>
    <mergeCell ref="D10:F10"/>
    <mergeCell ref="D11:F11"/>
    <mergeCell ref="D13:F13"/>
    <mergeCell ref="D14:F14"/>
    <mergeCell ref="G14:G15"/>
    <mergeCell ref="D15:F15"/>
    <mergeCell ref="C50:F5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74"/>
  <sheetViews>
    <sheetView topLeftCell="K27" workbookViewId="0">
      <selection activeCell="F25" sqref="F25:F26"/>
    </sheetView>
  </sheetViews>
  <sheetFormatPr baseColWidth="10" defaultRowHeight="15" x14ac:dyDescent="0.25"/>
  <cols>
    <col min="2" max="2" width="13.7109375" customWidth="1"/>
    <col min="3" max="3" width="17.85546875" customWidth="1"/>
    <col min="4" max="4" width="14.28515625" customWidth="1"/>
    <col min="5" max="5" width="21.28515625" customWidth="1"/>
    <col min="6" max="6" width="17.42578125" customWidth="1"/>
    <col min="7" max="7" width="14.7109375" customWidth="1"/>
    <col min="8" max="8" width="13.85546875" customWidth="1"/>
    <col min="9" max="13" width="15.7109375" customWidth="1"/>
    <col min="14" max="14" width="13.42578125" customWidth="1"/>
    <col min="15" max="15" width="16" customWidth="1"/>
    <col min="16" max="16" width="16.85546875" customWidth="1"/>
    <col min="17" max="17" width="17.7109375" customWidth="1"/>
    <col min="18" max="18" width="15.85546875" customWidth="1"/>
    <col min="19" max="19" width="13.42578125" customWidth="1"/>
    <col min="20" max="20" width="15.5703125" customWidth="1"/>
    <col min="21" max="21" width="14.85546875" customWidth="1"/>
    <col min="22" max="22" width="14.140625" customWidth="1"/>
    <col min="23" max="27" width="13.7109375" bestFit="1" customWidth="1"/>
  </cols>
  <sheetData>
    <row r="3" spans="2:21" ht="15.75" x14ac:dyDescent="0.25">
      <c r="B3" s="1918" t="s">
        <v>1507</v>
      </c>
      <c r="C3" s="1918"/>
      <c r="D3" s="1918"/>
      <c r="E3" s="1918"/>
      <c r="F3" s="1918"/>
      <c r="G3" s="1532"/>
      <c r="H3" s="1911" t="s">
        <v>1879</v>
      </c>
      <c r="I3" s="1911"/>
      <c r="J3" s="1911"/>
      <c r="M3" s="1918" t="s">
        <v>1489</v>
      </c>
      <c r="N3" s="1918"/>
      <c r="O3" s="1918"/>
      <c r="P3" s="1918"/>
      <c r="Q3" s="1918"/>
      <c r="R3" s="1532"/>
      <c r="S3" s="1911" t="s">
        <v>1878</v>
      </c>
      <c r="T3" s="1911"/>
      <c r="U3" s="1911"/>
    </row>
    <row r="4" spans="2:21" ht="38.25" x14ac:dyDescent="0.25">
      <c r="B4" s="1437" t="s">
        <v>1490</v>
      </c>
      <c r="C4" s="1437" t="s">
        <v>1491</v>
      </c>
      <c r="D4" s="1437" t="s">
        <v>889</v>
      </c>
      <c r="E4" s="1438" t="s">
        <v>1492</v>
      </c>
      <c r="F4" s="1438" t="s">
        <v>1493</v>
      </c>
      <c r="G4" s="1438" t="s">
        <v>1852</v>
      </c>
      <c r="H4" s="1497" t="s">
        <v>1853</v>
      </c>
      <c r="I4" s="1438" t="s">
        <v>1494</v>
      </c>
      <c r="J4" s="1438" t="s">
        <v>1495</v>
      </c>
      <c r="M4" s="1437" t="s">
        <v>1490</v>
      </c>
      <c r="N4" s="1437" t="s">
        <v>1491</v>
      </c>
      <c r="O4" s="1437" t="s">
        <v>889</v>
      </c>
      <c r="P4" s="1438" t="s">
        <v>1492</v>
      </c>
      <c r="Q4" s="1438" t="s">
        <v>1493</v>
      </c>
      <c r="R4" s="1438" t="s">
        <v>1852</v>
      </c>
      <c r="S4" s="1497" t="s">
        <v>1853</v>
      </c>
      <c r="T4" s="1438" t="s">
        <v>1494</v>
      </c>
      <c r="U4" s="1438" t="s">
        <v>1495</v>
      </c>
    </row>
    <row r="5" spans="2:21" ht="15" customHeight="1" x14ac:dyDescent="0.25">
      <c r="B5" s="1904" t="s">
        <v>1496</v>
      </c>
      <c r="C5" s="1905"/>
      <c r="D5" s="1906"/>
      <c r="E5" s="1197">
        <f>+E6+E10</f>
        <v>3090</v>
      </c>
      <c r="F5" s="1197">
        <f>+F6+F10</f>
        <v>70680</v>
      </c>
      <c r="G5" s="1197"/>
      <c r="H5" s="1197">
        <f t="shared" ref="H5" si="0">+H6+H10</f>
        <v>64288.56</v>
      </c>
      <c r="I5" s="1198"/>
      <c r="J5" s="1912" t="s">
        <v>1511</v>
      </c>
      <c r="M5" s="1533" t="s">
        <v>1496</v>
      </c>
      <c r="N5" s="1534"/>
      <c r="O5" s="1535"/>
      <c r="P5" s="1197">
        <f>+P6+P10</f>
        <v>6050</v>
      </c>
      <c r="Q5" s="1197">
        <f>+Q6+Q10</f>
        <v>184200</v>
      </c>
      <c r="R5" s="1197"/>
      <c r="S5" s="1536">
        <f t="shared" ref="S5" si="1">+S6+S10</f>
        <v>166639.20000000001</v>
      </c>
      <c r="T5" s="1198"/>
      <c r="U5" s="1912" t="str">
        <f>J5</f>
        <v>Actas de compromiso de la DIREPRO</v>
      </c>
    </row>
    <row r="6" spans="2:21" x14ac:dyDescent="0.25">
      <c r="B6" s="1904" t="s">
        <v>1497</v>
      </c>
      <c r="C6" s="1905"/>
      <c r="D6" s="1906"/>
      <c r="E6" s="1199">
        <f>SUM(E7:E9)</f>
        <v>3050</v>
      </c>
      <c r="F6" s="1199">
        <f>SUM(F7:F9)</f>
        <v>70200</v>
      </c>
      <c r="G6" s="1199"/>
      <c r="H6" s="1199">
        <f t="shared" ref="H6" si="2">SUM(H7:H9)</f>
        <v>63882</v>
      </c>
      <c r="I6" s="1200"/>
      <c r="J6" s="1913"/>
      <c r="M6" s="1533" t="s">
        <v>1497</v>
      </c>
      <c r="N6" s="1534"/>
      <c r="O6" s="1535"/>
      <c r="P6" s="1199">
        <f>SUM(P7:P9)</f>
        <v>4750</v>
      </c>
      <c r="Q6" s="1199">
        <f>SUM(Q7:Q9)</f>
        <v>168600</v>
      </c>
      <c r="R6" s="1199"/>
      <c r="S6" s="1209">
        <f t="shared" ref="S6" si="3">SUM(S7:S9)</f>
        <v>153426</v>
      </c>
      <c r="T6" s="1200"/>
      <c r="U6" s="1913"/>
    </row>
    <row r="7" spans="2:21" x14ac:dyDescent="0.25">
      <c r="B7" s="1201" t="s">
        <v>1498</v>
      </c>
      <c r="C7" s="1202" t="s">
        <v>1498</v>
      </c>
      <c r="D7" s="1202">
        <v>1</v>
      </c>
      <c r="E7" s="1203">
        <v>1350</v>
      </c>
      <c r="F7" s="1204">
        <f>(D7*E7)*12</f>
        <v>16200</v>
      </c>
      <c r="G7" s="1450">
        <v>0.91</v>
      </c>
      <c r="H7" s="1498">
        <f>F7*G7</f>
        <v>14742</v>
      </c>
      <c r="I7" s="1201" t="s">
        <v>1360</v>
      </c>
      <c r="J7" s="1913"/>
      <c r="M7" s="1201" t="str">
        <f>B7</f>
        <v>Director (a)</v>
      </c>
      <c r="N7" s="1202" t="s">
        <v>1498</v>
      </c>
      <c r="O7" s="1202">
        <v>1</v>
      </c>
      <c r="P7" s="1203">
        <f>E7</f>
        <v>1350</v>
      </c>
      <c r="Q7" s="1204">
        <f>(O7*P7)*12</f>
        <v>16200</v>
      </c>
      <c r="R7" s="1450">
        <v>0.91</v>
      </c>
      <c r="S7" s="1537">
        <f>Q7*R7</f>
        <v>14742</v>
      </c>
      <c r="T7" s="1201" t="str">
        <f>I7</f>
        <v>DIREPRO</v>
      </c>
      <c r="U7" s="1913"/>
    </row>
    <row r="8" spans="2:21" x14ac:dyDescent="0.25">
      <c r="B8" s="1201" t="s">
        <v>1510</v>
      </c>
      <c r="C8" s="1202" t="s">
        <v>1482</v>
      </c>
      <c r="D8" s="1202">
        <v>5</v>
      </c>
      <c r="E8" s="1203">
        <v>900</v>
      </c>
      <c r="F8" s="1204">
        <f>(D8*E8)*12</f>
        <v>54000</v>
      </c>
      <c r="G8" s="1450">
        <v>0.91</v>
      </c>
      <c r="H8" s="1498">
        <f>F8*G8</f>
        <v>49140</v>
      </c>
      <c r="I8" s="1201" t="s">
        <v>1360</v>
      </c>
      <c r="J8" s="1913"/>
      <c r="M8" s="1201" t="str">
        <f>B8</f>
        <v>Personal nombrado nombrados</v>
      </c>
      <c r="N8" s="1202" t="s">
        <v>1499</v>
      </c>
      <c r="O8" s="1202">
        <v>3</v>
      </c>
      <c r="P8" s="1203">
        <f>E8</f>
        <v>900</v>
      </c>
      <c r="Q8" s="1204">
        <f>(O8*P8)*12</f>
        <v>32400</v>
      </c>
      <c r="R8" s="1450">
        <v>0.91</v>
      </c>
      <c r="S8" s="1537">
        <f t="shared" ref="S8:S9" si="4">Q8*R8</f>
        <v>29484</v>
      </c>
      <c r="T8" s="1201" t="str">
        <f>I8</f>
        <v>DIREPRO</v>
      </c>
      <c r="U8" s="1913"/>
    </row>
    <row r="9" spans="2:21" x14ac:dyDescent="0.25">
      <c r="B9" s="1201" t="s">
        <v>1512</v>
      </c>
      <c r="C9" s="1202" t="s">
        <v>1482</v>
      </c>
      <c r="D9" s="1202">
        <v>0</v>
      </c>
      <c r="E9" s="1203">
        <v>800</v>
      </c>
      <c r="F9" s="1204">
        <f>(D9*E9)*12</f>
        <v>0</v>
      </c>
      <c r="G9" s="1450"/>
      <c r="H9" s="2"/>
      <c r="I9" s="1201" t="s">
        <v>1360</v>
      </c>
      <c r="J9" s="1913"/>
      <c r="M9" s="1201" t="str">
        <f>B9</f>
        <v>Personal operativo</v>
      </c>
      <c r="N9" s="1202" t="s">
        <v>1482</v>
      </c>
      <c r="O9" s="1202">
        <v>4</v>
      </c>
      <c r="P9" s="1203">
        <v>2500</v>
      </c>
      <c r="Q9" s="1204">
        <f>(O9*P9)*12</f>
        <v>120000</v>
      </c>
      <c r="R9" s="1450">
        <v>0.91</v>
      </c>
      <c r="S9" s="1537">
        <f t="shared" si="4"/>
        <v>109200</v>
      </c>
      <c r="T9" s="1201" t="str">
        <f>I9</f>
        <v>DIREPRO</v>
      </c>
      <c r="U9" s="1913"/>
    </row>
    <row r="10" spans="2:21" x14ac:dyDescent="0.25">
      <c r="B10" s="1907" t="s">
        <v>1500</v>
      </c>
      <c r="C10" s="1908"/>
      <c r="D10" s="1909"/>
      <c r="E10" s="1199">
        <f>SUM(E11:E12)</f>
        <v>40</v>
      </c>
      <c r="F10" s="1199">
        <f>SUM(F11:F12)</f>
        <v>480</v>
      </c>
      <c r="G10" s="1541"/>
      <c r="H10" s="1199">
        <f t="shared" ref="H10" si="5">SUM(H11:H12)</f>
        <v>406.56</v>
      </c>
      <c r="I10" s="1201"/>
      <c r="J10" s="1913"/>
      <c r="M10" s="1538" t="s">
        <v>1500</v>
      </c>
      <c r="N10" s="1539"/>
      <c r="O10" s="1540"/>
      <c r="P10" s="1199">
        <f>SUM(P11:P12)</f>
        <v>1300</v>
      </c>
      <c r="Q10" s="1199">
        <f>SUM(Q11:Q12)</f>
        <v>15600</v>
      </c>
      <c r="R10" s="1199"/>
      <c r="S10" s="1209">
        <f t="shared" ref="S10" si="6">SUM(S11:S12)</f>
        <v>13213.2</v>
      </c>
      <c r="T10" s="1201"/>
      <c r="U10" s="1913"/>
    </row>
    <row r="11" spans="2:21" x14ac:dyDescent="0.25">
      <c r="B11" s="1201" t="s">
        <v>1501</v>
      </c>
      <c r="C11" s="1202" t="s">
        <v>638</v>
      </c>
      <c r="D11" s="1202">
        <v>1</v>
      </c>
      <c r="E11" s="1203">
        <v>10</v>
      </c>
      <c r="F11" s="1204">
        <f>(D11*E11)*12</f>
        <v>120</v>
      </c>
      <c r="G11" s="1450">
        <v>0.84699999999999998</v>
      </c>
      <c r="H11" s="1498">
        <f>F11*G11</f>
        <v>101.64</v>
      </c>
      <c r="I11" s="1201" t="s">
        <v>1360</v>
      </c>
      <c r="J11" s="1913"/>
      <c r="M11" s="1201" t="s">
        <v>1501</v>
      </c>
      <c r="N11" s="1202" t="s">
        <v>638</v>
      </c>
      <c r="O11" s="1202">
        <v>1</v>
      </c>
      <c r="P11" s="1203">
        <v>500</v>
      </c>
      <c r="Q11" s="1204">
        <f>(O11*P11)*12</f>
        <v>6000</v>
      </c>
      <c r="R11" s="1450">
        <v>0.84699999999999998</v>
      </c>
      <c r="S11" s="1537">
        <f>Q11*R11</f>
        <v>5082</v>
      </c>
      <c r="T11" s="1201" t="str">
        <f>I11</f>
        <v>DIREPRO</v>
      </c>
      <c r="U11" s="1913"/>
    </row>
    <row r="12" spans="2:21" x14ac:dyDescent="0.25">
      <c r="B12" s="1201" t="s">
        <v>1502</v>
      </c>
      <c r="C12" s="1202" t="s">
        <v>638</v>
      </c>
      <c r="D12" s="1202">
        <v>1</v>
      </c>
      <c r="E12" s="1203">
        <v>30</v>
      </c>
      <c r="F12" s="1204">
        <f>(D12*E12)*12</f>
        <v>360</v>
      </c>
      <c r="G12" s="1450">
        <v>0.84699999999999998</v>
      </c>
      <c r="H12" s="1498">
        <f>F12*G12</f>
        <v>304.92</v>
      </c>
      <c r="I12" s="1201" t="s">
        <v>1360</v>
      </c>
      <c r="J12" s="1914"/>
      <c r="M12" s="1201" t="s">
        <v>1502</v>
      </c>
      <c r="N12" s="1202" t="s">
        <v>638</v>
      </c>
      <c r="O12" s="1202">
        <v>1</v>
      </c>
      <c r="P12" s="1203">
        <v>800</v>
      </c>
      <c r="Q12" s="1204">
        <f>(O12*P12)*12</f>
        <v>9600</v>
      </c>
      <c r="R12" s="1450">
        <v>0.84699999999999998</v>
      </c>
      <c r="S12" s="1537">
        <f>Q12*R12</f>
        <v>8131.2</v>
      </c>
      <c r="T12" s="1201" t="str">
        <f>I12</f>
        <v>DIREPRO</v>
      </c>
      <c r="U12" s="1914"/>
    </row>
    <row r="13" spans="2:21" ht="15" customHeight="1" x14ac:dyDescent="0.25">
      <c r="B13" s="1904" t="s">
        <v>1503</v>
      </c>
      <c r="C13" s="1905"/>
      <c r="D13" s="1906"/>
      <c r="E13" s="1199">
        <f>SUM(E14:E15)</f>
        <v>55</v>
      </c>
      <c r="F13" s="1199">
        <f>SUM(F14:F15)</f>
        <v>550</v>
      </c>
      <c r="G13" s="1541"/>
      <c r="H13" s="1199">
        <f t="shared" ref="H13" si="7">SUM(H14:H15)</f>
        <v>465.85</v>
      </c>
      <c r="I13" s="1198"/>
      <c r="J13" s="1915" t="s">
        <v>1508</v>
      </c>
      <c r="M13" s="1533" t="s">
        <v>1503</v>
      </c>
      <c r="N13" s="1534"/>
      <c r="O13" s="1535"/>
      <c r="P13" s="1199">
        <f>SUM(P14:P16)</f>
        <v>4700</v>
      </c>
      <c r="Q13" s="1199">
        <f>SUM(Q14:Q16)</f>
        <v>47000</v>
      </c>
      <c r="R13" s="1199"/>
      <c r="S13" s="1209">
        <f t="shared" ref="S13" si="8">SUM(S14:S16)</f>
        <v>39809</v>
      </c>
      <c r="T13" s="1198"/>
      <c r="U13" s="1915" t="str">
        <f>J13</f>
        <v>Acta de compromiso de parte de los involucrados</v>
      </c>
    </row>
    <row r="14" spans="2:21" x14ac:dyDescent="0.25">
      <c r="B14" s="1201" t="s">
        <v>1504</v>
      </c>
      <c r="C14" s="1202" t="s">
        <v>638</v>
      </c>
      <c r="D14" s="1202">
        <v>1</v>
      </c>
      <c r="E14" s="1203">
        <v>20</v>
      </c>
      <c r="F14" s="1203">
        <f>+E14*10</f>
        <v>200</v>
      </c>
      <c r="G14" s="1450">
        <v>0.84699999999999998</v>
      </c>
      <c r="H14" s="1498">
        <f>F14*G14</f>
        <v>169.4</v>
      </c>
      <c r="I14" s="1205" t="s">
        <v>1509</v>
      </c>
      <c r="J14" s="1916"/>
      <c r="M14" s="1201" t="s">
        <v>1504</v>
      </c>
      <c r="N14" s="1202" t="s">
        <v>638</v>
      </c>
      <c r="O14" s="1202">
        <v>1</v>
      </c>
      <c r="P14" s="1203">
        <v>200</v>
      </c>
      <c r="Q14" s="1203">
        <f>+P14*10</f>
        <v>2000</v>
      </c>
      <c r="R14" s="1450">
        <v>0.84699999999999998</v>
      </c>
      <c r="S14" s="1537">
        <f>Q14*R14</f>
        <v>1694</v>
      </c>
      <c r="T14" s="1205" t="s">
        <v>1513</v>
      </c>
      <c r="U14" s="1916"/>
    </row>
    <row r="15" spans="2:21" x14ac:dyDescent="0.25">
      <c r="B15" s="1201" t="s">
        <v>1505</v>
      </c>
      <c r="C15" s="1202" t="s">
        <v>638</v>
      </c>
      <c r="D15" s="1202">
        <v>1</v>
      </c>
      <c r="E15" s="1206">
        <v>35</v>
      </c>
      <c r="F15" s="1203">
        <f>+E15*10</f>
        <v>350</v>
      </c>
      <c r="G15" s="1450">
        <v>0.84699999999999998</v>
      </c>
      <c r="H15" s="1498">
        <f>F15*G15</f>
        <v>296.45</v>
      </c>
      <c r="I15" s="1205" t="s">
        <v>1509</v>
      </c>
      <c r="J15" s="1917"/>
      <c r="M15" s="1201" t="s">
        <v>1514</v>
      </c>
      <c r="N15" s="1202" t="s">
        <v>638</v>
      </c>
      <c r="O15" s="1202">
        <v>1</v>
      </c>
      <c r="P15" s="1206">
        <v>2500</v>
      </c>
      <c r="Q15" s="1203">
        <f>+P15*10</f>
        <v>25000</v>
      </c>
      <c r="R15" s="1450">
        <v>0.84699999999999998</v>
      </c>
      <c r="S15" s="1537">
        <f t="shared" ref="S15:S16" si="9">Q15*R15</f>
        <v>21175</v>
      </c>
      <c r="T15" s="1205" t="s">
        <v>1513</v>
      </c>
      <c r="U15" s="1916"/>
    </row>
    <row r="16" spans="2:21" x14ac:dyDescent="0.25">
      <c r="B16" s="1904" t="s">
        <v>285</v>
      </c>
      <c r="C16" s="1905"/>
      <c r="D16" s="1905"/>
      <c r="E16" s="1209">
        <f>+E5+E13</f>
        <v>3145</v>
      </c>
      <c r="F16" s="1210">
        <f>+F5+F13</f>
        <v>71230</v>
      </c>
      <c r="G16" s="1209"/>
      <c r="H16" s="1209">
        <f t="shared" ref="H16" si="10">+H5+H13</f>
        <v>64754.409999999996</v>
      </c>
      <c r="I16" s="1198"/>
      <c r="J16" s="1198"/>
      <c r="M16" s="1205" t="s">
        <v>1506</v>
      </c>
      <c r="N16" s="1207" t="s">
        <v>638</v>
      </c>
      <c r="O16" s="1207">
        <v>1</v>
      </c>
      <c r="P16" s="1208">
        <v>2000</v>
      </c>
      <c r="Q16" s="1203">
        <f>+P16*10</f>
        <v>20000</v>
      </c>
      <c r="R16" s="1450">
        <v>0.84699999999999998</v>
      </c>
      <c r="S16" s="1537">
        <f t="shared" si="9"/>
        <v>16940</v>
      </c>
      <c r="T16" s="1205" t="s">
        <v>1513</v>
      </c>
      <c r="U16" s="1917"/>
    </row>
    <row r="17" spans="2:27" x14ac:dyDescent="0.25">
      <c r="M17" s="1533" t="s">
        <v>285</v>
      </c>
      <c r="N17" s="1534"/>
      <c r="O17" s="1534"/>
      <c r="P17" s="1209">
        <f>+P5+P13</f>
        <v>10750</v>
      </c>
      <c r="Q17" s="1210">
        <f>+Q5+Q13</f>
        <v>231200</v>
      </c>
      <c r="R17" s="1209"/>
      <c r="S17" s="1209">
        <f t="shared" ref="S17" si="11">+S5+S13</f>
        <v>206448.2</v>
      </c>
      <c r="T17" s="1198"/>
      <c r="U17" s="1198"/>
    </row>
    <row r="19" spans="2:27" ht="15.75" thickBot="1" x14ac:dyDescent="0.3">
      <c r="B19" s="1276" t="s">
        <v>1880</v>
      </c>
      <c r="C19" s="1196"/>
      <c r="D19" s="1196"/>
      <c r="E19" s="1196"/>
      <c r="F19" s="1196"/>
      <c r="G19" s="1196"/>
      <c r="H19" s="1196"/>
      <c r="I19" s="1196"/>
      <c r="J19" s="1196"/>
      <c r="K19" s="1196"/>
      <c r="L19" s="1196"/>
      <c r="M19" s="1196"/>
    </row>
    <row r="20" spans="2:27" ht="15" customHeight="1" thickBot="1" x14ac:dyDescent="0.3">
      <c r="B20" s="1902" t="s">
        <v>1480</v>
      </c>
      <c r="C20" s="1462" t="s">
        <v>1481</v>
      </c>
      <c r="D20" s="1463">
        <f>SUM(D21:D24)</f>
        <v>70680</v>
      </c>
      <c r="E20" s="1463">
        <f t="shared" ref="E20:M20" si="12">SUM(E21:E24)</f>
        <v>70680</v>
      </c>
      <c r="F20" s="1463">
        <f t="shared" si="12"/>
        <v>70680</v>
      </c>
      <c r="G20" s="1463">
        <f t="shared" si="12"/>
        <v>70680</v>
      </c>
      <c r="H20" s="1463">
        <f t="shared" si="12"/>
        <v>70680</v>
      </c>
      <c r="I20" s="1463">
        <f t="shared" si="12"/>
        <v>70680</v>
      </c>
      <c r="J20" s="1463">
        <f t="shared" si="12"/>
        <v>70680</v>
      </c>
      <c r="K20" s="1463">
        <f t="shared" si="12"/>
        <v>70680</v>
      </c>
      <c r="L20" s="1463">
        <f t="shared" si="12"/>
        <v>70680</v>
      </c>
      <c r="M20" s="1464">
        <f t="shared" si="12"/>
        <v>70680</v>
      </c>
      <c r="P20" s="1542" t="s">
        <v>1881</v>
      </c>
      <c r="Q20" s="1543"/>
      <c r="R20" s="1543"/>
      <c r="S20" s="1543"/>
      <c r="T20" s="1543"/>
      <c r="U20" s="1543"/>
      <c r="V20" s="1543"/>
      <c r="W20" s="1543"/>
      <c r="X20" s="1543"/>
      <c r="Y20" s="1543"/>
      <c r="Z20" s="1543"/>
      <c r="AA20" s="1543"/>
    </row>
    <row r="21" spans="2:27" x14ac:dyDescent="0.25">
      <c r="B21" s="1910"/>
      <c r="C21" s="1441" t="s">
        <v>1482</v>
      </c>
      <c r="D21" s="1442">
        <f>$F$6</f>
        <v>70200</v>
      </c>
      <c r="E21" s="1442">
        <f t="shared" ref="E21:M21" si="13">$F$6</f>
        <v>70200</v>
      </c>
      <c r="F21" s="1442">
        <f t="shared" si="13"/>
        <v>70200</v>
      </c>
      <c r="G21" s="1442">
        <f t="shared" si="13"/>
        <v>70200</v>
      </c>
      <c r="H21" s="1442">
        <f t="shared" si="13"/>
        <v>70200</v>
      </c>
      <c r="I21" s="1442">
        <f t="shared" si="13"/>
        <v>70200</v>
      </c>
      <c r="J21" s="1442">
        <f t="shared" si="13"/>
        <v>70200</v>
      </c>
      <c r="K21" s="1442">
        <f t="shared" si="13"/>
        <v>70200</v>
      </c>
      <c r="L21" s="1442">
        <f t="shared" si="13"/>
        <v>70200</v>
      </c>
      <c r="M21" s="1465">
        <f t="shared" si="13"/>
        <v>70200</v>
      </c>
      <c r="P21" s="1902" t="s">
        <v>1480</v>
      </c>
      <c r="Q21" s="1462" t="s">
        <v>1481</v>
      </c>
      <c r="R21" s="1463">
        <f>SUM(R22:R25)</f>
        <v>64288.56</v>
      </c>
      <c r="S21" s="1463">
        <f t="shared" ref="S21:AA21" si="14">SUM(S22:S25)</f>
        <v>64288.56</v>
      </c>
      <c r="T21" s="1463">
        <f t="shared" si="14"/>
        <v>64288.56</v>
      </c>
      <c r="U21" s="1463">
        <f t="shared" si="14"/>
        <v>64288.56</v>
      </c>
      <c r="V21" s="1463">
        <f t="shared" si="14"/>
        <v>64288.56</v>
      </c>
      <c r="W21" s="1463">
        <f t="shared" si="14"/>
        <v>64288.56</v>
      </c>
      <c r="X21" s="1463">
        <f t="shared" si="14"/>
        <v>64288.56</v>
      </c>
      <c r="Y21" s="1463">
        <f t="shared" si="14"/>
        <v>64288.56</v>
      </c>
      <c r="Z21" s="1463">
        <f t="shared" si="14"/>
        <v>64288.56</v>
      </c>
      <c r="AA21" s="1464">
        <f t="shared" si="14"/>
        <v>64288.56</v>
      </c>
    </row>
    <row r="22" spans="2:27" x14ac:dyDescent="0.25">
      <c r="B22" s="1910"/>
      <c r="C22" s="1441" t="s">
        <v>1483</v>
      </c>
      <c r="D22" s="1442">
        <v>0</v>
      </c>
      <c r="E22" s="1442">
        <v>0</v>
      </c>
      <c r="F22" s="1442">
        <v>0</v>
      </c>
      <c r="G22" s="1442">
        <v>0</v>
      </c>
      <c r="H22" s="1442">
        <v>0</v>
      </c>
      <c r="I22" s="1442">
        <v>0</v>
      </c>
      <c r="J22" s="1442">
        <v>0</v>
      </c>
      <c r="K22" s="1442">
        <v>0</v>
      </c>
      <c r="L22" s="1442">
        <v>0</v>
      </c>
      <c r="M22" s="1465">
        <v>0</v>
      </c>
      <c r="P22" s="1910"/>
      <c r="Q22" s="1441" t="s">
        <v>1482</v>
      </c>
      <c r="R22" s="1442">
        <f>H6</f>
        <v>63882</v>
      </c>
      <c r="S22" s="1442">
        <f>R22</f>
        <v>63882</v>
      </c>
      <c r="T22" s="1442">
        <f t="shared" ref="T22:AA22" si="15">S22</f>
        <v>63882</v>
      </c>
      <c r="U22" s="1442">
        <f t="shared" si="15"/>
        <v>63882</v>
      </c>
      <c r="V22" s="1442">
        <f t="shared" si="15"/>
        <v>63882</v>
      </c>
      <c r="W22" s="1442">
        <f t="shared" si="15"/>
        <v>63882</v>
      </c>
      <c r="X22" s="1442">
        <f t="shared" si="15"/>
        <v>63882</v>
      </c>
      <c r="Y22" s="1442">
        <f t="shared" si="15"/>
        <v>63882</v>
      </c>
      <c r="Z22" s="1442">
        <f t="shared" si="15"/>
        <v>63882</v>
      </c>
      <c r="AA22" s="1442">
        <f t="shared" si="15"/>
        <v>63882</v>
      </c>
    </row>
    <row r="23" spans="2:27" x14ac:dyDescent="0.25">
      <c r="B23" s="1910"/>
      <c r="C23" s="1441" t="s">
        <v>1472</v>
      </c>
      <c r="D23" s="1442">
        <f>$F$10</f>
        <v>480</v>
      </c>
      <c r="E23" s="1442">
        <f t="shared" ref="E23:M23" si="16">$F$10</f>
        <v>480</v>
      </c>
      <c r="F23" s="1442">
        <f t="shared" si="16"/>
        <v>480</v>
      </c>
      <c r="G23" s="1442">
        <f t="shared" si="16"/>
        <v>480</v>
      </c>
      <c r="H23" s="1442">
        <f t="shared" si="16"/>
        <v>480</v>
      </c>
      <c r="I23" s="1442">
        <f t="shared" si="16"/>
        <v>480</v>
      </c>
      <c r="J23" s="1442">
        <f t="shared" si="16"/>
        <v>480</v>
      </c>
      <c r="K23" s="1442">
        <f t="shared" si="16"/>
        <v>480</v>
      </c>
      <c r="L23" s="1442">
        <f t="shared" si="16"/>
        <v>480</v>
      </c>
      <c r="M23" s="1465">
        <f t="shared" si="16"/>
        <v>480</v>
      </c>
      <c r="P23" s="1910"/>
      <c r="Q23" s="1441" t="s">
        <v>1483</v>
      </c>
      <c r="R23" s="1442">
        <v>0</v>
      </c>
      <c r="S23" s="1442">
        <v>0</v>
      </c>
      <c r="T23" s="1442">
        <v>0</v>
      </c>
      <c r="U23" s="1442">
        <v>0</v>
      </c>
      <c r="V23" s="1442">
        <v>0</v>
      </c>
      <c r="W23" s="1442">
        <v>0</v>
      </c>
      <c r="X23" s="1442">
        <v>0</v>
      </c>
      <c r="Y23" s="1442">
        <v>0</v>
      </c>
      <c r="Z23" s="1442">
        <v>0</v>
      </c>
      <c r="AA23" s="1465">
        <v>0</v>
      </c>
    </row>
    <row r="24" spans="2:27" x14ac:dyDescent="0.25">
      <c r="B24" s="1910"/>
      <c r="C24" s="1441" t="s">
        <v>507</v>
      </c>
      <c r="D24" s="1442">
        <v>0</v>
      </c>
      <c r="E24" s="1442">
        <v>0</v>
      </c>
      <c r="F24" s="1442">
        <v>0</v>
      </c>
      <c r="G24" s="1442">
        <v>0</v>
      </c>
      <c r="H24" s="1442">
        <v>0</v>
      </c>
      <c r="I24" s="1442">
        <v>0</v>
      </c>
      <c r="J24" s="1442">
        <v>0</v>
      </c>
      <c r="K24" s="1442">
        <v>0</v>
      </c>
      <c r="L24" s="1442">
        <v>0</v>
      </c>
      <c r="M24" s="1465">
        <v>0</v>
      </c>
      <c r="P24" s="1910"/>
      <c r="Q24" s="1441" t="s">
        <v>1472</v>
      </c>
      <c r="R24" s="1442">
        <f>H10</f>
        <v>406.56</v>
      </c>
      <c r="S24" s="1442">
        <f>R24</f>
        <v>406.56</v>
      </c>
      <c r="T24" s="1442">
        <f t="shared" ref="T24:AA24" si="17">S24</f>
        <v>406.56</v>
      </c>
      <c r="U24" s="1442">
        <f t="shared" si="17"/>
        <v>406.56</v>
      </c>
      <c r="V24" s="1442">
        <f t="shared" si="17"/>
        <v>406.56</v>
      </c>
      <c r="W24" s="1442">
        <f t="shared" si="17"/>
        <v>406.56</v>
      </c>
      <c r="X24" s="1442">
        <f t="shared" si="17"/>
        <v>406.56</v>
      </c>
      <c r="Y24" s="1442">
        <f t="shared" si="17"/>
        <v>406.56</v>
      </c>
      <c r="Z24" s="1442">
        <f t="shared" si="17"/>
        <v>406.56</v>
      </c>
      <c r="AA24" s="1442">
        <f t="shared" si="17"/>
        <v>406.56</v>
      </c>
    </row>
    <row r="25" spans="2:27" ht="15" customHeight="1" x14ac:dyDescent="0.25">
      <c r="B25" s="1910"/>
      <c r="C25" s="1439" t="s">
        <v>1484</v>
      </c>
      <c r="D25" s="1440">
        <f>D26</f>
        <v>550</v>
      </c>
      <c r="E25" s="1440">
        <f t="shared" ref="E25:M25" si="18">E26</f>
        <v>550</v>
      </c>
      <c r="F25" s="1440">
        <f t="shared" si="18"/>
        <v>550</v>
      </c>
      <c r="G25" s="1440">
        <f t="shared" si="18"/>
        <v>550</v>
      </c>
      <c r="H25" s="1440">
        <f t="shared" si="18"/>
        <v>550</v>
      </c>
      <c r="I25" s="1440">
        <f t="shared" si="18"/>
        <v>550</v>
      </c>
      <c r="J25" s="1440">
        <f t="shared" si="18"/>
        <v>550</v>
      </c>
      <c r="K25" s="1440">
        <f t="shared" si="18"/>
        <v>550</v>
      </c>
      <c r="L25" s="1440">
        <f t="shared" si="18"/>
        <v>550</v>
      </c>
      <c r="M25" s="1466">
        <f t="shared" si="18"/>
        <v>550</v>
      </c>
      <c r="P25" s="1910"/>
      <c r="Q25" s="1441" t="s">
        <v>507</v>
      </c>
      <c r="R25" s="1442">
        <v>0</v>
      </c>
      <c r="S25" s="1442">
        <v>0</v>
      </c>
      <c r="T25" s="1442">
        <v>0</v>
      </c>
      <c r="U25" s="1442">
        <v>0</v>
      </c>
      <c r="V25" s="1442">
        <v>0</v>
      </c>
      <c r="W25" s="1442">
        <v>0</v>
      </c>
      <c r="X25" s="1442">
        <v>0</v>
      </c>
      <c r="Y25" s="1442">
        <v>0</v>
      </c>
      <c r="Z25" s="1442">
        <v>0</v>
      </c>
      <c r="AA25" s="1465">
        <v>0</v>
      </c>
    </row>
    <row r="26" spans="2:27" ht="15" customHeight="1" x14ac:dyDescent="0.25">
      <c r="B26" s="1910"/>
      <c r="C26" s="1441" t="s">
        <v>1485</v>
      </c>
      <c r="D26" s="1442">
        <f>$F$13</f>
        <v>550</v>
      </c>
      <c r="E26" s="1442">
        <f t="shared" ref="E26:M26" si="19">$F$13</f>
        <v>550</v>
      </c>
      <c r="F26" s="1442">
        <f t="shared" si="19"/>
        <v>550</v>
      </c>
      <c r="G26" s="1442">
        <f t="shared" si="19"/>
        <v>550</v>
      </c>
      <c r="H26" s="1442">
        <f t="shared" si="19"/>
        <v>550</v>
      </c>
      <c r="I26" s="1442">
        <f t="shared" si="19"/>
        <v>550</v>
      </c>
      <c r="J26" s="1442">
        <f t="shared" si="19"/>
        <v>550</v>
      </c>
      <c r="K26" s="1442">
        <f t="shared" si="19"/>
        <v>550</v>
      </c>
      <c r="L26" s="1442">
        <f t="shared" si="19"/>
        <v>550</v>
      </c>
      <c r="M26" s="1465">
        <f t="shared" si="19"/>
        <v>550</v>
      </c>
      <c r="P26" s="1910"/>
      <c r="Q26" s="1439" t="s">
        <v>1484</v>
      </c>
      <c r="R26" s="1440">
        <f>R27</f>
        <v>465.85</v>
      </c>
      <c r="S26" s="1440">
        <f t="shared" ref="S26:AA26" si="20">S27</f>
        <v>465.85</v>
      </c>
      <c r="T26" s="1440">
        <f t="shared" si="20"/>
        <v>465.85</v>
      </c>
      <c r="U26" s="1440">
        <f t="shared" si="20"/>
        <v>465.85</v>
      </c>
      <c r="V26" s="1440">
        <f t="shared" si="20"/>
        <v>465.85</v>
      </c>
      <c r="W26" s="1440">
        <f t="shared" si="20"/>
        <v>465.85</v>
      </c>
      <c r="X26" s="1440">
        <f t="shared" si="20"/>
        <v>465.85</v>
      </c>
      <c r="Y26" s="1440">
        <f t="shared" si="20"/>
        <v>465.85</v>
      </c>
      <c r="Z26" s="1440">
        <f t="shared" si="20"/>
        <v>465.85</v>
      </c>
      <c r="AA26" s="1466">
        <f t="shared" si="20"/>
        <v>465.85</v>
      </c>
    </row>
    <row r="27" spans="2:27" ht="15" customHeight="1" x14ac:dyDescent="0.25">
      <c r="B27" s="1910" t="s">
        <v>1486</v>
      </c>
      <c r="C27" s="1439" t="s">
        <v>1481</v>
      </c>
      <c r="D27" s="1443">
        <f>SUM(D28:D31)</f>
        <v>185880</v>
      </c>
      <c r="E27" s="1443">
        <f t="shared" ref="E27:M27" si="21">SUM(E28:E31)</f>
        <v>185880</v>
      </c>
      <c r="F27" s="1443">
        <f t="shared" si="21"/>
        <v>185880</v>
      </c>
      <c r="G27" s="1443">
        <f t="shared" si="21"/>
        <v>185880</v>
      </c>
      <c r="H27" s="1443">
        <f t="shared" si="21"/>
        <v>185880</v>
      </c>
      <c r="I27" s="1443">
        <f t="shared" si="21"/>
        <v>185880</v>
      </c>
      <c r="J27" s="1443">
        <f t="shared" si="21"/>
        <v>185880</v>
      </c>
      <c r="K27" s="1443">
        <f t="shared" si="21"/>
        <v>185880</v>
      </c>
      <c r="L27" s="1443">
        <f t="shared" si="21"/>
        <v>185880</v>
      </c>
      <c r="M27" s="1467">
        <f t="shared" si="21"/>
        <v>185880</v>
      </c>
      <c r="P27" s="1910"/>
      <c r="Q27" s="1441" t="s">
        <v>1485</v>
      </c>
      <c r="R27" s="1442">
        <f>H13</f>
        <v>465.85</v>
      </c>
      <c r="S27" s="1442">
        <f>R27</f>
        <v>465.85</v>
      </c>
      <c r="T27" s="1442">
        <f t="shared" ref="T27:AA27" si="22">S27</f>
        <v>465.85</v>
      </c>
      <c r="U27" s="1442">
        <f t="shared" si="22"/>
        <v>465.85</v>
      </c>
      <c r="V27" s="1442">
        <f t="shared" si="22"/>
        <v>465.85</v>
      </c>
      <c r="W27" s="1442">
        <f t="shared" si="22"/>
        <v>465.85</v>
      </c>
      <c r="X27" s="1442">
        <f t="shared" si="22"/>
        <v>465.85</v>
      </c>
      <c r="Y27" s="1442">
        <f t="shared" si="22"/>
        <v>465.85</v>
      </c>
      <c r="Z27" s="1442">
        <f t="shared" si="22"/>
        <v>465.85</v>
      </c>
      <c r="AA27" s="1442">
        <f t="shared" si="22"/>
        <v>465.85</v>
      </c>
    </row>
    <row r="28" spans="2:27" x14ac:dyDescent="0.25">
      <c r="B28" s="1910"/>
      <c r="C28" s="1441" t="s">
        <v>1482</v>
      </c>
      <c r="D28" s="1442">
        <f t="shared" ref="D28:M28" si="23">$Q$6</f>
        <v>168600</v>
      </c>
      <c r="E28" s="1442">
        <f t="shared" si="23"/>
        <v>168600</v>
      </c>
      <c r="F28" s="1442">
        <f t="shared" si="23"/>
        <v>168600</v>
      </c>
      <c r="G28" s="1442">
        <f t="shared" si="23"/>
        <v>168600</v>
      </c>
      <c r="H28" s="1442">
        <f t="shared" si="23"/>
        <v>168600</v>
      </c>
      <c r="I28" s="1442">
        <f t="shared" si="23"/>
        <v>168600</v>
      </c>
      <c r="J28" s="1442">
        <f t="shared" si="23"/>
        <v>168600</v>
      </c>
      <c r="K28" s="1442">
        <f t="shared" si="23"/>
        <v>168600</v>
      </c>
      <c r="L28" s="1442">
        <f t="shared" si="23"/>
        <v>168600</v>
      </c>
      <c r="M28" s="1465">
        <f t="shared" si="23"/>
        <v>168600</v>
      </c>
      <c r="P28" s="1910" t="s">
        <v>1486</v>
      </c>
      <c r="Q28" s="1439" t="s">
        <v>1481</v>
      </c>
      <c r="R28" s="1443">
        <f>SUM(R29:R32)</f>
        <v>168062.16</v>
      </c>
      <c r="S28" s="1443">
        <f t="shared" ref="S28:AA28" si="24">SUM(S29:S32)</f>
        <v>168062.16</v>
      </c>
      <c r="T28" s="1443">
        <f t="shared" si="24"/>
        <v>168062.16</v>
      </c>
      <c r="U28" s="1443">
        <f t="shared" si="24"/>
        <v>168062.16</v>
      </c>
      <c r="V28" s="1443">
        <f t="shared" si="24"/>
        <v>168062.16</v>
      </c>
      <c r="W28" s="1443">
        <f t="shared" si="24"/>
        <v>168062.16</v>
      </c>
      <c r="X28" s="1443">
        <f t="shared" si="24"/>
        <v>168062.16</v>
      </c>
      <c r="Y28" s="1443">
        <f t="shared" si="24"/>
        <v>168062.16</v>
      </c>
      <c r="Z28" s="1443">
        <f t="shared" si="24"/>
        <v>168062.16</v>
      </c>
      <c r="AA28" s="1467">
        <f t="shared" si="24"/>
        <v>168062.16</v>
      </c>
    </row>
    <row r="29" spans="2:27" x14ac:dyDescent="0.25">
      <c r="B29" s="1910"/>
      <c r="C29" s="1441" t="s">
        <v>1483</v>
      </c>
      <c r="D29" s="1442">
        <v>1680</v>
      </c>
      <c r="E29" s="1442">
        <v>1680</v>
      </c>
      <c r="F29" s="1442">
        <v>1680</v>
      </c>
      <c r="G29" s="1442">
        <v>1680</v>
      </c>
      <c r="H29" s="1442">
        <v>1680</v>
      </c>
      <c r="I29" s="1442">
        <v>1680</v>
      </c>
      <c r="J29" s="1442">
        <v>1680</v>
      </c>
      <c r="K29" s="1442">
        <v>1680</v>
      </c>
      <c r="L29" s="1442">
        <v>1680</v>
      </c>
      <c r="M29" s="1465">
        <v>1680</v>
      </c>
      <c r="P29" s="1910"/>
      <c r="Q29" s="1441" t="s">
        <v>1482</v>
      </c>
      <c r="R29" s="1442">
        <f>S6</f>
        <v>153426</v>
      </c>
      <c r="S29" s="1442">
        <f>R29</f>
        <v>153426</v>
      </c>
      <c r="T29" s="1442">
        <f t="shared" ref="T29:AA29" si="25">S29</f>
        <v>153426</v>
      </c>
      <c r="U29" s="1442">
        <f t="shared" si="25"/>
        <v>153426</v>
      </c>
      <c r="V29" s="1442">
        <f t="shared" si="25"/>
        <v>153426</v>
      </c>
      <c r="W29" s="1442">
        <f t="shared" si="25"/>
        <v>153426</v>
      </c>
      <c r="X29" s="1442">
        <f t="shared" si="25"/>
        <v>153426</v>
      </c>
      <c r="Y29" s="1442">
        <f t="shared" si="25"/>
        <v>153426</v>
      </c>
      <c r="Z29" s="1442">
        <f t="shared" si="25"/>
        <v>153426</v>
      </c>
      <c r="AA29" s="1442">
        <f t="shared" si="25"/>
        <v>153426</v>
      </c>
    </row>
    <row r="30" spans="2:27" x14ac:dyDescent="0.25">
      <c r="B30" s="1910"/>
      <c r="C30" s="1441" t="s">
        <v>1472</v>
      </c>
      <c r="D30" s="1442">
        <f t="shared" ref="D30:M30" si="26">$Q$10</f>
        <v>15600</v>
      </c>
      <c r="E30" s="1442">
        <f t="shared" si="26"/>
        <v>15600</v>
      </c>
      <c r="F30" s="1442">
        <f t="shared" si="26"/>
        <v>15600</v>
      </c>
      <c r="G30" s="1442">
        <f t="shared" si="26"/>
        <v>15600</v>
      </c>
      <c r="H30" s="1442">
        <f t="shared" si="26"/>
        <v>15600</v>
      </c>
      <c r="I30" s="1442">
        <f t="shared" si="26"/>
        <v>15600</v>
      </c>
      <c r="J30" s="1442">
        <f t="shared" si="26"/>
        <v>15600</v>
      </c>
      <c r="K30" s="1442">
        <f t="shared" si="26"/>
        <v>15600</v>
      </c>
      <c r="L30" s="1442">
        <f t="shared" si="26"/>
        <v>15600</v>
      </c>
      <c r="M30" s="1465">
        <f t="shared" si="26"/>
        <v>15600</v>
      </c>
      <c r="P30" s="1910"/>
      <c r="Q30" s="1441" t="s">
        <v>1483</v>
      </c>
      <c r="R30" s="1442">
        <f>1680*0.847</f>
        <v>1422.96</v>
      </c>
      <c r="S30" s="1442">
        <f t="shared" ref="S30:AA30" si="27">1680*0.847</f>
        <v>1422.96</v>
      </c>
      <c r="T30" s="1442">
        <f t="shared" si="27"/>
        <v>1422.96</v>
      </c>
      <c r="U30" s="1442">
        <f t="shared" si="27"/>
        <v>1422.96</v>
      </c>
      <c r="V30" s="1442">
        <f t="shared" si="27"/>
        <v>1422.96</v>
      </c>
      <c r="W30" s="1442">
        <f t="shared" si="27"/>
        <v>1422.96</v>
      </c>
      <c r="X30" s="1442">
        <f t="shared" si="27"/>
        <v>1422.96</v>
      </c>
      <c r="Y30" s="1442">
        <f t="shared" si="27"/>
        <v>1422.96</v>
      </c>
      <c r="Z30" s="1442">
        <f t="shared" si="27"/>
        <v>1422.96</v>
      </c>
      <c r="AA30" s="1442">
        <f t="shared" si="27"/>
        <v>1422.96</v>
      </c>
    </row>
    <row r="31" spans="2:27" x14ac:dyDescent="0.25">
      <c r="B31" s="1910"/>
      <c r="C31" s="1441" t="s">
        <v>507</v>
      </c>
      <c r="D31" s="1442">
        <v>0</v>
      </c>
      <c r="E31" s="1442">
        <v>0</v>
      </c>
      <c r="F31" s="1442">
        <v>0</v>
      </c>
      <c r="G31" s="1442">
        <v>0</v>
      </c>
      <c r="H31" s="1442">
        <v>0</v>
      </c>
      <c r="I31" s="1442">
        <v>0</v>
      </c>
      <c r="J31" s="1442">
        <v>0</v>
      </c>
      <c r="K31" s="1442">
        <v>0</v>
      </c>
      <c r="L31" s="1442">
        <v>0</v>
      </c>
      <c r="M31" s="1465">
        <v>0</v>
      </c>
      <c r="P31" s="1910"/>
      <c r="Q31" s="1441" t="s">
        <v>1472</v>
      </c>
      <c r="R31" s="1442">
        <f>S10</f>
        <v>13213.2</v>
      </c>
      <c r="S31" s="1442">
        <f>R31</f>
        <v>13213.2</v>
      </c>
      <c r="T31" s="1442">
        <f t="shared" ref="T31:AA31" si="28">S31</f>
        <v>13213.2</v>
      </c>
      <c r="U31" s="1442">
        <f t="shared" si="28"/>
        <v>13213.2</v>
      </c>
      <c r="V31" s="1442">
        <f t="shared" si="28"/>
        <v>13213.2</v>
      </c>
      <c r="W31" s="1442">
        <f t="shared" si="28"/>
        <v>13213.2</v>
      </c>
      <c r="X31" s="1442">
        <f t="shared" si="28"/>
        <v>13213.2</v>
      </c>
      <c r="Y31" s="1442">
        <f t="shared" si="28"/>
        <v>13213.2</v>
      </c>
      <c r="Z31" s="1442">
        <f t="shared" si="28"/>
        <v>13213.2</v>
      </c>
      <c r="AA31" s="1442">
        <f t="shared" si="28"/>
        <v>13213.2</v>
      </c>
    </row>
    <row r="32" spans="2:27" ht="15" customHeight="1" x14ac:dyDescent="0.25">
      <c r="B32" s="1910"/>
      <c r="C32" s="1439" t="s">
        <v>1484</v>
      </c>
      <c r="D32" s="1443">
        <f>D33</f>
        <v>47000</v>
      </c>
      <c r="E32" s="1443">
        <f t="shared" ref="E32:M32" si="29">E33</f>
        <v>47000</v>
      </c>
      <c r="F32" s="1443">
        <f t="shared" si="29"/>
        <v>47000</v>
      </c>
      <c r="G32" s="1443">
        <f t="shared" si="29"/>
        <v>47000</v>
      </c>
      <c r="H32" s="1443">
        <f t="shared" si="29"/>
        <v>47000</v>
      </c>
      <c r="I32" s="1443">
        <f t="shared" si="29"/>
        <v>47000</v>
      </c>
      <c r="J32" s="1443">
        <f t="shared" si="29"/>
        <v>47000</v>
      </c>
      <c r="K32" s="1443">
        <f t="shared" si="29"/>
        <v>47000</v>
      </c>
      <c r="L32" s="1443">
        <f t="shared" si="29"/>
        <v>47000</v>
      </c>
      <c r="M32" s="1467">
        <f t="shared" si="29"/>
        <v>47000</v>
      </c>
      <c r="P32" s="1910"/>
      <c r="Q32" s="1441" t="s">
        <v>507</v>
      </c>
      <c r="R32" s="1442">
        <v>0</v>
      </c>
      <c r="S32" s="1442">
        <v>0</v>
      </c>
      <c r="T32" s="1442">
        <v>0</v>
      </c>
      <c r="U32" s="1442">
        <v>0</v>
      </c>
      <c r="V32" s="1442">
        <v>0</v>
      </c>
      <c r="W32" s="1442">
        <v>0</v>
      </c>
      <c r="X32" s="1442">
        <v>0</v>
      </c>
      <c r="Y32" s="1442">
        <v>0</v>
      </c>
      <c r="Z32" s="1442">
        <v>0</v>
      </c>
      <c r="AA32" s="1465">
        <v>0</v>
      </c>
    </row>
    <row r="33" spans="2:27" ht="15.75" customHeight="1" thickBot="1" x14ac:dyDescent="0.3">
      <c r="B33" s="1903"/>
      <c r="C33" s="1447" t="s">
        <v>1485</v>
      </c>
      <c r="D33" s="1468">
        <f t="shared" ref="D33:M33" si="30">$Q$13</f>
        <v>47000</v>
      </c>
      <c r="E33" s="1468">
        <f t="shared" si="30"/>
        <v>47000</v>
      </c>
      <c r="F33" s="1468">
        <f t="shared" si="30"/>
        <v>47000</v>
      </c>
      <c r="G33" s="1468">
        <f t="shared" si="30"/>
        <v>47000</v>
      </c>
      <c r="H33" s="1468">
        <f t="shared" si="30"/>
        <v>47000</v>
      </c>
      <c r="I33" s="1468">
        <f t="shared" si="30"/>
        <v>47000</v>
      </c>
      <c r="J33" s="1468">
        <f t="shared" si="30"/>
        <v>47000</v>
      </c>
      <c r="K33" s="1468">
        <f t="shared" si="30"/>
        <v>47000</v>
      </c>
      <c r="L33" s="1468">
        <f t="shared" si="30"/>
        <v>47000</v>
      </c>
      <c r="M33" s="1469">
        <f t="shared" si="30"/>
        <v>47000</v>
      </c>
      <c r="P33" s="1910"/>
      <c r="Q33" s="1439" t="s">
        <v>1484</v>
      </c>
      <c r="R33" s="1443">
        <f>R34</f>
        <v>39809</v>
      </c>
      <c r="S33" s="1443">
        <f t="shared" ref="S33:AA33" si="31">S34</f>
        <v>39809</v>
      </c>
      <c r="T33" s="1443">
        <f t="shared" si="31"/>
        <v>39809</v>
      </c>
      <c r="U33" s="1443">
        <f t="shared" si="31"/>
        <v>39809</v>
      </c>
      <c r="V33" s="1443">
        <f t="shared" si="31"/>
        <v>39809</v>
      </c>
      <c r="W33" s="1443">
        <f t="shared" si="31"/>
        <v>39809</v>
      </c>
      <c r="X33" s="1443">
        <f t="shared" si="31"/>
        <v>39809</v>
      </c>
      <c r="Y33" s="1443">
        <f t="shared" si="31"/>
        <v>39809</v>
      </c>
      <c r="Z33" s="1443">
        <f t="shared" si="31"/>
        <v>39809</v>
      </c>
      <c r="AA33" s="1467">
        <f t="shared" si="31"/>
        <v>39809</v>
      </c>
    </row>
    <row r="34" spans="2:27" ht="15" customHeight="1" thickBot="1" x14ac:dyDescent="0.3">
      <c r="B34" s="1902" t="s">
        <v>1487</v>
      </c>
      <c r="C34" s="1444" t="s">
        <v>1481</v>
      </c>
      <c r="D34" s="1445">
        <f>D27-D20</f>
        <v>115200</v>
      </c>
      <c r="E34" s="1445">
        <f t="shared" ref="E34:M34" si="32">E27-E20</f>
        <v>115200</v>
      </c>
      <c r="F34" s="1445">
        <f t="shared" si="32"/>
        <v>115200</v>
      </c>
      <c r="G34" s="1445">
        <f t="shared" si="32"/>
        <v>115200</v>
      </c>
      <c r="H34" s="1445">
        <f t="shared" si="32"/>
        <v>115200</v>
      </c>
      <c r="I34" s="1445">
        <f t="shared" si="32"/>
        <v>115200</v>
      </c>
      <c r="J34" s="1445">
        <f t="shared" si="32"/>
        <v>115200</v>
      </c>
      <c r="K34" s="1445">
        <f t="shared" si="32"/>
        <v>115200</v>
      </c>
      <c r="L34" s="1445">
        <f t="shared" si="32"/>
        <v>115200</v>
      </c>
      <c r="M34" s="1446">
        <f t="shared" si="32"/>
        <v>115200</v>
      </c>
      <c r="P34" s="1903"/>
      <c r="Q34" s="1447" t="s">
        <v>1485</v>
      </c>
      <c r="R34" s="1468">
        <f>S13</f>
        <v>39809</v>
      </c>
      <c r="S34" s="1468">
        <f>R34</f>
        <v>39809</v>
      </c>
      <c r="T34" s="1468">
        <f t="shared" ref="T34:AA34" si="33">S34</f>
        <v>39809</v>
      </c>
      <c r="U34" s="1468">
        <f t="shared" si="33"/>
        <v>39809</v>
      </c>
      <c r="V34" s="1468">
        <f t="shared" si="33"/>
        <v>39809</v>
      </c>
      <c r="W34" s="1468">
        <f t="shared" si="33"/>
        <v>39809</v>
      </c>
      <c r="X34" s="1468">
        <f t="shared" si="33"/>
        <v>39809</v>
      </c>
      <c r="Y34" s="1468">
        <f t="shared" si="33"/>
        <v>39809</v>
      </c>
      <c r="Z34" s="1468">
        <f t="shared" si="33"/>
        <v>39809</v>
      </c>
      <c r="AA34" s="1468">
        <f t="shared" si="33"/>
        <v>39809</v>
      </c>
    </row>
    <row r="35" spans="2:27" ht="15.75" customHeight="1" thickBot="1" x14ac:dyDescent="0.3">
      <c r="B35" s="1903"/>
      <c r="C35" s="1447" t="s">
        <v>1484</v>
      </c>
      <c r="D35" s="1448">
        <f>D32-D25</f>
        <v>46450</v>
      </c>
      <c r="E35" s="1448">
        <f t="shared" ref="E35:M35" si="34">E32-E25</f>
        <v>46450</v>
      </c>
      <c r="F35" s="1448">
        <f t="shared" si="34"/>
        <v>46450</v>
      </c>
      <c r="G35" s="1448">
        <f t="shared" si="34"/>
        <v>46450</v>
      </c>
      <c r="H35" s="1448">
        <f t="shared" si="34"/>
        <v>46450</v>
      </c>
      <c r="I35" s="1448">
        <f t="shared" si="34"/>
        <v>46450</v>
      </c>
      <c r="J35" s="1448">
        <f t="shared" si="34"/>
        <v>46450</v>
      </c>
      <c r="K35" s="1448">
        <f t="shared" si="34"/>
        <v>46450</v>
      </c>
      <c r="L35" s="1448">
        <f t="shared" si="34"/>
        <v>46450</v>
      </c>
      <c r="M35" s="1449">
        <f t="shared" si="34"/>
        <v>46450</v>
      </c>
      <c r="P35" s="1902" t="s">
        <v>1487</v>
      </c>
      <c r="Q35" s="1444" t="s">
        <v>1481</v>
      </c>
      <c r="R35" s="1445">
        <f>R28-R21</f>
        <v>103773.6</v>
      </c>
      <c r="S35" s="1445">
        <f t="shared" ref="S35:AA35" si="35">S28-S21</f>
        <v>103773.6</v>
      </c>
      <c r="T35" s="1445">
        <f t="shared" si="35"/>
        <v>103773.6</v>
      </c>
      <c r="U35" s="1445">
        <f t="shared" si="35"/>
        <v>103773.6</v>
      </c>
      <c r="V35" s="1445">
        <f>V28-V21</f>
        <v>103773.6</v>
      </c>
      <c r="W35" s="1445">
        <f t="shared" si="35"/>
        <v>103773.6</v>
      </c>
      <c r="X35" s="1445">
        <f t="shared" si="35"/>
        <v>103773.6</v>
      </c>
      <c r="Y35" s="1445">
        <f t="shared" si="35"/>
        <v>103773.6</v>
      </c>
      <c r="Z35" s="1445">
        <f t="shared" si="35"/>
        <v>103773.6</v>
      </c>
      <c r="AA35" s="1446">
        <f t="shared" si="35"/>
        <v>103773.6</v>
      </c>
    </row>
    <row r="36" spans="2:27" ht="15.75" thickBot="1" x14ac:dyDescent="0.3">
      <c r="B36" s="1894" t="s">
        <v>239</v>
      </c>
      <c r="C36" s="1895"/>
      <c r="D36" s="1460">
        <f>SUM(D34:D35)</f>
        <v>161650</v>
      </c>
      <c r="E36" s="1460">
        <f t="shared" ref="E36:M36" si="36">SUM(E34:E35)</f>
        <v>161650</v>
      </c>
      <c r="F36" s="1460">
        <f t="shared" si="36"/>
        <v>161650</v>
      </c>
      <c r="G36" s="1460">
        <f t="shared" si="36"/>
        <v>161650</v>
      </c>
      <c r="H36" s="1460">
        <f t="shared" si="36"/>
        <v>161650</v>
      </c>
      <c r="I36" s="1460">
        <f t="shared" si="36"/>
        <v>161650</v>
      </c>
      <c r="J36" s="1460">
        <f t="shared" si="36"/>
        <v>161650</v>
      </c>
      <c r="K36" s="1460">
        <f t="shared" si="36"/>
        <v>161650</v>
      </c>
      <c r="L36" s="1460">
        <f t="shared" si="36"/>
        <v>161650</v>
      </c>
      <c r="M36" s="1461">
        <f t="shared" si="36"/>
        <v>161650</v>
      </c>
      <c r="P36" s="1903"/>
      <c r="Q36" s="1447" t="s">
        <v>1484</v>
      </c>
      <c r="R36" s="1448">
        <f>R33-R26</f>
        <v>39343.15</v>
      </c>
      <c r="S36" s="1448">
        <f t="shared" ref="S36:AA36" si="37">S33-S26</f>
        <v>39343.15</v>
      </c>
      <c r="T36" s="1448">
        <f t="shared" si="37"/>
        <v>39343.15</v>
      </c>
      <c r="U36" s="1448">
        <f t="shared" si="37"/>
        <v>39343.15</v>
      </c>
      <c r="V36" s="1448">
        <f>V33-V26</f>
        <v>39343.15</v>
      </c>
      <c r="W36" s="1448">
        <f t="shared" si="37"/>
        <v>39343.15</v>
      </c>
      <c r="X36" s="1448">
        <f t="shared" si="37"/>
        <v>39343.15</v>
      </c>
      <c r="Y36" s="1448">
        <f t="shared" si="37"/>
        <v>39343.15</v>
      </c>
      <c r="Z36" s="1448">
        <f t="shared" si="37"/>
        <v>39343.15</v>
      </c>
      <c r="AA36" s="1449">
        <f t="shared" si="37"/>
        <v>39343.15</v>
      </c>
    </row>
    <row r="37" spans="2:27" ht="15.75" thickBot="1" x14ac:dyDescent="0.3">
      <c r="B37" s="1195" t="s">
        <v>1488</v>
      </c>
      <c r="C37" s="1196"/>
      <c r="D37" s="1196"/>
      <c r="E37" s="1196"/>
      <c r="F37" s="1196"/>
      <c r="G37" s="1196"/>
      <c r="H37" s="1196"/>
      <c r="I37" s="1196"/>
      <c r="J37" s="1196"/>
      <c r="K37" s="1196"/>
      <c r="L37" s="1196"/>
      <c r="M37" s="1196"/>
      <c r="P37" s="1894" t="s">
        <v>239</v>
      </c>
      <c r="Q37" s="1895"/>
      <c r="R37" s="1460">
        <f>SUM(R35:R36)</f>
        <v>143116.75</v>
      </c>
      <c r="S37" s="1460">
        <f t="shared" ref="S37:AA37" si="38">SUM(S35:S36)</f>
        <v>143116.75</v>
      </c>
      <c r="T37" s="1460">
        <f t="shared" si="38"/>
        <v>143116.75</v>
      </c>
      <c r="U37" s="1460">
        <f t="shared" si="38"/>
        <v>143116.75</v>
      </c>
      <c r="V37" s="1460">
        <f t="shared" si="38"/>
        <v>143116.75</v>
      </c>
      <c r="W37" s="1460">
        <f t="shared" si="38"/>
        <v>143116.75</v>
      </c>
      <c r="X37" s="1460">
        <f t="shared" si="38"/>
        <v>143116.75</v>
      </c>
      <c r="Y37" s="1460">
        <f t="shared" si="38"/>
        <v>143116.75</v>
      </c>
      <c r="Z37" s="1460">
        <f t="shared" si="38"/>
        <v>143116.75</v>
      </c>
      <c r="AA37" s="1461">
        <f t="shared" si="38"/>
        <v>143116.75</v>
      </c>
    </row>
    <row r="38" spans="2:27" x14ac:dyDescent="0.25">
      <c r="B38" s="1195"/>
      <c r="C38" s="1196"/>
      <c r="D38" s="1196"/>
      <c r="E38" s="1196"/>
      <c r="F38" s="1196"/>
      <c r="G38" s="1196"/>
      <c r="H38" s="1196"/>
      <c r="I38" s="1196"/>
      <c r="J38" s="1196"/>
      <c r="K38" s="1196"/>
      <c r="L38" s="1196"/>
      <c r="M38" s="1196"/>
    </row>
    <row r="39" spans="2:27" ht="15.75" thickBot="1" x14ac:dyDescent="0.3">
      <c r="B39" s="1276" t="s">
        <v>1848</v>
      </c>
    </row>
    <row r="40" spans="2:27" x14ac:dyDescent="0.25">
      <c r="B40" s="1896" t="s">
        <v>1124</v>
      </c>
      <c r="C40" s="1897"/>
      <c r="D40" s="1897" t="s">
        <v>1771</v>
      </c>
      <c r="E40" s="1897" t="s">
        <v>889</v>
      </c>
      <c r="F40" s="1900" t="s">
        <v>1772</v>
      </c>
      <c r="G40" s="1900"/>
      <c r="H40" s="1900"/>
      <c r="I40" s="1900"/>
      <c r="J40" s="1900"/>
      <c r="K40" s="1900"/>
      <c r="L40" s="1900"/>
      <c r="M40" s="1900"/>
      <c r="N40" s="1900"/>
      <c r="O40" s="1901"/>
    </row>
    <row r="41" spans="2:27" x14ac:dyDescent="0.25">
      <c r="B41" s="1898"/>
      <c r="C41" s="1899"/>
      <c r="D41" s="1899"/>
      <c r="E41" s="1899"/>
      <c r="F41" s="1458">
        <v>1</v>
      </c>
      <c r="G41" s="1458">
        <v>2</v>
      </c>
      <c r="H41" s="1458">
        <v>3</v>
      </c>
      <c r="I41" s="1458">
        <v>4</v>
      </c>
      <c r="J41" s="1458">
        <v>5</v>
      </c>
      <c r="K41" s="1458">
        <v>6</v>
      </c>
      <c r="L41" s="1458">
        <v>7</v>
      </c>
      <c r="M41" s="1458">
        <v>8</v>
      </c>
      <c r="N41" s="1458">
        <v>9</v>
      </c>
      <c r="O41" s="1459">
        <v>10</v>
      </c>
    </row>
    <row r="42" spans="2:27" ht="53.25" customHeight="1" x14ac:dyDescent="0.25">
      <c r="B42" s="1890" t="s">
        <v>1167</v>
      </c>
      <c r="C42" s="1755"/>
      <c r="D42" s="1451" t="s">
        <v>1301</v>
      </c>
      <c r="E42" s="1451">
        <v>112.2</v>
      </c>
      <c r="F42" s="1350">
        <v>0</v>
      </c>
      <c r="G42" s="1350">
        <v>0</v>
      </c>
      <c r="H42" s="1452">
        <v>0</v>
      </c>
      <c r="I42" s="1350">
        <v>0</v>
      </c>
      <c r="J42" s="1350">
        <v>0</v>
      </c>
      <c r="K42" s="1350">
        <v>0</v>
      </c>
      <c r="L42" s="1350">
        <v>0</v>
      </c>
      <c r="M42" s="1350">
        <v>0</v>
      </c>
      <c r="N42" s="1350">
        <v>0</v>
      </c>
      <c r="O42" s="1453">
        <v>0</v>
      </c>
    </row>
    <row r="43" spans="2:27" ht="43.5" customHeight="1" x14ac:dyDescent="0.25">
      <c r="B43" s="1890" t="s">
        <v>1170</v>
      </c>
      <c r="C43" s="1755"/>
      <c r="D43" s="1451" t="s">
        <v>1301</v>
      </c>
      <c r="E43" s="1451">
        <v>115.4</v>
      </c>
      <c r="F43" s="1350">
        <v>0</v>
      </c>
      <c r="G43" s="1350">
        <v>0</v>
      </c>
      <c r="H43" s="1452">
        <v>0</v>
      </c>
      <c r="I43" s="1350">
        <v>0</v>
      </c>
      <c r="J43" s="1350">
        <v>0</v>
      </c>
      <c r="K43" s="1350">
        <v>0</v>
      </c>
      <c r="L43" s="1350">
        <v>0</v>
      </c>
      <c r="M43" s="1350">
        <v>0</v>
      </c>
      <c r="N43" s="1350">
        <v>0</v>
      </c>
      <c r="O43" s="1453">
        <v>0</v>
      </c>
    </row>
    <row r="44" spans="2:27" ht="32.25" customHeight="1" x14ac:dyDescent="0.25">
      <c r="B44" s="1890" t="s">
        <v>1139</v>
      </c>
      <c r="C44" s="1755"/>
      <c r="D44" s="1451" t="s">
        <v>647</v>
      </c>
      <c r="E44" s="1451">
        <v>1</v>
      </c>
      <c r="F44" s="1350">
        <v>0</v>
      </c>
      <c r="G44" s="1350">
        <v>0</v>
      </c>
      <c r="H44" s="1452">
        <v>276726.78000000003</v>
      </c>
      <c r="I44" s="1350">
        <v>0</v>
      </c>
      <c r="J44" s="1350">
        <v>0</v>
      </c>
      <c r="K44" s="1350">
        <v>0</v>
      </c>
      <c r="L44" s="1350">
        <v>0</v>
      </c>
      <c r="M44" s="1454">
        <v>276726.78000000003</v>
      </c>
      <c r="N44" s="1350">
        <v>0</v>
      </c>
      <c r="O44" s="1453">
        <v>0</v>
      </c>
    </row>
    <row r="45" spans="2:27" ht="32.25" customHeight="1" x14ac:dyDescent="0.25">
      <c r="B45" s="1890" t="s">
        <v>1775</v>
      </c>
      <c r="C45" s="1755"/>
      <c r="D45" s="1451" t="s">
        <v>647</v>
      </c>
      <c r="E45" s="1451">
        <v>1</v>
      </c>
      <c r="F45" s="1350">
        <v>0</v>
      </c>
      <c r="G45" s="1350">
        <v>0</v>
      </c>
      <c r="H45" s="1452">
        <v>50000</v>
      </c>
      <c r="I45" s="1350">
        <v>0</v>
      </c>
      <c r="J45" s="1350">
        <v>0</v>
      </c>
      <c r="K45" s="1350">
        <v>0</v>
      </c>
      <c r="L45" s="1350">
        <v>0</v>
      </c>
      <c r="M45" s="1454">
        <v>50000</v>
      </c>
      <c r="N45" s="1350">
        <v>0</v>
      </c>
      <c r="O45" s="1453">
        <v>0</v>
      </c>
    </row>
    <row r="46" spans="2:27" ht="32.25" customHeight="1" x14ac:dyDescent="0.25">
      <c r="B46" s="1890" t="s">
        <v>1776</v>
      </c>
      <c r="C46" s="1755"/>
      <c r="D46" s="1451" t="s">
        <v>647</v>
      </c>
      <c r="E46" s="1451">
        <v>1</v>
      </c>
      <c r="F46" s="1350">
        <v>0</v>
      </c>
      <c r="G46" s="1350">
        <v>0</v>
      </c>
      <c r="H46" s="1452">
        <v>10000</v>
      </c>
      <c r="I46" s="1350">
        <v>0</v>
      </c>
      <c r="J46" s="1350">
        <v>0</v>
      </c>
      <c r="K46" s="1350">
        <v>0</v>
      </c>
      <c r="L46" s="1350">
        <v>0</v>
      </c>
      <c r="M46" s="1454">
        <v>10000</v>
      </c>
      <c r="N46" s="1350">
        <v>0</v>
      </c>
      <c r="O46" s="1453">
        <v>0</v>
      </c>
    </row>
    <row r="47" spans="2:27" ht="32.25" customHeight="1" x14ac:dyDescent="0.25">
      <c r="B47" s="1890" t="s">
        <v>1531</v>
      </c>
      <c r="C47" s="1755"/>
      <c r="D47" s="1451" t="s">
        <v>647</v>
      </c>
      <c r="E47" s="1451">
        <v>2</v>
      </c>
      <c r="F47" s="1350">
        <v>0</v>
      </c>
      <c r="G47" s="1350">
        <v>0</v>
      </c>
      <c r="H47" s="1452">
        <v>130000</v>
      </c>
      <c r="I47" s="1350">
        <v>0</v>
      </c>
      <c r="J47" s="1350">
        <v>0</v>
      </c>
      <c r="K47" s="1350">
        <v>0</v>
      </c>
      <c r="L47" s="1350">
        <v>0</v>
      </c>
      <c r="M47" s="1454">
        <v>130000</v>
      </c>
      <c r="N47" s="1350">
        <v>0</v>
      </c>
      <c r="O47" s="1453">
        <v>0</v>
      </c>
    </row>
    <row r="48" spans="2:27" ht="32.25" customHeight="1" x14ac:dyDescent="0.25">
      <c r="B48" s="1890" t="s">
        <v>1143</v>
      </c>
      <c r="C48" s="1755"/>
      <c r="D48" s="1451" t="s">
        <v>647</v>
      </c>
      <c r="E48" s="1451">
        <v>1</v>
      </c>
      <c r="F48" s="1350">
        <v>0</v>
      </c>
      <c r="G48" s="1350">
        <v>0</v>
      </c>
      <c r="H48" s="1452">
        <v>125000</v>
      </c>
      <c r="I48" s="1350">
        <v>0</v>
      </c>
      <c r="J48" s="1350">
        <v>0</v>
      </c>
      <c r="K48" s="1350">
        <v>0</v>
      </c>
      <c r="L48" s="1350">
        <v>0</v>
      </c>
      <c r="M48" s="1454">
        <v>125000</v>
      </c>
      <c r="N48" s="1350">
        <v>0</v>
      </c>
      <c r="O48" s="1453">
        <v>0</v>
      </c>
    </row>
    <row r="49" spans="2:15" ht="32.25" customHeight="1" x14ac:dyDescent="0.25">
      <c r="B49" s="1890" t="s">
        <v>1777</v>
      </c>
      <c r="C49" s="1755"/>
      <c r="D49" s="1451" t="s">
        <v>647</v>
      </c>
      <c r="E49" s="1451">
        <v>22</v>
      </c>
      <c r="F49" s="1350">
        <v>0</v>
      </c>
      <c r="G49" s="1350">
        <v>0</v>
      </c>
      <c r="H49" s="1452">
        <v>6000</v>
      </c>
      <c r="I49" s="1350">
        <v>0</v>
      </c>
      <c r="J49" s="1350">
        <v>0</v>
      </c>
      <c r="K49" s="1350">
        <v>0</v>
      </c>
      <c r="L49" s="1350">
        <v>0</v>
      </c>
      <c r="M49" s="1454">
        <v>6000</v>
      </c>
      <c r="N49" s="1350">
        <v>0</v>
      </c>
      <c r="O49" s="1453">
        <v>0</v>
      </c>
    </row>
    <row r="50" spans="2:15" ht="32.25" customHeight="1" x14ac:dyDescent="0.25">
      <c r="B50" s="1890" t="s">
        <v>1778</v>
      </c>
      <c r="C50" s="1755"/>
      <c r="D50" s="1451" t="s">
        <v>647</v>
      </c>
      <c r="E50" s="1451">
        <v>1</v>
      </c>
      <c r="F50" s="1350">
        <v>0</v>
      </c>
      <c r="G50" s="1350">
        <v>0</v>
      </c>
      <c r="H50" s="1452">
        <v>4000</v>
      </c>
      <c r="I50" s="1350">
        <v>0</v>
      </c>
      <c r="J50" s="1350">
        <v>0</v>
      </c>
      <c r="K50" s="1350">
        <v>0</v>
      </c>
      <c r="L50" s="1350">
        <v>0</v>
      </c>
      <c r="M50" s="1454">
        <v>4000</v>
      </c>
      <c r="N50" s="1350">
        <v>0</v>
      </c>
      <c r="O50" s="1453">
        <v>0</v>
      </c>
    </row>
    <row r="51" spans="2:15" ht="32.25" customHeight="1" x14ac:dyDescent="0.25">
      <c r="B51" s="1890" t="s">
        <v>1286</v>
      </c>
      <c r="C51" s="1755"/>
      <c r="D51" s="1451" t="s">
        <v>1301</v>
      </c>
      <c r="E51" s="1451">
        <v>6</v>
      </c>
      <c r="F51" s="1350">
        <v>0</v>
      </c>
      <c r="G51" s="1350">
        <v>0</v>
      </c>
      <c r="H51" s="1452">
        <v>4877.166666666667</v>
      </c>
      <c r="I51" s="1350">
        <v>0</v>
      </c>
      <c r="J51" s="1350">
        <v>0</v>
      </c>
      <c r="K51" s="1350">
        <v>0</v>
      </c>
      <c r="L51" s="1350">
        <v>0</v>
      </c>
      <c r="M51" s="1454">
        <v>4877.166666666667</v>
      </c>
      <c r="N51" s="1350">
        <v>0</v>
      </c>
      <c r="O51" s="1453">
        <v>0</v>
      </c>
    </row>
    <row r="52" spans="2:15" ht="32.25" customHeight="1" x14ac:dyDescent="0.25">
      <c r="B52" s="1890" t="s">
        <v>1285</v>
      </c>
      <c r="C52" s="1755"/>
      <c r="D52" s="1451" t="s">
        <v>1301</v>
      </c>
      <c r="E52" s="1451">
        <v>6</v>
      </c>
      <c r="F52" s="1350">
        <v>0</v>
      </c>
      <c r="G52" s="1350">
        <v>0</v>
      </c>
      <c r="H52" s="1452">
        <v>7291.333333333333</v>
      </c>
      <c r="I52" s="1350">
        <v>0</v>
      </c>
      <c r="J52" s="1350">
        <v>0</v>
      </c>
      <c r="K52" s="1350">
        <v>0</v>
      </c>
      <c r="L52" s="1350">
        <v>0</v>
      </c>
      <c r="M52" s="1454">
        <v>7291.333333333333</v>
      </c>
      <c r="N52" s="1350">
        <v>0</v>
      </c>
      <c r="O52" s="1453">
        <v>0</v>
      </c>
    </row>
    <row r="53" spans="2:15" ht="32.25" customHeight="1" x14ac:dyDescent="0.25">
      <c r="B53" s="1890" t="s">
        <v>1218</v>
      </c>
      <c r="C53" s="1755"/>
      <c r="D53" s="1451" t="s">
        <v>1773</v>
      </c>
      <c r="E53" s="1451">
        <v>1</v>
      </c>
      <c r="F53" s="1350">
        <v>0</v>
      </c>
      <c r="G53" s="1350">
        <v>0</v>
      </c>
      <c r="H53" s="1350">
        <v>0</v>
      </c>
      <c r="I53" s="1350">
        <v>0</v>
      </c>
      <c r="J53" s="1350">
        <v>0</v>
      </c>
      <c r="K53" s="1350">
        <v>0</v>
      </c>
      <c r="L53" s="1350">
        <v>0</v>
      </c>
      <c r="M53" s="1350">
        <v>0</v>
      </c>
      <c r="N53" s="1350">
        <v>0</v>
      </c>
      <c r="O53" s="1453">
        <v>0</v>
      </c>
    </row>
    <row r="54" spans="2:15" ht="32.25" customHeight="1" x14ac:dyDescent="0.25">
      <c r="B54" s="1890" t="s">
        <v>1312</v>
      </c>
      <c r="C54" s="1755"/>
      <c r="D54" s="1451" t="s">
        <v>1773</v>
      </c>
      <c r="E54" s="1451">
        <v>1</v>
      </c>
      <c r="F54" s="1350">
        <v>0</v>
      </c>
      <c r="G54" s="1350">
        <v>0</v>
      </c>
      <c r="H54" s="1350">
        <v>0</v>
      </c>
      <c r="I54" s="1350">
        <v>0</v>
      </c>
      <c r="J54" s="1350">
        <v>0</v>
      </c>
      <c r="K54" s="1350">
        <v>0</v>
      </c>
      <c r="L54" s="1350">
        <v>0</v>
      </c>
      <c r="M54" s="1350">
        <v>0</v>
      </c>
      <c r="N54" s="1350">
        <v>0</v>
      </c>
      <c r="O54" s="1453">
        <v>0</v>
      </c>
    </row>
    <row r="55" spans="2:15" ht="32.25" customHeight="1" x14ac:dyDescent="0.25">
      <c r="B55" s="1890" t="s">
        <v>1313</v>
      </c>
      <c r="C55" s="1755"/>
      <c r="D55" s="1451" t="s">
        <v>1773</v>
      </c>
      <c r="E55" s="1451">
        <v>1</v>
      </c>
      <c r="F55" s="1350">
        <v>0</v>
      </c>
      <c r="G55" s="1350">
        <v>0</v>
      </c>
      <c r="H55" s="1350">
        <v>0</v>
      </c>
      <c r="I55" s="1350">
        <v>0</v>
      </c>
      <c r="J55" s="1350">
        <v>0</v>
      </c>
      <c r="K55" s="1350">
        <v>0</v>
      </c>
      <c r="L55" s="1350">
        <v>0</v>
      </c>
      <c r="M55" s="1350">
        <v>0</v>
      </c>
      <c r="N55" s="1350">
        <v>0</v>
      </c>
      <c r="O55" s="1453">
        <v>0</v>
      </c>
    </row>
    <row r="56" spans="2:15" ht="32.25" customHeight="1" x14ac:dyDescent="0.25">
      <c r="B56" s="1890" t="s">
        <v>1314</v>
      </c>
      <c r="C56" s="1755"/>
      <c r="D56" s="1451" t="s">
        <v>1773</v>
      </c>
      <c r="E56" s="1451">
        <v>1</v>
      </c>
      <c r="F56" s="1350">
        <v>0</v>
      </c>
      <c r="G56" s="1350">
        <v>0</v>
      </c>
      <c r="H56" s="1350">
        <v>0</v>
      </c>
      <c r="I56" s="1350">
        <v>0</v>
      </c>
      <c r="J56" s="1350">
        <v>0</v>
      </c>
      <c r="K56" s="1350">
        <v>0</v>
      </c>
      <c r="L56" s="1350">
        <v>0</v>
      </c>
      <c r="M56" s="1350">
        <v>0</v>
      </c>
      <c r="N56" s="1350">
        <v>0</v>
      </c>
      <c r="O56" s="1453">
        <v>0</v>
      </c>
    </row>
    <row r="57" spans="2:15" ht="32.25" customHeight="1" x14ac:dyDescent="0.25">
      <c r="B57" s="1890" t="s">
        <v>1315</v>
      </c>
      <c r="C57" s="1755"/>
      <c r="D57" s="1451" t="s">
        <v>1773</v>
      </c>
      <c r="E57" s="1451">
        <v>1</v>
      </c>
      <c r="F57" s="1350">
        <v>0</v>
      </c>
      <c r="G57" s="1350">
        <v>0</v>
      </c>
      <c r="H57" s="1350">
        <v>0</v>
      </c>
      <c r="I57" s="1350">
        <v>0</v>
      </c>
      <c r="J57" s="1350">
        <v>0</v>
      </c>
      <c r="K57" s="1350">
        <v>0</v>
      </c>
      <c r="L57" s="1350">
        <v>0</v>
      </c>
      <c r="M57" s="1350">
        <v>0</v>
      </c>
      <c r="N57" s="1350">
        <v>0</v>
      </c>
      <c r="O57" s="1453">
        <v>0</v>
      </c>
    </row>
    <row r="58" spans="2:15" ht="32.25" customHeight="1" x14ac:dyDescent="0.25">
      <c r="B58" s="1890" t="s">
        <v>1316</v>
      </c>
      <c r="C58" s="1755"/>
      <c r="D58" s="1451" t="s">
        <v>1773</v>
      </c>
      <c r="E58" s="1451">
        <v>1</v>
      </c>
      <c r="F58" s="1350">
        <v>0</v>
      </c>
      <c r="G58" s="1350">
        <v>0</v>
      </c>
      <c r="H58" s="1350">
        <v>0</v>
      </c>
      <c r="I58" s="1350">
        <v>0</v>
      </c>
      <c r="J58" s="1350">
        <v>0</v>
      </c>
      <c r="K58" s="1350">
        <v>0</v>
      </c>
      <c r="L58" s="1350">
        <v>0</v>
      </c>
      <c r="M58" s="1350">
        <v>0</v>
      </c>
      <c r="N58" s="1350">
        <v>0</v>
      </c>
      <c r="O58" s="1453">
        <v>0</v>
      </c>
    </row>
    <row r="59" spans="2:15" ht="32.25" customHeight="1" x14ac:dyDescent="0.25">
      <c r="B59" s="1890" t="s">
        <v>1222</v>
      </c>
      <c r="C59" s="1755"/>
      <c r="D59" s="1451" t="s">
        <v>1773</v>
      </c>
      <c r="E59" s="1451">
        <v>1</v>
      </c>
      <c r="F59" s="1350">
        <v>0</v>
      </c>
      <c r="G59" s="1350">
        <v>0</v>
      </c>
      <c r="H59" s="1350">
        <v>0</v>
      </c>
      <c r="I59" s="1350">
        <v>0</v>
      </c>
      <c r="J59" s="1350">
        <v>0</v>
      </c>
      <c r="K59" s="1350">
        <v>0</v>
      </c>
      <c r="L59" s="1350">
        <v>0</v>
      </c>
      <c r="M59" s="1350">
        <v>0</v>
      </c>
      <c r="N59" s="1350">
        <v>0</v>
      </c>
      <c r="O59" s="1453">
        <v>0</v>
      </c>
    </row>
    <row r="60" spans="2:15" ht="32.25" customHeight="1" x14ac:dyDescent="0.25">
      <c r="B60" s="1890" t="s">
        <v>1320</v>
      </c>
      <c r="C60" s="1755"/>
      <c r="D60" s="1451" t="s">
        <v>1773</v>
      </c>
      <c r="E60" s="1451">
        <v>1</v>
      </c>
      <c r="F60" s="1350">
        <v>0</v>
      </c>
      <c r="G60" s="1350">
        <v>0</v>
      </c>
      <c r="H60" s="1350">
        <v>0</v>
      </c>
      <c r="I60" s="1350">
        <v>0</v>
      </c>
      <c r="J60" s="1350">
        <v>0</v>
      </c>
      <c r="K60" s="1350">
        <v>0</v>
      </c>
      <c r="L60" s="1350">
        <v>0</v>
      </c>
      <c r="M60" s="1350">
        <v>0</v>
      </c>
      <c r="N60" s="1350">
        <v>0</v>
      </c>
      <c r="O60" s="1453">
        <v>0</v>
      </c>
    </row>
    <row r="61" spans="2:15" ht="32.25" customHeight="1" x14ac:dyDescent="0.25">
      <c r="B61" s="1890" t="s">
        <v>1002</v>
      </c>
      <c r="C61" s="1755"/>
      <c r="D61" s="1451" t="s">
        <v>689</v>
      </c>
      <c r="E61" s="1451">
        <v>1</v>
      </c>
      <c r="F61" s="1350">
        <v>0</v>
      </c>
      <c r="G61" s="1350">
        <v>0</v>
      </c>
      <c r="H61" s="1454">
        <v>0</v>
      </c>
      <c r="I61" s="1350">
        <v>0</v>
      </c>
      <c r="J61" s="1350">
        <v>0</v>
      </c>
      <c r="K61" s="1350">
        <v>0</v>
      </c>
      <c r="L61" s="1350">
        <v>0</v>
      </c>
      <c r="M61" s="1350">
        <v>0</v>
      </c>
      <c r="N61" s="1350">
        <v>0</v>
      </c>
      <c r="O61" s="1453">
        <v>0</v>
      </c>
    </row>
    <row r="62" spans="2:15" ht="32.25" customHeight="1" x14ac:dyDescent="0.25">
      <c r="B62" s="1890" t="s">
        <v>1004</v>
      </c>
      <c r="C62" s="1755"/>
      <c r="D62" s="1451" t="s">
        <v>689</v>
      </c>
      <c r="E62" s="1451">
        <v>1</v>
      </c>
      <c r="F62" s="1350">
        <v>0</v>
      </c>
      <c r="G62" s="1350">
        <v>0</v>
      </c>
      <c r="H62" s="1454">
        <v>0</v>
      </c>
      <c r="I62" s="1350">
        <v>0</v>
      </c>
      <c r="J62" s="1350">
        <v>0</v>
      </c>
      <c r="K62" s="1350">
        <v>0</v>
      </c>
      <c r="L62" s="1350">
        <v>0</v>
      </c>
      <c r="M62" s="1350">
        <v>0</v>
      </c>
      <c r="N62" s="1350">
        <v>0</v>
      </c>
      <c r="O62" s="1453">
        <v>0</v>
      </c>
    </row>
    <row r="63" spans="2:15" ht="32.25" customHeight="1" x14ac:dyDescent="0.25">
      <c r="B63" s="1890" t="s">
        <v>1323</v>
      </c>
      <c r="C63" s="1755"/>
      <c r="D63" s="1451" t="s">
        <v>689</v>
      </c>
      <c r="E63" s="1451">
        <v>1</v>
      </c>
      <c r="F63" s="1350">
        <v>0</v>
      </c>
      <c r="G63" s="1350">
        <v>0</v>
      </c>
      <c r="H63" s="1454">
        <v>0</v>
      </c>
      <c r="I63" s="1350">
        <v>0</v>
      </c>
      <c r="J63" s="1350">
        <v>0</v>
      </c>
      <c r="K63" s="1350">
        <v>0</v>
      </c>
      <c r="L63" s="1350">
        <v>0</v>
      </c>
      <c r="M63" s="1350">
        <v>0</v>
      </c>
      <c r="N63" s="1350">
        <v>0</v>
      </c>
      <c r="O63" s="1453">
        <v>0</v>
      </c>
    </row>
    <row r="64" spans="2:15" ht="32.25" customHeight="1" x14ac:dyDescent="0.25">
      <c r="B64" s="1890" t="s">
        <v>1005</v>
      </c>
      <c r="C64" s="1755"/>
      <c r="D64" s="1451" t="s">
        <v>689</v>
      </c>
      <c r="E64" s="1451">
        <v>1</v>
      </c>
      <c r="F64" s="1350">
        <v>0</v>
      </c>
      <c r="G64" s="1350">
        <v>0</v>
      </c>
      <c r="H64" s="1454">
        <v>0</v>
      </c>
      <c r="I64" s="1350">
        <v>0</v>
      </c>
      <c r="J64" s="1350">
        <v>0</v>
      </c>
      <c r="K64" s="1350">
        <v>0</v>
      </c>
      <c r="L64" s="1350">
        <v>0</v>
      </c>
      <c r="M64" s="1350">
        <v>0</v>
      </c>
      <c r="N64" s="1350">
        <v>0</v>
      </c>
      <c r="O64" s="1453">
        <v>0</v>
      </c>
    </row>
    <row r="65" spans="2:21" ht="32.25" customHeight="1" x14ac:dyDescent="0.25">
      <c r="B65" s="1890" t="s">
        <v>1006</v>
      </c>
      <c r="C65" s="1755"/>
      <c r="D65" s="1451" t="s">
        <v>647</v>
      </c>
      <c r="E65" s="1451">
        <v>22</v>
      </c>
      <c r="F65" s="1350">
        <v>0</v>
      </c>
      <c r="G65" s="1350">
        <v>0</v>
      </c>
      <c r="H65" s="1454">
        <v>0</v>
      </c>
      <c r="I65" s="1350">
        <v>0</v>
      </c>
      <c r="J65" s="1350">
        <v>0</v>
      </c>
      <c r="K65" s="1350">
        <v>0</v>
      </c>
      <c r="L65" s="1350">
        <v>0</v>
      </c>
      <c r="M65" s="1350">
        <v>0</v>
      </c>
      <c r="N65" s="1350">
        <v>0</v>
      </c>
      <c r="O65" s="1453">
        <v>0</v>
      </c>
    </row>
    <row r="66" spans="2:21" ht="32.25" customHeight="1" x14ac:dyDescent="0.25">
      <c r="B66" s="1890" t="s">
        <v>1146</v>
      </c>
      <c r="C66" s="1755"/>
      <c r="D66" s="1451" t="s">
        <v>1370</v>
      </c>
      <c r="E66" s="1451">
        <v>44</v>
      </c>
      <c r="F66" s="1350">
        <v>0</v>
      </c>
      <c r="G66" s="1350">
        <v>0</v>
      </c>
      <c r="H66" s="1454">
        <v>0</v>
      </c>
      <c r="I66" s="1350">
        <v>0</v>
      </c>
      <c r="J66" s="1350">
        <v>0</v>
      </c>
      <c r="K66" s="1350">
        <v>0</v>
      </c>
      <c r="L66" s="1350">
        <v>0</v>
      </c>
      <c r="M66" s="1350">
        <v>0</v>
      </c>
      <c r="N66" s="1350">
        <v>0</v>
      </c>
      <c r="O66" s="1453">
        <v>0</v>
      </c>
    </row>
    <row r="67" spans="2:21" ht="32.25" customHeight="1" x14ac:dyDescent="0.25">
      <c r="B67" s="1890" t="s">
        <v>1147</v>
      </c>
      <c r="C67" s="1755"/>
      <c r="D67" s="1451" t="s">
        <v>1370</v>
      </c>
      <c r="E67" s="1451">
        <v>14</v>
      </c>
      <c r="F67" s="1350">
        <v>0</v>
      </c>
      <c r="G67" s="1350">
        <v>0</v>
      </c>
      <c r="H67" s="1454">
        <v>0</v>
      </c>
      <c r="I67" s="1350">
        <v>0</v>
      </c>
      <c r="J67" s="1350">
        <v>0</v>
      </c>
      <c r="K67" s="1350">
        <v>0</v>
      </c>
      <c r="L67" s="1350">
        <v>0</v>
      </c>
      <c r="M67" s="1350">
        <v>0</v>
      </c>
      <c r="N67" s="1350">
        <v>0</v>
      </c>
      <c r="O67" s="1453">
        <v>0</v>
      </c>
    </row>
    <row r="68" spans="2:21" ht="32.25" customHeight="1" x14ac:dyDescent="0.25">
      <c r="B68" s="1890" t="s">
        <v>1148</v>
      </c>
      <c r="C68" s="1755"/>
      <c r="D68" s="1451" t="s">
        <v>1370</v>
      </c>
      <c r="E68" s="1451">
        <v>2</v>
      </c>
      <c r="F68" s="1350">
        <v>0</v>
      </c>
      <c r="G68" s="1350">
        <v>0</v>
      </c>
      <c r="H68" s="1454">
        <v>0</v>
      </c>
      <c r="I68" s="1350">
        <v>0</v>
      </c>
      <c r="J68" s="1350">
        <v>0</v>
      </c>
      <c r="K68" s="1350">
        <v>0</v>
      </c>
      <c r="L68" s="1350">
        <v>0</v>
      </c>
      <c r="M68" s="1350">
        <v>0</v>
      </c>
      <c r="N68" s="1350">
        <v>0</v>
      </c>
      <c r="O68" s="1453">
        <v>0</v>
      </c>
    </row>
    <row r="69" spans="2:21" ht="32.25" customHeight="1" x14ac:dyDescent="0.25">
      <c r="B69" s="1890" t="s">
        <v>1128</v>
      </c>
      <c r="C69" s="1755"/>
      <c r="D69" s="1451" t="s">
        <v>1370</v>
      </c>
      <c r="E69" s="1451">
        <v>44</v>
      </c>
      <c r="F69" s="1350">
        <v>0</v>
      </c>
      <c r="G69" s="1350">
        <v>0</v>
      </c>
      <c r="H69" s="1454">
        <v>0</v>
      </c>
      <c r="I69" s="1350">
        <v>0</v>
      </c>
      <c r="J69" s="1350">
        <v>0</v>
      </c>
      <c r="K69" s="1350">
        <v>0</v>
      </c>
      <c r="L69" s="1350">
        <v>0</v>
      </c>
      <c r="M69" s="1350">
        <v>0</v>
      </c>
      <c r="N69" s="1350">
        <v>0</v>
      </c>
      <c r="O69" s="1453">
        <v>0</v>
      </c>
    </row>
    <row r="70" spans="2:21" ht="32.25" customHeight="1" x14ac:dyDescent="0.25">
      <c r="B70" s="1890" t="s">
        <v>1133</v>
      </c>
      <c r="C70" s="1755"/>
      <c r="D70" s="1451" t="s">
        <v>1370</v>
      </c>
      <c r="E70" s="1451">
        <v>2</v>
      </c>
      <c r="F70" s="1350">
        <v>0</v>
      </c>
      <c r="G70" s="1350">
        <v>0</v>
      </c>
      <c r="H70" s="1454">
        <v>0</v>
      </c>
      <c r="I70" s="1350">
        <v>0</v>
      </c>
      <c r="J70" s="1350">
        <v>0</v>
      </c>
      <c r="K70" s="1350">
        <v>0</v>
      </c>
      <c r="L70" s="1350">
        <v>0</v>
      </c>
      <c r="M70" s="1350">
        <v>0</v>
      </c>
      <c r="N70" s="1350">
        <v>0</v>
      </c>
      <c r="O70" s="1453">
        <v>0</v>
      </c>
    </row>
    <row r="71" spans="2:21" ht="32.25" customHeight="1" x14ac:dyDescent="0.25">
      <c r="B71" s="1890" t="s">
        <v>1129</v>
      </c>
      <c r="C71" s="1755"/>
      <c r="D71" s="1451" t="s">
        <v>1370</v>
      </c>
      <c r="E71" s="1451">
        <v>1</v>
      </c>
      <c r="F71" s="1350">
        <v>0</v>
      </c>
      <c r="G71" s="1350">
        <v>0</v>
      </c>
      <c r="H71" s="1454">
        <v>0</v>
      </c>
      <c r="I71" s="1350">
        <v>0</v>
      </c>
      <c r="J71" s="1350">
        <v>0</v>
      </c>
      <c r="K71" s="1350">
        <v>0</v>
      </c>
      <c r="L71" s="1350">
        <v>0</v>
      </c>
      <c r="M71" s="1350">
        <v>0</v>
      </c>
      <c r="N71" s="1350">
        <v>0</v>
      </c>
      <c r="O71" s="1453">
        <v>0</v>
      </c>
    </row>
    <row r="72" spans="2:21" ht="32.25" customHeight="1" x14ac:dyDescent="0.25">
      <c r="B72" s="1890" t="s">
        <v>1779</v>
      </c>
      <c r="C72" s="1755"/>
      <c r="D72" s="1451" t="s">
        <v>1370</v>
      </c>
      <c r="E72" s="1451">
        <v>1</v>
      </c>
      <c r="F72" s="1350">
        <v>0</v>
      </c>
      <c r="G72" s="1350">
        <v>0</v>
      </c>
      <c r="H72" s="1454">
        <v>0</v>
      </c>
      <c r="I72" s="1350">
        <v>0</v>
      </c>
      <c r="J72" s="1350">
        <v>0</v>
      </c>
      <c r="K72" s="1350">
        <v>0</v>
      </c>
      <c r="L72" s="1350">
        <v>0</v>
      </c>
      <c r="M72" s="1350">
        <v>0</v>
      </c>
      <c r="N72" s="1350">
        <v>0</v>
      </c>
      <c r="O72" s="1453">
        <v>0</v>
      </c>
    </row>
    <row r="73" spans="2:21" ht="32.25" customHeight="1" x14ac:dyDescent="0.25">
      <c r="B73" s="1890" t="s">
        <v>1780</v>
      </c>
      <c r="C73" s="1755"/>
      <c r="D73" s="1451" t="s">
        <v>647</v>
      </c>
      <c r="E73" s="1451">
        <v>1</v>
      </c>
      <c r="F73" s="1350">
        <v>0</v>
      </c>
      <c r="G73" s="1350">
        <v>0</v>
      </c>
      <c r="H73" s="1454">
        <v>0</v>
      </c>
      <c r="I73" s="1350">
        <v>0</v>
      </c>
      <c r="J73" s="1350">
        <v>0</v>
      </c>
      <c r="K73" s="1350">
        <v>0</v>
      </c>
      <c r="L73" s="1350">
        <v>0</v>
      </c>
      <c r="M73" s="1350">
        <v>0</v>
      </c>
      <c r="N73" s="1350">
        <v>0</v>
      </c>
      <c r="O73" s="1453">
        <v>0</v>
      </c>
    </row>
    <row r="74" spans="2:21" ht="32.25" customHeight="1" x14ac:dyDescent="0.25">
      <c r="B74" s="1890" t="s">
        <v>849</v>
      </c>
      <c r="C74" s="1755"/>
      <c r="D74" s="1451" t="s">
        <v>1634</v>
      </c>
      <c r="E74" s="1451">
        <v>7</v>
      </c>
      <c r="F74" s="1350">
        <v>0</v>
      </c>
      <c r="G74" s="1350">
        <v>0</v>
      </c>
      <c r="H74" s="1454">
        <v>0</v>
      </c>
      <c r="I74" s="1350">
        <v>0</v>
      </c>
      <c r="J74" s="1350">
        <v>0</v>
      </c>
      <c r="K74" s="1350">
        <v>0</v>
      </c>
      <c r="L74" s="1350">
        <v>0</v>
      </c>
      <c r="M74" s="1350">
        <v>0</v>
      </c>
      <c r="N74" s="1350">
        <v>0</v>
      </c>
      <c r="O74" s="1453">
        <v>0</v>
      </c>
    </row>
    <row r="75" spans="2:21" ht="32.25" customHeight="1" x14ac:dyDescent="0.25">
      <c r="B75" s="1890" t="s">
        <v>1781</v>
      </c>
      <c r="C75" s="1755"/>
      <c r="D75" s="1451" t="s">
        <v>1782</v>
      </c>
      <c r="E75" s="1451">
        <v>2</v>
      </c>
      <c r="F75" s="1350">
        <v>0</v>
      </c>
      <c r="G75" s="1350">
        <v>0</v>
      </c>
      <c r="H75" s="1454">
        <v>0</v>
      </c>
      <c r="I75" s="1350">
        <v>0</v>
      </c>
      <c r="J75" s="1350">
        <v>0</v>
      </c>
      <c r="K75" s="1350">
        <v>0</v>
      </c>
      <c r="L75" s="1350">
        <v>0</v>
      </c>
      <c r="M75" s="1350">
        <v>0</v>
      </c>
      <c r="N75" s="1350">
        <v>0</v>
      </c>
      <c r="O75" s="1453">
        <v>0</v>
      </c>
    </row>
    <row r="76" spans="2:21" ht="15.75" thickBot="1" x14ac:dyDescent="0.3">
      <c r="B76" s="1891"/>
      <c r="C76" s="1892"/>
      <c r="D76" s="1892"/>
      <c r="E76" s="1892"/>
      <c r="F76" s="1893"/>
      <c r="G76" s="1455" t="s">
        <v>1774</v>
      </c>
      <c r="H76" s="1456">
        <v>613895.28</v>
      </c>
      <c r="I76" s="1885"/>
      <c r="J76" s="1886"/>
      <c r="K76" s="1887"/>
      <c r="L76" s="1455" t="s">
        <v>1774</v>
      </c>
      <c r="M76" s="1457">
        <v>613895.28</v>
      </c>
      <c r="N76" s="1885"/>
      <c r="O76" s="1888"/>
    </row>
    <row r="79" spans="2:21" x14ac:dyDescent="0.25">
      <c r="B79" s="1276" t="s">
        <v>1849</v>
      </c>
    </row>
    <row r="80" spans="2:21" ht="15" customHeight="1" x14ac:dyDescent="0.25">
      <c r="B80" s="1889" t="s">
        <v>1783</v>
      </c>
      <c r="C80" s="1889"/>
      <c r="D80" s="1889"/>
      <c r="E80" s="1889"/>
      <c r="F80" s="1889"/>
      <c r="G80" s="1878" t="s">
        <v>1731</v>
      </c>
      <c r="H80" s="1878"/>
      <c r="I80" s="1889" t="s">
        <v>1784</v>
      </c>
      <c r="J80" s="1889"/>
      <c r="K80" s="1889"/>
      <c r="L80" s="1889"/>
      <c r="M80" s="1889"/>
      <c r="N80" s="1889"/>
      <c r="O80" s="1889"/>
      <c r="P80" s="1889"/>
      <c r="Q80" s="1889"/>
      <c r="R80" s="1889"/>
      <c r="S80" s="1889"/>
      <c r="T80" s="1889"/>
      <c r="U80" s="1880" t="s">
        <v>1811</v>
      </c>
    </row>
    <row r="81" spans="2:22" x14ac:dyDescent="0.25">
      <c r="B81" s="1878" t="s">
        <v>1785</v>
      </c>
      <c r="C81" s="1878"/>
      <c r="D81" s="1878"/>
      <c r="E81" s="1878" t="s">
        <v>1786</v>
      </c>
      <c r="F81" s="1878"/>
      <c r="G81" s="1878"/>
      <c r="H81" s="1878"/>
      <c r="I81" s="1889" t="s">
        <v>1787</v>
      </c>
      <c r="J81" s="1889" t="s">
        <v>1788</v>
      </c>
      <c r="K81" s="1889" t="s">
        <v>1789</v>
      </c>
      <c r="L81" s="1889" t="s">
        <v>1790</v>
      </c>
      <c r="M81" s="1889" t="s">
        <v>1791</v>
      </c>
      <c r="N81" s="1889" t="s">
        <v>1792</v>
      </c>
      <c r="O81" s="1889" t="s">
        <v>1793</v>
      </c>
      <c r="P81" s="1889" t="s">
        <v>1794</v>
      </c>
      <c r="Q81" s="1889" t="s">
        <v>1795</v>
      </c>
      <c r="R81" s="1889" t="s">
        <v>1796</v>
      </c>
      <c r="S81" s="1889" t="s">
        <v>1797</v>
      </c>
      <c r="T81" s="1889" t="s">
        <v>1798</v>
      </c>
      <c r="U81" s="1880"/>
    </row>
    <row r="82" spans="2:22" x14ac:dyDescent="0.25">
      <c r="B82" s="1878"/>
      <c r="C82" s="1878"/>
      <c r="D82" s="1878"/>
      <c r="E82" s="1878"/>
      <c r="F82" s="1878"/>
      <c r="G82" s="1878"/>
      <c r="H82" s="1878"/>
      <c r="I82" s="1889"/>
      <c r="J82" s="1889"/>
      <c r="K82" s="1889"/>
      <c r="L82" s="1889"/>
      <c r="M82" s="1889"/>
      <c r="N82" s="1889"/>
      <c r="O82" s="1889"/>
      <c r="P82" s="1889"/>
      <c r="Q82" s="1889"/>
      <c r="R82" s="1889"/>
      <c r="S82" s="1889"/>
      <c r="T82" s="1889"/>
      <c r="U82" s="1880"/>
    </row>
    <row r="83" spans="2:22" x14ac:dyDescent="0.25">
      <c r="B83" s="1884" t="s">
        <v>1803</v>
      </c>
      <c r="C83" s="1884"/>
      <c r="D83" s="1884"/>
      <c r="E83" s="1884"/>
      <c r="F83" s="1884"/>
      <c r="G83" s="1884"/>
      <c r="H83" s="1884"/>
      <c r="I83" s="1381"/>
      <c r="J83" s="1381"/>
      <c r="K83" s="1471"/>
      <c r="L83" s="1471"/>
      <c r="M83" s="1471"/>
      <c r="N83" s="1471"/>
      <c r="O83" s="1471"/>
      <c r="P83" s="1471"/>
      <c r="Q83" s="1471"/>
      <c r="R83" s="1471"/>
      <c r="S83" s="1471"/>
      <c r="T83" s="1381"/>
      <c r="U83" s="1472"/>
    </row>
    <row r="84" spans="2:22" x14ac:dyDescent="0.25">
      <c r="B84" s="1746" t="s">
        <v>1799</v>
      </c>
      <c r="C84" s="1746"/>
      <c r="D84" s="1746"/>
      <c r="E84" s="1882" t="s">
        <v>1167</v>
      </c>
      <c r="F84" s="1882"/>
      <c r="G84" s="1771" t="s">
        <v>1299</v>
      </c>
      <c r="H84" s="1771"/>
      <c r="I84" s="1381"/>
      <c r="J84" s="1381"/>
      <c r="K84" s="1473">
        <v>50000</v>
      </c>
      <c r="L84" s="1473"/>
      <c r="M84" s="1473"/>
      <c r="N84" s="1473"/>
      <c r="O84" s="1473"/>
      <c r="P84" s="1473"/>
      <c r="Q84" s="1473"/>
      <c r="R84" s="1473"/>
      <c r="S84" s="1473"/>
      <c r="T84" s="1474"/>
      <c r="U84" s="1475">
        <v>50000</v>
      </c>
      <c r="V84" s="700"/>
    </row>
    <row r="85" spans="2:22" x14ac:dyDescent="0.25">
      <c r="B85" s="1746"/>
      <c r="C85" s="1746"/>
      <c r="D85" s="1746"/>
      <c r="E85" s="1882" t="s">
        <v>1170</v>
      </c>
      <c r="F85" s="1882"/>
      <c r="G85" s="1771" t="s">
        <v>1299</v>
      </c>
      <c r="H85" s="1771"/>
      <c r="I85" s="1381"/>
      <c r="J85" s="1381"/>
      <c r="K85" s="1473">
        <v>123043</v>
      </c>
      <c r="L85" s="792"/>
      <c r="M85" s="792"/>
      <c r="N85" s="792"/>
      <c r="O85" s="1471"/>
      <c r="P85" s="1471"/>
      <c r="Q85" s="1471"/>
      <c r="R85" s="1471"/>
      <c r="S85" s="1471"/>
      <c r="T85" s="1474"/>
      <c r="U85" s="1475">
        <v>123043</v>
      </c>
      <c r="V85" s="700"/>
    </row>
    <row r="86" spans="2:22" x14ac:dyDescent="0.25">
      <c r="B86" s="1883" t="s">
        <v>1804</v>
      </c>
      <c r="C86" s="1883"/>
      <c r="D86" s="1883"/>
      <c r="E86" s="1883"/>
      <c r="F86" s="1883"/>
      <c r="G86" s="1883"/>
      <c r="H86" s="1883"/>
      <c r="I86" s="1381"/>
      <c r="J86" s="1381"/>
      <c r="K86" s="1473"/>
      <c r="L86" s="792"/>
      <c r="M86" s="792"/>
      <c r="N86" s="792"/>
      <c r="O86" s="1471"/>
      <c r="P86" s="1471"/>
      <c r="Q86" s="1471"/>
      <c r="R86" s="1471"/>
      <c r="S86" s="1471"/>
      <c r="T86" s="1474"/>
      <c r="U86" s="1475"/>
      <c r="V86" s="700"/>
    </row>
    <row r="87" spans="2:22" x14ac:dyDescent="0.25">
      <c r="B87" s="1746" t="s">
        <v>1139</v>
      </c>
      <c r="C87" s="1746"/>
      <c r="D87" s="1746"/>
      <c r="E87" s="1882" t="s">
        <v>1139</v>
      </c>
      <c r="F87" s="1882"/>
      <c r="G87" s="1771" t="s">
        <v>1126</v>
      </c>
      <c r="H87" s="1771"/>
      <c r="I87" s="1381"/>
      <c r="J87" s="1381"/>
      <c r="K87" s="1473"/>
      <c r="L87" s="792">
        <v>276726.78000000003</v>
      </c>
      <c r="M87" s="792"/>
      <c r="N87" s="792"/>
      <c r="O87" s="1471"/>
      <c r="P87" s="1471"/>
      <c r="Q87" s="1471"/>
      <c r="R87" s="1471"/>
      <c r="S87" s="1471"/>
      <c r="T87" s="1474"/>
      <c r="U87" s="1475">
        <v>276726.78000000003</v>
      </c>
      <c r="V87" s="700"/>
    </row>
    <row r="88" spans="2:22" x14ac:dyDescent="0.25">
      <c r="B88" s="1746"/>
      <c r="C88" s="1746"/>
      <c r="D88" s="1746"/>
      <c r="E88" s="1882" t="s">
        <v>1775</v>
      </c>
      <c r="F88" s="1882"/>
      <c r="G88" s="1771" t="s">
        <v>1805</v>
      </c>
      <c r="H88" s="1771"/>
      <c r="I88" s="1381"/>
      <c r="J88" s="1381"/>
      <c r="K88" s="1473"/>
      <c r="L88" s="792">
        <v>50000</v>
      </c>
      <c r="M88" s="792"/>
      <c r="N88" s="792"/>
      <c r="O88" s="1471"/>
      <c r="P88" s="1471"/>
      <c r="Q88" s="1471"/>
      <c r="R88" s="1471"/>
      <c r="S88" s="1471"/>
      <c r="T88" s="1474"/>
      <c r="U88" s="1475">
        <v>50000</v>
      </c>
      <c r="V88" s="700"/>
    </row>
    <row r="89" spans="2:22" x14ac:dyDescent="0.25">
      <c r="B89" s="1746"/>
      <c r="C89" s="1746"/>
      <c r="D89" s="1746"/>
      <c r="E89" s="1882" t="s">
        <v>1776</v>
      </c>
      <c r="F89" s="1882"/>
      <c r="G89" s="1771" t="s">
        <v>1126</v>
      </c>
      <c r="H89" s="1771"/>
      <c r="I89" s="1381"/>
      <c r="J89" s="1381"/>
      <c r="K89" s="1473"/>
      <c r="L89" s="792">
        <v>10000</v>
      </c>
      <c r="M89" s="792"/>
      <c r="N89" s="792"/>
      <c r="O89" s="1471"/>
      <c r="P89" s="1471"/>
      <c r="Q89" s="1471"/>
      <c r="R89" s="1471"/>
      <c r="S89" s="1471"/>
      <c r="T89" s="1474"/>
      <c r="U89" s="1475">
        <v>10000</v>
      </c>
      <c r="V89" s="700"/>
    </row>
    <row r="90" spans="2:22" x14ac:dyDescent="0.25">
      <c r="B90" s="1746" t="s">
        <v>1800</v>
      </c>
      <c r="C90" s="1746"/>
      <c r="D90" s="1746"/>
      <c r="E90" s="1882" t="s">
        <v>1531</v>
      </c>
      <c r="F90" s="1882"/>
      <c r="G90" s="1771" t="s">
        <v>1805</v>
      </c>
      <c r="H90" s="1771"/>
      <c r="I90" s="1381"/>
      <c r="J90" s="1381"/>
      <c r="K90" s="1473"/>
      <c r="L90" s="792">
        <v>260000</v>
      </c>
      <c r="M90" s="792"/>
      <c r="N90" s="792"/>
      <c r="O90" s="1471"/>
      <c r="P90" s="1471"/>
      <c r="Q90" s="1471"/>
      <c r="R90" s="1471"/>
      <c r="S90" s="1471"/>
      <c r="T90" s="1474"/>
      <c r="U90" s="1475">
        <v>260000</v>
      </c>
      <c r="V90" s="700"/>
    </row>
    <row r="91" spans="2:22" x14ac:dyDescent="0.25">
      <c r="B91" s="1746"/>
      <c r="C91" s="1746"/>
      <c r="D91" s="1746"/>
      <c r="E91" s="1882" t="s">
        <v>1143</v>
      </c>
      <c r="F91" s="1882"/>
      <c r="G91" s="1771" t="s">
        <v>1805</v>
      </c>
      <c r="H91" s="1771"/>
      <c r="I91" s="1381"/>
      <c r="J91" s="1381"/>
      <c r="K91" s="1473"/>
      <c r="L91" s="792">
        <v>125000</v>
      </c>
      <c r="M91" s="792"/>
      <c r="N91" s="792"/>
      <c r="O91" s="1471"/>
      <c r="P91" s="1471"/>
      <c r="Q91" s="1471"/>
      <c r="R91" s="1471"/>
      <c r="S91" s="1471"/>
      <c r="T91" s="1474"/>
      <c r="U91" s="1475">
        <v>125000</v>
      </c>
      <c r="V91" s="700"/>
    </row>
    <row r="92" spans="2:22" x14ac:dyDescent="0.25">
      <c r="B92" s="1746" t="s">
        <v>1686</v>
      </c>
      <c r="C92" s="1746"/>
      <c r="D92" s="1746"/>
      <c r="E92" s="1882" t="s">
        <v>1777</v>
      </c>
      <c r="F92" s="1882"/>
      <c r="G92" s="1771" t="s">
        <v>1126</v>
      </c>
      <c r="H92" s="1771"/>
      <c r="I92" s="1381"/>
      <c r="J92" s="1381"/>
      <c r="K92" s="1473"/>
      <c r="L92" s="792">
        <v>132000</v>
      </c>
      <c r="M92" s="792"/>
      <c r="N92" s="792"/>
      <c r="O92" s="1471"/>
      <c r="P92" s="1471"/>
      <c r="Q92" s="1471"/>
      <c r="R92" s="1471"/>
      <c r="S92" s="1471"/>
      <c r="T92" s="1474"/>
      <c r="U92" s="1475">
        <v>132000</v>
      </c>
      <c r="V92" s="700"/>
    </row>
    <row r="93" spans="2:22" x14ac:dyDescent="0.25">
      <c r="B93" s="1746"/>
      <c r="C93" s="1746"/>
      <c r="D93" s="1746"/>
      <c r="E93" s="1882" t="s">
        <v>1778</v>
      </c>
      <c r="F93" s="1882"/>
      <c r="G93" s="1771" t="s">
        <v>1126</v>
      </c>
      <c r="H93" s="1771"/>
      <c r="I93" s="1381"/>
      <c r="J93" s="1381"/>
      <c r="K93" s="1473"/>
      <c r="L93" s="792">
        <v>4000</v>
      </c>
      <c r="M93" s="792"/>
      <c r="N93" s="792"/>
      <c r="O93" s="1471"/>
      <c r="P93" s="1471"/>
      <c r="Q93" s="1471"/>
      <c r="R93" s="1471"/>
      <c r="S93" s="1471"/>
      <c r="T93" s="1474"/>
      <c r="U93" s="1475">
        <v>4000</v>
      </c>
      <c r="V93" s="700"/>
    </row>
    <row r="94" spans="2:22" x14ac:dyDescent="0.25">
      <c r="B94" s="1746" t="s">
        <v>1007</v>
      </c>
      <c r="C94" s="1746"/>
      <c r="D94" s="1746"/>
      <c r="E94" s="1882" t="s">
        <v>1286</v>
      </c>
      <c r="F94" s="1882"/>
      <c r="G94" s="1771" t="s">
        <v>892</v>
      </c>
      <c r="H94" s="1771"/>
      <c r="I94" s="1381"/>
      <c r="J94" s="1381"/>
      <c r="K94" s="1473"/>
      <c r="L94" s="792">
        <v>29263</v>
      </c>
      <c r="M94" s="792"/>
      <c r="N94" s="792"/>
      <c r="O94" s="1471"/>
      <c r="P94" s="1471"/>
      <c r="Q94" s="1471"/>
      <c r="R94" s="1471"/>
      <c r="S94" s="1471"/>
      <c r="T94" s="1474"/>
      <c r="U94" s="1475">
        <v>29263</v>
      </c>
      <c r="V94" s="700"/>
    </row>
    <row r="95" spans="2:22" x14ac:dyDescent="0.25">
      <c r="B95" s="1746"/>
      <c r="C95" s="1746"/>
      <c r="D95" s="1746"/>
      <c r="E95" s="1882" t="s">
        <v>1285</v>
      </c>
      <c r="F95" s="1882"/>
      <c r="G95" s="1771" t="s">
        <v>1126</v>
      </c>
      <c r="H95" s="1771"/>
      <c r="I95" s="1381"/>
      <c r="J95" s="1381"/>
      <c r="K95" s="1473"/>
      <c r="L95" s="792">
        <v>43748</v>
      </c>
      <c r="M95" s="792"/>
      <c r="N95" s="792"/>
      <c r="O95" s="1471"/>
      <c r="P95" s="1471"/>
      <c r="Q95" s="1471"/>
      <c r="R95" s="1471"/>
      <c r="S95" s="1471"/>
      <c r="T95" s="1474"/>
      <c r="U95" s="1475">
        <v>43748</v>
      </c>
      <c r="V95" s="700"/>
    </row>
    <row r="96" spans="2:22" x14ac:dyDescent="0.25">
      <c r="B96" s="1883" t="s">
        <v>1806</v>
      </c>
      <c r="C96" s="1883"/>
      <c r="D96" s="1883"/>
      <c r="E96" s="1883"/>
      <c r="F96" s="1883"/>
      <c r="G96" s="1883"/>
      <c r="H96" s="1883"/>
      <c r="I96" s="1381"/>
      <c r="J96" s="1381"/>
      <c r="K96" s="1473"/>
      <c r="L96" s="733"/>
      <c r="M96" s="792"/>
      <c r="N96" s="792"/>
      <c r="O96" s="1471"/>
      <c r="P96" s="1471"/>
      <c r="Q96" s="1471"/>
      <c r="R96" s="1471"/>
      <c r="S96" s="1471"/>
      <c r="T96" s="1474"/>
      <c r="U96" s="1475"/>
      <c r="V96" s="700"/>
    </row>
    <row r="97" spans="2:22" x14ac:dyDescent="0.25">
      <c r="B97" s="1746" t="s">
        <v>1801</v>
      </c>
      <c r="C97" s="1746"/>
      <c r="D97" s="1746"/>
      <c r="E97" s="1882" t="s">
        <v>1218</v>
      </c>
      <c r="F97" s="1882"/>
      <c r="G97" s="1771" t="s">
        <v>1318</v>
      </c>
      <c r="H97" s="1771"/>
      <c r="I97" s="1381"/>
      <c r="J97" s="1381"/>
      <c r="K97" s="1473">
        <v>4518</v>
      </c>
      <c r="L97" s="1476"/>
      <c r="M97" s="1471"/>
      <c r="N97" s="1471"/>
      <c r="O97" s="1471"/>
      <c r="P97" s="1471"/>
      <c r="Q97" s="1471"/>
      <c r="R97" s="1471"/>
      <c r="S97" s="1471"/>
      <c r="T97" s="1474"/>
      <c r="U97" s="1475">
        <v>4518</v>
      </c>
      <c r="V97" s="700"/>
    </row>
    <row r="98" spans="2:22" x14ac:dyDescent="0.25">
      <c r="B98" s="1746"/>
      <c r="C98" s="1746"/>
      <c r="D98" s="1746"/>
      <c r="E98" s="1882" t="s">
        <v>1312</v>
      </c>
      <c r="F98" s="1882"/>
      <c r="G98" s="1771" t="s">
        <v>1318</v>
      </c>
      <c r="H98" s="1771"/>
      <c r="I98" s="1381"/>
      <c r="J98" s="1381"/>
      <c r="K98" s="1473">
        <v>4518</v>
      </c>
      <c r="L98" s="1476"/>
      <c r="M98" s="1471"/>
      <c r="N98" s="1471"/>
      <c r="O98" s="1471"/>
      <c r="P98" s="1471"/>
      <c r="Q98" s="1471"/>
      <c r="R98" s="1471"/>
      <c r="S98" s="1471"/>
      <c r="T98" s="1474"/>
      <c r="U98" s="1475">
        <v>4518</v>
      </c>
      <c r="V98" s="700"/>
    </row>
    <row r="99" spans="2:22" x14ac:dyDescent="0.25">
      <c r="B99" s="1746"/>
      <c r="C99" s="1746"/>
      <c r="D99" s="1746"/>
      <c r="E99" s="1882" t="s">
        <v>1313</v>
      </c>
      <c r="F99" s="1882"/>
      <c r="G99" s="1771" t="s">
        <v>1318</v>
      </c>
      <c r="H99" s="1771"/>
      <c r="I99" s="1381"/>
      <c r="J99" s="1381"/>
      <c r="K99" s="1473">
        <v>4518</v>
      </c>
      <c r="L99" s="733"/>
      <c r="M99" s="1471"/>
      <c r="N99" s="1471"/>
      <c r="O99" s="1471"/>
      <c r="P99" s="1471"/>
      <c r="Q99" s="1471"/>
      <c r="R99" s="1471"/>
      <c r="S99" s="1471"/>
      <c r="T99" s="1474"/>
      <c r="U99" s="1475">
        <v>4518</v>
      </c>
      <c r="V99" s="700"/>
    </row>
    <row r="100" spans="2:22" x14ac:dyDescent="0.25">
      <c r="B100" s="1746"/>
      <c r="C100" s="1746"/>
      <c r="D100" s="1746"/>
      <c r="E100" s="1882" t="s">
        <v>1314</v>
      </c>
      <c r="F100" s="1882"/>
      <c r="G100" s="1771" t="s">
        <v>1318</v>
      </c>
      <c r="H100" s="1771"/>
      <c r="I100" s="1381"/>
      <c r="J100" s="1381"/>
      <c r="K100" s="1473">
        <v>4518</v>
      </c>
      <c r="L100" s="733"/>
      <c r="M100" s="1471"/>
      <c r="N100" s="1471"/>
      <c r="O100" s="1471"/>
      <c r="P100" s="1471"/>
      <c r="Q100" s="1471"/>
      <c r="R100" s="1471"/>
      <c r="S100" s="1471"/>
      <c r="T100" s="1474"/>
      <c r="U100" s="1475">
        <v>4518</v>
      </c>
      <c r="V100" s="700"/>
    </row>
    <row r="101" spans="2:22" x14ac:dyDescent="0.25">
      <c r="B101" s="1746"/>
      <c r="C101" s="1746"/>
      <c r="D101" s="1746"/>
      <c r="E101" s="1882" t="s">
        <v>1315</v>
      </c>
      <c r="F101" s="1882"/>
      <c r="G101" s="1771" t="s">
        <v>1318</v>
      </c>
      <c r="H101" s="1771"/>
      <c r="I101" s="1381"/>
      <c r="J101" s="1381"/>
      <c r="K101" s="1473">
        <v>4518</v>
      </c>
      <c r="L101" s="733"/>
      <c r="M101" s="1471"/>
      <c r="N101" s="1471"/>
      <c r="O101" s="1471"/>
      <c r="P101" s="1471"/>
      <c r="Q101" s="1471"/>
      <c r="R101" s="1471"/>
      <c r="S101" s="1471"/>
      <c r="T101" s="1474"/>
      <c r="U101" s="1475">
        <v>4518</v>
      </c>
      <c r="V101" s="700"/>
    </row>
    <row r="102" spans="2:22" x14ac:dyDescent="0.25">
      <c r="B102" s="1746"/>
      <c r="C102" s="1746"/>
      <c r="D102" s="1746"/>
      <c r="E102" s="1882" t="s">
        <v>1316</v>
      </c>
      <c r="F102" s="1882"/>
      <c r="G102" s="1771" t="s">
        <v>1318</v>
      </c>
      <c r="H102" s="1771"/>
      <c r="I102" s="1381"/>
      <c r="J102" s="1381"/>
      <c r="K102" s="1473">
        <v>4518</v>
      </c>
      <c r="L102" s="733"/>
      <c r="M102" s="1471"/>
      <c r="N102" s="1471"/>
      <c r="O102" s="1471"/>
      <c r="P102" s="1471"/>
      <c r="Q102" s="1471"/>
      <c r="R102" s="1471"/>
      <c r="S102" s="1471"/>
      <c r="T102" s="1474"/>
      <c r="U102" s="1475">
        <v>4518</v>
      </c>
      <c r="V102" s="700"/>
    </row>
    <row r="103" spans="2:22" x14ac:dyDescent="0.25">
      <c r="B103" s="1746" t="s">
        <v>1635</v>
      </c>
      <c r="C103" s="1746"/>
      <c r="D103" s="1746"/>
      <c r="E103" s="1882" t="s">
        <v>1222</v>
      </c>
      <c r="F103" s="1882"/>
      <c r="G103" s="1771" t="s">
        <v>1318</v>
      </c>
      <c r="H103" s="1771"/>
      <c r="I103" s="1381"/>
      <c r="J103" s="1381"/>
      <c r="K103" s="1473">
        <v>18380</v>
      </c>
      <c r="L103" s="733"/>
      <c r="M103" s="1471"/>
      <c r="N103" s="1471"/>
      <c r="O103" s="1471"/>
      <c r="P103" s="1471"/>
      <c r="Q103" s="1471"/>
      <c r="R103" s="1471"/>
      <c r="S103" s="1471"/>
      <c r="T103" s="1474"/>
      <c r="U103" s="1475">
        <v>18380</v>
      </c>
      <c r="V103" s="700"/>
    </row>
    <row r="104" spans="2:22" x14ac:dyDescent="0.25">
      <c r="B104" s="1746"/>
      <c r="C104" s="1746"/>
      <c r="D104" s="1746"/>
      <c r="E104" s="1882" t="s">
        <v>1320</v>
      </c>
      <c r="F104" s="1882"/>
      <c r="G104" s="1771" t="s">
        <v>1318</v>
      </c>
      <c r="H104" s="1771"/>
      <c r="I104" s="1381"/>
      <c r="J104" s="1381"/>
      <c r="K104" s="1473">
        <v>46480</v>
      </c>
      <c r="L104" s="733"/>
      <c r="M104" s="1471"/>
      <c r="N104" s="1471"/>
      <c r="O104" s="1471"/>
      <c r="P104" s="1471"/>
      <c r="Q104" s="1471"/>
      <c r="R104" s="1471"/>
      <c r="S104" s="1471"/>
      <c r="T104" s="1474"/>
      <c r="U104" s="1475">
        <v>46480</v>
      </c>
      <c r="V104" s="700"/>
    </row>
    <row r="105" spans="2:22" ht="24" customHeight="1" x14ac:dyDescent="0.25">
      <c r="B105" s="1883" t="s">
        <v>1807</v>
      </c>
      <c r="C105" s="1883"/>
      <c r="D105" s="1883"/>
      <c r="E105" s="1883"/>
      <c r="F105" s="1883"/>
      <c r="G105" s="1883"/>
      <c r="H105" s="1883"/>
      <c r="I105" s="1381"/>
      <c r="J105" s="1381"/>
      <c r="K105" s="1473"/>
      <c r="L105" s="733"/>
      <c r="M105" s="1471"/>
      <c r="N105" s="1471"/>
      <c r="O105" s="1471"/>
      <c r="P105" s="1471"/>
      <c r="Q105" s="1471"/>
      <c r="R105" s="1471"/>
      <c r="S105" s="1471"/>
      <c r="T105" s="1474"/>
      <c r="U105" s="1475"/>
      <c r="V105" s="700"/>
    </row>
    <row r="106" spans="2:22" x14ac:dyDescent="0.25">
      <c r="B106" s="1746" t="s">
        <v>1058</v>
      </c>
      <c r="C106" s="1746"/>
      <c r="D106" s="1746"/>
      <c r="E106" s="1882" t="s">
        <v>1002</v>
      </c>
      <c r="F106" s="1882"/>
      <c r="G106" s="1771" t="s">
        <v>1324</v>
      </c>
      <c r="H106" s="1771"/>
      <c r="I106" s="1381"/>
      <c r="J106" s="1381"/>
      <c r="K106" s="1473">
        <v>35501</v>
      </c>
      <c r="L106" s="1476"/>
      <c r="M106" s="1471"/>
      <c r="N106" s="1471"/>
      <c r="O106" s="1471"/>
      <c r="P106" s="1471"/>
      <c r="Q106" s="1471"/>
      <c r="R106" s="1471"/>
      <c r="S106" s="1471"/>
      <c r="T106" s="1474"/>
      <c r="U106" s="1475">
        <v>35501</v>
      </c>
      <c r="V106" s="700"/>
    </row>
    <row r="107" spans="2:22" x14ac:dyDescent="0.25">
      <c r="B107" s="1746"/>
      <c r="C107" s="1746"/>
      <c r="D107" s="1746"/>
      <c r="E107" s="1882" t="s">
        <v>1004</v>
      </c>
      <c r="F107" s="1882"/>
      <c r="G107" s="1771" t="s">
        <v>1324</v>
      </c>
      <c r="H107" s="1771"/>
      <c r="I107" s="1381"/>
      <c r="J107" s="1381"/>
      <c r="K107" s="1473">
        <v>162000</v>
      </c>
      <c r="L107" s="733"/>
      <c r="M107" s="1471"/>
      <c r="N107" s="1471"/>
      <c r="O107" s="1471"/>
      <c r="P107" s="1471"/>
      <c r="Q107" s="1471"/>
      <c r="R107" s="1471"/>
      <c r="S107" s="1477"/>
      <c r="T107" s="1474"/>
      <c r="U107" s="1475">
        <v>162000</v>
      </c>
      <c r="V107" s="700"/>
    </row>
    <row r="108" spans="2:22" x14ac:dyDescent="0.25">
      <c r="B108" s="1746"/>
      <c r="C108" s="1746"/>
      <c r="D108" s="1746"/>
      <c r="E108" s="1882" t="s">
        <v>1323</v>
      </c>
      <c r="F108" s="1882"/>
      <c r="G108" s="1771" t="s">
        <v>1324</v>
      </c>
      <c r="H108" s="1771"/>
      <c r="I108" s="1381"/>
      <c r="J108" s="1381"/>
      <c r="K108" s="1473">
        <v>393200</v>
      </c>
      <c r="L108" s="1478"/>
      <c r="M108" s="1478"/>
      <c r="N108" s="1478"/>
      <c r="O108" s="1478"/>
      <c r="P108" s="1478"/>
      <c r="Q108" s="1478"/>
      <c r="R108" s="1478"/>
      <c r="S108" s="1478"/>
      <c r="T108" s="1474"/>
      <c r="U108" s="1475">
        <v>393200</v>
      </c>
      <c r="V108" s="700"/>
    </row>
    <row r="109" spans="2:22" x14ac:dyDescent="0.25">
      <c r="B109" s="1746"/>
      <c r="C109" s="1746"/>
      <c r="D109" s="1746"/>
      <c r="E109" s="1882" t="s">
        <v>1005</v>
      </c>
      <c r="F109" s="1882"/>
      <c r="G109" s="1771" t="s">
        <v>1324</v>
      </c>
      <c r="H109" s="1771"/>
      <c r="I109" s="1381"/>
      <c r="J109" s="1381"/>
      <c r="K109" s="1473">
        <v>20400</v>
      </c>
      <c r="L109" s="1476"/>
      <c r="M109" s="1473"/>
      <c r="N109" s="1471"/>
      <c r="O109" s="1471"/>
      <c r="P109" s="1471"/>
      <c r="Q109" s="1471"/>
      <c r="R109" s="1471"/>
      <c r="S109" s="1471"/>
      <c r="T109" s="1474"/>
      <c r="U109" s="1475">
        <v>20400</v>
      </c>
      <c r="V109" s="700"/>
    </row>
    <row r="110" spans="2:22" x14ac:dyDescent="0.25">
      <c r="B110" s="1746"/>
      <c r="C110" s="1746"/>
      <c r="D110" s="1746"/>
      <c r="E110" s="1882" t="s">
        <v>1006</v>
      </c>
      <c r="F110" s="1882"/>
      <c r="G110" s="1771" t="s">
        <v>1324</v>
      </c>
      <c r="H110" s="1771"/>
      <c r="I110" s="1381"/>
      <c r="J110" s="1381"/>
      <c r="K110" s="1473">
        <v>15400</v>
      </c>
      <c r="L110" s="1476"/>
      <c r="M110" s="1471"/>
      <c r="N110" s="1471"/>
      <c r="O110" s="1471"/>
      <c r="P110" s="1471"/>
      <c r="Q110" s="1471"/>
      <c r="R110" s="1471"/>
      <c r="S110" s="1471"/>
      <c r="T110" s="1474"/>
      <c r="U110" s="1475">
        <v>15400</v>
      </c>
      <c r="V110" s="700"/>
    </row>
    <row r="111" spans="2:22" x14ac:dyDescent="0.25">
      <c r="B111" s="1746" t="s">
        <v>1637</v>
      </c>
      <c r="C111" s="1746"/>
      <c r="D111" s="1746"/>
      <c r="E111" s="1882" t="s">
        <v>1146</v>
      </c>
      <c r="F111" s="1882"/>
      <c r="G111" s="1771" t="s">
        <v>1318</v>
      </c>
      <c r="H111" s="1771"/>
      <c r="I111" s="1381"/>
      <c r="J111" s="1381"/>
      <c r="K111" s="1473"/>
      <c r="L111" s="1473">
        <v>72400</v>
      </c>
      <c r="M111" s="733"/>
      <c r="N111" s="1471"/>
      <c r="O111" s="1471"/>
      <c r="P111" s="733"/>
      <c r="Q111" s="1473">
        <v>72400</v>
      </c>
      <c r="R111" s="1471"/>
      <c r="S111" s="1474"/>
      <c r="T111" s="1381"/>
      <c r="U111" s="1475">
        <v>144800</v>
      </c>
      <c r="V111" s="700"/>
    </row>
    <row r="112" spans="2:22" x14ac:dyDescent="0.25">
      <c r="B112" s="1746"/>
      <c r="C112" s="1746"/>
      <c r="D112" s="1746"/>
      <c r="E112" s="1882" t="s">
        <v>1147</v>
      </c>
      <c r="F112" s="1882"/>
      <c r="G112" s="1771" t="s">
        <v>1318</v>
      </c>
      <c r="H112" s="1771"/>
      <c r="I112" s="1381"/>
      <c r="J112" s="1381"/>
      <c r="K112" s="1473"/>
      <c r="L112" s="1471"/>
      <c r="M112" s="1473">
        <v>54125</v>
      </c>
      <c r="N112" s="1476"/>
      <c r="O112" s="1471"/>
      <c r="P112" s="1471"/>
      <c r="Q112" s="1476"/>
      <c r="R112" s="1473">
        <v>54125</v>
      </c>
      <c r="S112" s="1474"/>
      <c r="T112" s="1381"/>
      <c r="U112" s="1475">
        <v>108250</v>
      </c>
      <c r="V112" s="700"/>
    </row>
    <row r="113" spans="2:22" x14ac:dyDescent="0.25">
      <c r="B113" s="1746"/>
      <c r="C113" s="1746"/>
      <c r="D113" s="1746"/>
      <c r="E113" s="1882" t="s">
        <v>1148</v>
      </c>
      <c r="F113" s="1882"/>
      <c r="G113" s="1771" t="s">
        <v>1318</v>
      </c>
      <c r="H113" s="1771"/>
      <c r="I113" s="1381"/>
      <c r="J113" s="1381"/>
      <c r="K113" s="1473"/>
      <c r="L113" s="1479"/>
      <c r="M113" s="1471"/>
      <c r="N113" s="1473">
        <v>50585.3</v>
      </c>
      <c r="O113" s="1479"/>
      <c r="P113" s="1471"/>
      <c r="Q113" s="1471"/>
      <c r="R113" s="1479"/>
      <c r="S113" s="1474">
        <v>50585.3</v>
      </c>
      <c r="T113" s="1381"/>
      <c r="U113" s="1475">
        <v>101170.6</v>
      </c>
      <c r="V113" s="700"/>
    </row>
    <row r="114" spans="2:22" x14ac:dyDescent="0.25">
      <c r="B114" s="1882" t="s">
        <v>1802</v>
      </c>
      <c r="C114" s="1882"/>
      <c r="D114" s="1882"/>
      <c r="E114" s="1882" t="s">
        <v>1128</v>
      </c>
      <c r="F114" s="1882"/>
      <c r="G114" s="1771" t="s">
        <v>1318</v>
      </c>
      <c r="H114" s="1771"/>
      <c r="I114" s="1381"/>
      <c r="J114" s="1381"/>
      <c r="K114" s="1473"/>
      <c r="L114" s="733">
        <v>28419.7</v>
      </c>
      <c r="M114" s="733"/>
      <c r="N114" s="733"/>
      <c r="O114" s="733"/>
      <c r="P114" s="733"/>
      <c r="Q114" s="733">
        <v>28419.7</v>
      </c>
      <c r="R114" s="733"/>
      <c r="S114" s="1474"/>
      <c r="T114" s="1381"/>
      <c r="U114" s="1475">
        <v>56839.4</v>
      </c>
      <c r="V114" s="700"/>
    </row>
    <row r="115" spans="2:22" x14ac:dyDescent="0.25">
      <c r="B115" s="1882"/>
      <c r="C115" s="1882"/>
      <c r="D115" s="1882"/>
      <c r="E115" s="1882" t="s">
        <v>1133</v>
      </c>
      <c r="F115" s="1882"/>
      <c r="G115" s="1771" t="s">
        <v>1318</v>
      </c>
      <c r="H115" s="1771"/>
      <c r="I115" s="1381"/>
      <c r="J115" s="1381"/>
      <c r="K115" s="1473"/>
      <c r="L115" s="1480"/>
      <c r="M115" s="733">
        <v>64431.5</v>
      </c>
      <c r="N115" s="733"/>
      <c r="O115" s="1480"/>
      <c r="P115" s="733"/>
      <c r="Q115" s="733"/>
      <c r="R115" s="1473">
        <v>64431.5</v>
      </c>
      <c r="S115" s="1474"/>
      <c r="T115" s="1381"/>
      <c r="U115" s="1475">
        <v>128863</v>
      </c>
      <c r="V115" s="700"/>
    </row>
    <row r="116" spans="2:22" x14ac:dyDescent="0.25">
      <c r="B116" s="1882"/>
      <c r="C116" s="1882"/>
      <c r="D116" s="1882"/>
      <c r="E116" s="1882" t="s">
        <v>1129</v>
      </c>
      <c r="F116" s="1882"/>
      <c r="G116" s="1771" t="s">
        <v>1318</v>
      </c>
      <c r="H116" s="1771"/>
      <c r="I116" s="1381"/>
      <c r="J116" s="1381"/>
      <c r="K116" s="1473"/>
      <c r="L116" s="733"/>
      <c r="M116" s="733"/>
      <c r="N116" s="733">
        <v>33950</v>
      </c>
      <c r="O116" s="733"/>
      <c r="P116" s="733"/>
      <c r="Q116" s="733"/>
      <c r="R116" s="733"/>
      <c r="S116" s="1474">
        <v>33950</v>
      </c>
      <c r="T116" s="1381"/>
      <c r="U116" s="1475">
        <v>67900</v>
      </c>
      <c r="V116" s="700"/>
    </row>
    <row r="117" spans="2:22" s="1029" customFormat="1" x14ac:dyDescent="0.25">
      <c r="B117" s="1746" t="s">
        <v>1639</v>
      </c>
      <c r="C117" s="1746"/>
      <c r="D117" s="1746"/>
      <c r="E117" s="1882" t="s">
        <v>1779</v>
      </c>
      <c r="F117" s="1882"/>
      <c r="G117" s="1771" t="s">
        <v>1324</v>
      </c>
      <c r="H117" s="1771"/>
      <c r="I117" s="1381"/>
      <c r="J117" s="1381"/>
      <c r="K117" s="1473">
        <v>18000</v>
      </c>
      <c r="L117" s="733"/>
      <c r="M117" s="733"/>
      <c r="N117" s="733"/>
      <c r="O117" s="733"/>
      <c r="P117" s="733"/>
      <c r="Q117" s="733"/>
      <c r="R117" s="733"/>
      <c r="S117" s="1471"/>
      <c r="T117" s="1474"/>
      <c r="U117" s="1481">
        <v>18000</v>
      </c>
      <c r="V117" s="1482"/>
    </row>
    <row r="118" spans="2:22" s="1029" customFormat="1" x14ac:dyDescent="0.25">
      <c r="B118" s="1381" t="s">
        <v>1808</v>
      </c>
      <c r="C118" s="1381"/>
      <c r="D118" s="1381"/>
      <c r="E118" s="1882" t="s">
        <v>1780</v>
      </c>
      <c r="F118" s="1882"/>
      <c r="G118" s="1771" t="s">
        <v>1126</v>
      </c>
      <c r="H118" s="1771"/>
      <c r="I118" s="1381"/>
      <c r="J118" s="1381"/>
      <c r="K118" s="1473">
        <v>20000</v>
      </c>
      <c r="L118" s="733"/>
      <c r="M118" s="733"/>
      <c r="N118" s="733"/>
      <c r="O118" s="733"/>
      <c r="P118" s="733"/>
      <c r="Q118" s="733"/>
      <c r="R118" s="733"/>
      <c r="S118" s="733"/>
      <c r="T118" s="1474">
        <v>20000</v>
      </c>
      <c r="U118" s="1481">
        <v>40000</v>
      </c>
      <c r="V118" s="1482"/>
    </row>
    <row r="119" spans="2:22" s="1029" customFormat="1" x14ac:dyDescent="0.25">
      <c r="B119" s="1381" t="s">
        <v>849</v>
      </c>
      <c r="C119" s="1381"/>
      <c r="D119" s="1381"/>
      <c r="E119" s="1882" t="s">
        <v>849</v>
      </c>
      <c r="F119" s="1882"/>
      <c r="G119" s="1771" t="s">
        <v>1809</v>
      </c>
      <c r="H119" s="1771"/>
      <c r="I119" s="1381"/>
      <c r="J119" s="1381"/>
      <c r="K119" s="1473">
        <v>14000</v>
      </c>
      <c r="L119" s="1473">
        <v>14000</v>
      </c>
      <c r="M119" s="1473">
        <v>14000</v>
      </c>
      <c r="N119" s="1473">
        <v>14000</v>
      </c>
      <c r="O119" s="1473">
        <v>14000</v>
      </c>
      <c r="P119" s="1473">
        <v>14000</v>
      </c>
      <c r="Q119" s="1473">
        <v>14000</v>
      </c>
      <c r="R119" s="1473">
        <v>14000</v>
      </c>
      <c r="S119" s="1473">
        <v>14000</v>
      </c>
      <c r="T119" s="1473">
        <v>14000</v>
      </c>
      <c r="U119" s="1481">
        <v>140000</v>
      </c>
      <c r="V119" s="1482"/>
    </row>
    <row r="120" spans="2:22" s="1029" customFormat="1" x14ac:dyDescent="0.25">
      <c r="B120" s="1381" t="s">
        <v>1810</v>
      </c>
      <c r="C120" s="1381" t="s">
        <v>1799</v>
      </c>
      <c r="D120" s="1381"/>
      <c r="E120" s="1882" t="s">
        <v>1781</v>
      </c>
      <c r="F120" s="1882"/>
      <c r="G120" s="1771" t="s">
        <v>1809</v>
      </c>
      <c r="H120" s="1771"/>
      <c r="I120" s="1381"/>
      <c r="J120" s="1381"/>
      <c r="K120" s="1473">
        <v>10000</v>
      </c>
      <c r="L120" s="733"/>
      <c r="M120" s="733"/>
      <c r="N120" s="733"/>
      <c r="O120" s="733"/>
      <c r="P120" s="733"/>
      <c r="Q120" s="733"/>
      <c r="R120" s="733"/>
      <c r="S120" s="733"/>
      <c r="T120" s="1474">
        <v>10000</v>
      </c>
      <c r="U120" s="1481">
        <v>20000</v>
      </c>
      <c r="V120" s="1482"/>
    </row>
    <row r="121" spans="2:22" x14ac:dyDescent="0.25"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470">
        <v>2648072.7799999998</v>
      </c>
      <c r="V121" s="700"/>
    </row>
    <row r="124" spans="2:22" ht="25.5" x14ac:dyDescent="0.25">
      <c r="B124" s="1881" t="s">
        <v>1812</v>
      </c>
      <c r="C124" s="1881"/>
      <c r="D124" s="1483" t="s">
        <v>1813</v>
      </c>
      <c r="E124" s="1483" t="s">
        <v>1814</v>
      </c>
      <c r="F124" s="1483" t="s">
        <v>1815</v>
      </c>
      <c r="G124" s="1483" t="s">
        <v>1816</v>
      </c>
      <c r="H124" s="1483" t="s">
        <v>1817</v>
      </c>
      <c r="I124" s="1483" t="s">
        <v>1818</v>
      </c>
      <c r="J124" s="1483" t="s">
        <v>1819</v>
      </c>
      <c r="K124" s="1483" t="s">
        <v>1820</v>
      </c>
      <c r="L124" s="1483" t="s">
        <v>1821</v>
      </c>
      <c r="M124" s="1483" t="s">
        <v>1822</v>
      </c>
      <c r="N124" s="1483" t="s">
        <v>1823</v>
      </c>
      <c r="O124" s="1483" t="s">
        <v>1824</v>
      </c>
      <c r="P124" s="1484" t="s">
        <v>1825</v>
      </c>
    </row>
    <row r="125" spans="2:22" x14ac:dyDescent="0.25">
      <c r="B125" s="1879" t="s">
        <v>1546</v>
      </c>
      <c r="C125" s="1879"/>
      <c r="D125" s="1471"/>
      <c r="E125" s="1471"/>
      <c r="F125" s="1485">
        <v>4152</v>
      </c>
      <c r="G125" s="1485">
        <v>4152</v>
      </c>
      <c r="H125" s="1485">
        <v>4152</v>
      </c>
      <c r="I125" s="1485">
        <v>4152</v>
      </c>
      <c r="J125" s="1485">
        <v>4152</v>
      </c>
      <c r="K125" s="1485">
        <v>4152</v>
      </c>
      <c r="L125" s="1485">
        <v>4152</v>
      </c>
      <c r="M125" s="1485">
        <v>4152</v>
      </c>
      <c r="N125" s="1485">
        <v>4152</v>
      </c>
      <c r="O125" s="1485">
        <v>4152</v>
      </c>
      <c r="P125" s="1485">
        <v>41520</v>
      </c>
    </row>
    <row r="126" spans="2:22" x14ac:dyDescent="0.25">
      <c r="B126" s="1879" t="s">
        <v>1547</v>
      </c>
      <c r="C126" s="1879"/>
      <c r="D126" s="1485">
        <v>45000</v>
      </c>
      <c r="E126" s="1485">
        <v>45000</v>
      </c>
      <c r="F126" s="1381"/>
      <c r="G126" s="1381"/>
      <c r="H126" s="1381"/>
      <c r="I126" s="1381"/>
      <c r="J126" s="1381"/>
      <c r="K126" s="1381"/>
      <c r="L126" s="1381"/>
      <c r="M126" s="1485"/>
      <c r="N126" s="1471"/>
      <c r="O126" s="1471"/>
      <c r="P126" s="1485">
        <v>90000</v>
      </c>
    </row>
    <row r="127" spans="2:22" x14ac:dyDescent="0.25">
      <c r="B127" s="1879" t="s">
        <v>1548</v>
      </c>
      <c r="C127" s="1879"/>
      <c r="D127" s="1471"/>
      <c r="E127" s="1471"/>
      <c r="F127" s="1485">
        <v>25143.41</v>
      </c>
      <c r="G127" s="1485">
        <v>25143.41</v>
      </c>
      <c r="H127" s="1485">
        <v>25143.41</v>
      </c>
      <c r="I127" s="1485">
        <v>25143.41</v>
      </c>
      <c r="J127" s="1485">
        <v>25143.41</v>
      </c>
      <c r="K127" s="1485">
        <v>25143.41</v>
      </c>
      <c r="L127" s="1485">
        <v>25143.41</v>
      </c>
      <c r="M127" s="1485">
        <v>25143.41</v>
      </c>
      <c r="N127" s="1485">
        <v>25143.41</v>
      </c>
      <c r="O127" s="1485">
        <v>25143.41</v>
      </c>
      <c r="P127" s="1485">
        <v>251434.1</v>
      </c>
    </row>
    <row r="128" spans="2:22" x14ac:dyDescent="0.25">
      <c r="B128" s="1879" t="s">
        <v>702</v>
      </c>
      <c r="C128" s="1879"/>
      <c r="D128" s="1485"/>
      <c r="E128" s="1381"/>
      <c r="F128" s="1381"/>
      <c r="G128" s="1381"/>
      <c r="H128" s="1381"/>
      <c r="I128" s="1381"/>
      <c r="J128" s="1381"/>
      <c r="K128" s="1381"/>
      <c r="L128" s="1485"/>
      <c r="M128" s="1471"/>
      <c r="N128" s="1471"/>
      <c r="O128" s="1485">
        <v>30000</v>
      </c>
      <c r="P128" s="1485">
        <v>30000</v>
      </c>
    </row>
    <row r="129" spans="2:22" x14ac:dyDescent="0.25">
      <c r="B129" s="1879" t="s">
        <v>1545</v>
      </c>
      <c r="C129" s="1879"/>
      <c r="D129" s="1471"/>
      <c r="E129" s="1471"/>
      <c r="F129" s="1480">
        <v>186017.75</v>
      </c>
      <c r="G129" s="1480">
        <v>186017.75</v>
      </c>
      <c r="H129" s="1480">
        <v>186017.75</v>
      </c>
      <c r="I129" s="1480">
        <v>186017.75</v>
      </c>
      <c r="J129" s="1480">
        <v>186017.75</v>
      </c>
      <c r="K129" s="1480">
        <v>186017.75</v>
      </c>
      <c r="L129" s="1480">
        <v>186017.75</v>
      </c>
      <c r="M129" s="1480">
        <v>186017.75</v>
      </c>
      <c r="N129" s="1480">
        <v>186017.75</v>
      </c>
      <c r="O129" s="1480">
        <v>186017.75</v>
      </c>
      <c r="P129" s="1485">
        <v>372035.5</v>
      </c>
    </row>
    <row r="130" spans="2:22" x14ac:dyDescent="0.25">
      <c r="B130" s="1875" t="s">
        <v>1826</v>
      </c>
      <c r="C130" s="1875"/>
      <c r="D130" s="1875"/>
      <c r="E130" s="1875"/>
      <c r="F130" s="1875"/>
      <c r="G130" s="1875"/>
      <c r="H130" s="1875"/>
      <c r="I130" s="1875"/>
      <c r="J130" s="1875"/>
      <c r="K130" s="1875"/>
      <c r="L130" s="1875"/>
      <c r="M130" s="1875"/>
      <c r="N130" s="1875"/>
      <c r="O130" s="1876"/>
      <c r="P130" s="1486">
        <v>784989.6</v>
      </c>
    </row>
    <row r="131" spans="2:22" x14ac:dyDescent="0.25">
      <c r="B131" s="1875" t="s">
        <v>1827</v>
      </c>
      <c r="C131" s="1875"/>
      <c r="D131" s="1875"/>
      <c r="E131" s="1875"/>
      <c r="F131" s="1875"/>
      <c r="G131" s="1875"/>
      <c r="H131" s="1875"/>
      <c r="I131" s="1875"/>
      <c r="J131" s="1875"/>
      <c r="K131" s="1875"/>
      <c r="L131" s="1875"/>
      <c r="M131" s="1875"/>
      <c r="N131" s="1875"/>
      <c r="O131" s="1876"/>
      <c r="P131" s="1487">
        <v>3433062.38</v>
      </c>
    </row>
    <row r="132" spans="2:22" x14ac:dyDescent="0.25">
      <c r="B132" s="1276" t="s">
        <v>1850</v>
      </c>
    </row>
    <row r="133" spans="2:22" ht="15" customHeight="1" x14ac:dyDescent="0.25">
      <c r="B133" s="1877" t="s">
        <v>1783</v>
      </c>
      <c r="C133" s="1877"/>
      <c r="D133" s="1877"/>
      <c r="E133" s="1877"/>
      <c r="F133" s="1878" t="s">
        <v>1731</v>
      </c>
      <c r="G133" s="1878"/>
      <c r="H133" s="1878" t="s">
        <v>1828</v>
      </c>
      <c r="I133" s="1878"/>
      <c r="J133" s="1878" t="s">
        <v>1829</v>
      </c>
      <c r="K133" s="1878"/>
      <c r="L133" s="1878"/>
      <c r="M133" s="1878"/>
      <c r="N133" s="1878"/>
      <c r="O133" s="1878"/>
      <c r="P133" s="1878"/>
      <c r="Q133" s="1878"/>
      <c r="R133" s="1878"/>
      <c r="S133" s="1878"/>
      <c r="T133" s="1878"/>
      <c r="U133" s="1878"/>
      <c r="V133" s="1488"/>
    </row>
    <row r="134" spans="2:22" x14ac:dyDescent="0.25">
      <c r="B134" s="1878" t="s">
        <v>1734</v>
      </c>
      <c r="C134" s="1878"/>
      <c r="D134" s="1878" t="s">
        <v>1786</v>
      </c>
      <c r="E134" s="1878"/>
      <c r="F134" s="1878"/>
      <c r="G134" s="1878"/>
      <c r="H134" s="1878"/>
      <c r="I134" s="1878"/>
      <c r="J134" s="1878"/>
      <c r="K134" s="1878"/>
      <c r="L134" s="1878"/>
      <c r="M134" s="1878"/>
      <c r="N134" s="1878"/>
      <c r="O134" s="1878"/>
      <c r="P134" s="1878"/>
      <c r="Q134" s="1878"/>
      <c r="R134" s="1878"/>
      <c r="S134" s="1878"/>
      <c r="T134" s="1878"/>
      <c r="U134" s="1878"/>
      <c r="V134" s="1488"/>
    </row>
    <row r="135" spans="2:22" x14ac:dyDescent="0.25">
      <c r="B135" s="1878"/>
      <c r="C135" s="1878"/>
      <c r="D135" s="1878"/>
      <c r="E135" s="1878"/>
      <c r="F135" s="1878"/>
      <c r="G135" s="1878"/>
      <c r="H135" s="1878"/>
      <c r="I135" s="1878"/>
      <c r="J135" s="1489" t="s">
        <v>1830</v>
      </c>
      <c r="K135" s="1489" t="s">
        <v>1831</v>
      </c>
      <c r="L135" s="1489" t="s">
        <v>1832</v>
      </c>
      <c r="M135" s="1489" t="s">
        <v>1833</v>
      </c>
      <c r="N135" s="1489" t="s">
        <v>1834</v>
      </c>
      <c r="O135" s="1489" t="s">
        <v>1835</v>
      </c>
      <c r="P135" s="1489" t="s">
        <v>1836</v>
      </c>
      <c r="Q135" s="1489" t="s">
        <v>1837</v>
      </c>
      <c r="R135" s="1489" t="s">
        <v>1838</v>
      </c>
      <c r="S135" s="1489" t="s">
        <v>1839</v>
      </c>
      <c r="T135" s="1489" t="s">
        <v>1840</v>
      </c>
      <c r="U135" s="1489" t="s">
        <v>1841</v>
      </c>
      <c r="V135" s="1489" t="s">
        <v>239</v>
      </c>
    </row>
    <row r="136" spans="2:22" x14ac:dyDescent="0.25">
      <c r="B136" s="1878"/>
      <c r="C136" s="1878"/>
      <c r="D136" s="1878"/>
      <c r="E136" s="1878"/>
      <c r="F136" s="1878"/>
      <c r="G136" s="1878"/>
      <c r="H136" s="1878"/>
      <c r="I136" s="1878"/>
      <c r="J136" s="1489" t="s">
        <v>1842</v>
      </c>
      <c r="K136" s="1489" t="s">
        <v>1842</v>
      </c>
      <c r="L136" s="1489" t="s">
        <v>1842</v>
      </c>
      <c r="M136" s="1489" t="s">
        <v>1842</v>
      </c>
      <c r="N136" s="1489" t="s">
        <v>1842</v>
      </c>
      <c r="O136" s="1489" t="s">
        <v>1842</v>
      </c>
      <c r="P136" s="1489" t="s">
        <v>1842</v>
      </c>
      <c r="Q136" s="1489" t="s">
        <v>1842</v>
      </c>
      <c r="R136" s="1489" t="s">
        <v>1842</v>
      </c>
      <c r="S136" s="1489" t="s">
        <v>1842</v>
      </c>
      <c r="T136" s="1489" t="s">
        <v>1842</v>
      </c>
      <c r="U136" s="1489" t="s">
        <v>1842</v>
      </c>
      <c r="V136" s="1489"/>
    </row>
    <row r="137" spans="2:22" ht="15" customHeight="1" x14ac:dyDescent="0.25">
      <c r="B137" s="1874" t="s">
        <v>1803</v>
      </c>
      <c r="C137" s="1874"/>
      <c r="D137" s="1874"/>
      <c r="E137" s="1874"/>
      <c r="F137" s="1874"/>
      <c r="G137" s="1874"/>
      <c r="H137" s="1874"/>
      <c r="I137" s="1874"/>
      <c r="J137" s="1490"/>
      <c r="K137" s="1490"/>
      <c r="L137" s="1491"/>
      <c r="M137" s="1491"/>
      <c r="N137" s="1491"/>
      <c r="O137" s="1491"/>
      <c r="P137" s="1491"/>
      <c r="Q137" s="1491"/>
      <c r="R137" s="1491"/>
      <c r="S137" s="1491"/>
      <c r="T137" s="1491"/>
      <c r="U137" s="1491"/>
      <c r="V137" s="1492"/>
    </row>
    <row r="138" spans="2:22" ht="15" customHeight="1" x14ac:dyDescent="0.25">
      <c r="B138" s="1734" t="s">
        <v>1799</v>
      </c>
      <c r="C138" s="1734"/>
      <c r="D138" s="1872" t="s">
        <v>1167</v>
      </c>
      <c r="E138" s="1872"/>
      <c r="F138" s="1873" t="s">
        <v>1299</v>
      </c>
      <c r="G138" s="1873"/>
      <c r="H138" s="1873" t="s">
        <v>1301</v>
      </c>
      <c r="I138" s="1873" t="s">
        <v>1301</v>
      </c>
      <c r="J138" s="1490"/>
      <c r="K138" s="1490"/>
      <c r="L138" s="1493">
        <v>112.2</v>
      </c>
      <c r="M138" s="1490"/>
      <c r="N138" s="1490"/>
      <c r="O138" s="1490"/>
      <c r="P138" s="1490"/>
      <c r="Q138" s="1490"/>
      <c r="R138" s="1490"/>
      <c r="S138" s="1490"/>
      <c r="T138" s="1490"/>
      <c r="U138" s="1490"/>
      <c r="V138" s="1494">
        <v>112.2</v>
      </c>
    </row>
    <row r="139" spans="2:22" x14ac:dyDescent="0.25">
      <c r="B139" s="1734"/>
      <c r="C139" s="1734"/>
      <c r="D139" s="1872" t="s">
        <v>1170</v>
      </c>
      <c r="E139" s="1872"/>
      <c r="F139" s="1873" t="s">
        <v>1299</v>
      </c>
      <c r="G139" s="1873"/>
      <c r="H139" s="1873" t="s">
        <v>1301</v>
      </c>
      <c r="I139" s="1873" t="s">
        <v>1301</v>
      </c>
      <c r="J139" s="1490"/>
      <c r="K139" s="1490"/>
      <c r="L139" s="1493">
        <v>115.4</v>
      </c>
      <c r="M139" s="1490"/>
      <c r="N139" s="1490"/>
      <c r="O139" s="1490"/>
      <c r="P139" s="1490"/>
      <c r="Q139" s="1490"/>
      <c r="R139" s="1490"/>
      <c r="S139" s="1490"/>
      <c r="T139" s="1490"/>
      <c r="U139" s="1490"/>
      <c r="V139" s="1494">
        <v>115.4</v>
      </c>
    </row>
    <row r="140" spans="2:22" ht="15" customHeight="1" x14ac:dyDescent="0.25">
      <c r="B140" s="1874" t="s">
        <v>1804</v>
      </c>
      <c r="C140" s="1874"/>
      <c r="D140" s="1874"/>
      <c r="E140" s="1874"/>
      <c r="F140" s="1874"/>
      <c r="G140" s="1874"/>
      <c r="H140" s="1874"/>
      <c r="I140" s="1874"/>
      <c r="J140" s="1490"/>
      <c r="K140" s="1490"/>
      <c r="L140" s="1490"/>
      <c r="M140" s="1490"/>
      <c r="N140" s="1490"/>
      <c r="O140" s="1490"/>
      <c r="P140" s="1490"/>
      <c r="Q140" s="1490"/>
      <c r="R140" s="1490"/>
      <c r="S140" s="1490"/>
      <c r="T140" s="1490"/>
      <c r="U140" s="1490"/>
      <c r="V140" s="1492"/>
    </row>
    <row r="141" spans="2:22" ht="15" customHeight="1" x14ac:dyDescent="0.25">
      <c r="B141" s="1746" t="s">
        <v>1139</v>
      </c>
      <c r="C141" s="1746"/>
      <c r="D141" s="1872" t="s">
        <v>1139</v>
      </c>
      <c r="E141" s="1872"/>
      <c r="F141" s="1873" t="s">
        <v>1126</v>
      </c>
      <c r="G141" s="1873"/>
      <c r="H141" s="1873" t="s">
        <v>647</v>
      </c>
      <c r="I141" s="1873" t="s">
        <v>647</v>
      </c>
      <c r="J141" s="1490"/>
      <c r="K141" s="1490"/>
      <c r="L141" s="1490"/>
      <c r="M141" s="1492">
        <v>1</v>
      </c>
      <c r="N141" s="1490"/>
      <c r="O141" s="1490"/>
      <c r="P141" s="1490"/>
      <c r="Q141" s="1490"/>
      <c r="R141" s="1490"/>
      <c r="S141" s="1490"/>
      <c r="T141" s="1490"/>
      <c r="U141" s="1490"/>
      <c r="V141" s="1492">
        <v>1</v>
      </c>
    </row>
    <row r="142" spans="2:22" x14ac:dyDescent="0.25">
      <c r="B142" s="1746"/>
      <c r="C142" s="1746"/>
      <c r="D142" s="1872" t="s">
        <v>1145</v>
      </c>
      <c r="E142" s="1872"/>
      <c r="F142" s="1873" t="s">
        <v>1805</v>
      </c>
      <c r="G142" s="1873"/>
      <c r="H142" s="1873" t="s">
        <v>647</v>
      </c>
      <c r="I142" s="1873" t="s">
        <v>647</v>
      </c>
      <c r="J142" s="1490"/>
      <c r="K142" s="1490"/>
      <c r="L142" s="1490"/>
      <c r="M142" s="1492">
        <v>1</v>
      </c>
      <c r="N142" s="1490"/>
      <c r="O142" s="1490"/>
      <c r="P142" s="1490"/>
      <c r="Q142" s="1490"/>
      <c r="R142" s="1490"/>
      <c r="S142" s="1490"/>
      <c r="T142" s="1490"/>
      <c r="U142" s="1490"/>
      <c r="V142" s="1492">
        <v>1</v>
      </c>
    </row>
    <row r="143" spans="2:22" x14ac:dyDescent="0.25">
      <c r="B143" s="1746"/>
      <c r="C143" s="1746"/>
      <c r="D143" s="1872" t="s">
        <v>1138</v>
      </c>
      <c r="E143" s="1872"/>
      <c r="F143" s="1873" t="s">
        <v>1126</v>
      </c>
      <c r="G143" s="1873"/>
      <c r="H143" s="1873" t="s">
        <v>647</v>
      </c>
      <c r="I143" s="1873" t="s">
        <v>647</v>
      </c>
      <c r="J143" s="1490"/>
      <c r="K143" s="1490"/>
      <c r="L143" s="1490"/>
      <c r="M143" s="1492">
        <v>1</v>
      </c>
      <c r="N143" s="1490"/>
      <c r="O143" s="1490"/>
      <c r="P143" s="1490"/>
      <c r="Q143" s="1490"/>
      <c r="R143" s="1490"/>
      <c r="S143" s="1490"/>
      <c r="T143" s="1490"/>
      <c r="U143" s="1490"/>
      <c r="V143" s="1492">
        <v>1</v>
      </c>
    </row>
    <row r="144" spans="2:22" ht="15" customHeight="1" x14ac:dyDescent="0.25">
      <c r="B144" s="1734" t="s">
        <v>1800</v>
      </c>
      <c r="C144" s="1734"/>
      <c r="D144" s="1872" t="s">
        <v>1843</v>
      </c>
      <c r="E144" s="1872"/>
      <c r="F144" s="1873" t="s">
        <v>1805</v>
      </c>
      <c r="G144" s="1873"/>
      <c r="H144" s="1873" t="s">
        <v>647</v>
      </c>
      <c r="I144" s="1873" t="s">
        <v>647</v>
      </c>
      <c r="J144" s="1490"/>
      <c r="K144" s="1490"/>
      <c r="L144" s="1490"/>
      <c r="M144" s="1492">
        <v>1</v>
      </c>
      <c r="N144" s="1490"/>
      <c r="O144" s="1490"/>
      <c r="P144" s="1490"/>
      <c r="Q144" s="1490"/>
      <c r="R144" s="1490"/>
      <c r="S144" s="1490"/>
      <c r="T144" s="1490"/>
      <c r="U144" s="1490"/>
      <c r="V144" s="1492">
        <v>1</v>
      </c>
    </row>
    <row r="145" spans="2:22" x14ac:dyDescent="0.25">
      <c r="B145" s="1734"/>
      <c r="C145" s="1734"/>
      <c r="D145" s="1872" t="s">
        <v>1143</v>
      </c>
      <c r="E145" s="1872"/>
      <c r="F145" s="1873" t="s">
        <v>1805</v>
      </c>
      <c r="G145" s="1873"/>
      <c r="H145" s="1873" t="s">
        <v>647</v>
      </c>
      <c r="I145" s="1873" t="s">
        <v>647</v>
      </c>
      <c r="J145" s="1490"/>
      <c r="K145" s="1490"/>
      <c r="L145" s="1490"/>
      <c r="M145" s="1492">
        <v>1</v>
      </c>
      <c r="N145" s="1490"/>
      <c r="O145" s="1490"/>
      <c r="P145" s="1490"/>
      <c r="Q145" s="1490"/>
      <c r="R145" s="1490"/>
      <c r="S145" s="1490"/>
      <c r="T145" s="1490"/>
      <c r="U145" s="1490"/>
      <c r="V145" s="1492">
        <v>1</v>
      </c>
    </row>
    <row r="146" spans="2:22" ht="15" customHeight="1" x14ac:dyDescent="0.25">
      <c r="B146" s="1734" t="s">
        <v>1686</v>
      </c>
      <c r="C146" s="1734"/>
      <c r="D146" s="1872" t="s">
        <v>1844</v>
      </c>
      <c r="E146" s="1872"/>
      <c r="F146" s="1873" t="s">
        <v>1126</v>
      </c>
      <c r="G146" s="1873"/>
      <c r="H146" s="1873" t="s">
        <v>647</v>
      </c>
      <c r="I146" s="1873" t="s">
        <v>647</v>
      </c>
      <c r="J146" s="1490"/>
      <c r="K146" s="1490"/>
      <c r="L146" s="1490"/>
      <c r="M146" s="1492">
        <v>1</v>
      </c>
      <c r="N146" s="1490"/>
      <c r="O146" s="1490"/>
      <c r="P146" s="1490"/>
      <c r="Q146" s="1490"/>
      <c r="R146" s="1490"/>
      <c r="S146" s="1490"/>
      <c r="T146" s="1490"/>
      <c r="U146" s="1490"/>
      <c r="V146" s="1492">
        <v>1</v>
      </c>
    </row>
    <row r="147" spans="2:22" x14ac:dyDescent="0.25">
      <c r="B147" s="1734"/>
      <c r="C147" s="1734"/>
      <c r="D147" s="1872" t="s">
        <v>1845</v>
      </c>
      <c r="E147" s="1872"/>
      <c r="F147" s="1873" t="s">
        <v>1126</v>
      </c>
      <c r="G147" s="1873"/>
      <c r="H147" s="1873" t="s">
        <v>647</v>
      </c>
      <c r="I147" s="1873" t="s">
        <v>647</v>
      </c>
      <c r="J147" s="1490"/>
      <c r="K147" s="1490"/>
      <c r="L147" s="1490"/>
      <c r="M147" s="1492">
        <v>1</v>
      </c>
      <c r="N147" s="1490"/>
      <c r="O147" s="1490"/>
      <c r="P147" s="1490"/>
      <c r="Q147" s="1490"/>
      <c r="R147" s="1490"/>
      <c r="S147" s="1490"/>
      <c r="T147" s="1490"/>
      <c r="U147" s="1490"/>
      <c r="V147" s="1492">
        <v>1</v>
      </c>
    </row>
    <row r="148" spans="2:22" ht="15" customHeight="1" x14ac:dyDescent="0.25">
      <c r="B148" s="1734" t="s">
        <v>1007</v>
      </c>
      <c r="C148" s="1734"/>
      <c r="D148" s="1872" t="s">
        <v>1286</v>
      </c>
      <c r="E148" s="1872"/>
      <c r="F148" s="1873" t="s">
        <v>892</v>
      </c>
      <c r="G148" s="1873"/>
      <c r="H148" s="1873" t="s">
        <v>647</v>
      </c>
      <c r="I148" s="1873" t="s">
        <v>647</v>
      </c>
      <c r="J148" s="1490"/>
      <c r="K148" s="1490"/>
      <c r="L148" s="1490"/>
      <c r="M148" s="1492">
        <v>1</v>
      </c>
      <c r="N148" s="1490"/>
      <c r="O148" s="1490"/>
      <c r="P148" s="1490"/>
      <c r="Q148" s="1490"/>
      <c r="R148" s="1490"/>
      <c r="S148" s="1490"/>
      <c r="T148" s="1490"/>
      <c r="U148" s="1490"/>
      <c r="V148" s="1492">
        <v>1</v>
      </c>
    </row>
    <row r="149" spans="2:22" x14ac:dyDescent="0.25">
      <c r="B149" s="1734"/>
      <c r="C149" s="1734"/>
      <c r="D149" s="1872" t="s">
        <v>1285</v>
      </c>
      <c r="E149" s="1872"/>
      <c r="F149" s="1873" t="s">
        <v>1126</v>
      </c>
      <c r="G149" s="1873"/>
      <c r="H149" s="1873" t="s">
        <v>647</v>
      </c>
      <c r="I149" s="1873" t="s">
        <v>647</v>
      </c>
      <c r="J149" s="1490"/>
      <c r="K149" s="1490"/>
      <c r="L149" s="1490"/>
      <c r="M149" s="1492">
        <v>1</v>
      </c>
      <c r="N149" s="1490"/>
      <c r="O149" s="1490"/>
      <c r="P149" s="1490"/>
      <c r="Q149" s="1490"/>
      <c r="R149" s="1490"/>
      <c r="S149" s="1490"/>
      <c r="T149" s="1490"/>
      <c r="U149" s="1490"/>
      <c r="V149" s="1492">
        <v>1</v>
      </c>
    </row>
    <row r="150" spans="2:22" ht="15" customHeight="1" x14ac:dyDescent="0.25">
      <c r="B150" s="1874" t="s">
        <v>1806</v>
      </c>
      <c r="C150" s="1874"/>
      <c r="D150" s="1874"/>
      <c r="E150" s="1874"/>
      <c r="F150" s="1874"/>
      <c r="G150" s="1874"/>
      <c r="H150" s="1874"/>
      <c r="I150" s="1874"/>
      <c r="J150" s="1490"/>
      <c r="K150" s="1490"/>
      <c r="L150" s="1490"/>
      <c r="M150" s="1490"/>
      <c r="N150" s="1490"/>
      <c r="O150" s="1490"/>
      <c r="P150" s="1490"/>
      <c r="Q150" s="1490"/>
      <c r="R150" s="1490"/>
      <c r="S150" s="1490"/>
      <c r="T150" s="1490"/>
      <c r="U150" s="1490"/>
      <c r="V150" s="1492"/>
    </row>
    <row r="151" spans="2:22" ht="15" customHeight="1" x14ac:dyDescent="0.25">
      <c r="B151" s="1734" t="s">
        <v>1846</v>
      </c>
      <c r="C151" s="1734"/>
      <c r="D151" s="1872" t="s">
        <v>1218</v>
      </c>
      <c r="E151" s="1872"/>
      <c r="F151" s="1873" t="s">
        <v>1318</v>
      </c>
      <c r="G151" s="1873"/>
      <c r="H151" s="1771" t="s">
        <v>1634</v>
      </c>
      <c r="I151" s="1771" t="s">
        <v>638</v>
      </c>
      <c r="J151" s="1490"/>
      <c r="K151" s="1490"/>
      <c r="L151" s="1492">
        <v>1</v>
      </c>
      <c r="M151" s="1490"/>
      <c r="N151" s="1490"/>
      <c r="O151" s="1490"/>
      <c r="P151" s="1490"/>
      <c r="Q151" s="1490"/>
      <c r="R151" s="1490"/>
      <c r="S151" s="1490"/>
      <c r="T151" s="1490"/>
      <c r="U151" s="1490"/>
      <c r="V151" s="1492">
        <v>1</v>
      </c>
    </row>
    <row r="152" spans="2:22" x14ac:dyDescent="0.25">
      <c r="B152" s="1734"/>
      <c r="C152" s="1734"/>
      <c r="D152" s="1872" t="s">
        <v>1312</v>
      </c>
      <c r="E152" s="1872"/>
      <c r="F152" s="1873" t="s">
        <v>1318</v>
      </c>
      <c r="G152" s="1873"/>
      <c r="H152" s="1771" t="s">
        <v>1634</v>
      </c>
      <c r="I152" s="1771" t="s">
        <v>638</v>
      </c>
      <c r="J152" s="1490"/>
      <c r="K152" s="1490"/>
      <c r="L152" s="1492">
        <v>1</v>
      </c>
      <c r="M152" s="1490"/>
      <c r="N152" s="1490"/>
      <c r="O152" s="1490"/>
      <c r="P152" s="1490"/>
      <c r="Q152" s="1490"/>
      <c r="R152" s="1490"/>
      <c r="S152" s="1490"/>
      <c r="T152" s="1490"/>
      <c r="U152" s="1490"/>
      <c r="V152" s="1492">
        <v>1</v>
      </c>
    </row>
    <row r="153" spans="2:22" x14ac:dyDescent="0.25">
      <c r="B153" s="1734"/>
      <c r="C153" s="1734"/>
      <c r="D153" s="1872" t="s">
        <v>1313</v>
      </c>
      <c r="E153" s="1872"/>
      <c r="F153" s="1873" t="s">
        <v>1318</v>
      </c>
      <c r="G153" s="1873"/>
      <c r="H153" s="1771" t="s">
        <v>1634</v>
      </c>
      <c r="I153" s="1771" t="s">
        <v>638</v>
      </c>
      <c r="J153" s="1490"/>
      <c r="K153" s="1490"/>
      <c r="L153" s="1492">
        <v>1</v>
      </c>
      <c r="M153" s="1490"/>
      <c r="N153" s="1490"/>
      <c r="O153" s="1490"/>
      <c r="P153" s="1490"/>
      <c r="Q153" s="1490"/>
      <c r="R153" s="1490"/>
      <c r="S153" s="1490"/>
      <c r="T153" s="1490"/>
      <c r="U153" s="1490"/>
      <c r="V153" s="1492">
        <v>1</v>
      </c>
    </row>
    <row r="154" spans="2:22" x14ac:dyDescent="0.25">
      <c r="B154" s="1734"/>
      <c r="C154" s="1734"/>
      <c r="D154" s="1872" t="s">
        <v>1314</v>
      </c>
      <c r="E154" s="1872"/>
      <c r="F154" s="1873" t="s">
        <v>1318</v>
      </c>
      <c r="G154" s="1873"/>
      <c r="H154" s="1771" t="s">
        <v>1634</v>
      </c>
      <c r="I154" s="1771" t="s">
        <v>638</v>
      </c>
      <c r="J154" s="1490"/>
      <c r="K154" s="1490"/>
      <c r="L154" s="1492">
        <v>1</v>
      </c>
      <c r="M154" s="1490"/>
      <c r="N154" s="1490"/>
      <c r="O154" s="1490"/>
      <c r="P154" s="1490"/>
      <c r="Q154" s="1490"/>
      <c r="R154" s="1490"/>
      <c r="S154" s="1490"/>
      <c r="T154" s="1490"/>
      <c r="U154" s="1490"/>
      <c r="V154" s="1492">
        <v>1</v>
      </c>
    </row>
    <row r="155" spans="2:22" x14ac:dyDescent="0.25">
      <c r="B155" s="1734"/>
      <c r="C155" s="1734"/>
      <c r="D155" s="1872" t="s">
        <v>1315</v>
      </c>
      <c r="E155" s="1872"/>
      <c r="F155" s="1873" t="s">
        <v>1318</v>
      </c>
      <c r="G155" s="1873"/>
      <c r="H155" s="1771" t="s">
        <v>1634</v>
      </c>
      <c r="I155" s="1771" t="s">
        <v>638</v>
      </c>
      <c r="J155" s="1490"/>
      <c r="K155" s="1490"/>
      <c r="L155" s="1492">
        <v>1</v>
      </c>
      <c r="M155" s="1490"/>
      <c r="N155" s="1490"/>
      <c r="O155" s="1490"/>
      <c r="P155" s="1490"/>
      <c r="Q155" s="1490"/>
      <c r="R155" s="1490"/>
      <c r="S155" s="1490"/>
      <c r="T155" s="1490"/>
      <c r="U155" s="1490"/>
      <c r="V155" s="1492">
        <v>1</v>
      </c>
    </row>
    <row r="156" spans="2:22" x14ac:dyDescent="0.25">
      <c r="B156" s="1734"/>
      <c r="C156" s="1734"/>
      <c r="D156" s="1872" t="s">
        <v>1316</v>
      </c>
      <c r="E156" s="1872"/>
      <c r="F156" s="1873" t="s">
        <v>1318</v>
      </c>
      <c r="G156" s="1873"/>
      <c r="H156" s="1771" t="s">
        <v>1634</v>
      </c>
      <c r="I156" s="1771" t="s">
        <v>638</v>
      </c>
      <c r="J156" s="1490"/>
      <c r="K156" s="1490"/>
      <c r="L156" s="1492">
        <v>1</v>
      </c>
      <c r="M156" s="1490"/>
      <c r="N156" s="1490"/>
      <c r="O156" s="1490"/>
      <c r="P156" s="1490"/>
      <c r="Q156" s="1490"/>
      <c r="R156" s="1490"/>
      <c r="S156" s="1490"/>
      <c r="T156" s="1490"/>
      <c r="U156" s="1490"/>
      <c r="V156" s="1492">
        <v>1</v>
      </c>
    </row>
    <row r="157" spans="2:22" ht="15" customHeight="1" x14ac:dyDescent="0.25">
      <c r="B157" s="1734" t="s">
        <v>1635</v>
      </c>
      <c r="C157" s="1734"/>
      <c r="D157" s="1872" t="s">
        <v>1222</v>
      </c>
      <c r="E157" s="1872"/>
      <c r="F157" s="1873" t="s">
        <v>1318</v>
      </c>
      <c r="G157" s="1873"/>
      <c r="H157" s="1771" t="s">
        <v>1634</v>
      </c>
      <c r="I157" s="1771" t="s">
        <v>638</v>
      </c>
      <c r="J157" s="1490"/>
      <c r="K157" s="1490"/>
      <c r="L157" s="1492">
        <v>1</v>
      </c>
      <c r="M157" s="1490"/>
      <c r="N157" s="1490"/>
      <c r="O157" s="1490"/>
      <c r="P157" s="1490"/>
      <c r="Q157" s="1490"/>
      <c r="R157" s="1490"/>
      <c r="S157" s="1490"/>
      <c r="T157" s="1490"/>
      <c r="U157" s="1490"/>
      <c r="V157" s="1492">
        <v>1</v>
      </c>
    </row>
    <row r="158" spans="2:22" x14ac:dyDescent="0.25">
      <c r="B158" s="1734"/>
      <c r="C158" s="1734"/>
      <c r="D158" s="1872" t="s">
        <v>1320</v>
      </c>
      <c r="E158" s="1872"/>
      <c r="F158" s="1873" t="s">
        <v>1318</v>
      </c>
      <c r="G158" s="1873"/>
      <c r="H158" s="1771" t="s">
        <v>1634</v>
      </c>
      <c r="I158" s="1771" t="s">
        <v>638</v>
      </c>
      <c r="J158" s="1490"/>
      <c r="K158" s="1490"/>
      <c r="L158" s="1492">
        <v>1</v>
      </c>
      <c r="M158" s="1490"/>
      <c r="N158" s="1490"/>
      <c r="O158" s="1490"/>
      <c r="P158" s="1490"/>
      <c r="Q158" s="1490"/>
      <c r="R158" s="1490"/>
      <c r="S158" s="1490"/>
      <c r="T158" s="1490"/>
      <c r="U158" s="1490"/>
      <c r="V158" s="1492">
        <v>1</v>
      </c>
    </row>
    <row r="159" spans="2:22" ht="30.75" customHeight="1" x14ac:dyDescent="0.25">
      <c r="B159" s="1874" t="s">
        <v>1807</v>
      </c>
      <c r="C159" s="1874"/>
      <c r="D159" s="1874"/>
      <c r="E159" s="1874"/>
      <c r="F159" s="1874"/>
      <c r="G159" s="1874"/>
      <c r="H159" s="1874"/>
      <c r="I159" s="1874"/>
      <c r="J159" s="1490"/>
      <c r="K159" s="1490"/>
      <c r="L159" s="1490"/>
      <c r="M159" s="1490"/>
      <c r="N159" s="1490"/>
      <c r="O159" s="1490"/>
      <c r="P159" s="1490"/>
      <c r="Q159" s="1490"/>
      <c r="R159" s="1490"/>
      <c r="S159" s="1490"/>
      <c r="T159" s="1490"/>
      <c r="U159" s="1490"/>
      <c r="V159" s="1492"/>
    </row>
    <row r="160" spans="2:22" ht="15" customHeight="1" x14ac:dyDescent="0.25">
      <c r="B160" s="1734" t="s">
        <v>1058</v>
      </c>
      <c r="C160" s="1734"/>
      <c r="D160" s="1872" t="s">
        <v>1002</v>
      </c>
      <c r="E160" s="1872"/>
      <c r="F160" s="1873" t="s">
        <v>1324</v>
      </c>
      <c r="G160" s="1873"/>
      <c r="H160" s="1873" t="s">
        <v>689</v>
      </c>
      <c r="I160" s="1873" t="s">
        <v>689</v>
      </c>
      <c r="J160" s="1490"/>
      <c r="K160" s="1490"/>
      <c r="L160" s="1492">
        <v>1</v>
      </c>
      <c r="M160" s="1490"/>
      <c r="N160" s="1490"/>
      <c r="O160" s="1490"/>
      <c r="P160" s="1490"/>
      <c r="Q160" s="1490"/>
      <c r="R160" s="1490"/>
      <c r="S160" s="1490"/>
      <c r="T160" s="1490"/>
      <c r="U160" s="1490"/>
      <c r="V160" s="1492">
        <v>1</v>
      </c>
    </row>
    <row r="161" spans="2:22" x14ac:dyDescent="0.25">
      <c r="B161" s="1734"/>
      <c r="C161" s="1734"/>
      <c r="D161" s="1872" t="s">
        <v>1004</v>
      </c>
      <c r="E161" s="1872"/>
      <c r="F161" s="1873" t="s">
        <v>1324</v>
      </c>
      <c r="G161" s="1873"/>
      <c r="H161" s="1873" t="s">
        <v>689</v>
      </c>
      <c r="I161" s="1873" t="s">
        <v>689</v>
      </c>
      <c r="J161" s="1490"/>
      <c r="K161" s="1490"/>
      <c r="L161" s="1492">
        <v>1</v>
      </c>
      <c r="M161" s="1490"/>
      <c r="N161" s="1490"/>
      <c r="O161" s="1490"/>
      <c r="P161" s="1490"/>
      <c r="Q161" s="1490"/>
      <c r="R161" s="1490"/>
      <c r="S161" s="1490"/>
      <c r="T161" s="1490"/>
      <c r="U161" s="1490"/>
      <c r="V161" s="1492">
        <v>1</v>
      </c>
    </row>
    <row r="162" spans="2:22" x14ac:dyDescent="0.25">
      <c r="B162" s="1734"/>
      <c r="C162" s="1734"/>
      <c r="D162" s="1872" t="s">
        <v>1323</v>
      </c>
      <c r="E162" s="1872"/>
      <c r="F162" s="1873" t="s">
        <v>1324</v>
      </c>
      <c r="G162" s="1873"/>
      <c r="H162" s="1873" t="s">
        <v>689</v>
      </c>
      <c r="I162" s="1873" t="s">
        <v>689</v>
      </c>
      <c r="J162" s="1490"/>
      <c r="K162" s="1490"/>
      <c r="L162" s="1492">
        <v>1</v>
      </c>
      <c r="M162" s="1490"/>
      <c r="N162" s="1490"/>
      <c r="O162" s="1490"/>
      <c r="P162" s="1490"/>
      <c r="Q162" s="1490"/>
      <c r="R162" s="1490"/>
      <c r="S162" s="1490"/>
      <c r="T162" s="1490"/>
      <c r="U162" s="1490"/>
      <c r="V162" s="1492">
        <v>1</v>
      </c>
    </row>
    <row r="163" spans="2:22" x14ac:dyDescent="0.25">
      <c r="B163" s="1734"/>
      <c r="C163" s="1734"/>
      <c r="D163" s="1872" t="s">
        <v>1005</v>
      </c>
      <c r="E163" s="1872"/>
      <c r="F163" s="1873" t="s">
        <v>1324</v>
      </c>
      <c r="G163" s="1873"/>
      <c r="H163" s="1873" t="s">
        <v>689</v>
      </c>
      <c r="I163" s="1873" t="s">
        <v>689</v>
      </c>
      <c r="J163" s="1490"/>
      <c r="K163" s="1490"/>
      <c r="L163" s="1492">
        <v>1</v>
      </c>
      <c r="M163" s="1490"/>
      <c r="N163" s="1490"/>
      <c r="O163" s="1490"/>
      <c r="P163" s="1490"/>
      <c r="Q163" s="1490"/>
      <c r="R163" s="1490"/>
      <c r="S163" s="1490"/>
      <c r="T163" s="1490"/>
      <c r="U163" s="1490"/>
      <c r="V163" s="1492">
        <v>1</v>
      </c>
    </row>
    <row r="164" spans="2:22" x14ac:dyDescent="0.25">
      <c r="B164" s="1734"/>
      <c r="C164" s="1734"/>
      <c r="D164" s="1872" t="s">
        <v>1006</v>
      </c>
      <c r="E164" s="1872"/>
      <c r="F164" s="1873" t="s">
        <v>1324</v>
      </c>
      <c r="G164" s="1873"/>
      <c r="H164" s="1873" t="s">
        <v>647</v>
      </c>
      <c r="I164" s="1873" t="s">
        <v>689</v>
      </c>
      <c r="J164" s="1490"/>
      <c r="K164" s="1490"/>
      <c r="L164" s="1492">
        <v>1</v>
      </c>
      <c r="M164" s="1490"/>
      <c r="N164" s="1490"/>
      <c r="O164" s="1490"/>
      <c r="P164" s="1490"/>
      <c r="Q164" s="1490"/>
      <c r="R164" s="1490"/>
      <c r="S164" s="1490"/>
      <c r="T164" s="1490"/>
      <c r="U164" s="1490"/>
      <c r="V164" s="1492">
        <v>1</v>
      </c>
    </row>
    <row r="165" spans="2:22" ht="15" customHeight="1" x14ac:dyDescent="0.25">
      <c r="B165" s="1734" t="s">
        <v>1637</v>
      </c>
      <c r="C165" s="1734"/>
      <c r="D165" s="1872" t="s">
        <v>1146</v>
      </c>
      <c r="E165" s="1872"/>
      <c r="F165" s="1873" t="s">
        <v>1318</v>
      </c>
      <c r="G165" s="1873"/>
      <c r="H165" s="1873" t="s">
        <v>1370</v>
      </c>
      <c r="I165" s="1873" t="s">
        <v>689</v>
      </c>
      <c r="J165" s="1490"/>
      <c r="K165" s="1490"/>
      <c r="L165" s="1490"/>
      <c r="M165" s="1492">
        <v>1</v>
      </c>
      <c r="N165" s="1492"/>
      <c r="O165" s="1492"/>
      <c r="P165" s="1492"/>
      <c r="Q165" s="1492"/>
      <c r="R165" s="1492">
        <v>1</v>
      </c>
      <c r="S165" s="1490"/>
      <c r="T165" s="1490"/>
      <c r="U165" s="1402"/>
      <c r="V165" s="1492">
        <v>1</v>
      </c>
    </row>
    <row r="166" spans="2:22" x14ac:dyDescent="0.25">
      <c r="B166" s="1734"/>
      <c r="C166" s="1734"/>
      <c r="D166" s="1872" t="s">
        <v>1147</v>
      </c>
      <c r="E166" s="1872"/>
      <c r="F166" s="1873" t="s">
        <v>1318</v>
      </c>
      <c r="G166" s="1873"/>
      <c r="H166" s="1873" t="s">
        <v>1370</v>
      </c>
      <c r="I166" s="1873" t="s">
        <v>689</v>
      </c>
      <c r="J166" s="1490"/>
      <c r="K166" s="1490"/>
      <c r="L166" s="1490"/>
      <c r="M166" s="1490"/>
      <c r="N166" s="1492">
        <v>1</v>
      </c>
      <c r="O166" s="1492"/>
      <c r="P166" s="1492"/>
      <c r="Q166" s="1492"/>
      <c r="R166" s="1492"/>
      <c r="S166" s="1492">
        <v>1</v>
      </c>
      <c r="T166" s="1490"/>
      <c r="U166" s="1402"/>
      <c r="V166" s="1492">
        <v>1</v>
      </c>
    </row>
    <row r="167" spans="2:22" x14ac:dyDescent="0.25">
      <c r="B167" s="1734"/>
      <c r="C167" s="1734"/>
      <c r="D167" s="1872" t="s">
        <v>1148</v>
      </c>
      <c r="E167" s="1872"/>
      <c r="F167" s="1873" t="s">
        <v>1318</v>
      </c>
      <c r="G167" s="1873"/>
      <c r="H167" s="1873" t="s">
        <v>1370</v>
      </c>
      <c r="I167" s="1873" t="s">
        <v>689</v>
      </c>
      <c r="J167" s="1490"/>
      <c r="K167" s="1490"/>
      <c r="L167" s="1490"/>
      <c r="M167" s="1490"/>
      <c r="N167" s="1490"/>
      <c r="O167" s="1492">
        <v>1</v>
      </c>
      <c r="P167" s="1492"/>
      <c r="Q167" s="1492"/>
      <c r="R167" s="1492"/>
      <c r="S167" s="1492"/>
      <c r="T167" s="1492">
        <v>1</v>
      </c>
      <c r="U167" s="1402"/>
      <c r="V167" s="1492">
        <v>1</v>
      </c>
    </row>
    <row r="168" spans="2:22" ht="15" customHeight="1" x14ac:dyDescent="0.25">
      <c r="B168" s="1734" t="s">
        <v>1802</v>
      </c>
      <c r="C168" s="1734"/>
      <c r="D168" s="1872" t="s">
        <v>1128</v>
      </c>
      <c r="E168" s="1872"/>
      <c r="F168" s="1873" t="s">
        <v>1318</v>
      </c>
      <c r="G168" s="1873"/>
      <c r="H168" s="1873" t="s">
        <v>1370</v>
      </c>
      <c r="I168" s="1873" t="s">
        <v>689</v>
      </c>
      <c r="J168" s="1490"/>
      <c r="K168" s="1490"/>
      <c r="L168" s="1490"/>
      <c r="M168" s="1492">
        <v>1</v>
      </c>
      <c r="N168" s="1492"/>
      <c r="O168" s="1492"/>
      <c r="P168" s="1492"/>
      <c r="Q168" s="1492"/>
      <c r="R168" s="1492">
        <v>1</v>
      </c>
      <c r="S168" s="1490"/>
      <c r="T168" s="1490"/>
      <c r="U168" s="1402"/>
      <c r="V168" s="1492">
        <v>1</v>
      </c>
    </row>
    <row r="169" spans="2:22" x14ac:dyDescent="0.25">
      <c r="B169" s="1734"/>
      <c r="C169" s="1734"/>
      <c r="D169" s="1872" t="s">
        <v>1133</v>
      </c>
      <c r="E169" s="1872"/>
      <c r="F169" s="1873" t="s">
        <v>1318</v>
      </c>
      <c r="G169" s="1873"/>
      <c r="H169" s="1873" t="s">
        <v>1370</v>
      </c>
      <c r="I169" s="1873" t="s">
        <v>689</v>
      </c>
      <c r="J169" s="1490"/>
      <c r="K169" s="1490"/>
      <c r="L169" s="1490"/>
      <c r="M169" s="1490"/>
      <c r="N169" s="1492">
        <v>1</v>
      </c>
      <c r="O169" s="1492"/>
      <c r="P169" s="1492"/>
      <c r="Q169" s="1492"/>
      <c r="R169" s="1492"/>
      <c r="S169" s="1492">
        <v>1</v>
      </c>
      <c r="T169" s="1490"/>
      <c r="U169" s="1402"/>
      <c r="V169" s="1492">
        <v>1</v>
      </c>
    </row>
    <row r="170" spans="2:22" x14ac:dyDescent="0.25">
      <c r="B170" s="1734"/>
      <c r="C170" s="1734"/>
      <c r="D170" s="1872" t="s">
        <v>1129</v>
      </c>
      <c r="E170" s="1872"/>
      <c r="F170" s="1873" t="s">
        <v>1318</v>
      </c>
      <c r="G170" s="1873"/>
      <c r="H170" s="1873" t="s">
        <v>647</v>
      </c>
      <c r="I170" s="1873" t="s">
        <v>689</v>
      </c>
      <c r="J170" s="1490"/>
      <c r="K170" s="1490"/>
      <c r="L170" s="1490"/>
      <c r="M170" s="1490"/>
      <c r="N170" s="1490"/>
      <c r="O170" s="1492">
        <v>1</v>
      </c>
      <c r="P170" s="1492"/>
      <c r="Q170" s="1492"/>
      <c r="R170" s="1492"/>
      <c r="S170" s="1492"/>
      <c r="T170" s="1492">
        <v>1</v>
      </c>
      <c r="U170" s="1402"/>
      <c r="V170" s="1492">
        <v>1</v>
      </c>
    </row>
    <row r="171" spans="2:22" ht="15" customHeight="1" x14ac:dyDescent="0.25">
      <c r="B171" s="1734" t="s">
        <v>1639</v>
      </c>
      <c r="C171" s="1734"/>
      <c r="D171" s="1872" t="s">
        <v>1117</v>
      </c>
      <c r="E171" s="1872"/>
      <c r="F171" s="1873" t="s">
        <v>1324</v>
      </c>
      <c r="G171" s="1873"/>
      <c r="H171" s="1873" t="s">
        <v>689</v>
      </c>
      <c r="I171" s="1873" t="s">
        <v>689</v>
      </c>
      <c r="J171" s="1490"/>
      <c r="K171" s="1490"/>
      <c r="L171" s="1492">
        <v>1</v>
      </c>
      <c r="M171" s="1490"/>
      <c r="N171" s="1490"/>
      <c r="O171" s="1490"/>
      <c r="P171" s="1490"/>
      <c r="Q171" s="1490"/>
      <c r="R171" s="1490"/>
      <c r="S171" s="1490"/>
      <c r="T171" s="1490"/>
      <c r="U171" s="1490"/>
      <c r="V171" s="1492">
        <v>1</v>
      </c>
    </row>
    <row r="172" spans="2:22" ht="15" customHeight="1" x14ac:dyDescent="0.25">
      <c r="B172" s="1734" t="s">
        <v>1847</v>
      </c>
      <c r="C172" s="1734"/>
      <c r="D172" s="1872" t="s">
        <v>1780</v>
      </c>
      <c r="E172" s="1872"/>
      <c r="F172" s="1873" t="s">
        <v>1299</v>
      </c>
      <c r="G172" s="1873"/>
      <c r="H172" s="1771" t="s">
        <v>647</v>
      </c>
      <c r="I172" s="1771" t="s">
        <v>638</v>
      </c>
      <c r="J172" s="1490"/>
      <c r="K172" s="1490"/>
      <c r="L172" s="1492">
        <v>0.5</v>
      </c>
      <c r="M172" s="1490"/>
      <c r="N172" s="1490"/>
      <c r="O172" s="1490"/>
      <c r="P172" s="1490"/>
      <c r="Q172" s="1490"/>
      <c r="R172" s="1490"/>
      <c r="S172" s="1490"/>
      <c r="T172" s="1490"/>
      <c r="U172" s="1492">
        <v>0.5</v>
      </c>
      <c r="V172" s="1492">
        <v>1</v>
      </c>
    </row>
    <row r="173" spans="2:22" ht="15" customHeight="1" x14ac:dyDescent="0.25">
      <c r="B173" s="1734" t="s">
        <v>849</v>
      </c>
      <c r="C173" s="1734"/>
      <c r="D173" s="1872" t="s">
        <v>849</v>
      </c>
      <c r="E173" s="1872"/>
      <c r="F173" s="1873" t="s">
        <v>1123</v>
      </c>
      <c r="G173" s="1873"/>
      <c r="H173" s="1771" t="s">
        <v>1634</v>
      </c>
      <c r="I173" s="1771" t="s">
        <v>638</v>
      </c>
      <c r="J173" s="1490"/>
      <c r="K173" s="1490"/>
      <c r="L173" s="1494">
        <v>0.1</v>
      </c>
      <c r="M173" s="1494">
        <v>0.1</v>
      </c>
      <c r="N173" s="1494">
        <v>0.1</v>
      </c>
      <c r="O173" s="1494">
        <v>0.1</v>
      </c>
      <c r="P173" s="1494">
        <v>0.1</v>
      </c>
      <c r="Q173" s="1494">
        <v>0.1</v>
      </c>
      <c r="R173" s="1494">
        <v>0.1</v>
      </c>
      <c r="S173" s="1494">
        <v>0.1</v>
      </c>
      <c r="T173" s="1494">
        <v>0.1</v>
      </c>
      <c r="U173" s="1492"/>
      <c r="V173" s="1492">
        <v>1</v>
      </c>
    </row>
    <row r="174" spans="2:22" ht="15" customHeight="1" x14ac:dyDescent="0.25">
      <c r="B174" s="1734" t="s">
        <v>1343</v>
      </c>
      <c r="C174" s="1734"/>
      <c r="D174" s="1872" t="s">
        <v>1344</v>
      </c>
      <c r="E174" s="1872"/>
      <c r="F174" s="1873" t="s">
        <v>1123</v>
      </c>
      <c r="G174" s="1873"/>
      <c r="H174" s="1771" t="s">
        <v>1782</v>
      </c>
      <c r="I174" s="1771" t="s">
        <v>638</v>
      </c>
      <c r="J174" s="1490"/>
      <c r="K174" s="1490"/>
      <c r="L174" s="1492">
        <v>0.5</v>
      </c>
      <c r="M174" s="1490"/>
      <c r="N174" s="1490"/>
      <c r="O174" s="1490"/>
      <c r="P174" s="1490"/>
      <c r="Q174" s="1490"/>
      <c r="R174" s="1490"/>
      <c r="S174" s="1490"/>
      <c r="T174" s="1490"/>
      <c r="U174" s="1492">
        <v>0.5</v>
      </c>
      <c r="V174" s="1492">
        <v>1</v>
      </c>
    </row>
  </sheetData>
  <mergeCells count="297">
    <mergeCell ref="P37:Q37"/>
    <mergeCell ref="S3:U3"/>
    <mergeCell ref="U5:U12"/>
    <mergeCell ref="U13:U16"/>
    <mergeCell ref="B3:F3"/>
    <mergeCell ref="H3:J3"/>
    <mergeCell ref="J5:J12"/>
    <mergeCell ref="J13:J15"/>
    <mergeCell ref="P21:P27"/>
    <mergeCell ref="P28:P34"/>
    <mergeCell ref="M3:Q3"/>
    <mergeCell ref="P35:P36"/>
    <mergeCell ref="F40:O40"/>
    <mergeCell ref="B34:B35"/>
    <mergeCell ref="B5:D5"/>
    <mergeCell ref="B6:D6"/>
    <mergeCell ref="B10:D10"/>
    <mergeCell ref="B13:D13"/>
    <mergeCell ref="B27:B33"/>
    <mergeCell ref="B20:B26"/>
    <mergeCell ref="B16:D16"/>
    <mergeCell ref="B42:C42"/>
    <mergeCell ref="B43:C43"/>
    <mergeCell ref="B44:C44"/>
    <mergeCell ref="B45:C45"/>
    <mergeCell ref="B46:C46"/>
    <mergeCell ref="B36:C36"/>
    <mergeCell ref="B40:C41"/>
    <mergeCell ref="D40:D41"/>
    <mergeCell ref="E40:E41"/>
    <mergeCell ref="B52:C52"/>
    <mergeCell ref="B53:C53"/>
    <mergeCell ref="B54:C54"/>
    <mergeCell ref="B55:C55"/>
    <mergeCell ref="B56:C56"/>
    <mergeCell ref="B47:C47"/>
    <mergeCell ref="B48:C48"/>
    <mergeCell ref="B49:C49"/>
    <mergeCell ref="B50:C50"/>
    <mergeCell ref="B51:C5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72:C72"/>
    <mergeCell ref="B73:C73"/>
    <mergeCell ref="B74:C74"/>
    <mergeCell ref="B75:C75"/>
    <mergeCell ref="B76:F76"/>
    <mergeCell ref="B67:C67"/>
    <mergeCell ref="B68:C68"/>
    <mergeCell ref="B69:C69"/>
    <mergeCell ref="B70:C70"/>
    <mergeCell ref="B71:C71"/>
    <mergeCell ref="I76:K76"/>
    <mergeCell ref="N76:O76"/>
    <mergeCell ref="B80:F80"/>
    <mergeCell ref="G80:H82"/>
    <mergeCell ref="I80:T80"/>
    <mergeCell ref="B81:D82"/>
    <mergeCell ref="E81:F82"/>
    <mergeCell ref="I81:I82"/>
    <mergeCell ref="J81:J82"/>
    <mergeCell ref="K81:K82"/>
    <mergeCell ref="L81:L82"/>
    <mergeCell ref="M81:M82"/>
    <mergeCell ref="N81:N82"/>
    <mergeCell ref="O81:O82"/>
    <mergeCell ref="P81:P82"/>
    <mergeCell ref="Q81:Q82"/>
    <mergeCell ref="R81:R82"/>
    <mergeCell ref="S81:S82"/>
    <mergeCell ref="T81:T82"/>
    <mergeCell ref="B83:H83"/>
    <mergeCell ref="B84:D85"/>
    <mergeCell ref="E84:F84"/>
    <mergeCell ref="G84:H84"/>
    <mergeCell ref="E85:F85"/>
    <mergeCell ref="G85:H85"/>
    <mergeCell ref="B90:D91"/>
    <mergeCell ref="E90:F90"/>
    <mergeCell ref="G90:H90"/>
    <mergeCell ref="E91:F91"/>
    <mergeCell ref="G91:H91"/>
    <mergeCell ref="B86:H86"/>
    <mergeCell ref="B87:D89"/>
    <mergeCell ref="E87:F87"/>
    <mergeCell ref="G87:H87"/>
    <mergeCell ref="E88:F88"/>
    <mergeCell ref="G88:H88"/>
    <mergeCell ref="E89:F89"/>
    <mergeCell ref="G89:H89"/>
    <mergeCell ref="B94:D95"/>
    <mergeCell ref="E94:F94"/>
    <mergeCell ref="G94:H94"/>
    <mergeCell ref="E95:F95"/>
    <mergeCell ref="G95:H95"/>
    <mergeCell ref="B92:D93"/>
    <mergeCell ref="E92:F92"/>
    <mergeCell ref="G92:H92"/>
    <mergeCell ref="E93:F93"/>
    <mergeCell ref="G93:H93"/>
    <mergeCell ref="B103:D104"/>
    <mergeCell ref="E103:F103"/>
    <mergeCell ref="G103:H103"/>
    <mergeCell ref="E104:F104"/>
    <mergeCell ref="G104:H104"/>
    <mergeCell ref="B96:H96"/>
    <mergeCell ref="B97:D102"/>
    <mergeCell ref="E97:F97"/>
    <mergeCell ref="G97:H97"/>
    <mergeCell ref="E98:F98"/>
    <mergeCell ref="G98:H98"/>
    <mergeCell ref="E99:F99"/>
    <mergeCell ref="G99:H99"/>
    <mergeCell ref="E100:F100"/>
    <mergeCell ref="G100:H100"/>
    <mergeCell ref="E101:F101"/>
    <mergeCell ref="G101:H101"/>
    <mergeCell ref="E102:F102"/>
    <mergeCell ref="G102:H102"/>
    <mergeCell ref="E111:F111"/>
    <mergeCell ref="G111:H111"/>
    <mergeCell ref="E112:F112"/>
    <mergeCell ref="G112:H112"/>
    <mergeCell ref="E113:F113"/>
    <mergeCell ref="G113:H113"/>
    <mergeCell ref="B105:H105"/>
    <mergeCell ref="B106:D110"/>
    <mergeCell ref="E106:F106"/>
    <mergeCell ref="G106:H106"/>
    <mergeCell ref="E107:F107"/>
    <mergeCell ref="G107:H107"/>
    <mergeCell ref="E108:F108"/>
    <mergeCell ref="G108:H108"/>
    <mergeCell ref="E109:F109"/>
    <mergeCell ref="G109:H109"/>
    <mergeCell ref="E110:F110"/>
    <mergeCell ref="G110:H110"/>
    <mergeCell ref="B125:C125"/>
    <mergeCell ref="B126:C126"/>
    <mergeCell ref="B127:C127"/>
    <mergeCell ref="B128:C128"/>
    <mergeCell ref="B129:C129"/>
    <mergeCell ref="U80:U82"/>
    <mergeCell ref="B124:C124"/>
    <mergeCell ref="E118:F118"/>
    <mergeCell ref="G118:H118"/>
    <mergeCell ref="E119:F119"/>
    <mergeCell ref="G119:H119"/>
    <mergeCell ref="E120:F120"/>
    <mergeCell ref="G120:H120"/>
    <mergeCell ref="B117:D117"/>
    <mergeCell ref="E117:F117"/>
    <mergeCell ref="G117:H117"/>
    <mergeCell ref="B114:D116"/>
    <mergeCell ref="E114:F114"/>
    <mergeCell ref="G114:H114"/>
    <mergeCell ref="E115:F115"/>
    <mergeCell ref="G115:H115"/>
    <mergeCell ref="E116:F116"/>
    <mergeCell ref="G116:H116"/>
    <mergeCell ref="B111:D113"/>
    <mergeCell ref="B137:I137"/>
    <mergeCell ref="B138:C139"/>
    <mergeCell ref="D138:E138"/>
    <mergeCell ref="F138:G138"/>
    <mergeCell ref="H138:I138"/>
    <mergeCell ref="D139:E139"/>
    <mergeCell ref="F139:G139"/>
    <mergeCell ref="H139:I139"/>
    <mergeCell ref="B130:O130"/>
    <mergeCell ref="B131:O131"/>
    <mergeCell ref="B133:E133"/>
    <mergeCell ref="F133:G136"/>
    <mergeCell ref="H133:I136"/>
    <mergeCell ref="J133:U134"/>
    <mergeCell ref="B134:C136"/>
    <mergeCell ref="D134:E136"/>
    <mergeCell ref="B144:C145"/>
    <mergeCell ref="D144:E144"/>
    <mergeCell ref="F144:G144"/>
    <mergeCell ref="H144:I144"/>
    <mergeCell ref="D145:E145"/>
    <mergeCell ref="F145:G145"/>
    <mergeCell ref="H145:I145"/>
    <mergeCell ref="B140:I140"/>
    <mergeCell ref="B141:C143"/>
    <mergeCell ref="D141:E141"/>
    <mergeCell ref="F141:G141"/>
    <mergeCell ref="H141:I141"/>
    <mergeCell ref="D142:E142"/>
    <mergeCell ref="F142:G142"/>
    <mergeCell ref="H142:I142"/>
    <mergeCell ref="D143:E143"/>
    <mergeCell ref="F143:G143"/>
    <mergeCell ref="H143:I143"/>
    <mergeCell ref="B148:C149"/>
    <mergeCell ref="D148:E148"/>
    <mergeCell ref="F148:G148"/>
    <mergeCell ref="H148:I148"/>
    <mergeCell ref="D149:E149"/>
    <mergeCell ref="F149:G149"/>
    <mergeCell ref="H149:I149"/>
    <mergeCell ref="B146:C147"/>
    <mergeCell ref="D146:E146"/>
    <mergeCell ref="F146:G146"/>
    <mergeCell ref="H146:I146"/>
    <mergeCell ref="D147:E147"/>
    <mergeCell ref="F147:G147"/>
    <mergeCell ref="H147:I147"/>
    <mergeCell ref="B150:I150"/>
    <mergeCell ref="B151:C156"/>
    <mergeCell ref="D151:E151"/>
    <mergeCell ref="F151:G151"/>
    <mergeCell ref="H151:I151"/>
    <mergeCell ref="D152:E152"/>
    <mergeCell ref="F152:G152"/>
    <mergeCell ref="H152:I152"/>
    <mergeCell ref="D153:E153"/>
    <mergeCell ref="F153:G153"/>
    <mergeCell ref="H153:I153"/>
    <mergeCell ref="D154:E154"/>
    <mergeCell ref="F154:G154"/>
    <mergeCell ref="H154:I154"/>
    <mergeCell ref="D155:E155"/>
    <mergeCell ref="F155:G155"/>
    <mergeCell ref="H155:I155"/>
    <mergeCell ref="D156:E156"/>
    <mergeCell ref="F156:G156"/>
    <mergeCell ref="H156:I156"/>
    <mergeCell ref="B157:C158"/>
    <mergeCell ref="D157:E157"/>
    <mergeCell ref="F157:G157"/>
    <mergeCell ref="H157:I157"/>
    <mergeCell ref="D158:E158"/>
    <mergeCell ref="F158:G158"/>
    <mergeCell ref="H158:I158"/>
    <mergeCell ref="B159:I159"/>
    <mergeCell ref="B160:C164"/>
    <mergeCell ref="D160:E160"/>
    <mergeCell ref="F160:G160"/>
    <mergeCell ref="H160:I160"/>
    <mergeCell ref="D161:E161"/>
    <mergeCell ref="F161:G161"/>
    <mergeCell ref="H161:I161"/>
    <mergeCell ref="D162:E162"/>
    <mergeCell ref="F162:G162"/>
    <mergeCell ref="H162:I162"/>
    <mergeCell ref="D163:E163"/>
    <mergeCell ref="F163:G163"/>
    <mergeCell ref="H163:I163"/>
    <mergeCell ref="D164:E164"/>
    <mergeCell ref="F164:G164"/>
    <mergeCell ref="H164:I164"/>
    <mergeCell ref="B165:C167"/>
    <mergeCell ref="D165:E165"/>
    <mergeCell ref="F165:G165"/>
    <mergeCell ref="H165:I165"/>
    <mergeCell ref="D166:E166"/>
    <mergeCell ref="F166:G166"/>
    <mergeCell ref="H166:I166"/>
    <mergeCell ref="D167:E167"/>
    <mergeCell ref="F167:G167"/>
    <mergeCell ref="H167:I167"/>
    <mergeCell ref="B171:C171"/>
    <mergeCell ref="D171:E171"/>
    <mergeCell ref="F171:G171"/>
    <mergeCell ref="H171:I171"/>
    <mergeCell ref="B168:C170"/>
    <mergeCell ref="D168:E168"/>
    <mergeCell ref="F168:G168"/>
    <mergeCell ref="H168:I168"/>
    <mergeCell ref="D169:E169"/>
    <mergeCell ref="F169:G169"/>
    <mergeCell ref="H169:I169"/>
    <mergeCell ref="D170:E170"/>
    <mergeCell ref="F170:G170"/>
    <mergeCell ref="H170:I170"/>
    <mergeCell ref="B174:C174"/>
    <mergeCell ref="D174:E174"/>
    <mergeCell ref="F174:G174"/>
    <mergeCell ref="H174:I174"/>
    <mergeCell ref="B172:C172"/>
    <mergeCell ref="D172:E172"/>
    <mergeCell ref="F172:G172"/>
    <mergeCell ref="H172:I172"/>
    <mergeCell ref="B173:C173"/>
    <mergeCell ref="D173:E173"/>
    <mergeCell ref="F173:G173"/>
    <mergeCell ref="H173:I17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I22" sqref="I22"/>
    </sheetView>
  </sheetViews>
  <sheetFormatPr baseColWidth="10" defaultRowHeight="15" x14ac:dyDescent="0.25"/>
  <cols>
    <col min="2" max="2" width="28.42578125" customWidth="1"/>
    <col min="3" max="3" width="13.85546875" customWidth="1"/>
    <col min="4" max="4" width="13.5703125" bestFit="1" customWidth="1"/>
    <col min="5" max="7" width="11.5703125" bestFit="1" customWidth="1"/>
    <col min="8" max="8" width="13.85546875" customWidth="1"/>
    <col min="9" max="13" width="11.5703125" bestFit="1" customWidth="1"/>
  </cols>
  <sheetData>
    <row r="1" spans="1:17" x14ac:dyDescent="0.25">
      <c r="A1" s="1284"/>
      <c r="B1" s="1284"/>
      <c r="C1" s="1284"/>
      <c r="D1" s="1285"/>
      <c r="E1" s="1286"/>
      <c r="F1" s="1286"/>
      <c r="G1" s="1286"/>
      <c r="H1" s="1286"/>
      <c r="I1" s="1286"/>
      <c r="J1" s="1286"/>
      <c r="K1" s="1286"/>
      <c r="L1" s="1286"/>
      <c r="M1" s="1286"/>
      <c r="N1" s="1286"/>
      <c r="O1" s="1286"/>
      <c r="P1" s="1286"/>
      <c r="Q1" s="1286"/>
    </row>
    <row r="2" spans="1:17" x14ac:dyDescent="0.25">
      <c r="A2" s="1287">
        <v>1</v>
      </c>
      <c r="B2" s="1288" t="s">
        <v>1588</v>
      </c>
      <c r="C2" s="1289"/>
      <c r="D2" s="1290"/>
      <c r="E2" s="1286"/>
      <c r="F2" s="1286"/>
      <c r="G2" s="1286"/>
      <c r="H2" s="1286"/>
      <c r="I2" s="1286"/>
      <c r="J2" s="1286"/>
      <c r="K2" s="1286"/>
      <c r="L2" s="1286"/>
      <c r="M2" s="1286"/>
      <c r="N2" s="1286"/>
      <c r="O2" s="1286"/>
      <c r="P2" s="1286"/>
      <c r="Q2" s="1286"/>
    </row>
    <row r="3" spans="1:17" x14ac:dyDescent="0.25">
      <c r="A3" s="1286"/>
      <c r="B3" s="1290"/>
      <c r="C3" s="1416"/>
      <c r="D3" s="1291"/>
      <c r="E3" s="1291"/>
      <c r="F3" s="1291"/>
      <c r="G3" s="1291"/>
      <c r="H3" s="1291"/>
      <c r="I3" s="1291"/>
      <c r="J3" s="1291"/>
      <c r="K3" s="1291"/>
      <c r="L3" s="1291"/>
      <c r="M3" s="1291"/>
      <c r="N3" s="1286"/>
      <c r="O3" s="1286"/>
      <c r="P3" s="1286"/>
      <c r="Q3" s="1286"/>
    </row>
    <row r="4" spans="1:17" x14ac:dyDescent="0.25">
      <c r="A4" s="1286"/>
      <c r="B4" s="1417" t="s">
        <v>1589</v>
      </c>
      <c r="C4" s="1417">
        <v>0</v>
      </c>
      <c r="D4" s="1417">
        <v>1</v>
      </c>
      <c r="E4" s="1417">
        <v>2</v>
      </c>
      <c r="F4" s="1417">
        <v>3</v>
      </c>
      <c r="G4" s="1417">
        <v>4</v>
      </c>
      <c r="H4" s="1417">
        <v>5</v>
      </c>
      <c r="I4" s="1417">
        <v>6</v>
      </c>
      <c r="J4" s="1417">
        <v>7</v>
      </c>
      <c r="K4" s="1417">
        <v>8</v>
      </c>
      <c r="L4" s="1417">
        <v>9</v>
      </c>
      <c r="M4" s="1417">
        <v>10</v>
      </c>
      <c r="N4" s="1286"/>
      <c r="O4" s="1286"/>
      <c r="P4" s="1286"/>
      <c r="Q4" s="1286"/>
    </row>
    <row r="5" spans="1:17" ht="15.75" customHeight="1" x14ac:dyDescent="0.25">
      <c r="A5" s="1286"/>
      <c r="B5" s="1495" t="s">
        <v>1590</v>
      </c>
      <c r="C5" s="1418"/>
      <c r="D5" s="1418"/>
      <c r="E5" s="1418"/>
      <c r="F5" s="1418"/>
      <c r="G5" s="1418"/>
      <c r="H5" s="1418"/>
      <c r="I5" s="1418"/>
      <c r="J5" s="1418"/>
      <c r="K5" s="1418"/>
      <c r="L5" s="1418"/>
      <c r="M5" s="1418"/>
      <c r="N5" s="1286"/>
      <c r="O5" s="1286"/>
      <c r="P5" s="1286"/>
      <c r="Q5" s="1286"/>
    </row>
    <row r="6" spans="1:17" ht="15" customHeight="1" x14ac:dyDescent="0.25">
      <c r="A6" s="1286"/>
      <c r="B6" s="1419" t="s">
        <v>1591</v>
      </c>
      <c r="C6" s="1420">
        <f>PPGG!I67</f>
        <v>3433062.3800000004</v>
      </c>
      <c r="D6" s="1418"/>
      <c r="E6" s="1418"/>
      <c r="F6" s="1418"/>
      <c r="G6" s="1418"/>
      <c r="H6" s="1418"/>
      <c r="I6" s="1418"/>
      <c r="J6" s="1418"/>
      <c r="K6" s="1418"/>
      <c r="L6" s="1418"/>
      <c r="M6" s="1418"/>
      <c r="N6" s="1286"/>
      <c r="O6" s="1286"/>
      <c r="P6" s="1286"/>
      <c r="Q6" s="1286"/>
    </row>
    <row r="7" spans="1:17" ht="16.5" customHeight="1" x14ac:dyDescent="0.25">
      <c r="A7" s="1286"/>
      <c r="B7" s="1419" t="s">
        <v>1592</v>
      </c>
      <c r="C7" s="1421"/>
      <c r="D7" s="1420">
        <f>'O &amp; M'!D27+'O &amp; M'!D32</f>
        <v>232880</v>
      </c>
      <c r="E7" s="1420">
        <f>'O &amp; M'!E27+'O &amp; M'!E32</f>
        <v>232880</v>
      </c>
      <c r="F7" s="1420">
        <f>'O &amp; M'!F27+'O &amp; M'!F32</f>
        <v>232880</v>
      </c>
      <c r="G7" s="1420">
        <f>'O &amp; M'!G27+'O &amp; M'!G32</f>
        <v>232880</v>
      </c>
      <c r="H7" s="1420">
        <f>'O &amp; M'!H27+'O &amp; M'!H32</f>
        <v>232880</v>
      </c>
      <c r="I7" s="1420">
        <f>'O &amp; M'!I27+'O &amp; M'!I32</f>
        <v>232880</v>
      </c>
      <c r="J7" s="1420">
        <f>'O &amp; M'!J27+'O &amp; M'!J32</f>
        <v>232880</v>
      </c>
      <c r="K7" s="1420">
        <f>'O &amp; M'!K27+'O &amp; M'!K32</f>
        <v>232880</v>
      </c>
      <c r="L7" s="1420">
        <f>'O &amp; M'!L27+'O &amp; M'!L32</f>
        <v>232880</v>
      </c>
      <c r="M7" s="1420">
        <f>'O &amp; M'!M27+'O &amp; M'!M32</f>
        <v>232880</v>
      </c>
      <c r="N7" s="1286"/>
      <c r="O7" s="1286"/>
      <c r="P7" s="1286"/>
      <c r="Q7" s="1286"/>
    </row>
    <row r="8" spans="1:17" x14ac:dyDescent="0.25">
      <c r="A8" s="1286"/>
      <c r="B8" s="1495" t="s">
        <v>285</v>
      </c>
      <c r="C8" s="1422">
        <f>SUM(C6:C7)</f>
        <v>3433062.3800000004</v>
      </c>
      <c r="D8" s="1422">
        <f t="shared" ref="D8:M8" si="0">SUM(D6:D7)</f>
        <v>232880</v>
      </c>
      <c r="E8" s="1422">
        <f t="shared" si="0"/>
        <v>232880</v>
      </c>
      <c r="F8" s="1422">
        <f t="shared" si="0"/>
        <v>232880</v>
      </c>
      <c r="G8" s="1422">
        <f t="shared" si="0"/>
        <v>232880</v>
      </c>
      <c r="H8" s="1422">
        <f t="shared" si="0"/>
        <v>232880</v>
      </c>
      <c r="I8" s="1422">
        <f t="shared" si="0"/>
        <v>232880</v>
      </c>
      <c r="J8" s="1422">
        <f t="shared" si="0"/>
        <v>232880</v>
      </c>
      <c r="K8" s="1422">
        <f t="shared" si="0"/>
        <v>232880</v>
      </c>
      <c r="L8" s="1422">
        <f t="shared" si="0"/>
        <v>232880</v>
      </c>
      <c r="M8" s="1422">
        <f t="shared" si="0"/>
        <v>232880</v>
      </c>
      <c r="N8" s="1286"/>
      <c r="O8" s="1286"/>
      <c r="P8" s="1286"/>
      <c r="Q8" s="1286"/>
    </row>
    <row r="9" spans="1:17" ht="13.5" customHeight="1" x14ac:dyDescent="0.25">
      <c r="A9" s="1286"/>
      <c r="B9" s="1495" t="s">
        <v>1593</v>
      </c>
      <c r="C9" s="1418"/>
      <c r="D9" s="1418"/>
      <c r="E9" s="1418"/>
      <c r="F9" s="1418"/>
      <c r="G9" s="1418"/>
      <c r="H9" s="1418"/>
      <c r="I9" s="1418"/>
      <c r="J9" s="1418"/>
      <c r="K9" s="1418"/>
      <c r="L9" s="1418"/>
      <c r="M9" s="1418"/>
      <c r="N9" s="1286"/>
      <c r="O9" s="1286"/>
      <c r="P9" s="1286"/>
      <c r="Q9" s="1286"/>
    </row>
    <row r="10" spans="1:17" ht="20.25" customHeight="1" x14ac:dyDescent="0.25">
      <c r="A10" s="1286"/>
      <c r="B10" s="1419" t="s">
        <v>1592</v>
      </c>
      <c r="C10" s="1418"/>
      <c r="D10" s="1420">
        <f>'O &amp; M'!D20+'O &amp; M'!D25</f>
        <v>71230</v>
      </c>
      <c r="E10" s="1420">
        <f>'O &amp; M'!E20+'O &amp; M'!E25</f>
        <v>71230</v>
      </c>
      <c r="F10" s="1420">
        <f>'O &amp; M'!F20+'O &amp; M'!F25</f>
        <v>71230</v>
      </c>
      <c r="G10" s="1420">
        <f>'O &amp; M'!G20+'O &amp; M'!G25</f>
        <v>71230</v>
      </c>
      <c r="H10" s="1420">
        <f>'O &amp; M'!H20+'O &amp; M'!H25</f>
        <v>71230</v>
      </c>
      <c r="I10" s="1420">
        <f>'O &amp; M'!I20+'O &amp; M'!I25</f>
        <v>71230</v>
      </c>
      <c r="J10" s="1420">
        <f>'O &amp; M'!J20+'O &amp; M'!J25</f>
        <v>71230</v>
      </c>
      <c r="K10" s="1420">
        <f>'O &amp; M'!K20+'O &amp; M'!K25</f>
        <v>71230</v>
      </c>
      <c r="L10" s="1420">
        <f>'O &amp; M'!L20+'O &amp; M'!L25</f>
        <v>71230</v>
      </c>
      <c r="M10" s="1420">
        <f>'O &amp; M'!M20+'O &amp; M'!M25</f>
        <v>71230</v>
      </c>
      <c r="N10" s="1286"/>
      <c r="O10" s="1286"/>
      <c r="P10" s="1286"/>
      <c r="Q10" s="1286"/>
    </row>
    <row r="11" spans="1:17" x14ac:dyDescent="0.25">
      <c r="A11" s="1286"/>
      <c r="B11" s="1495" t="s">
        <v>285</v>
      </c>
      <c r="C11" s="1423">
        <f t="shared" ref="C11:M11" si="1">+C10</f>
        <v>0</v>
      </c>
      <c r="D11" s="1422">
        <f t="shared" si="1"/>
        <v>71230</v>
      </c>
      <c r="E11" s="1422">
        <f t="shared" si="1"/>
        <v>71230</v>
      </c>
      <c r="F11" s="1422">
        <f t="shared" si="1"/>
        <v>71230</v>
      </c>
      <c r="G11" s="1422">
        <f t="shared" si="1"/>
        <v>71230</v>
      </c>
      <c r="H11" s="1422">
        <f t="shared" si="1"/>
        <v>71230</v>
      </c>
      <c r="I11" s="1422">
        <f t="shared" si="1"/>
        <v>71230</v>
      </c>
      <c r="J11" s="1422">
        <f t="shared" si="1"/>
        <v>71230</v>
      </c>
      <c r="K11" s="1422">
        <f t="shared" si="1"/>
        <v>71230</v>
      </c>
      <c r="L11" s="1422">
        <f t="shared" si="1"/>
        <v>71230</v>
      </c>
      <c r="M11" s="1422">
        <f t="shared" si="1"/>
        <v>71230</v>
      </c>
      <c r="N11" s="1286"/>
      <c r="O11" s="1286"/>
      <c r="P11" s="1286"/>
      <c r="Q11" s="1286"/>
    </row>
    <row r="12" spans="1:17" ht="21" customHeight="1" x14ac:dyDescent="0.25">
      <c r="A12" s="1286"/>
      <c r="B12" s="1495" t="s">
        <v>1594</v>
      </c>
      <c r="C12" s="1424">
        <f>C8-C11</f>
        <v>3433062.3800000004</v>
      </c>
      <c r="D12" s="1424">
        <f t="shared" ref="D12:M12" si="2">D8-D11</f>
        <v>161650</v>
      </c>
      <c r="E12" s="1424">
        <f t="shared" si="2"/>
        <v>161650</v>
      </c>
      <c r="F12" s="1424">
        <f t="shared" si="2"/>
        <v>161650</v>
      </c>
      <c r="G12" s="1424">
        <f t="shared" si="2"/>
        <v>161650</v>
      </c>
      <c r="H12" s="1424">
        <f t="shared" si="2"/>
        <v>161650</v>
      </c>
      <c r="I12" s="1424">
        <f t="shared" si="2"/>
        <v>161650</v>
      </c>
      <c r="J12" s="1424">
        <f t="shared" si="2"/>
        <v>161650</v>
      </c>
      <c r="K12" s="1424">
        <f t="shared" si="2"/>
        <v>161650</v>
      </c>
      <c r="L12" s="1424">
        <f t="shared" si="2"/>
        <v>161650</v>
      </c>
      <c r="M12" s="1424">
        <f t="shared" si="2"/>
        <v>161650</v>
      </c>
      <c r="N12" s="1286"/>
      <c r="O12" s="1286"/>
      <c r="P12" s="1286"/>
      <c r="Q12" s="1286"/>
    </row>
    <row r="13" spans="1:17" ht="18" customHeight="1" x14ac:dyDescent="0.25">
      <c r="A13" s="1286"/>
      <c r="B13" s="1495" t="s">
        <v>1595</v>
      </c>
      <c r="C13" s="1424"/>
      <c r="D13" s="1424"/>
      <c r="E13" s="1424"/>
      <c r="F13" s="1424"/>
      <c r="G13" s="1424"/>
      <c r="H13" s="1424"/>
      <c r="I13" s="1424"/>
      <c r="J13" s="1424"/>
      <c r="K13" s="1424"/>
      <c r="L13" s="1424"/>
      <c r="M13" s="1424"/>
      <c r="N13" s="1286"/>
      <c r="O13" s="1286"/>
      <c r="P13" s="1286"/>
      <c r="Q13" s="1286"/>
    </row>
    <row r="14" spans="1:17" x14ac:dyDescent="0.25">
      <c r="A14" s="1286"/>
      <c r="B14" s="1496" t="s">
        <v>1596</v>
      </c>
      <c r="C14" s="1425">
        <f>C13-C12</f>
        <v>-3433062.3800000004</v>
      </c>
      <c r="D14" s="1426">
        <f>D13-D12</f>
        <v>-161650</v>
      </c>
      <c r="E14" s="1426">
        <f t="shared" ref="E14:M14" si="3">E13-E12</f>
        <v>-161650</v>
      </c>
      <c r="F14" s="1426">
        <f t="shared" si="3"/>
        <v>-161650</v>
      </c>
      <c r="G14" s="1426">
        <f t="shared" si="3"/>
        <v>-161650</v>
      </c>
      <c r="H14" s="1426">
        <f t="shared" si="3"/>
        <v>-161650</v>
      </c>
      <c r="I14" s="1426">
        <f t="shared" si="3"/>
        <v>-161650</v>
      </c>
      <c r="J14" s="1426">
        <f t="shared" si="3"/>
        <v>-161650</v>
      </c>
      <c r="K14" s="1426">
        <f t="shared" si="3"/>
        <v>-161650</v>
      </c>
      <c r="L14" s="1426">
        <f t="shared" si="3"/>
        <v>-161650</v>
      </c>
      <c r="M14" s="1426">
        <f t="shared" si="3"/>
        <v>-161650</v>
      </c>
      <c r="N14" s="1286"/>
      <c r="O14" s="1286"/>
      <c r="P14" s="1286"/>
      <c r="Q14" s="1286"/>
    </row>
    <row r="15" spans="1:17" x14ac:dyDescent="0.25">
      <c r="A15" s="1286"/>
      <c r="B15" s="1427"/>
      <c r="C15" s="1427"/>
      <c r="D15" s="1427"/>
      <c r="E15" s="1427"/>
      <c r="F15" s="1427"/>
      <c r="G15" s="1427"/>
      <c r="H15" s="1427"/>
      <c r="I15" s="1427"/>
      <c r="J15" s="1427"/>
      <c r="K15" s="1427"/>
      <c r="L15" s="1427"/>
      <c r="M15" s="1427"/>
      <c r="N15" s="1286"/>
      <c r="O15" s="1286"/>
      <c r="P15" s="1286"/>
      <c r="Q15" s="1286"/>
    </row>
    <row r="16" spans="1:17" x14ac:dyDescent="0.25">
      <c r="A16" s="1286"/>
      <c r="B16" s="1427"/>
      <c r="C16" s="1430" t="s">
        <v>1582</v>
      </c>
      <c r="D16" s="1431">
        <v>0.08</v>
      </c>
      <c r="E16" s="1427"/>
      <c r="H16" s="1427"/>
      <c r="I16" s="1427"/>
      <c r="J16" s="1427"/>
      <c r="K16" s="1427"/>
      <c r="L16" s="1427"/>
      <c r="M16" s="1427"/>
      <c r="N16" s="1286"/>
      <c r="O16" s="1286"/>
      <c r="P16" s="1286"/>
      <c r="Q16" s="1286"/>
    </row>
    <row r="17" spans="1:17" x14ac:dyDescent="0.25">
      <c r="A17" s="187"/>
      <c r="B17" s="1432"/>
      <c r="C17" s="1428" t="s">
        <v>1597</v>
      </c>
      <c r="D17" s="1429">
        <f>DEMANDA!T99</f>
        <v>2164.0382399999999</v>
      </c>
      <c r="E17" s="1427"/>
      <c r="F17" s="1427"/>
      <c r="G17" s="1427"/>
      <c r="H17" s="1427"/>
      <c r="I17" s="1427"/>
      <c r="J17" s="1427"/>
      <c r="K17" s="1427"/>
      <c r="L17" s="1427"/>
      <c r="M17" s="1427"/>
      <c r="N17" s="1286"/>
      <c r="O17" s="1286"/>
      <c r="P17" s="1286"/>
      <c r="Q17" s="1286"/>
    </row>
    <row r="18" spans="1:17" x14ac:dyDescent="0.25">
      <c r="A18" s="1292"/>
      <c r="B18" s="1435"/>
      <c r="C18" s="1433" t="s">
        <v>1586</v>
      </c>
      <c r="D18" s="1434"/>
      <c r="E18" s="1427"/>
      <c r="F18" s="1427"/>
      <c r="G18" s="1427"/>
      <c r="H18" s="1427"/>
      <c r="I18" s="1427"/>
      <c r="J18" s="1427"/>
      <c r="K18" s="1427"/>
      <c r="L18" s="1427"/>
      <c r="M18" s="1427"/>
      <c r="N18" s="1286"/>
      <c r="O18" s="1286"/>
      <c r="P18" s="1286"/>
      <c r="Q18" s="1286"/>
    </row>
    <row r="19" spans="1:17" x14ac:dyDescent="0.25">
      <c r="A19" s="1292"/>
      <c r="B19" s="1293"/>
      <c r="C19" s="1428" t="s">
        <v>1587</v>
      </c>
      <c r="D19" s="1436"/>
      <c r="E19" s="1286"/>
      <c r="F19" s="1286"/>
      <c r="G19" s="1286"/>
      <c r="H19" s="1286"/>
      <c r="I19" s="1286"/>
      <c r="J19" s="1286"/>
      <c r="K19" s="1286"/>
      <c r="L19" s="1286"/>
      <c r="M19" s="1286"/>
      <c r="N19" s="1286"/>
      <c r="O19" s="1286"/>
      <c r="P19" s="1286"/>
      <c r="Q19" s="1286"/>
    </row>
    <row r="20" spans="1:17" x14ac:dyDescent="0.25">
      <c r="A20" s="1294"/>
      <c r="B20" s="1295"/>
      <c r="C20" s="1286"/>
      <c r="D20" s="1286"/>
      <c r="E20" s="1286"/>
      <c r="F20" s="1286"/>
      <c r="G20" s="1286"/>
      <c r="H20" s="1286"/>
      <c r="I20" s="1286"/>
      <c r="J20" s="1286"/>
      <c r="K20" s="1286"/>
      <c r="L20" s="1286"/>
      <c r="M20" s="1286"/>
      <c r="N20" s="1286"/>
      <c r="O20" s="1286"/>
      <c r="P20" s="1286"/>
      <c r="Q20" s="1286"/>
    </row>
    <row r="21" spans="1:17" x14ac:dyDescent="0.25">
      <c r="A21" s="1294"/>
      <c r="B21" s="1295"/>
      <c r="C21" s="1295"/>
      <c r="D21" s="1286"/>
      <c r="E21" s="1286"/>
      <c r="F21" s="1286"/>
      <c r="G21" s="1286"/>
      <c r="H21" s="1286"/>
      <c r="I21" s="1286"/>
      <c r="J21" s="1286"/>
      <c r="K21" s="1286"/>
      <c r="L21" s="1286"/>
      <c r="M21" s="1286"/>
      <c r="N21" s="1286"/>
      <c r="O21" s="1286"/>
      <c r="P21" s="1286"/>
      <c r="Q21" s="12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5"/>
  <sheetViews>
    <sheetView zoomScaleNormal="100" workbookViewId="0">
      <selection activeCell="B17" sqref="B17"/>
    </sheetView>
  </sheetViews>
  <sheetFormatPr baseColWidth="10" defaultRowHeight="15" x14ac:dyDescent="0.25"/>
  <cols>
    <col min="1" max="1" width="4.5703125" customWidth="1"/>
    <col min="2" max="2" width="13.28515625" customWidth="1"/>
    <col min="3" max="3" width="16.140625" customWidth="1"/>
    <col min="4" max="4" width="28" bestFit="1" customWidth="1"/>
    <col min="5" max="5" width="21.140625" customWidth="1"/>
    <col min="6" max="6" width="7.7109375" customWidth="1"/>
    <col min="7" max="7" width="12" customWidth="1"/>
    <col min="8" max="8" width="11" customWidth="1"/>
    <col min="9" max="9" width="10.7109375" customWidth="1"/>
    <col min="10" max="11" width="12" customWidth="1"/>
    <col min="12" max="13" width="11.42578125" customWidth="1"/>
  </cols>
  <sheetData>
    <row r="1" spans="3:6" ht="15.75" thickBot="1" x14ac:dyDescent="0.3"/>
    <row r="2" spans="3:6" ht="15.75" thickBot="1" x14ac:dyDescent="0.3">
      <c r="C2" s="1589" t="s">
        <v>283</v>
      </c>
      <c r="D2" s="1590"/>
      <c r="E2" s="1591"/>
    </row>
    <row r="3" spans="3:6" ht="15.75" thickBot="1" x14ac:dyDescent="0.3">
      <c r="C3" s="1589" t="s">
        <v>195</v>
      </c>
      <c r="D3" s="1590"/>
      <c r="E3" s="1591"/>
    </row>
    <row r="4" spans="3:6" ht="15.75" thickBot="1" x14ac:dyDescent="0.3">
      <c r="C4" s="9" t="s">
        <v>196</v>
      </c>
      <c r="D4" s="10" t="s">
        <v>197</v>
      </c>
      <c r="E4" s="10" t="s">
        <v>198</v>
      </c>
    </row>
    <row r="5" spans="3:6" x14ac:dyDescent="0.25">
      <c r="C5" s="11" t="s">
        <v>199</v>
      </c>
      <c r="D5" s="12" t="s">
        <v>200</v>
      </c>
      <c r="E5" s="12" t="s">
        <v>201</v>
      </c>
    </row>
    <row r="6" spans="3:6" x14ac:dyDescent="0.25">
      <c r="C6" s="11" t="s">
        <v>202</v>
      </c>
      <c r="D6" s="12" t="s">
        <v>203</v>
      </c>
      <c r="E6" s="12" t="s">
        <v>204</v>
      </c>
    </row>
    <row r="7" spans="3:6" ht="60.75" thickBot="1" x14ac:dyDescent="0.3">
      <c r="C7" s="13" t="s">
        <v>205</v>
      </c>
      <c r="D7" s="14" t="s">
        <v>206</v>
      </c>
      <c r="E7" s="14" t="s">
        <v>207</v>
      </c>
    </row>
    <row r="8" spans="3:6" ht="15.75" thickBot="1" x14ac:dyDescent="0.3">
      <c r="C8" s="15" t="s">
        <v>196</v>
      </c>
      <c r="D8" s="16" t="s">
        <v>208</v>
      </c>
      <c r="E8" s="16" t="s">
        <v>209</v>
      </c>
    </row>
    <row r="9" spans="3:6" x14ac:dyDescent="0.25">
      <c r="C9" s="11" t="s">
        <v>199</v>
      </c>
      <c r="D9" s="12" t="s">
        <v>210</v>
      </c>
      <c r="E9" s="12" t="s">
        <v>211</v>
      </c>
    </row>
    <row r="10" spans="3:6" x14ac:dyDescent="0.25">
      <c r="C10" s="11" t="s">
        <v>202</v>
      </c>
      <c r="D10" s="12" t="s">
        <v>212</v>
      </c>
      <c r="E10" s="12" t="s">
        <v>213</v>
      </c>
    </row>
    <row r="11" spans="3:6" ht="60.75" thickBot="1" x14ac:dyDescent="0.3">
      <c r="C11" s="11" t="s">
        <v>214</v>
      </c>
      <c r="D11" s="12" t="s">
        <v>215</v>
      </c>
      <c r="E11" s="12" t="s">
        <v>216</v>
      </c>
    </row>
    <row r="12" spans="3:6" ht="15.75" thickBot="1" x14ac:dyDescent="0.3">
      <c r="C12" s="1596" t="s">
        <v>282</v>
      </c>
      <c r="D12" s="1597"/>
      <c r="E12" s="1598"/>
    </row>
    <row r="13" spans="3:6" ht="15.75" thickBot="1" x14ac:dyDescent="0.3">
      <c r="C13" s="17"/>
      <c r="D13" s="17"/>
      <c r="E13" s="17"/>
    </row>
    <row r="14" spans="3:6" x14ac:dyDescent="0.25">
      <c r="C14" s="1593" t="s">
        <v>241</v>
      </c>
      <c r="D14" s="1594"/>
      <c r="E14" s="1594"/>
      <c r="F14" s="1595"/>
    </row>
    <row r="15" spans="3:6" x14ac:dyDescent="0.25">
      <c r="C15" s="27" t="s">
        <v>242</v>
      </c>
      <c r="D15" s="28" t="s">
        <v>243</v>
      </c>
      <c r="E15" s="28" t="s">
        <v>244</v>
      </c>
      <c r="F15" s="29" t="s">
        <v>245</v>
      </c>
    </row>
    <row r="16" spans="3:6" ht="30" x14ac:dyDescent="0.25">
      <c r="C16" s="30" t="s">
        <v>246</v>
      </c>
      <c r="D16" s="31" t="s">
        <v>247</v>
      </c>
      <c r="E16" s="31" t="s">
        <v>248</v>
      </c>
      <c r="F16" s="32">
        <v>68</v>
      </c>
    </row>
    <row r="17" spans="1:11" x14ac:dyDescent="0.25">
      <c r="C17" s="30" t="s">
        <v>249</v>
      </c>
      <c r="D17" s="31" t="s">
        <v>250</v>
      </c>
      <c r="E17" s="2" t="s">
        <v>251</v>
      </c>
      <c r="F17" s="32">
        <v>23</v>
      </c>
    </row>
    <row r="18" spans="1:11" ht="45.75" thickBot="1" x14ac:dyDescent="0.3">
      <c r="C18" s="33" t="s">
        <v>252</v>
      </c>
      <c r="D18" s="34" t="s">
        <v>253</v>
      </c>
      <c r="E18" s="34" t="s">
        <v>254</v>
      </c>
      <c r="F18" s="35">
        <v>9</v>
      </c>
    </row>
    <row r="19" spans="1:11" ht="15.75" thickBot="1" x14ac:dyDescent="0.3">
      <c r="C19" s="1599" t="s">
        <v>282</v>
      </c>
      <c r="D19" s="1600"/>
      <c r="E19" s="1600"/>
      <c r="F19" s="1601"/>
    </row>
    <row r="20" spans="1:11" x14ac:dyDescent="0.25">
      <c r="C20" s="17"/>
      <c r="D20" s="17"/>
      <c r="E20" s="17"/>
    </row>
    <row r="21" spans="1:11" ht="25.5" x14ac:dyDescent="0.25">
      <c r="A21" s="18" t="s">
        <v>217</v>
      </c>
      <c r="B21" s="18" t="s">
        <v>4</v>
      </c>
      <c r="C21" s="18" t="s">
        <v>218</v>
      </c>
      <c r="D21" s="18" t="s">
        <v>219</v>
      </c>
      <c r="E21" s="18" t="s">
        <v>220</v>
      </c>
      <c r="F21" s="19" t="s">
        <v>221</v>
      </c>
      <c r="G21" s="19" t="s">
        <v>222</v>
      </c>
      <c r="H21" s="19" t="s">
        <v>223</v>
      </c>
    </row>
    <row r="22" spans="1:11" ht="25.5" x14ac:dyDescent="0.25">
      <c r="A22" s="20">
        <v>1</v>
      </c>
      <c r="B22" s="21">
        <v>30101</v>
      </c>
      <c r="C22" s="21" t="s">
        <v>11</v>
      </c>
      <c r="D22" s="22">
        <v>3451.85</v>
      </c>
      <c r="E22" s="23">
        <v>0.16350000000000001</v>
      </c>
      <c r="F22" s="24" t="s">
        <v>224</v>
      </c>
      <c r="G22" s="24" t="s">
        <v>225</v>
      </c>
      <c r="H22" s="24" t="s">
        <v>226</v>
      </c>
    </row>
    <row r="23" spans="1:11" ht="25.5" x14ac:dyDescent="0.25">
      <c r="A23" s="20">
        <v>2</v>
      </c>
      <c r="B23" s="21">
        <v>30201</v>
      </c>
      <c r="C23" s="21" t="s">
        <v>30</v>
      </c>
      <c r="D23" s="22">
        <v>4038.87</v>
      </c>
      <c r="E23" s="23">
        <v>0.1913</v>
      </c>
      <c r="F23" s="24" t="s">
        <v>227</v>
      </c>
      <c r="G23" s="24" t="s">
        <v>228</v>
      </c>
      <c r="H23" s="24" t="s">
        <v>226</v>
      </c>
    </row>
    <row r="24" spans="1:11" ht="30" x14ac:dyDescent="0.25">
      <c r="A24" s="20">
        <v>3</v>
      </c>
      <c r="B24" s="21">
        <v>30301</v>
      </c>
      <c r="C24" s="21" t="s">
        <v>73</v>
      </c>
      <c r="D24" s="22">
        <v>3231.42</v>
      </c>
      <c r="E24" s="23">
        <v>0.153</v>
      </c>
      <c r="F24" s="25" t="s">
        <v>229</v>
      </c>
      <c r="G24" s="25" t="s">
        <v>230</v>
      </c>
      <c r="H24" s="24" t="s">
        <v>226</v>
      </c>
    </row>
    <row r="25" spans="1:11" ht="30" x14ac:dyDescent="0.25">
      <c r="A25" s="20">
        <v>4</v>
      </c>
      <c r="B25" s="21">
        <v>30401</v>
      </c>
      <c r="C25" s="21" t="s">
        <v>89</v>
      </c>
      <c r="D25" s="22">
        <v>4129.8599999999997</v>
      </c>
      <c r="E25" s="23">
        <v>0.1956</v>
      </c>
      <c r="F25" s="25" t="s">
        <v>231</v>
      </c>
      <c r="G25" s="25" t="s">
        <v>232</v>
      </c>
      <c r="H25" s="24" t="s">
        <v>226</v>
      </c>
    </row>
    <row r="26" spans="1:11" ht="30" x14ac:dyDescent="0.25">
      <c r="A26" s="20">
        <v>5</v>
      </c>
      <c r="B26" s="21">
        <v>30501</v>
      </c>
      <c r="C26" s="21" t="s">
        <v>150</v>
      </c>
      <c r="D26" s="22">
        <v>2622.66</v>
      </c>
      <c r="E26" s="23">
        <v>0.1242</v>
      </c>
      <c r="F26" s="25" t="s">
        <v>233</v>
      </c>
      <c r="G26" s="25" t="s">
        <v>234</v>
      </c>
      <c r="H26" s="24" t="s">
        <v>226</v>
      </c>
    </row>
    <row r="27" spans="1:11" ht="30" x14ac:dyDescent="0.25">
      <c r="A27" s="20">
        <v>6</v>
      </c>
      <c r="B27" s="21">
        <v>30601</v>
      </c>
      <c r="C27" s="21" t="s">
        <v>125</v>
      </c>
      <c r="D27" s="22">
        <v>1510.04</v>
      </c>
      <c r="E27" s="23">
        <v>7.1499999999999994E-2</v>
      </c>
      <c r="F27" s="25" t="s">
        <v>235</v>
      </c>
      <c r="G27" s="25" t="s">
        <v>236</v>
      </c>
      <c r="H27" s="24" t="s">
        <v>226</v>
      </c>
    </row>
    <row r="28" spans="1:11" ht="30" x14ac:dyDescent="0.25">
      <c r="A28" s="20">
        <v>7</v>
      </c>
      <c r="B28" s="21">
        <v>30701</v>
      </c>
      <c r="C28" s="21" t="s">
        <v>162</v>
      </c>
      <c r="D28" s="22">
        <v>2129.3200000000002</v>
      </c>
      <c r="E28" s="23">
        <v>0.1008</v>
      </c>
      <c r="F28" s="25" t="s">
        <v>237</v>
      </c>
      <c r="G28" s="25" t="s">
        <v>238</v>
      </c>
      <c r="H28" s="24" t="s">
        <v>226</v>
      </c>
    </row>
    <row r="29" spans="1:11" ht="16.5" x14ac:dyDescent="0.25">
      <c r="A29" s="2"/>
      <c r="B29" s="2"/>
      <c r="C29" s="21" t="s">
        <v>239</v>
      </c>
      <c r="D29" s="26">
        <v>21114.02</v>
      </c>
      <c r="E29" s="23">
        <v>1</v>
      </c>
      <c r="F29" s="2"/>
      <c r="G29" s="2"/>
      <c r="H29" s="24" t="s">
        <v>226</v>
      </c>
    </row>
    <row r="30" spans="1:11" ht="16.5" x14ac:dyDescent="0.25">
      <c r="A30" s="1592" t="s">
        <v>240</v>
      </c>
      <c r="B30" s="1592"/>
      <c r="C30" s="1592"/>
      <c r="D30" s="1592"/>
      <c r="E30" s="1592"/>
      <c r="F30" s="1592"/>
      <c r="G30" s="1592"/>
      <c r="H30" s="1592"/>
    </row>
    <row r="31" spans="1:11" ht="17.25" thickBot="1" x14ac:dyDescent="0.3">
      <c r="A31" s="1109"/>
      <c r="B31" s="1109"/>
      <c r="C31" s="1109"/>
      <c r="D31" s="1109"/>
      <c r="E31" s="1109"/>
      <c r="F31" s="1109"/>
      <c r="G31" s="1109"/>
      <c r="H31" s="1109"/>
    </row>
    <row r="32" spans="1:11" ht="15.75" thickBot="1" x14ac:dyDescent="0.3">
      <c r="A32" s="1137" t="s">
        <v>194</v>
      </c>
      <c r="B32" s="1138" t="s">
        <v>0</v>
      </c>
      <c r="C32" s="1138" t="s">
        <v>1</v>
      </c>
      <c r="D32" s="1138" t="s">
        <v>2</v>
      </c>
      <c r="E32" s="1138" t="s">
        <v>3</v>
      </c>
      <c r="F32" s="1138" t="s">
        <v>4</v>
      </c>
      <c r="G32" s="1138" t="s">
        <v>5</v>
      </c>
      <c r="H32" s="1138" t="s">
        <v>6</v>
      </c>
      <c r="I32" s="1138" t="s">
        <v>7</v>
      </c>
      <c r="J32" s="1138" t="s">
        <v>8</v>
      </c>
      <c r="K32" s="1138" t="s">
        <v>9</v>
      </c>
    </row>
    <row r="33" spans="1:11" ht="15.75" thickBot="1" x14ac:dyDescent="0.3">
      <c r="A33" s="1139">
        <v>1</v>
      </c>
      <c r="B33" s="1140" t="s">
        <v>10</v>
      </c>
      <c r="C33" s="1140" t="s">
        <v>11</v>
      </c>
      <c r="D33" s="1140" t="s">
        <v>11</v>
      </c>
      <c r="E33" s="1140" t="s">
        <v>11</v>
      </c>
      <c r="F33" s="1141">
        <v>30101</v>
      </c>
      <c r="G33" s="1141">
        <v>286.698195</v>
      </c>
      <c r="H33" s="1140" t="s">
        <v>12</v>
      </c>
      <c r="I33" s="1141">
        <v>-72.871611999999999</v>
      </c>
      <c r="J33" s="1141">
        <v>730250.30889999995</v>
      </c>
      <c r="K33" s="1141">
        <v>8491538.0059999991</v>
      </c>
    </row>
    <row r="34" spans="1:11" ht="15.75" thickBot="1" x14ac:dyDescent="0.3">
      <c r="A34" s="1139">
        <v>2</v>
      </c>
      <c r="B34" s="1140" t="s">
        <v>10</v>
      </c>
      <c r="C34" s="1140" t="s">
        <v>11</v>
      </c>
      <c r="D34" s="1140" t="s">
        <v>13</v>
      </c>
      <c r="E34" s="1140" t="s">
        <v>13</v>
      </c>
      <c r="F34" s="1141">
        <v>30102</v>
      </c>
      <c r="G34" s="1141">
        <v>176.91408699999999</v>
      </c>
      <c r="H34" s="1140" t="s">
        <v>14</v>
      </c>
      <c r="I34" s="1141">
        <v>-72.991288999999995</v>
      </c>
      <c r="J34" s="1141">
        <v>716963.99230000004</v>
      </c>
      <c r="K34" s="1141">
        <v>8451639.1889999993</v>
      </c>
    </row>
    <row r="35" spans="1:11" ht="15.75" thickBot="1" x14ac:dyDescent="0.3">
      <c r="A35" s="1139">
        <v>3</v>
      </c>
      <c r="B35" s="1140" t="s">
        <v>10</v>
      </c>
      <c r="C35" s="1140" t="s">
        <v>11</v>
      </c>
      <c r="D35" s="1140" t="s">
        <v>15</v>
      </c>
      <c r="E35" s="1140" t="s">
        <v>15</v>
      </c>
      <c r="F35" s="1141">
        <v>30103</v>
      </c>
      <c r="G35" s="1141">
        <v>634.55876999999998</v>
      </c>
      <c r="H35" s="1140" t="s">
        <v>16</v>
      </c>
      <c r="I35" s="1141">
        <v>-72.891520999999997</v>
      </c>
      <c r="J35" s="1141">
        <v>727767.29870000004</v>
      </c>
      <c r="K35" s="1141">
        <v>8454118.3129999992</v>
      </c>
    </row>
    <row r="36" spans="1:11" ht="15.75" thickBot="1" x14ac:dyDescent="0.3">
      <c r="A36" s="1139">
        <v>4</v>
      </c>
      <c r="B36" s="1140" t="s">
        <v>10</v>
      </c>
      <c r="C36" s="1140" t="s">
        <v>11</v>
      </c>
      <c r="D36" s="1140" t="s">
        <v>17</v>
      </c>
      <c r="E36" s="1140" t="s">
        <v>17</v>
      </c>
      <c r="F36" s="1141">
        <v>30104</v>
      </c>
      <c r="G36" s="1141">
        <v>860.44107299999996</v>
      </c>
      <c r="H36" s="1140" t="s">
        <v>18</v>
      </c>
      <c r="I36" s="1141">
        <v>-72.618118999999993</v>
      </c>
      <c r="J36" s="1141">
        <v>757683.55550000002</v>
      </c>
      <c r="K36" s="1141">
        <v>8490949.7559999991</v>
      </c>
    </row>
    <row r="37" spans="1:11" ht="15.75" thickBot="1" x14ac:dyDescent="0.3">
      <c r="A37" s="1139">
        <v>5</v>
      </c>
      <c r="B37" s="1140" t="s">
        <v>10</v>
      </c>
      <c r="C37" s="1140" t="s">
        <v>11</v>
      </c>
      <c r="D37" s="1140" t="s">
        <v>19</v>
      </c>
      <c r="E37" s="1140" t="s">
        <v>19</v>
      </c>
      <c r="F37" s="1141">
        <v>30105</v>
      </c>
      <c r="G37" s="1141">
        <v>427.27367700000002</v>
      </c>
      <c r="H37" s="1140" t="s">
        <v>20</v>
      </c>
      <c r="I37" s="1141">
        <v>-72.975290000000001</v>
      </c>
      <c r="J37" s="1141">
        <v>719178.03079999995</v>
      </c>
      <c r="K37" s="1141">
        <v>8509310.9979999997</v>
      </c>
    </row>
    <row r="38" spans="1:11" ht="15.75" thickBot="1" x14ac:dyDescent="0.3">
      <c r="A38" s="1139">
        <v>6</v>
      </c>
      <c r="B38" s="1140" t="s">
        <v>10</v>
      </c>
      <c r="C38" s="1140" t="s">
        <v>11</v>
      </c>
      <c r="D38" s="1140" t="s">
        <v>21</v>
      </c>
      <c r="E38" s="1140" t="s">
        <v>21</v>
      </c>
      <c r="F38" s="1141">
        <v>30106</v>
      </c>
      <c r="G38" s="1141">
        <v>525.91747799999996</v>
      </c>
      <c r="H38" s="1140" t="s">
        <v>22</v>
      </c>
      <c r="I38" s="1141">
        <v>-72.788133999999999</v>
      </c>
      <c r="J38" s="1141">
        <v>739114.44169999997</v>
      </c>
      <c r="K38" s="1141">
        <v>8472846.3080000002</v>
      </c>
    </row>
    <row r="39" spans="1:11" ht="15.75" thickBot="1" x14ac:dyDescent="0.3">
      <c r="A39" s="1139">
        <v>7</v>
      </c>
      <c r="B39" s="1140" t="s">
        <v>10</v>
      </c>
      <c r="C39" s="1140" t="s">
        <v>11</v>
      </c>
      <c r="D39" s="1140" t="s">
        <v>23</v>
      </c>
      <c r="E39" s="1140" t="s">
        <v>23</v>
      </c>
      <c r="F39" s="1141">
        <v>30107</v>
      </c>
      <c r="G39" s="1141">
        <v>373.88910600000003</v>
      </c>
      <c r="H39" s="1140" t="s">
        <v>24</v>
      </c>
      <c r="I39" s="1141">
        <v>-73.031732000000005</v>
      </c>
      <c r="J39" s="1141">
        <v>712790.41509999998</v>
      </c>
      <c r="K39" s="1141">
        <v>8475204.4509999994</v>
      </c>
    </row>
    <row r="40" spans="1:11" ht="15.75" thickBot="1" x14ac:dyDescent="0.3">
      <c r="A40" s="1139">
        <v>8</v>
      </c>
      <c r="B40" s="1140" t="s">
        <v>10</v>
      </c>
      <c r="C40" s="1140" t="s">
        <v>11</v>
      </c>
      <c r="D40" s="1140" t="s">
        <v>25</v>
      </c>
      <c r="E40" s="1140" t="s">
        <v>26</v>
      </c>
      <c r="F40" s="1141">
        <v>30108</v>
      </c>
      <c r="G40" s="1141">
        <v>118.003257</v>
      </c>
      <c r="H40" s="1140" t="s">
        <v>27</v>
      </c>
      <c r="I40" s="1141">
        <v>-72.814003</v>
      </c>
      <c r="J40" s="1141">
        <v>736631.7267</v>
      </c>
      <c r="K40" s="1141">
        <v>8507750.7440000009</v>
      </c>
    </row>
    <row r="41" spans="1:11" ht="15.75" thickBot="1" x14ac:dyDescent="0.3">
      <c r="A41" s="1139">
        <v>9</v>
      </c>
      <c r="B41" s="1140" t="s">
        <v>10</v>
      </c>
      <c r="C41" s="1140" t="s">
        <v>11</v>
      </c>
      <c r="D41" s="1140" t="s">
        <v>28</v>
      </c>
      <c r="E41" s="1140" t="s">
        <v>28</v>
      </c>
      <c r="F41" s="1141">
        <v>30109</v>
      </c>
      <c r="G41" s="1141">
        <v>54.596538000000002</v>
      </c>
      <c r="H41" s="1140" t="s">
        <v>29</v>
      </c>
      <c r="I41" s="1141">
        <v>-72.871964000000006</v>
      </c>
      <c r="J41" s="1141">
        <v>730268.73800000001</v>
      </c>
      <c r="K41" s="1141">
        <v>8497924.6150000002</v>
      </c>
    </row>
    <row r="42" spans="1:11" ht="15.75" thickBot="1" x14ac:dyDescent="0.3">
      <c r="A42" s="1139">
        <v>10</v>
      </c>
      <c r="B42" s="1140" t="s">
        <v>10</v>
      </c>
      <c r="C42" s="1140" t="s">
        <v>30</v>
      </c>
      <c r="D42" s="1140" t="s">
        <v>30</v>
      </c>
      <c r="E42" s="1140" t="s">
        <v>30</v>
      </c>
      <c r="F42" s="1141">
        <v>30201</v>
      </c>
      <c r="G42" s="1141">
        <v>197.24908600000001</v>
      </c>
      <c r="H42" s="1140" t="s">
        <v>31</v>
      </c>
      <c r="I42" s="1141">
        <v>-73.387912</v>
      </c>
      <c r="J42" s="1141">
        <v>674283.45360000001</v>
      </c>
      <c r="K42" s="1141">
        <v>8477308.9509999994</v>
      </c>
    </row>
    <row r="43" spans="1:11" ht="15.75" thickBot="1" x14ac:dyDescent="0.3">
      <c r="A43" s="1139">
        <v>11</v>
      </c>
      <c r="B43" s="1140" t="s">
        <v>10</v>
      </c>
      <c r="C43" s="1140" t="s">
        <v>30</v>
      </c>
      <c r="D43" s="1140" t="s">
        <v>32</v>
      </c>
      <c r="E43" s="1140" t="s">
        <v>32</v>
      </c>
      <c r="F43" s="1141">
        <v>30202</v>
      </c>
      <c r="G43" s="1141">
        <v>185.630788</v>
      </c>
      <c r="H43" s="1140" t="s">
        <v>33</v>
      </c>
      <c r="I43" s="1141">
        <v>-73.388576999999998</v>
      </c>
      <c r="J43" s="1141">
        <v>674410.8334</v>
      </c>
      <c r="K43" s="1141">
        <v>8507297.0079999994</v>
      </c>
    </row>
    <row r="44" spans="1:11" ht="15.75" thickBot="1" x14ac:dyDescent="0.3">
      <c r="A44" s="1139">
        <v>12</v>
      </c>
      <c r="B44" s="1140" t="s">
        <v>10</v>
      </c>
      <c r="C44" s="1140" t="s">
        <v>30</v>
      </c>
      <c r="D44" s="1140" t="s">
        <v>34</v>
      </c>
      <c r="E44" s="1140" t="s">
        <v>34</v>
      </c>
      <c r="F44" s="1141">
        <v>30203</v>
      </c>
      <c r="G44" s="1141">
        <v>146.69381100000001</v>
      </c>
      <c r="H44" s="1140" t="s">
        <v>35</v>
      </c>
      <c r="I44" s="1141">
        <v>-73.615565000000004</v>
      </c>
      <c r="J44" s="1141">
        <v>649596.65839999996</v>
      </c>
      <c r="K44" s="1141">
        <v>8465128.4800000004</v>
      </c>
    </row>
    <row r="45" spans="1:11" ht="15.75" thickBot="1" x14ac:dyDescent="0.3">
      <c r="A45" s="1139">
        <v>13</v>
      </c>
      <c r="B45" s="1140" t="s">
        <v>10</v>
      </c>
      <c r="C45" s="1140" t="s">
        <v>30</v>
      </c>
      <c r="D45" s="1140" t="s">
        <v>36</v>
      </c>
      <c r="E45" s="1140" t="s">
        <v>36</v>
      </c>
      <c r="F45" s="1141">
        <v>30204</v>
      </c>
      <c r="G45" s="1141">
        <v>156.34623199999999</v>
      </c>
      <c r="H45" s="1140" t="s">
        <v>37</v>
      </c>
      <c r="I45" s="1141">
        <v>-73.028308999999993</v>
      </c>
      <c r="J45" s="1141">
        <v>713274.60730000003</v>
      </c>
      <c r="K45" s="1141">
        <v>8489355.9340000004</v>
      </c>
    </row>
    <row r="46" spans="1:11" ht="15.75" thickBot="1" x14ac:dyDescent="0.3">
      <c r="A46" s="1139">
        <v>14</v>
      </c>
      <c r="B46" s="1140" t="s">
        <v>10</v>
      </c>
      <c r="C46" s="1140" t="s">
        <v>30</v>
      </c>
      <c r="D46" s="1140" t="s">
        <v>38</v>
      </c>
      <c r="E46" s="1140" t="s">
        <v>38</v>
      </c>
      <c r="F46" s="1141">
        <v>30205</v>
      </c>
      <c r="G46" s="1141">
        <v>111.118681</v>
      </c>
      <c r="H46" s="1140" t="s">
        <v>39</v>
      </c>
      <c r="I46" s="1141">
        <v>-73.547200000000004</v>
      </c>
      <c r="J46" s="1141">
        <v>657059.16469999996</v>
      </c>
      <c r="K46" s="1141">
        <v>8477278.4749999996</v>
      </c>
    </row>
    <row r="47" spans="1:11" ht="15.75" thickBot="1" x14ac:dyDescent="0.3">
      <c r="A47" s="1139">
        <v>15</v>
      </c>
      <c r="B47" s="1140" t="s">
        <v>10</v>
      </c>
      <c r="C47" s="1140" t="s">
        <v>30</v>
      </c>
      <c r="D47" s="1140" t="s">
        <v>40</v>
      </c>
      <c r="E47" s="1140" t="s">
        <v>40</v>
      </c>
      <c r="F47" s="1141">
        <v>30206</v>
      </c>
      <c r="G47" s="1141">
        <v>95.301064999999994</v>
      </c>
      <c r="H47" s="1140" t="s">
        <v>41</v>
      </c>
      <c r="I47" s="1141">
        <v>-73.550967999999997</v>
      </c>
      <c r="J47" s="1141">
        <v>656504.98860000004</v>
      </c>
      <c r="K47" s="1141">
        <v>8452947.1079999991</v>
      </c>
    </row>
    <row r="48" spans="1:11" ht="15.75" thickBot="1" x14ac:dyDescent="0.3">
      <c r="A48" s="1139">
        <v>16</v>
      </c>
      <c r="B48" s="1140" t="s">
        <v>10</v>
      </c>
      <c r="C48" s="1140" t="s">
        <v>30</v>
      </c>
      <c r="D48" s="1140" t="s">
        <v>42</v>
      </c>
      <c r="E48" s="1140" t="s">
        <v>42</v>
      </c>
      <c r="F48" s="1141">
        <v>30207</v>
      </c>
      <c r="G48" s="1141">
        <v>309.10094800000002</v>
      </c>
      <c r="H48" s="1140" t="s">
        <v>43</v>
      </c>
      <c r="I48" s="1141">
        <v>-73.162479000000005</v>
      </c>
      <c r="J48" s="1141">
        <v>698749.03339999996</v>
      </c>
      <c r="K48" s="1141">
        <v>8488543.3169999998</v>
      </c>
    </row>
    <row r="49" spans="1:11" ht="15.75" thickBot="1" x14ac:dyDescent="0.3">
      <c r="A49" s="1139">
        <v>17</v>
      </c>
      <c r="B49" s="1140" t="s">
        <v>10</v>
      </c>
      <c r="C49" s="1140" t="s">
        <v>30</v>
      </c>
      <c r="D49" s="1140" t="s">
        <v>44</v>
      </c>
      <c r="E49" s="1140" t="s">
        <v>44</v>
      </c>
      <c r="F49" s="1141">
        <v>30208</v>
      </c>
      <c r="G49" s="1141">
        <v>259.42806400000001</v>
      </c>
      <c r="H49" s="1140" t="s">
        <v>45</v>
      </c>
      <c r="I49" s="1141">
        <v>-73.129694999999998</v>
      </c>
      <c r="J49" s="1141">
        <v>702404.90040000004</v>
      </c>
      <c r="K49" s="1141">
        <v>8502811.1339999996</v>
      </c>
    </row>
    <row r="50" spans="1:11" ht="15.75" thickBot="1" x14ac:dyDescent="0.3">
      <c r="A50" s="1139">
        <v>18</v>
      </c>
      <c r="B50" s="1140" t="s">
        <v>10</v>
      </c>
      <c r="C50" s="1140" t="s">
        <v>30</v>
      </c>
      <c r="D50" s="1140" t="s">
        <v>46</v>
      </c>
      <c r="E50" s="1140" t="s">
        <v>46</v>
      </c>
      <c r="F50" s="1141">
        <v>30209</v>
      </c>
      <c r="G50" s="1141">
        <v>170.67035200000001</v>
      </c>
      <c r="H50" s="1140" t="s">
        <v>47</v>
      </c>
      <c r="I50" s="1141">
        <v>-73.309291000000002</v>
      </c>
      <c r="J50" s="1141">
        <v>682917.57990000001</v>
      </c>
      <c r="K50" s="1141">
        <v>8496075.8939999994</v>
      </c>
    </row>
    <row r="51" spans="1:11" ht="15.75" thickBot="1" x14ac:dyDescent="0.3">
      <c r="A51" s="1139">
        <v>19</v>
      </c>
      <c r="B51" s="1140" t="s">
        <v>10</v>
      </c>
      <c r="C51" s="1140" t="s">
        <v>30</v>
      </c>
      <c r="D51" s="1140" t="s">
        <v>48</v>
      </c>
      <c r="E51" s="1140" t="s">
        <v>48</v>
      </c>
      <c r="F51" s="1141">
        <v>30210</v>
      </c>
      <c r="G51" s="1141">
        <v>590.57905200000005</v>
      </c>
      <c r="H51" s="1140" t="s">
        <v>49</v>
      </c>
      <c r="I51" s="1141">
        <v>-73.478526000000002</v>
      </c>
      <c r="J51" s="1141">
        <v>664110.99140000006</v>
      </c>
      <c r="K51" s="1141">
        <v>8418999.6180000007</v>
      </c>
    </row>
    <row r="52" spans="1:11" ht="15.75" thickBot="1" x14ac:dyDescent="0.3">
      <c r="A52" s="1139">
        <v>20</v>
      </c>
      <c r="B52" s="1140" t="s">
        <v>10</v>
      </c>
      <c r="C52" s="1140" t="s">
        <v>30</v>
      </c>
      <c r="D52" s="1140" t="s">
        <v>50</v>
      </c>
      <c r="E52" s="1140" t="s">
        <v>50</v>
      </c>
      <c r="F52" s="1141">
        <v>30211</v>
      </c>
      <c r="G52" s="1141">
        <v>122.841399</v>
      </c>
      <c r="H52" s="1140" t="s">
        <v>51</v>
      </c>
      <c r="I52" s="1141">
        <v>-73.492097999999999</v>
      </c>
      <c r="J52" s="1141">
        <v>662788.75520000001</v>
      </c>
      <c r="K52" s="1141">
        <v>8441102.9049999993</v>
      </c>
    </row>
    <row r="53" spans="1:11" ht="15.75" thickBot="1" x14ac:dyDescent="0.3">
      <c r="A53" s="1139">
        <v>21</v>
      </c>
      <c r="B53" s="1140" t="s">
        <v>10</v>
      </c>
      <c r="C53" s="1140" t="s">
        <v>30</v>
      </c>
      <c r="D53" s="1140" t="s">
        <v>52</v>
      </c>
      <c r="E53" s="1140" t="s">
        <v>52</v>
      </c>
      <c r="F53" s="1141">
        <v>30212</v>
      </c>
      <c r="G53" s="1141">
        <v>178.51085399999999</v>
      </c>
      <c r="H53" s="1140" t="s">
        <v>53</v>
      </c>
      <c r="I53" s="1141">
        <v>-73.657583000000002</v>
      </c>
      <c r="J53" s="1141">
        <v>645111.71660000004</v>
      </c>
      <c r="K53" s="1141">
        <v>8475150.5600000005</v>
      </c>
    </row>
    <row r="54" spans="1:11" ht="15.75" thickBot="1" x14ac:dyDescent="0.3">
      <c r="A54" s="1139">
        <v>22</v>
      </c>
      <c r="B54" s="1140" t="s">
        <v>10</v>
      </c>
      <c r="C54" s="1140" t="s">
        <v>30</v>
      </c>
      <c r="D54" s="1140" t="s">
        <v>54</v>
      </c>
      <c r="E54" s="1140" t="s">
        <v>54</v>
      </c>
      <c r="F54" s="1141">
        <v>30213</v>
      </c>
      <c r="G54" s="1141">
        <v>248.62913</v>
      </c>
      <c r="H54" s="1140" t="s">
        <v>55</v>
      </c>
      <c r="I54" s="1141">
        <v>-73.274055000000004</v>
      </c>
      <c r="J54" s="1141">
        <v>686636.29319999996</v>
      </c>
      <c r="K54" s="1141">
        <v>8482946.1919999998</v>
      </c>
    </row>
    <row r="55" spans="1:11" ht="15.75" thickBot="1" x14ac:dyDescent="0.3">
      <c r="A55" s="1139">
        <v>23</v>
      </c>
      <c r="B55" s="1140" t="s">
        <v>10</v>
      </c>
      <c r="C55" s="1140" t="s">
        <v>30</v>
      </c>
      <c r="D55" s="1140" t="s">
        <v>56</v>
      </c>
      <c r="E55" s="1140" t="s">
        <v>57</v>
      </c>
      <c r="F55" s="1141">
        <v>30214</v>
      </c>
      <c r="G55" s="1141">
        <v>84.908979000000002</v>
      </c>
      <c r="H55" s="1140" t="s">
        <v>58</v>
      </c>
      <c r="I55" s="1141">
        <v>-73.603013000000004</v>
      </c>
      <c r="J55" s="1141">
        <v>650899.66269999999</v>
      </c>
      <c r="K55" s="1141">
        <v>8456016.1569999997</v>
      </c>
    </row>
    <row r="56" spans="1:11" ht="15.75" thickBot="1" x14ac:dyDescent="0.3">
      <c r="A56" s="1139">
        <v>24</v>
      </c>
      <c r="B56" s="1140" t="s">
        <v>10</v>
      </c>
      <c r="C56" s="1140" t="s">
        <v>30</v>
      </c>
      <c r="D56" s="1140" t="s">
        <v>59</v>
      </c>
      <c r="E56" s="1140" t="s">
        <v>59</v>
      </c>
      <c r="F56" s="1141">
        <v>30215</v>
      </c>
      <c r="G56" s="1141">
        <v>156.06259</v>
      </c>
      <c r="H56" s="1140" t="s">
        <v>60</v>
      </c>
      <c r="I56" s="1141">
        <v>-73.546270000000007</v>
      </c>
      <c r="J56" s="1141">
        <v>657232.1912</v>
      </c>
      <c r="K56" s="1141">
        <v>8489276.5610000007</v>
      </c>
    </row>
    <row r="57" spans="1:11" ht="15.75" thickBot="1" x14ac:dyDescent="0.3">
      <c r="A57" s="1139">
        <v>25</v>
      </c>
      <c r="B57" s="1140" t="s">
        <v>10</v>
      </c>
      <c r="C57" s="1140" t="s">
        <v>30</v>
      </c>
      <c r="D57" s="1140" t="s">
        <v>61</v>
      </c>
      <c r="E57" s="1140" t="s">
        <v>61</v>
      </c>
      <c r="F57" s="1141">
        <v>30216</v>
      </c>
      <c r="G57" s="1141">
        <v>158.00257500000001</v>
      </c>
      <c r="H57" s="1140" t="s">
        <v>62</v>
      </c>
      <c r="I57" s="1141">
        <v>-73.453028000000003</v>
      </c>
      <c r="J57" s="1141">
        <v>667342.44880000001</v>
      </c>
      <c r="K57" s="1141">
        <v>8492938.4110000003</v>
      </c>
    </row>
    <row r="58" spans="1:11" ht="15.75" thickBot="1" x14ac:dyDescent="0.3">
      <c r="A58" s="1139">
        <v>26</v>
      </c>
      <c r="B58" s="1140" t="s">
        <v>10</v>
      </c>
      <c r="C58" s="1140" t="s">
        <v>30</v>
      </c>
      <c r="D58" s="1140" t="s">
        <v>63</v>
      </c>
      <c r="E58" s="1140" t="s">
        <v>64</v>
      </c>
      <c r="F58" s="1141">
        <v>30217</v>
      </c>
      <c r="G58" s="1141">
        <v>453.371375</v>
      </c>
      <c r="H58" s="1140" t="s">
        <v>65</v>
      </c>
      <c r="I58" s="1141">
        <v>-73.458200000000005</v>
      </c>
      <c r="J58" s="1141">
        <v>666540.9</v>
      </c>
      <c r="K58" s="1141">
        <v>8455136.7919999994</v>
      </c>
    </row>
    <row r="59" spans="1:11" ht="15.75" thickBot="1" x14ac:dyDescent="0.3">
      <c r="A59" s="1139">
        <v>27</v>
      </c>
      <c r="B59" s="1140" t="s">
        <v>10</v>
      </c>
      <c r="C59" s="1140" t="s">
        <v>30</v>
      </c>
      <c r="D59" s="1140" t="s">
        <v>66</v>
      </c>
      <c r="E59" s="1140" t="s">
        <v>66</v>
      </c>
      <c r="F59" s="1141">
        <v>30218</v>
      </c>
      <c r="G59" s="1141">
        <v>123.750552</v>
      </c>
      <c r="H59" s="1140" t="s">
        <v>67</v>
      </c>
      <c r="I59" s="1141">
        <v>-73.472205000000002</v>
      </c>
      <c r="J59" s="1141">
        <v>665153.63199999998</v>
      </c>
      <c r="K59" s="1141">
        <v>8474908.1410000008</v>
      </c>
    </row>
    <row r="60" spans="1:11" ht="15.75" thickBot="1" x14ac:dyDescent="0.3">
      <c r="A60" s="1139">
        <v>28</v>
      </c>
      <c r="B60" s="1140" t="s">
        <v>10</v>
      </c>
      <c r="C60" s="1140" t="s">
        <v>30</v>
      </c>
      <c r="D60" s="1140" t="s">
        <v>68</v>
      </c>
      <c r="E60" s="1140" t="s">
        <v>68</v>
      </c>
      <c r="F60" s="1141">
        <v>30219</v>
      </c>
      <c r="G60" s="1141">
        <v>112.09679800000001</v>
      </c>
      <c r="H60" s="1140" t="s">
        <v>69</v>
      </c>
      <c r="I60" s="1141">
        <v>-73.279405999999994</v>
      </c>
      <c r="J60" s="1141">
        <v>686218.91110000003</v>
      </c>
      <c r="K60" s="1141">
        <v>8505640.0559999999</v>
      </c>
    </row>
    <row r="61" spans="1:11" ht="15.75" thickBot="1" x14ac:dyDescent="0.3">
      <c r="A61" s="1139">
        <v>29</v>
      </c>
      <c r="B61" s="1140" t="s">
        <v>10</v>
      </c>
      <c r="C61" s="1140" t="s">
        <v>30</v>
      </c>
      <c r="D61" s="1140" t="s">
        <v>70</v>
      </c>
      <c r="E61" s="1140" t="s">
        <v>71</v>
      </c>
      <c r="F61" s="1141">
        <v>30220</v>
      </c>
      <c r="G61" s="1141">
        <v>175.23843400000001</v>
      </c>
      <c r="H61" s="1140" t="s">
        <v>72</v>
      </c>
      <c r="I61" s="1141">
        <v>-73.323964000000004</v>
      </c>
      <c r="J61" s="1141">
        <v>681167.28110000002</v>
      </c>
      <c r="K61" s="1141">
        <v>8472737.0399999991</v>
      </c>
    </row>
    <row r="62" spans="1:11" ht="15.75" thickBot="1" x14ac:dyDescent="0.3">
      <c r="A62" s="1139">
        <v>30</v>
      </c>
      <c r="B62" s="1140" t="s">
        <v>10</v>
      </c>
      <c r="C62" s="1140" t="s">
        <v>73</v>
      </c>
      <c r="D62" s="1140" t="s">
        <v>73</v>
      </c>
      <c r="E62" s="1140" t="s">
        <v>73</v>
      </c>
      <c r="F62" s="1141">
        <v>30301</v>
      </c>
      <c r="G62" s="1141">
        <v>602.91831000000002</v>
      </c>
      <c r="H62" s="1140" t="s">
        <v>74</v>
      </c>
      <c r="I62" s="1141">
        <v>-72.750118999999998</v>
      </c>
      <c r="J62" s="1141">
        <v>742464.71970000002</v>
      </c>
      <c r="K62" s="1141">
        <v>8393792.4710000008</v>
      </c>
    </row>
    <row r="63" spans="1:11" ht="15.75" thickBot="1" x14ac:dyDescent="0.3">
      <c r="A63" s="1139">
        <v>31</v>
      </c>
      <c r="B63" s="1140" t="s">
        <v>10</v>
      </c>
      <c r="C63" s="1140" t="s">
        <v>73</v>
      </c>
      <c r="D63" s="1140" t="s">
        <v>75</v>
      </c>
      <c r="E63" s="1140" t="s">
        <v>76</v>
      </c>
      <c r="F63" s="1141">
        <v>30302</v>
      </c>
      <c r="G63" s="1141">
        <v>66.625185000000002</v>
      </c>
      <c r="H63" s="1140" t="s">
        <v>77</v>
      </c>
      <c r="I63" s="1141">
        <v>-73.035216000000005</v>
      </c>
      <c r="J63" s="1141">
        <v>712070.20389999996</v>
      </c>
      <c r="K63" s="1141">
        <v>8433931.3499999996</v>
      </c>
    </row>
    <row r="64" spans="1:11" ht="15.75" thickBot="1" x14ac:dyDescent="0.3">
      <c r="A64" s="1139">
        <v>32</v>
      </c>
      <c r="B64" s="1140" t="s">
        <v>10</v>
      </c>
      <c r="C64" s="1140" t="s">
        <v>73</v>
      </c>
      <c r="D64" s="1140" t="s">
        <v>78</v>
      </c>
      <c r="E64" s="1140" t="s">
        <v>78</v>
      </c>
      <c r="F64" s="1141">
        <v>30303</v>
      </c>
      <c r="G64" s="1141">
        <v>350.95733300000001</v>
      </c>
      <c r="H64" s="1140" t="s">
        <v>79</v>
      </c>
      <c r="I64" s="1141">
        <v>-72.786687999999998</v>
      </c>
      <c r="J64" s="1141">
        <v>738713.32160000002</v>
      </c>
      <c r="K64" s="1141">
        <v>8413497.4859999996</v>
      </c>
    </row>
    <row r="65" spans="1:11" ht="15.75" thickBot="1" x14ac:dyDescent="0.3">
      <c r="A65" s="1139">
        <v>33</v>
      </c>
      <c r="B65" s="1140" t="s">
        <v>10</v>
      </c>
      <c r="C65" s="1140" t="s">
        <v>73</v>
      </c>
      <c r="D65" s="1140" t="s">
        <v>80</v>
      </c>
      <c r="E65" s="1140" t="s">
        <v>81</v>
      </c>
      <c r="F65" s="1141">
        <v>30304</v>
      </c>
      <c r="G65" s="1141">
        <v>632.64825900000005</v>
      </c>
      <c r="H65" s="1140" t="s">
        <v>82</v>
      </c>
      <c r="I65" s="1141">
        <v>-72.908388000000002</v>
      </c>
      <c r="J65" s="1141">
        <v>725361.12849999999</v>
      </c>
      <c r="K65" s="1141">
        <v>8389461.2259999998</v>
      </c>
    </row>
    <row r="66" spans="1:11" ht="15.75" thickBot="1" x14ac:dyDescent="0.3">
      <c r="A66" s="1139">
        <v>34</v>
      </c>
      <c r="B66" s="1140" t="s">
        <v>10</v>
      </c>
      <c r="C66" s="1140" t="s">
        <v>73</v>
      </c>
      <c r="D66" s="1140" t="s">
        <v>83</v>
      </c>
      <c r="E66" s="1140" t="s">
        <v>83</v>
      </c>
      <c r="F66" s="1141">
        <v>30305</v>
      </c>
      <c r="G66" s="1141">
        <v>1171.7343229999999</v>
      </c>
      <c r="H66" s="1140" t="s">
        <v>84</v>
      </c>
      <c r="I66" s="1141">
        <v>-72.523126000000005</v>
      </c>
      <c r="J66" s="1141">
        <v>767044.0675</v>
      </c>
      <c r="K66" s="1141">
        <v>8402621.0409999993</v>
      </c>
    </row>
    <row r="67" spans="1:11" ht="15.75" thickBot="1" x14ac:dyDescent="0.3">
      <c r="A67" s="1139">
        <v>35</v>
      </c>
      <c r="B67" s="1140" t="s">
        <v>10</v>
      </c>
      <c r="C67" s="1140" t="s">
        <v>73</v>
      </c>
      <c r="D67" s="1140" t="s">
        <v>85</v>
      </c>
      <c r="E67" s="1140" t="s">
        <v>85</v>
      </c>
      <c r="F67" s="1141">
        <v>30306</v>
      </c>
      <c r="G67" s="1141">
        <v>229.31721200000001</v>
      </c>
      <c r="H67" s="1140" t="s">
        <v>86</v>
      </c>
      <c r="I67" s="1141">
        <v>-72.979122000000004</v>
      </c>
      <c r="J67" s="1141">
        <v>718069.19920000003</v>
      </c>
      <c r="K67" s="1141">
        <v>8427108.1730000004</v>
      </c>
    </row>
    <row r="68" spans="1:11" ht="15.75" thickBot="1" x14ac:dyDescent="0.3">
      <c r="A68" s="1139">
        <v>36</v>
      </c>
      <c r="B68" s="1140" t="s">
        <v>10</v>
      </c>
      <c r="C68" s="1140" t="s">
        <v>73</v>
      </c>
      <c r="D68" s="1140" t="s">
        <v>87</v>
      </c>
      <c r="E68" s="1140" t="s">
        <v>87</v>
      </c>
      <c r="F68" s="1141">
        <v>30307</v>
      </c>
      <c r="G68" s="1141">
        <v>176.597678</v>
      </c>
      <c r="H68" s="1140" t="s">
        <v>88</v>
      </c>
      <c r="I68" s="1141">
        <v>-72.980158000000003</v>
      </c>
      <c r="J68" s="1141">
        <v>717857.35459999996</v>
      </c>
      <c r="K68" s="1141">
        <v>8415604.3399999999</v>
      </c>
    </row>
    <row r="69" spans="1:11" ht="15.75" thickBot="1" x14ac:dyDescent="0.3">
      <c r="A69" s="1139">
        <v>37</v>
      </c>
      <c r="B69" s="1140" t="s">
        <v>10</v>
      </c>
      <c r="C69" s="1140" t="s">
        <v>89</v>
      </c>
      <c r="D69" s="1140" t="s">
        <v>90</v>
      </c>
      <c r="E69" s="1140" t="s">
        <v>90</v>
      </c>
      <c r="F69" s="1141">
        <v>30401</v>
      </c>
      <c r="G69" s="1141">
        <v>339.06337100000002</v>
      </c>
      <c r="H69" s="1140" t="s">
        <v>91</v>
      </c>
      <c r="I69" s="1141">
        <v>-73.229284000000007</v>
      </c>
      <c r="J69" s="1141">
        <v>691001.88150000002</v>
      </c>
      <c r="K69" s="1141">
        <v>8419001.2479999997</v>
      </c>
    </row>
    <row r="70" spans="1:11" ht="15.75" thickBot="1" x14ac:dyDescent="0.3">
      <c r="A70" s="1139">
        <v>38</v>
      </c>
      <c r="B70" s="1140" t="s">
        <v>10</v>
      </c>
      <c r="C70" s="1140" t="s">
        <v>89</v>
      </c>
      <c r="D70" s="1140" t="s">
        <v>92</v>
      </c>
      <c r="E70" s="1140" t="s">
        <v>92</v>
      </c>
      <c r="F70" s="1141">
        <v>30402</v>
      </c>
      <c r="G70" s="1141">
        <v>83.286640000000006</v>
      </c>
      <c r="H70" s="1140" t="s">
        <v>93</v>
      </c>
      <c r="I70" s="1141">
        <v>-73.353854999999996</v>
      </c>
      <c r="J70" s="1141">
        <v>677701.10789999994</v>
      </c>
      <c r="K70" s="1141">
        <v>8438866.2789999992</v>
      </c>
    </row>
    <row r="71" spans="1:11" ht="15.75" thickBot="1" x14ac:dyDescent="0.3">
      <c r="A71" s="1139">
        <v>39</v>
      </c>
      <c r="B71" s="1140" t="s">
        <v>10</v>
      </c>
      <c r="C71" s="1140" t="s">
        <v>89</v>
      </c>
      <c r="D71" s="1140" t="s">
        <v>94</v>
      </c>
      <c r="E71" s="1140" t="s">
        <v>94</v>
      </c>
      <c r="F71" s="1141">
        <v>30403</v>
      </c>
      <c r="G71" s="1141">
        <v>230.326965</v>
      </c>
      <c r="H71" s="1140" t="s">
        <v>95</v>
      </c>
      <c r="I71" s="1141">
        <v>-73.094503000000003</v>
      </c>
      <c r="J71" s="1141">
        <v>705430.84869999997</v>
      </c>
      <c r="K71" s="1141">
        <v>8405042.568</v>
      </c>
    </row>
    <row r="72" spans="1:11" ht="15.75" thickBot="1" x14ac:dyDescent="0.3">
      <c r="A72" s="1139">
        <v>40</v>
      </c>
      <c r="B72" s="1140" t="s">
        <v>10</v>
      </c>
      <c r="C72" s="1140" t="s">
        <v>89</v>
      </c>
      <c r="D72" s="1140" t="s">
        <v>96</v>
      </c>
      <c r="E72" s="1140" t="s">
        <v>96</v>
      </c>
      <c r="F72" s="1141">
        <v>30404</v>
      </c>
      <c r="G72" s="1141">
        <v>204.112121</v>
      </c>
      <c r="H72" s="1140" t="s">
        <v>97</v>
      </c>
      <c r="I72" s="1141">
        <v>-73.086776</v>
      </c>
      <c r="J72" s="1141">
        <v>706637.99739999999</v>
      </c>
      <c r="K72" s="1141">
        <v>8450575.5099999998</v>
      </c>
    </row>
    <row r="73" spans="1:11" ht="15.75" thickBot="1" x14ac:dyDescent="0.3">
      <c r="A73" s="1139">
        <v>41</v>
      </c>
      <c r="B73" s="1140" t="s">
        <v>10</v>
      </c>
      <c r="C73" s="1140" t="s">
        <v>89</v>
      </c>
      <c r="D73" s="1140" t="s">
        <v>98</v>
      </c>
      <c r="E73" s="1140" t="s">
        <v>98</v>
      </c>
      <c r="F73" s="1141">
        <v>30405</v>
      </c>
      <c r="G73" s="1141">
        <v>91.777711999999994</v>
      </c>
      <c r="H73" s="1140" t="s">
        <v>99</v>
      </c>
      <c r="I73" s="1141">
        <v>-73.258258999999995</v>
      </c>
      <c r="J73" s="1141">
        <v>688135.48609999998</v>
      </c>
      <c r="K73" s="1141">
        <v>8454133.9389999993</v>
      </c>
    </row>
    <row r="74" spans="1:11" ht="15.75" thickBot="1" x14ac:dyDescent="0.3">
      <c r="A74" s="1139">
        <v>42</v>
      </c>
      <c r="B74" s="1140" t="s">
        <v>10</v>
      </c>
      <c r="C74" s="1140" t="s">
        <v>89</v>
      </c>
      <c r="D74" s="1140" t="s">
        <v>100</v>
      </c>
      <c r="E74" s="1140" t="s">
        <v>100</v>
      </c>
      <c r="F74" s="1141">
        <v>30406</v>
      </c>
      <c r="G74" s="1141">
        <v>1735.3753099999999</v>
      </c>
      <c r="H74" s="1140" t="s">
        <v>101</v>
      </c>
      <c r="I74" s="1141">
        <v>-73.295175</v>
      </c>
      <c r="J74" s="1141">
        <v>683659.57010000001</v>
      </c>
      <c r="K74" s="1141">
        <v>8386452.5240000002</v>
      </c>
    </row>
    <row r="75" spans="1:11" ht="15.75" thickBot="1" x14ac:dyDescent="0.3">
      <c r="A75" s="1139">
        <v>43</v>
      </c>
      <c r="B75" s="1140" t="s">
        <v>10</v>
      </c>
      <c r="C75" s="1140" t="s">
        <v>89</v>
      </c>
      <c r="D75" s="1140" t="s">
        <v>102</v>
      </c>
      <c r="E75" s="1140" t="s">
        <v>102</v>
      </c>
      <c r="F75" s="1141">
        <v>30407</v>
      </c>
      <c r="G75" s="1141">
        <v>72.789118999999999</v>
      </c>
      <c r="H75" s="1140" t="s">
        <v>103</v>
      </c>
      <c r="I75" s="1141">
        <v>-73.244033000000002</v>
      </c>
      <c r="J75" s="1141">
        <v>689574.48089999997</v>
      </c>
      <c r="K75" s="1141">
        <v>8440735.0380000006</v>
      </c>
    </row>
    <row r="76" spans="1:11" ht="15.75" thickBot="1" x14ac:dyDescent="0.3">
      <c r="A76" s="1139">
        <v>44</v>
      </c>
      <c r="B76" s="1140" t="s">
        <v>10</v>
      </c>
      <c r="C76" s="1140" t="s">
        <v>89</v>
      </c>
      <c r="D76" s="1140" t="s">
        <v>104</v>
      </c>
      <c r="E76" s="1140" t="s">
        <v>105</v>
      </c>
      <c r="F76" s="1141">
        <v>30408</v>
      </c>
      <c r="G76" s="1141">
        <v>101.00806</v>
      </c>
      <c r="H76" s="1140" t="s">
        <v>106</v>
      </c>
      <c r="I76" s="1141">
        <v>-73.197817999999998</v>
      </c>
      <c r="J76" s="1141">
        <v>694537.30189999996</v>
      </c>
      <c r="K76" s="1141">
        <v>8437101.3839999996</v>
      </c>
    </row>
    <row r="77" spans="1:11" ht="15.75" thickBot="1" x14ac:dyDescent="0.3">
      <c r="A77" s="1139">
        <v>45</v>
      </c>
      <c r="B77" s="1140" t="s">
        <v>10</v>
      </c>
      <c r="C77" s="1140" t="s">
        <v>89</v>
      </c>
      <c r="D77" s="1140" t="s">
        <v>107</v>
      </c>
      <c r="E77" s="1140" t="s">
        <v>107</v>
      </c>
      <c r="F77" s="1141">
        <v>30409</v>
      </c>
      <c r="G77" s="1141">
        <v>103.775032</v>
      </c>
      <c r="H77" s="1140" t="s">
        <v>108</v>
      </c>
      <c r="I77" s="1141">
        <v>-73.245453999999995</v>
      </c>
      <c r="J77" s="1141">
        <v>689569.56370000006</v>
      </c>
      <c r="K77" s="1141">
        <v>8460879.7850000001</v>
      </c>
    </row>
    <row r="78" spans="1:11" ht="15.75" thickBot="1" x14ac:dyDescent="0.3">
      <c r="A78" s="1139">
        <v>46</v>
      </c>
      <c r="B78" s="1140" t="s">
        <v>10</v>
      </c>
      <c r="C78" s="1140" t="s">
        <v>89</v>
      </c>
      <c r="D78" s="1140" t="s">
        <v>109</v>
      </c>
      <c r="E78" s="1140" t="s">
        <v>109</v>
      </c>
      <c r="F78" s="1141">
        <v>30410</v>
      </c>
      <c r="G78" s="1141">
        <v>87.595410999999999</v>
      </c>
      <c r="H78" s="1140" t="s">
        <v>110</v>
      </c>
      <c r="I78" s="1141">
        <v>-73.087677999999997</v>
      </c>
      <c r="J78" s="1141">
        <v>706345.25089999998</v>
      </c>
      <c r="K78" s="1141">
        <v>8426653.1559999995</v>
      </c>
    </row>
    <row r="79" spans="1:11" ht="15.75" thickBot="1" x14ac:dyDescent="0.3">
      <c r="A79" s="1139">
        <v>47</v>
      </c>
      <c r="B79" s="1140" t="s">
        <v>10</v>
      </c>
      <c r="C79" s="1140" t="s">
        <v>89</v>
      </c>
      <c r="D79" s="1140" t="s">
        <v>111</v>
      </c>
      <c r="E79" s="1140" t="s">
        <v>111</v>
      </c>
      <c r="F79" s="1141">
        <v>30411</v>
      </c>
      <c r="G79" s="1141">
        <v>96.223269999999999</v>
      </c>
      <c r="H79" s="1140" t="s">
        <v>112</v>
      </c>
      <c r="I79" s="1141">
        <v>-73.193821</v>
      </c>
      <c r="J79" s="1141">
        <v>695175.94979999994</v>
      </c>
      <c r="K79" s="1141">
        <v>8464255.4499999993</v>
      </c>
    </row>
    <row r="80" spans="1:11" ht="15.75" thickBot="1" x14ac:dyDescent="0.3">
      <c r="A80" s="1139">
        <v>48</v>
      </c>
      <c r="B80" s="1140" t="s">
        <v>10</v>
      </c>
      <c r="C80" s="1140" t="s">
        <v>89</v>
      </c>
      <c r="D80" s="1140" t="s">
        <v>113</v>
      </c>
      <c r="E80" s="1140" t="s">
        <v>113</v>
      </c>
      <c r="F80" s="1141">
        <v>30412</v>
      </c>
      <c r="G80" s="1141">
        <v>365.23539299999999</v>
      </c>
      <c r="H80" s="1140" t="s">
        <v>114</v>
      </c>
      <c r="I80" s="1141">
        <v>-73.358265000000003</v>
      </c>
      <c r="J80" s="1141">
        <v>677055.93119999999</v>
      </c>
      <c r="K80" s="1141">
        <v>8414868.7770000007</v>
      </c>
    </row>
    <row r="81" spans="1:11" ht="15.75" thickBot="1" x14ac:dyDescent="0.3">
      <c r="A81" s="1139">
        <v>49</v>
      </c>
      <c r="B81" s="1140" t="s">
        <v>10</v>
      </c>
      <c r="C81" s="1140" t="s">
        <v>89</v>
      </c>
      <c r="D81" s="1140" t="s">
        <v>115</v>
      </c>
      <c r="E81" s="1140" t="s">
        <v>115</v>
      </c>
      <c r="F81" s="1141">
        <v>30413</v>
      </c>
      <c r="G81" s="1141">
        <v>44.387388999999999</v>
      </c>
      <c r="H81" s="1140" t="s">
        <v>116</v>
      </c>
      <c r="I81" s="1141">
        <v>-73.284007000000003</v>
      </c>
      <c r="J81" s="1141">
        <v>685198.37239999999</v>
      </c>
      <c r="K81" s="1141">
        <v>8432710.2229999993</v>
      </c>
    </row>
    <row r="82" spans="1:11" ht="15.75" thickBot="1" x14ac:dyDescent="0.3">
      <c r="A82" s="1139">
        <v>50</v>
      </c>
      <c r="B82" s="1140" t="s">
        <v>10</v>
      </c>
      <c r="C82" s="1140" t="s">
        <v>89</v>
      </c>
      <c r="D82" s="1140" t="s">
        <v>117</v>
      </c>
      <c r="E82" s="1140" t="s">
        <v>117</v>
      </c>
      <c r="F82" s="1141">
        <v>30414</v>
      </c>
      <c r="G82" s="1141">
        <v>158.22241099999999</v>
      </c>
      <c r="H82" s="1140" t="s">
        <v>118</v>
      </c>
      <c r="I82" s="1141">
        <v>-73.117936999999998</v>
      </c>
      <c r="J82" s="1141">
        <v>703184.58330000006</v>
      </c>
      <c r="K82" s="1141">
        <v>8439779.25</v>
      </c>
    </row>
    <row r="83" spans="1:11" ht="15.75" thickBot="1" x14ac:dyDescent="0.3">
      <c r="A83" s="1139">
        <v>51</v>
      </c>
      <c r="B83" s="1140" t="s">
        <v>10</v>
      </c>
      <c r="C83" s="1140" t="s">
        <v>89</v>
      </c>
      <c r="D83" s="1140" t="s">
        <v>119</v>
      </c>
      <c r="E83" s="1140" t="s">
        <v>119</v>
      </c>
      <c r="F83" s="1141">
        <v>30415</v>
      </c>
      <c r="G83" s="1141">
        <v>142.42277200000001</v>
      </c>
      <c r="H83" s="1140" t="s">
        <v>120</v>
      </c>
      <c r="I83" s="1141">
        <v>-73.134484</v>
      </c>
      <c r="J83" s="1141">
        <v>701574.1335</v>
      </c>
      <c r="K83" s="1141">
        <v>8462158.3609999996</v>
      </c>
    </row>
    <row r="84" spans="1:11" ht="15.75" thickBot="1" x14ac:dyDescent="0.3">
      <c r="A84" s="1139">
        <v>52</v>
      </c>
      <c r="B84" s="1140" t="s">
        <v>10</v>
      </c>
      <c r="C84" s="1140" t="s">
        <v>89</v>
      </c>
      <c r="D84" s="1140" t="s">
        <v>121</v>
      </c>
      <c r="E84" s="1140" t="s">
        <v>121</v>
      </c>
      <c r="F84" s="1141">
        <v>30416</v>
      </c>
      <c r="G84" s="1141">
        <v>168.61968999999999</v>
      </c>
      <c r="H84" s="1140" t="s">
        <v>122</v>
      </c>
      <c r="I84" s="1141">
        <v>-73.313727</v>
      </c>
      <c r="J84" s="1141">
        <v>682105.60970000003</v>
      </c>
      <c r="K84" s="1141">
        <v>8448897.9590000007</v>
      </c>
    </row>
    <row r="85" spans="1:11" ht="15.75" thickBot="1" x14ac:dyDescent="0.3">
      <c r="A85" s="1139">
        <v>53</v>
      </c>
      <c r="B85" s="1140" t="s">
        <v>10</v>
      </c>
      <c r="C85" s="1140" t="s">
        <v>89</v>
      </c>
      <c r="D85" s="1140" t="s">
        <v>123</v>
      </c>
      <c r="E85" s="1140" t="s">
        <v>123</v>
      </c>
      <c r="F85" s="1141">
        <v>30417</v>
      </c>
      <c r="G85" s="1141">
        <v>104.384715</v>
      </c>
      <c r="H85" s="1140" t="s">
        <v>124</v>
      </c>
      <c r="I85" s="1141">
        <v>-73.159803999999994</v>
      </c>
      <c r="J85" s="1141">
        <v>698553.89410000003</v>
      </c>
      <c r="K85" s="1141">
        <v>8425906.1229999997</v>
      </c>
    </row>
    <row r="86" spans="1:11" ht="15.75" thickBot="1" x14ac:dyDescent="0.3">
      <c r="A86" s="1139">
        <v>54</v>
      </c>
      <c r="B86" s="1140" t="s">
        <v>10</v>
      </c>
      <c r="C86" s="1140" t="s">
        <v>125</v>
      </c>
      <c r="D86" s="1140" t="s">
        <v>125</v>
      </c>
      <c r="E86" s="1140" t="s">
        <v>125</v>
      </c>
      <c r="F86" s="1141">
        <v>30601</v>
      </c>
      <c r="G86" s="1141">
        <v>135.42667800000001</v>
      </c>
      <c r="H86" s="1140" t="s">
        <v>126</v>
      </c>
      <c r="I86" s="1141">
        <v>-73.748176999999998</v>
      </c>
      <c r="J86" s="1141">
        <v>635471.61159999995</v>
      </c>
      <c r="K86" s="1141">
        <v>8505163.1229999997</v>
      </c>
    </row>
    <row r="87" spans="1:11" ht="15.75" thickBot="1" x14ac:dyDescent="0.3">
      <c r="A87" s="1139">
        <v>55</v>
      </c>
      <c r="B87" s="1140" t="s">
        <v>10</v>
      </c>
      <c r="C87" s="1140" t="s">
        <v>125</v>
      </c>
      <c r="D87" s="1140" t="s">
        <v>127</v>
      </c>
      <c r="E87" s="1140" t="s">
        <v>128</v>
      </c>
      <c r="F87" s="1141">
        <v>30602</v>
      </c>
      <c r="G87" s="1141">
        <v>90.985917000000001</v>
      </c>
      <c r="H87" s="1140" t="s">
        <v>129</v>
      </c>
      <c r="I87" s="1141">
        <v>-73.669270999999995</v>
      </c>
      <c r="J87" s="1141">
        <v>643996.59149999998</v>
      </c>
      <c r="K87" s="1141">
        <v>8502279.807</v>
      </c>
    </row>
    <row r="88" spans="1:11" ht="15.75" thickBot="1" x14ac:dyDescent="0.3">
      <c r="A88" s="1139">
        <v>56</v>
      </c>
      <c r="B88" s="1140" t="s">
        <v>10</v>
      </c>
      <c r="C88" s="1140" t="s">
        <v>125</v>
      </c>
      <c r="D88" s="1140" t="s">
        <v>130</v>
      </c>
      <c r="E88" s="1140" t="s">
        <v>130</v>
      </c>
      <c r="F88" s="1141">
        <v>30603</v>
      </c>
      <c r="G88" s="1141">
        <v>108.15571199999999</v>
      </c>
      <c r="H88" s="1140" t="s">
        <v>131</v>
      </c>
      <c r="I88" s="1141">
        <v>-73.74785</v>
      </c>
      <c r="J88" s="1141">
        <v>635454.13500000001</v>
      </c>
      <c r="K88" s="1141">
        <v>8494884.8660000004</v>
      </c>
    </row>
    <row r="89" spans="1:11" ht="15.75" thickBot="1" x14ac:dyDescent="0.3">
      <c r="A89" s="1139">
        <v>57</v>
      </c>
      <c r="B89" s="1140" t="s">
        <v>10</v>
      </c>
      <c r="C89" s="1140" t="s">
        <v>125</v>
      </c>
      <c r="D89" s="1140" t="s">
        <v>132</v>
      </c>
      <c r="E89" s="1140" t="s">
        <v>132</v>
      </c>
      <c r="F89" s="1141">
        <v>30604</v>
      </c>
      <c r="G89" s="1141">
        <v>335.30189300000001</v>
      </c>
      <c r="H89" s="1140" t="s">
        <v>133</v>
      </c>
      <c r="I89" s="1141">
        <v>-73.731211999999999</v>
      </c>
      <c r="J89" s="1141">
        <v>637420.74529999995</v>
      </c>
      <c r="K89" s="1141">
        <v>8527181.9979999997</v>
      </c>
    </row>
    <row r="90" spans="1:11" ht="15.75" thickBot="1" x14ac:dyDescent="0.3">
      <c r="A90" s="1139">
        <v>58</v>
      </c>
      <c r="B90" s="1140" t="s">
        <v>10</v>
      </c>
      <c r="C90" s="1140" t="s">
        <v>125</v>
      </c>
      <c r="D90" s="1140" t="s">
        <v>134</v>
      </c>
      <c r="E90" s="1140" t="s">
        <v>134</v>
      </c>
      <c r="F90" s="1141">
        <v>30605</v>
      </c>
      <c r="G90" s="1141">
        <v>216.89364599999999</v>
      </c>
      <c r="H90" s="1140" t="s">
        <v>135</v>
      </c>
      <c r="I90" s="1141">
        <v>-73.519602000000006</v>
      </c>
      <c r="J90" s="1141">
        <v>660220.92180000001</v>
      </c>
      <c r="K90" s="1141">
        <v>8506411.1850000005</v>
      </c>
    </row>
    <row r="91" spans="1:11" ht="15.75" thickBot="1" x14ac:dyDescent="0.3">
      <c r="A91" s="1139">
        <v>59</v>
      </c>
      <c r="B91" s="1140" t="s">
        <v>10</v>
      </c>
      <c r="C91" s="1140" t="s">
        <v>125</v>
      </c>
      <c r="D91" s="1140" t="s">
        <v>136</v>
      </c>
      <c r="E91" s="1140" t="s">
        <v>136</v>
      </c>
      <c r="F91" s="1141">
        <v>30606</v>
      </c>
      <c r="G91" s="1141">
        <v>114.658642</v>
      </c>
      <c r="H91" s="1140" t="s">
        <v>137</v>
      </c>
      <c r="I91" s="1141">
        <v>-73.650662999999994</v>
      </c>
      <c r="J91" s="1141">
        <v>646089.70929999999</v>
      </c>
      <c r="K91" s="1141">
        <v>8516535.8949999996</v>
      </c>
    </row>
    <row r="92" spans="1:11" ht="15.75" thickBot="1" x14ac:dyDescent="0.3">
      <c r="A92" s="1139">
        <v>60</v>
      </c>
      <c r="B92" s="1140" t="s">
        <v>10</v>
      </c>
      <c r="C92" s="1140" t="s">
        <v>125</v>
      </c>
      <c r="D92" s="1140" t="s">
        <v>138</v>
      </c>
      <c r="E92" s="1140" t="s">
        <v>138</v>
      </c>
      <c r="F92" s="1141">
        <v>30607</v>
      </c>
      <c r="G92" s="1141">
        <v>146.823961</v>
      </c>
      <c r="H92" s="1140" t="s">
        <v>139</v>
      </c>
      <c r="I92" s="1141">
        <v>-73.652501000000001</v>
      </c>
      <c r="J92" s="1141">
        <v>645735.83750000002</v>
      </c>
      <c r="K92" s="1141">
        <v>8488535.3149999995</v>
      </c>
    </row>
    <row r="93" spans="1:11" ht="15.75" thickBot="1" x14ac:dyDescent="0.3">
      <c r="A93" s="1139">
        <v>61</v>
      </c>
      <c r="B93" s="1140" t="s">
        <v>10</v>
      </c>
      <c r="C93" s="1140" t="s">
        <v>125</v>
      </c>
      <c r="D93" s="1140" t="s">
        <v>140</v>
      </c>
      <c r="E93" s="1140" t="s">
        <v>140</v>
      </c>
      <c r="F93" s="1141">
        <v>30608</v>
      </c>
      <c r="G93" s="1141">
        <v>99.983476999999993</v>
      </c>
      <c r="H93" s="1140" t="s">
        <v>141</v>
      </c>
      <c r="I93" s="1141">
        <v>-73.596301999999994</v>
      </c>
      <c r="J93" s="1141">
        <v>651892.05559999996</v>
      </c>
      <c r="K93" s="1141">
        <v>8501866.1209999993</v>
      </c>
    </row>
    <row r="94" spans="1:11" ht="15.75" thickBot="1" x14ac:dyDescent="0.3">
      <c r="A94" s="1139">
        <v>62</v>
      </c>
      <c r="B94" s="1140" t="s">
        <v>10</v>
      </c>
      <c r="C94" s="1140" t="s">
        <v>125</v>
      </c>
      <c r="D94" s="1140" t="s">
        <v>142</v>
      </c>
      <c r="E94" s="1140" t="s">
        <v>142</v>
      </c>
      <c r="F94" s="1141">
        <v>30609</v>
      </c>
      <c r="G94" s="1141">
        <v>55.395699</v>
      </c>
      <c r="H94" s="1140" t="s">
        <v>143</v>
      </c>
      <c r="I94" s="1141">
        <v>-73.617352999999994</v>
      </c>
      <c r="J94" s="1141">
        <v>649671.08970000001</v>
      </c>
      <c r="K94" s="1141">
        <v>8512062.1370000001</v>
      </c>
    </row>
    <row r="95" spans="1:11" ht="15.75" thickBot="1" x14ac:dyDescent="0.3">
      <c r="A95" s="1139">
        <v>63</v>
      </c>
      <c r="B95" s="1140" t="s">
        <v>10</v>
      </c>
      <c r="C95" s="1140" t="s">
        <v>125</v>
      </c>
      <c r="D95" s="1140" t="s">
        <v>144</v>
      </c>
      <c r="E95" s="1140" t="s">
        <v>145</v>
      </c>
      <c r="F95" s="1141">
        <v>30610</v>
      </c>
      <c r="G95" s="1141">
        <v>59.718392999999999</v>
      </c>
      <c r="H95" s="1140" t="s">
        <v>146</v>
      </c>
      <c r="I95" s="1141">
        <v>-73.555042999999998</v>
      </c>
      <c r="J95" s="1141">
        <v>656454.67489999998</v>
      </c>
      <c r="K95" s="1141">
        <v>8518425.7109999992</v>
      </c>
    </row>
    <row r="96" spans="1:11" ht="15.75" thickBot="1" x14ac:dyDescent="0.3">
      <c r="A96" s="1139">
        <v>64</v>
      </c>
      <c r="B96" s="1140" t="s">
        <v>10</v>
      </c>
      <c r="C96" s="1140" t="s">
        <v>125</v>
      </c>
      <c r="D96" s="1140" t="s">
        <v>147</v>
      </c>
      <c r="E96" s="1140" t="s">
        <v>148</v>
      </c>
      <c r="F96" s="1141">
        <v>30611</v>
      </c>
      <c r="G96" s="1141">
        <v>144.54529700000001</v>
      </c>
      <c r="H96" s="1140" t="s">
        <v>149</v>
      </c>
      <c r="I96" s="1141">
        <v>-73.791393999999997</v>
      </c>
      <c r="J96" s="1141">
        <v>630863.98690000002</v>
      </c>
      <c r="K96" s="1141">
        <v>8519398.8230000008</v>
      </c>
    </row>
    <row r="97" spans="1:11" ht="15.75" thickBot="1" x14ac:dyDescent="0.3">
      <c r="A97" s="1139">
        <v>65</v>
      </c>
      <c r="B97" s="1140" t="s">
        <v>10</v>
      </c>
      <c r="C97" s="1140" t="s">
        <v>150</v>
      </c>
      <c r="D97" s="1140" t="s">
        <v>151</v>
      </c>
      <c r="E97" s="1140" t="s">
        <v>151</v>
      </c>
      <c r="F97" s="1141">
        <v>30501</v>
      </c>
      <c r="G97" s="1141">
        <v>715.13049899999999</v>
      </c>
      <c r="H97" s="1140" t="s">
        <v>152</v>
      </c>
      <c r="I97" s="1141">
        <v>-72.212916000000007</v>
      </c>
      <c r="J97" s="1141">
        <v>801194.39099999995</v>
      </c>
      <c r="K97" s="1141">
        <v>8459685.2520000003</v>
      </c>
    </row>
    <row r="98" spans="1:11" ht="15.75" thickBot="1" x14ac:dyDescent="0.3">
      <c r="A98" s="1139">
        <v>66</v>
      </c>
      <c r="B98" s="1140" t="s">
        <v>10</v>
      </c>
      <c r="C98" s="1140" t="s">
        <v>150</v>
      </c>
      <c r="D98" s="1140" t="s">
        <v>150</v>
      </c>
      <c r="E98" s="1140" t="s">
        <v>150</v>
      </c>
      <c r="F98" s="1141">
        <v>30502</v>
      </c>
      <c r="G98" s="1141">
        <v>327.36611599999998</v>
      </c>
      <c r="H98" s="1140" t="s">
        <v>153</v>
      </c>
      <c r="I98" s="1141">
        <v>-72.341285999999997</v>
      </c>
      <c r="J98" s="1141">
        <v>787514.52590000001</v>
      </c>
      <c r="K98" s="1141">
        <v>8478193.9920000006</v>
      </c>
    </row>
    <row r="99" spans="1:11" ht="15.75" thickBot="1" x14ac:dyDescent="0.3">
      <c r="A99" s="1139">
        <v>67</v>
      </c>
      <c r="B99" s="1140" t="s">
        <v>10</v>
      </c>
      <c r="C99" s="1140" t="s">
        <v>150</v>
      </c>
      <c r="D99" s="1140" t="s">
        <v>154</v>
      </c>
      <c r="E99" s="1140" t="s">
        <v>154</v>
      </c>
      <c r="F99" s="1141">
        <v>30503</v>
      </c>
      <c r="G99" s="1141">
        <v>419.46825899999999</v>
      </c>
      <c r="H99" s="1140" t="s">
        <v>155</v>
      </c>
      <c r="I99" s="1141">
        <v>-72.395259999999993</v>
      </c>
      <c r="J99" s="1141">
        <v>781471.78980000003</v>
      </c>
      <c r="K99" s="1141">
        <v>8459697.6610000003</v>
      </c>
    </row>
    <row r="100" spans="1:11" ht="15.75" thickBot="1" x14ac:dyDescent="0.3">
      <c r="A100" s="1139">
        <v>68</v>
      </c>
      <c r="B100" s="1140" t="s">
        <v>10</v>
      </c>
      <c r="C100" s="1140" t="s">
        <v>150</v>
      </c>
      <c r="D100" s="1140" t="s">
        <v>156</v>
      </c>
      <c r="E100" s="1140" t="s">
        <v>156</v>
      </c>
      <c r="F100" s="1141">
        <v>30504</v>
      </c>
      <c r="G100" s="1141">
        <v>484.74699099999998</v>
      </c>
      <c r="H100" s="1140" t="s">
        <v>157</v>
      </c>
      <c r="I100" s="1141">
        <v>-72.230587</v>
      </c>
      <c r="J100" s="1141">
        <v>798818.22790000006</v>
      </c>
      <c r="K100" s="1141">
        <v>8419840.7149999999</v>
      </c>
    </row>
    <row r="101" spans="1:11" ht="15.75" thickBot="1" x14ac:dyDescent="0.3">
      <c r="A101" s="1139">
        <v>69</v>
      </c>
      <c r="B101" s="1140" t="s">
        <v>10</v>
      </c>
      <c r="C101" s="1140" t="s">
        <v>150</v>
      </c>
      <c r="D101" s="1140" t="s">
        <v>158</v>
      </c>
      <c r="E101" s="1140" t="s">
        <v>158</v>
      </c>
      <c r="F101" s="1141">
        <v>30505</v>
      </c>
      <c r="G101" s="1141">
        <v>222.27904100000001</v>
      </c>
      <c r="H101" s="1140" t="s">
        <v>159</v>
      </c>
      <c r="I101" s="1141">
        <v>-72.115370999999996</v>
      </c>
      <c r="J101" s="1141">
        <v>811570.84010000003</v>
      </c>
      <c r="K101" s="1141">
        <v>8445378.352</v>
      </c>
    </row>
    <row r="102" spans="1:11" ht="15.75" thickBot="1" x14ac:dyDescent="0.3">
      <c r="A102" s="1139">
        <v>70</v>
      </c>
      <c r="B102" s="1140" t="s">
        <v>10</v>
      </c>
      <c r="C102" s="1140" t="s">
        <v>150</v>
      </c>
      <c r="D102" s="1140" t="s">
        <v>160</v>
      </c>
      <c r="E102" s="1140" t="s">
        <v>160</v>
      </c>
      <c r="F102" s="1141">
        <v>30506</v>
      </c>
      <c r="G102" s="1141">
        <v>454.08500199999997</v>
      </c>
      <c r="H102" s="1140" t="s">
        <v>161</v>
      </c>
      <c r="I102" s="1141">
        <v>-72.310412999999997</v>
      </c>
      <c r="J102" s="1141">
        <v>790331.22660000005</v>
      </c>
      <c r="K102" s="1141">
        <v>8431645.3190000001</v>
      </c>
    </row>
    <row r="103" spans="1:11" ht="15.75" thickBot="1" x14ac:dyDescent="0.3">
      <c r="A103" s="1139">
        <v>71</v>
      </c>
      <c r="B103" s="1140" t="s">
        <v>10</v>
      </c>
      <c r="C103" s="1140" t="s">
        <v>162</v>
      </c>
      <c r="D103" s="1140" t="s">
        <v>163</v>
      </c>
      <c r="E103" s="1140" t="s">
        <v>163</v>
      </c>
      <c r="F103" s="1141">
        <v>30701</v>
      </c>
      <c r="G103" s="1141">
        <v>425.67644799999999</v>
      </c>
      <c r="H103" s="1140" t="s">
        <v>164</v>
      </c>
      <c r="I103" s="1141">
        <v>-72.774625999999998</v>
      </c>
      <c r="J103" s="1141">
        <v>740252.81599999999</v>
      </c>
      <c r="K103" s="1141">
        <v>8438155.9839999992</v>
      </c>
    </row>
    <row r="104" spans="1:11" ht="15.75" thickBot="1" x14ac:dyDescent="0.3">
      <c r="A104" s="1139">
        <v>72</v>
      </c>
      <c r="B104" s="1140" t="s">
        <v>10</v>
      </c>
      <c r="C104" s="1140" t="s">
        <v>162</v>
      </c>
      <c r="D104" s="1140" t="s">
        <v>165</v>
      </c>
      <c r="E104" s="1140" t="s">
        <v>165</v>
      </c>
      <c r="F104" s="1141">
        <v>30702</v>
      </c>
      <c r="G104" s="1141">
        <v>310.40005300000001</v>
      </c>
      <c r="H104" s="1140" t="s">
        <v>166</v>
      </c>
      <c r="I104" s="1141">
        <v>-72.649818999999994</v>
      </c>
      <c r="J104" s="1141">
        <v>753895.41590000002</v>
      </c>
      <c r="K104" s="1141">
        <v>8454458.7329999991</v>
      </c>
    </row>
    <row r="105" spans="1:11" ht="15.75" thickBot="1" x14ac:dyDescent="0.3">
      <c r="A105" s="1139">
        <v>73</v>
      </c>
      <c r="B105" s="1140" t="s">
        <v>10</v>
      </c>
      <c r="C105" s="1140" t="s">
        <v>162</v>
      </c>
      <c r="D105" s="1140" t="s">
        <v>167</v>
      </c>
      <c r="E105" s="1140" t="s">
        <v>168</v>
      </c>
      <c r="F105" s="1141">
        <v>30703</v>
      </c>
      <c r="G105" s="1141">
        <v>349.94296500000002</v>
      </c>
      <c r="H105" s="1140" t="s">
        <v>169</v>
      </c>
      <c r="I105" s="1141">
        <v>-72.559669999999997</v>
      </c>
      <c r="J105" s="1141">
        <v>763796.08889999997</v>
      </c>
      <c r="K105" s="1141">
        <v>8469658.2520000003</v>
      </c>
    </row>
    <row r="106" spans="1:11" ht="15.75" thickBot="1" x14ac:dyDescent="0.3">
      <c r="A106" s="1139">
        <v>74</v>
      </c>
      <c r="B106" s="1140" t="s">
        <v>10</v>
      </c>
      <c r="C106" s="1140" t="s">
        <v>162</v>
      </c>
      <c r="D106" s="1140" t="s">
        <v>170</v>
      </c>
      <c r="E106" s="1140" t="s">
        <v>170</v>
      </c>
      <c r="F106" s="1141">
        <v>30704</v>
      </c>
      <c r="G106" s="1141">
        <v>124.259585</v>
      </c>
      <c r="H106" s="1140" t="s">
        <v>171</v>
      </c>
      <c r="I106" s="1141">
        <v>-72.495823999999999</v>
      </c>
      <c r="J106" s="1141">
        <v>770543.8861</v>
      </c>
      <c r="K106" s="1141">
        <v>8454552.3969999999</v>
      </c>
    </row>
    <row r="107" spans="1:11" ht="15.75" thickBot="1" x14ac:dyDescent="0.3">
      <c r="A107" s="1139">
        <v>75</v>
      </c>
      <c r="B107" s="1140" t="s">
        <v>10</v>
      </c>
      <c r="C107" s="1140" t="s">
        <v>162</v>
      </c>
      <c r="D107" s="1140" t="s">
        <v>172</v>
      </c>
      <c r="E107" s="1140" t="s">
        <v>172</v>
      </c>
      <c r="F107" s="1141">
        <v>30705</v>
      </c>
      <c r="G107" s="1141">
        <v>62.725237999999997</v>
      </c>
      <c r="H107" s="1140" t="s">
        <v>173</v>
      </c>
      <c r="I107" s="1141">
        <v>-72.566795999999997</v>
      </c>
      <c r="J107" s="1141">
        <v>762591.06420000002</v>
      </c>
      <c r="K107" s="1141">
        <v>8427455.9399999995</v>
      </c>
    </row>
    <row r="108" spans="1:11" ht="15.75" thickBot="1" x14ac:dyDescent="0.3">
      <c r="A108" s="1139">
        <v>76</v>
      </c>
      <c r="B108" s="1140" t="s">
        <v>10</v>
      </c>
      <c r="C108" s="1140" t="s">
        <v>162</v>
      </c>
      <c r="D108" s="1140" t="s">
        <v>174</v>
      </c>
      <c r="E108" s="1140" t="s">
        <v>175</v>
      </c>
      <c r="F108" s="1141">
        <v>30706</v>
      </c>
      <c r="G108" s="1141">
        <v>104.870628</v>
      </c>
      <c r="H108" s="1140" t="s">
        <v>176</v>
      </c>
      <c r="I108" s="1141">
        <v>-72.574700000000007</v>
      </c>
      <c r="J108" s="1141">
        <v>761819.49100000004</v>
      </c>
      <c r="K108" s="1141">
        <v>8435443.4210000001</v>
      </c>
    </row>
    <row r="109" spans="1:11" ht="15.75" thickBot="1" x14ac:dyDescent="0.3">
      <c r="A109" s="1139">
        <v>77</v>
      </c>
      <c r="B109" s="1140" t="s">
        <v>10</v>
      </c>
      <c r="C109" s="1140" t="s">
        <v>162</v>
      </c>
      <c r="D109" s="1140" t="s">
        <v>177</v>
      </c>
      <c r="E109" s="1140" t="s">
        <v>177</v>
      </c>
      <c r="F109" s="1141">
        <v>30707</v>
      </c>
      <c r="G109" s="1141">
        <v>146.5068</v>
      </c>
      <c r="H109" s="1140" t="s">
        <v>178</v>
      </c>
      <c r="I109" s="1141">
        <v>-72.757739000000001</v>
      </c>
      <c r="J109" s="1141">
        <v>741961.89199999999</v>
      </c>
      <c r="K109" s="1141">
        <v>8426108.2860000003</v>
      </c>
    </row>
    <row r="110" spans="1:11" ht="15.75" thickBot="1" x14ac:dyDescent="0.3">
      <c r="A110" s="1139">
        <v>78</v>
      </c>
      <c r="B110" s="1140" t="s">
        <v>10</v>
      </c>
      <c r="C110" s="1140" t="s">
        <v>162</v>
      </c>
      <c r="D110" s="1140" t="s">
        <v>179</v>
      </c>
      <c r="E110" s="1140" t="s">
        <v>179</v>
      </c>
      <c r="F110" s="1141">
        <v>30708</v>
      </c>
      <c r="G110" s="1141">
        <v>240.67893599999999</v>
      </c>
      <c r="H110" s="1140" t="s">
        <v>180</v>
      </c>
      <c r="I110" s="1141">
        <v>-72.447014999999993</v>
      </c>
      <c r="J110" s="1141">
        <v>775660.45700000005</v>
      </c>
      <c r="K110" s="1141">
        <v>8439863.3809999991</v>
      </c>
    </row>
    <row r="111" spans="1:11" ht="15.75" thickBot="1" x14ac:dyDescent="0.3">
      <c r="A111" s="1139">
        <v>79</v>
      </c>
      <c r="B111" s="1140" t="s">
        <v>10</v>
      </c>
      <c r="C111" s="1140" t="s">
        <v>162</v>
      </c>
      <c r="D111" s="1140" t="s">
        <v>181</v>
      </c>
      <c r="E111" s="1140" t="s">
        <v>181</v>
      </c>
      <c r="F111" s="1141">
        <v>30709</v>
      </c>
      <c r="G111" s="1141">
        <v>25.375121</v>
      </c>
      <c r="H111" s="1140" t="s">
        <v>182</v>
      </c>
      <c r="I111" s="1141">
        <v>-72.606241999999995</v>
      </c>
      <c r="J111" s="1141">
        <v>758372.78709999996</v>
      </c>
      <c r="K111" s="1141">
        <v>8431525.2310000006</v>
      </c>
    </row>
    <row r="112" spans="1:11" ht="15.75" thickBot="1" x14ac:dyDescent="0.3">
      <c r="A112" s="1139">
        <v>80</v>
      </c>
      <c r="B112" s="1140" t="s">
        <v>10</v>
      </c>
      <c r="C112" s="1140" t="s">
        <v>162</v>
      </c>
      <c r="D112" s="1140" t="s">
        <v>183</v>
      </c>
      <c r="E112" s="1140" t="s">
        <v>183</v>
      </c>
      <c r="F112" s="1141">
        <v>30710</v>
      </c>
      <c r="G112" s="1141">
        <v>31.066551</v>
      </c>
      <c r="H112" s="1140" t="s">
        <v>184</v>
      </c>
      <c r="I112" s="1141">
        <v>-72.660443999999998</v>
      </c>
      <c r="J112" s="1141">
        <v>752574.64820000005</v>
      </c>
      <c r="K112" s="1141">
        <v>8437084.5050000008</v>
      </c>
    </row>
    <row r="113" spans="1:15" ht="15.75" thickBot="1" x14ac:dyDescent="0.3">
      <c r="A113" s="1139">
        <v>81</v>
      </c>
      <c r="B113" s="1140" t="s">
        <v>10</v>
      </c>
      <c r="C113" s="1140" t="s">
        <v>162</v>
      </c>
      <c r="D113" s="1140" t="s">
        <v>185</v>
      </c>
      <c r="E113" s="1140" t="s">
        <v>185</v>
      </c>
      <c r="F113" s="1141">
        <v>30711</v>
      </c>
      <c r="G113" s="1141">
        <v>51.010924000000003</v>
      </c>
      <c r="H113" s="1140" t="s">
        <v>186</v>
      </c>
      <c r="I113" s="1141">
        <v>-72.637045000000001</v>
      </c>
      <c r="J113" s="1141">
        <v>754983.16489999997</v>
      </c>
      <c r="K113" s="1141">
        <v>8425322.0170000009</v>
      </c>
    </row>
    <row r="114" spans="1:15" ht="15.75" thickBot="1" x14ac:dyDescent="0.3">
      <c r="A114" s="1139">
        <v>82</v>
      </c>
      <c r="B114" s="1140" t="s">
        <v>10</v>
      </c>
      <c r="C114" s="1140" t="s">
        <v>162</v>
      </c>
      <c r="D114" s="1140" t="s">
        <v>187</v>
      </c>
      <c r="E114" s="1140" t="s">
        <v>187</v>
      </c>
      <c r="F114" s="1141">
        <v>30712</v>
      </c>
      <c r="G114" s="1141">
        <v>6.5842239999999999</v>
      </c>
      <c r="H114" s="1140" t="s">
        <v>188</v>
      </c>
      <c r="I114" s="1141">
        <v>-72.636234000000002</v>
      </c>
      <c r="J114" s="1141">
        <v>755242.19510000001</v>
      </c>
      <c r="K114" s="1141">
        <v>8442294.5150000006</v>
      </c>
    </row>
    <row r="115" spans="1:15" ht="15.75" thickBot="1" x14ac:dyDescent="0.3">
      <c r="A115" s="1139">
        <v>83</v>
      </c>
      <c r="B115" s="1140" t="s">
        <v>10</v>
      </c>
      <c r="C115" s="1140" t="s">
        <v>162</v>
      </c>
      <c r="D115" s="1140" t="s">
        <v>189</v>
      </c>
      <c r="E115" s="1140" t="s">
        <v>190</v>
      </c>
      <c r="F115" s="1141">
        <v>30713</v>
      </c>
      <c r="G115" s="1141">
        <v>114.333614</v>
      </c>
      <c r="H115" s="1140" t="s">
        <v>191</v>
      </c>
      <c r="I115" s="1141">
        <v>-72.677335999999997</v>
      </c>
      <c r="J115" s="1141">
        <v>750567.77549999999</v>
      </c>
      <c r="K115" s="1141">
        <v>8418830.1620000005</v>
      </c>
    </row>
    <row r="116" spans="1:15" ht="15.75" thickBot="1" x14ac:dyDescent="0.3">
      <c r="A116" s="1139">
        <v>84</v>
      </c>
      <c r="B116" s="1140" t="s">
        <v>10</v>
      </c>
      <c r="C116" s="1140" t="s">
        <v>162</v>
      </c>
      <c r="D116" s="1140" t="s">
        <v>192</v>
      </c>
      <c r="E116" s="1140" t="s">
        <v>192</v>
      </c>
      <c r="F116" s="1141">
        <v>30714</v>
      </c>
      <c r="G116" s="1141">
        <v>136.53377599999999</v>
      </c>
      <c r="H116" s="1140" t="s">
        <v>193</v>
      </c>
      <c r="I116" s="1141">
        <v>-72.532038</v>
      </c>
      <c r="J116" s="1141">
        <v>766470.44259999995</v>
      </c>
      <c r="K116" s="1141">
        <v>8439507.841</v>
      </c>
    </row>
    <row r="117" spans="1:15" ht="17.25" thickBot="1" x14ac:dyDescent="0.3">
      <c r="A117" s="1109"/>
      <c r="B117" s="1109"/>
      <c r="C117" s="1109"/>
      <c r="D117" s="1109"/>
      <c r="E117" s="1109"/>
      <c r="F117" s="1109"/>
      <c r="G117" s="1109"/>
      <c r="H117" s="1109"/>
    </row>
    <row r="118" spans="1:15" ht="15.75" thickBot="1" x14ac:dyDescent="0.3">
      <c r="A118" s="1576" t="s">
        <v>289</v>
      </c>
      <c r="B118" s="1588"/>
      <c r="C118" s="1588"/>
      <c r="D118" s="1588"/>
      <c r="E118" s="1588"/>
      <c r="F118" s="1588"/>
      <c r="G118" s="1588"/>
      <c r="H118" s="1588"/>
      <c r="I118" s="1588"/>
      <c r="J118" s="1588"/>
      <c r="K118" s="1588"/>
      <c r="L118" s="1588"/>
      <c r="M118" s="1588"/>
      <c r="N118" s="1577"/>
    </row>
    <row r="119" spans="1:15" x14ac:dyDescent="0.25">
      <c r="A119" s="67" t="s">
        <v>194</v>
      </c>
      <c r="B119" s="67" t="s">
        <v>0</v>
      </c>
      <c r="C119" s="67" t="s">
        <v>1</v>
      </c>
      <c r="D119" s="67" t="s">
        <v>2</v>
      </c>
      <c r="E119" s="67" t="s">
        <v>3</v>
      </c>
      <c r="F119" s="67" t="s">
        <v>4</v>
      </c>
      <c r="G119" s="67" t="s">
        <v>5</v>
      </c>
      <c r="H119" s="67" t="s">
        <v>6</v>
      </c>
      <c r="I119" s="67" t="s">
        <v>7</v>
      </c>
      <c r="J119" s="67" t="s">
        <v>8</v>
      </c>
      <c r="K119" s="67" t="s">
        <v>9</v>
      </c>
      <c r="L119" s="67" t="s">
        <v>284</v>
      </c>
      <c r="M119" s="67" t="s">
        <v>286</v>
      </c>
      <c r="N119" s="67" t="s">
        <v>288</v>
      </c>
      <c r="O119" s="3" t="s">
        <v>287</v>
      </c>
    </row>
    <row r="120" spans="1:15" ht="15.75" x14ac:dyDescent="0.25">
      <c r="A120" s="1">
        <v>1</v>
      </c>
      <c r="B120" s="2" t="s">
        <v>10</v>
      </c>
      <c r="C120" s="2" t="s">
        <v>11</v>
      </c>
      <c r="D120" s="2" t="s">
        <v>11</v>
      </c>
      <c r="E120" s="2" t="s">
        <v>11</v>
      </c>
      <c r="F120" s="2">
        <v>30101</v>
      </c>
      <c r="G120" s="2">
        <v>286.698195</v>
      </c>
      <c r="H120" s="2" t="s">
        <v>12</v>
      </c>
      <c r="I120" s="2">
        <v>-72.871611999999999</v>
      </c>
      <c r="J120" s="2">
        <v>730250.30894599995</v>
      </c>
      <c r="K120" s="39">
        <v>8491538.0064700004</v>
      </c>
      <c r="L120" s="40">
        <v>56093</v>
      </c>
      <c r="M120" s="63">
        <v>0.27444336882865439</v>
      </c>
      <c r="N120" s="64">
        <v>0.1060475161987041</v>
      </c>
    </row>
    <row r="121" spans="1:15" ht="15.75" x14ac:dyDescent="0.25">
      <c r="A121" s="1">
        <v>2</v>
      </c>
      <c r="B121" s="2" t="s">
        <v>10</v>
      </c>
      <c r="C121" s="2" t="s">
        <v>11</v>
      </c>
      <c r="D121" s="2" t="s">
        <v>13</v>
      </c>
      <c r="E121" s="2" t="s">
        <v>13</v>
      </c>
      <c r="F121" s="2">
        <v>30102</v>
      </c>
      <c r="G121" s="2">
        <v>176.91408699999999</v>
      </c>
      <c r="H121" s="2" t="s">
        <v>14</v>
      </c>
      <c r="I121" s="2">
        <v>-72.991288999999995</v>
      </c>
      <c r="J121" s="2">
        <v>716963.99231300002</v>
      </c>
      <c r="K121" s="39">
        <v>8451639.1894300003</v>
      </c>
      <c r="L121" s="40">
        <v>1213</v>
      </c>
      <c r="M121" s="51">
        <v>0.18446601941747573</v>
      </c>
      <c r="N121" s="64">
        <v>0.12994350282485875</v>
      </c>
    </row>
    <row r="122" spans="1:15" ht="15.75" x14ac:dyDescent="0.25">
      <c r="A122" s="1">
        <v>3</v>
      </c>
      <c r="B122" s="2" t="s">
        <v>10</v>
      </c>
      <c r="C122" s="2" t="s">
        <v>11</v>
      </c>
      <c r="D122" s="2" t="s">
        <v>15</v>
      </c>
      <c r="E122" s="2" t="s">
        <v>15</v>
      </c>
      <c r="F122" s="2">
        <v>30103</v>
      </c>
      <c r="G122" s="2">
        <v>634.55876999999998</v>
      </c>
      <c r="H122" s="2" t="s">
        <v>16</v>
      </c>
      <c r="I122" s="2">
        <v>-72.891520999999997</v>
      </c>
      <c r="J122" s="2">
        <v>727767.29871200002</v>
      </c>
      <c r="K122" s="39">
        <v>8454118.3131700009</v>
      </c>
      <c r="L122" s="40">
        <v>2506</v>
      </c>
      <c r="M122" s="51">
        <v>0.1702127659574468</v>
      </c>
      <c r="N122" s="64">
        <v>0.13513513513513514</v>
      </c>
    </row>
    <row r="123" spans="1:15" ht="15.75" x14ac:dyDescent="0.25">
      <c r="A123" s="1">
        <v>4</v>
      </c>
      <c r="B123" s="2" t="s">
        <v>10</v>
      </c>
      <c r="C123" s="2" t="s">
        <v>11</v>
      </c>
      <c r="D123" s="2" t="s">
        <v>17</v>
      </c>
      <c r="E123" s="2" t="s">
        <v>17</v>
      </c>
      <c r="F123" s="2">
        <v>30104</v>
      </c>
      <c r="G123" s="2">
        <v>860.44107299999996</v>
      </c>
      <c r="H123" s="2" t="s">
        <v>18</v>
      </c>
      <c r="I123" s="2">
        <v>-72.618118999999993</v>
      </c>
      <c r="J123" s="2">
        <v>757683.555544</v>
      </c>
      <c r="K123" s="39">
        <v>8490949.7556500006</v>
      </c>
      <c r="L123" s="40">
        <v>18328</v>
      </c>
      <c r="M123" s="51">
        <v>0.24110671936758893</v>
      </c>
      <c r="N123" s="64">
        <v>0.17157974300831444</v>
      </c>
    </row>
    <row r="124" spans="1:15" ht="15.75" x14ac:dyDescent="0.25">
      <c r="A124" s="1">
        <v>5</v>
      </c>
      <c r="B124" s="2" t="s">
        <v>10</v>
      </c>
      <c r="C124" s="2" t="s">
        <v>11</v>
      </c>
      <c r="D124" s="2" t="s">
        <v>19</v>
      </c>
      <c r="E124" s="2" t="s">
        <v>19</v>
      </c>
      <c r="F124" s="2">
        <v>30105</v>
      </c>
      <c r="G124" s="2">
        <v>427.27367700000002</v>
      </c>
      <c r="H124" s="2" t="s">
        <v>20</v>
      </c>
      <c r="I124" s="2">
        <v>-72.975290000000001</v>
      </c>
      <c r="J124" s="2">
        <v>719178.03079200001</v>
      </c>
      <c r="K124" s="39">
        <v>8509310.9984499998</v>
      </c>
      <c r="L124" s="40">
        <v>4749</v>
      </c>
      <c r="M124" s="51">
        <v>0.13793103448275862</v>
      </c>
      <c r="N124" s="64">
        <v>0.255</v>
      </c>
    </row>
    <row r="125" spans="1:15" ht="15.75" x14ac:dyDescent="0.25">
      <c r="A125" s="1">
        <v>6</v>
      </c>
      <c r="B125" s="2" t="s">
        <v>10</v>
      </c>
      <c r="C125" s="2" t="s">
        <v>11</v>
      </c>
      <c r="D125" s="2" t="s">
        <v>21</v>
      </c>
      <c r="E125" s="2" t="s">
        <v>21</v>
      </c>
      <c r="F125" s="2">
        <v>30106</v>
      </c>
      <c r="G125" s="2">
        <v>525.91747799999996</v>
      </c>
      <c r="H125" s="2" t="s">
        <v>22</v>
      </c>
      <c r="I125" s="2">
        <v>-72.788133999999999</v>
      </c>
      <c r="J125" s="2">
        <v>739114.44166500005</v>
      </c>
      <c r="K125" s="39">
        <v>8472846.3082599994</v>
      </c>
      <c r="L125" s="40">
        <v>5561</v>
      </c>
      <c r="M125" s="51">
        <v>0.15151515151515152</v>
      </c>
      <c r="N125" s="64">
        <v>0.25899280575539568</v>
      </c>
    </row>
    <row r="126" spans="1:15" ht="15.75" x14ac:dyDescent="0.25">
      <c r="A126" s="1">
        <v>7</v>
      </c>
      <c r="B126" s="2" t="s">
        <v>10</v>
      </c>
      <c r="C126" s="2" t="s">
        <v>11</v>
      </c>
      <c r="D126" s="2" t="s">
        <v>23</v>
      </c>
      <c r="E126" s="2" t="s">
        <v>23</v>
      </c>
      <c r="F126" s="2">
        <v>30107</v>
      </c>
      <c r="G126" s="2">
        <v>373.88910600000003</v>
      </c>
      <c r="H126" s="2" t="s">
        <v>24</v>
      </c>
      <c r="I126" s="2">
        <v>-73.031732000000005</v>
      </c>
      <c r="J126" s="2">
        <v>712790.41513400001</v>
      </c>
      <c r="K126" s="39">
        <v>8475204.4506100006</v>
      </c>
      <c r="L126" s="40">
        <v>4042</v>
      </c>
      <c r="M126" s="51">
        <v>0.27272727272727271</v>
      </c>
      <c r="N126" s="64">
        <v>0.10404624277456648</v>
      </c>
    </row>
    <row r="127" spans="1:15" ht="15.75" x14ac:dyDescent="0.25">
      <c r="A127" s="1">
        <v>8</v>
      </c>
      <c r="B127" s="2" t="s">
        <v>10</v>
      </c>
      <c r="C127" s="2" t="s">
        <v>11</v>
      </c>
      <c r="D127" s="2" t="s">
        <v>25</v>
      </c>
      <c r="E127" s="2" t="s">
        <v>26</v>
      </c>
      <c r="F127" s="2">
        <v>30108</v>
      </c>
      <c r="G127" s="2">
        <v>118.003257</v>
      </c>
      <c r="H127" s="2" t="s">
        <v>27</v>
      </c>
      <c r="I127" s="2">
        <v>-72.814003</v>
      </c>
      <c r="J127" s="2">
        <v>736631.72667899996</v>
      </c>
      <c r="K127" s="39">
        <v>8507750.7440900002</v>
      </c>
      <c r="L127" s="40">
        <v>3838</v>
      </c>
      <c r="M127" s="51">
        <v>0.3867924528301887</v>
      </c>
      <c r="N127" s="64">
        <v>0.2</v>
      </c>
    </row>
    <row r="128" spans="1:15" ht="15.75" x14ac:dyDescent="0.25">
      <c r="A128" s="1">
        <v>9</v>
      </c>
      <c r="B128" s="2" t="s">
        <v>10</v>
      </c>
      <c r="C128" s="2" t="s">
        <v>11</v>
      </c>
      <c r="D128" s="2" t="s">
        <v>28</v>
      </c>
      <c r="E128" s="2" t="s">
        <v>28</v>
      </c>
      <c r="F128" s="2">
        <v>30109</v>
      </c>
      <c r="G128" s="2">
        <v>54.596538000000002</v>
      </c>
      <c r="H128" s="2" t="s">
        <v>29</v>
      </c>
      <c r="I128" s="2">
        <v>-72.871964000000006</v>
      </c>
      <c r="J128" s="2">
        <v>730268.737999</v>
      </c>
      <c r="K128" s="39">
        <v>8497924.6154399998</v>
      </c>
      <c r="L128" s="40">
        <v>9884</v>
      </c>
      <c r="M128" s="51">
        <v>0.31150442477876106</v>
      </c>
      <c r="N128" s="64">
        <v>0.1167964404894327</v>
      </c>
    </row>
    <row r="129" spans="1:14" ht="15.75" x14ac:dyDescent="0.25">
      <c r="A129" s="1">
        <v>10</v>
      </c>
      <c r="B129" s="2" t="s">
        <v>10</v>
      </c>
      <c r="C129" s="2" t="s">
        <v>30</v>
      </c>
      <c r="D129" s="2" t="s">
        <v>30</v>
      </c>
      <c r="E129" s="2" t="s">
        <v>30</v>
      </c>
      <c r="F129" s="2">
        <v>30201</v>
      </c>
      <c r="G129" s="2">
        <v>197.24908600000001</v>
      </c>
      <c r="H129" s="2" t="s">
        <v>31</v>
      </c>
      <c r="I129" s="2">
        <v>-73.387912</v>
      </c>
      <c r="J129" s="2">
        <v>674283.45360200002</v>
      </c>
      <c r="K129" s="39">
        <v>8477308.9509800002</v>
      </c>
      <c r="L129" s="40">
        <v>48547</v>
      </c>
      <c r="M129" s="51">
        <v>0.30916245081506466</v>
      </c>
      <c r="N129" s="64">
        <v>0.20558464223385689</v>
      </c>
    </row>
    <row r="130" spans="1:14" ht="15.75" x14ac:dyDescent="0.25">
      <c r="A130" s="1">
        <v>11</v>
      </c>
      <c r="B130" s="2" t="s">
        <v>10</v>
      </c>
      <c r="C130" s="2" t="s">
        <v>30</v>
      </c>
      <c r="D130" s="2" t="s">
        <v>32</v>
      </c>
      <c r="E130" s="2" t="s">
        <v>32</v>
      </c>
      <c r="F130" s="2">
        <v>30202</v>
      </c>
      <c r="G130" s="2">
        <v>185.630788</v>
      </c>
      <c r="H130" s="2" t="s">
        <v>33</v>
      </c>
      <c r="I130" s="2">
        <v>-73.388576999999998</v>
      </c>
      <c r="J130" s="2">
        <v>674410.83341299999</v>
      </c>
      <c r="K130" s="39">
        <v>8507297.0084899999</v>
      </c>
      <c r="L130" s="40">
        <v>6380</v>
      </c>
      <c r="M130" s="51">
        <v>0.1617161716171617</v>
      </c>
      <c r="N130" s="64">
        <v>0.27608695652173915</v>
      </c>
    </row>
    <row r="131" spans="1:14" ht="15.75" x14ac:dyDescent="0.25">
      <c r="A131" s="1">
        <v>12</v>
      </c>
      <c r="B131" s="2" t="s">
        <v>10</v>
      </c>
      <c r="C131" s="2" t="s">
        <v>30</v>
      </c>
      <c r="D131" s="2" t="s">
        <v>34</v>
      </c>
      <c r="E131" s="2" t="s">
        <v>34</v>
      </c>
      <c r="F131" s="2">
        <v>30203</v>
      </c>
      <c r="G131" s="2">
        <v>146.69381100000001</v>
      </c>
      <c r="H131" s="2" t="s">
        <v>35</v>
      </c>
      <c r="I131" s="2">
        <v>-73.615565000000004</v>
      </c>
      <c r="J131" s="2">
        <v>649596.65840199997</v>
      </c>
      <c r="K131" s="39">
        <v>8465128.4799600001</v>
      </c>
      <c r="L131" s="40">
        <v>1350</v>
      </c>
      <c r="M131" s="51">
        <v>0.11940298507462686</v>
      </c>
      <c r="N131" s="64">
        <v>0.21249999999999999</v>
      </c>
    </row>
    <row r="132" spans="1:14" ht="15.75" x14ac:dyDescent="0.25">
      <c r="A132" s="1">
        <v>13</v>
      </c>
      <c r="B132" s="2" t="s">
        <v>10</v>
      </c>
      <c r="C132" s="2" t="s">
        <v>30</v>
      </c>
      <c r="D132" s="2" t="s">
        <v>36</v>
      </c>
      <c r="E132" s="2" t="s">
        <v>36</v>
      </c>
      <c r="F132" s="2">
        <v>30204</v>
      </c>
      <c r="G132" s="2">
        <v>156.34623199999999</v>
      </c>
      <c r="H132" s="2" t="s">
        <v>37</v>
      </c>
      <c r="I132" s="2">
        <v>-73.028308999999993</v>
      </c>
      <c r="J132" s="2">
        <v>713274.60733799997</v>
      </c>
      <c r="K132" s="39">
        <v>8489355.9338300005</v>
      </c>
      <c r="L132" s="40">
        <v>7441</v>
      </c>
      <c r="M132" s="51">
        <v>0.28813559322033899</v>
      </c>
      <c r="N132" s="64">
        <v>0.18717948717948718</v>
      </c>
    </row>
    <row r="133" spans="1:14" ht="15.75" x14ac:dyDescent="0.25">
      <c r="A133" s="1">
        <v>14</v>
      </c>
      <c r="B133" s="2" t="s">
        <v>10</v>
      </c>
      <c r="C133" s="2" t="s">
        <v>30</v>
      </c>
      <c r="D133" s="2" t="s">
        <v>38</v>
      </c>
      <c r="E133" s="2" t="s">
        <v>38</v>
      </c>
      <c r="F133" s="2">
        <v>30205</v>
      </c>
      <c r="G133" s="2">
        <v>111.118681</v>
      </c>
      <c r="H133" s="2" t="s">
        <v>39</v>
      </c>
      <c r="I133" s="2">
        <v>-73.547200000000004</v>
      </c>
      <c r="J133" s="2">
        <v>657059.16470900003</v>
      </c>
      <c r="K133" s="39">
        <v>8477278.4746000003</v>
      </c>
      <c r="L133" s="40">
        <v>4632</v>
      </c>
      <c r="M133" s="51">
        <v>0.33603238866396762</v>
      </c>
      <c r="N133" s="64">
        <v>0.29881656804733731</v>
      </c>
    </row>
    <row r="134" spans="1:14" ht="15.75" x14ac:dyDescent="0.25">
      <c r="A134" s="1">
        <v>15</v>
      </c>
      <c r="B134" s="2" t="s">
        <v>10</v>
      </c>
      <c r="C134" s="2" t="s">
        <v>30</v>
      </c>
      <c r="D134" s="2" t="s">
        <v>40</v>
      </c>
      <c r="E134" s="2" t="s">
        <v>40</v>
      </c>
      <c r="F134" s="2">
        <v>30206</v>
      </c>
      <c r="G134" s="2">
        <v>95.301064999999994</v>
      </c>
      <c r="H134" s="2" t="s">
        <v>41</v>
      </c>
      <c r="I134" s="2">
        <v>-73.550967999999997</v>
      </c>
      <c r="J134" s="2">
        <v>656504.98855899996</v>
      </c>
      <c r="K134" s="39">
        <v>8452947.1075999998</v>
      </c>
      <c r="L134" s="40">
        <v>1058</v>
      </c>
      <c r="M134" s="51">
        <v>0.41025641025641024</v>
      </c>
      <c r="N134" s="64">
        <v>0.32203389830508472</v>
      </c>
    </row>
    <row r="135" spans="1:14" ht="15.75" x14ac:dyDescent="0.25">
      <c r="A135" s="1">
        <v>16</v>
      </c>
      <c r="B135" s="2" t="s">
        <v>10</v>
      </c>
      <c r="C135" s="2" t="s">
        <v>30</v>
      </c>
      <c r="D135" s="2" t="s">
        <v>42</v>
      </c>
      <c r="E135" s="2" t="s">
        <v>42</v>
      </c>
      <c r="F135" s="2">
        <v>30207</v>
      </c>
      <c r="G135" s="2">
        <v>309.10094800000002</v>
      </c>
      <c r="H135" s="2" t="s">
        <v>43</v>
      </c>
      <c r="I135" s="2">
        <v>-73.162479000000005</v>
      </c>
      <c r="J135" s="2">
        <v>698749.03336799995</v>
      </c>
      <c r="K135" s="39">
        <v>8488543.3166000005</v>
      </c>
      <c r="L135" s="40">
        <v>9282</v>
      </c>
      <c r="M135" s="51">
        <v>0.15330188679245282</v>
      </c>
      <c r="N135" s="64">
        <v>0.34188034188034189</v>
      </c>
    </row>
    <row r="136" spans="1:14" ht="15.75" x14ac:dyDescent="0.25">
      <c r="A136" s="1">
        <v>17</v>
      </c>
      <c r="B136" s="2" t="s">
        <v>10</v>
      </c>
      <c r="C136" s="2" t="s">
        <v>30</v>
      </c>
      <c r="D136" s="2" t="s">
        <v>44</v>
      </c>
      <c r="E136" s="2" t="s">
        <v>44</v>
      </c>
      <c r="F136" s="2">
        <v>30208</v>
      </c>
      <c r="G136" s="2">
        <v>259.42806400000001</v>
      </c>
      <c r="H136" s="2" t="s">
        <v>45</v>
      </c>
      <c r="I136" s="2">
        <v>-73.129694999999998</v>
      </c>
      <c r="J136" s="2">
        <v>702404.90041799995</v>
      </c>
      <c r="K136" s="39">
        <v>8502811.1336100008</v>
      </c>
      <c r="L136" s="40">
        <v>4794</v>
      </c>
      <c r="M136" s="51">
        <v>0.15</v>
      </c>
      <c r="N136" s="64">
        <v>0.15740740740740741</v>
      </c>
    </row>
    <row r="137" spans="1:14" ht="15.75" x14ac:dyDescent="0.25">
      <c r="A137" s="1">
        <v>18</v>
      </c>
      <c r="B137" s="2" t="s">
        <v>10</v>
      </c>
      <c r="C137" s="2" t="s">
        <v>30</v>
      </c>
      <c r="D137" s="2" t="s">
        <v>46</v>
      </c>
      <c r="E137" s="2" t="s">
        <v>46</v>
      </c>
      <c r="F137" s="2">
        <v>30209</v>
      </c>
      <c r="G137" s="2">
        <v>170.67035200000001</v>
      </c>
      <c r="H137" s="2" t="s">
        <v>47</v>
      </c>
      <c r="I137" s="2">
        <v>-73.309291000000002</v>
      </c>
      <c r="J137" s="2">
        <v>682917.57994099997</v>
      </c>
      <c r="K137" s="39">
        <v>8496075.8936599996</v>
      </c>
      <c r="L137" s="40">
        <v>9994</v>
      </c>
      <c r="M137" s="51">
        <v>0.11965811965811966</v>
      </c>
      <c r="N137" s="64">
        <v>0.24558303886925795</v>
      </c>
    </row>
    <row r="138" spans="1:14" ht="15.75" x14ac:dyDescent="0.25">
      <c r="A138" s="1">
        <v>19</v>
      </c>
      <c r="B138" s="2" t="s">
        <v>10</v>
      </c>
      <c r="C138" s="2" t="s">
        <v>30</v>
      </c>
      <c r="D138" s="2" t="s">
        <v>48</v>
      </c>
      <c r="E138" s="2" t="s">
        <v>48</v>
      </c>
      <c r="F138" s="2">
        <v>30210</v>
      </c>
      <c r="G138" s="2">
        <v>590.57905200000005</v>
      </c>
      <c r="H138" s="2" t="s">
        <v>49</v>
      </c>
      <c r="I138" s="2">
        <v>-73.478526000000002</v>
      </c>
      <c r="J138" s="2">
        <v>664110.99137299997</v>
      </c>
      <c r="K138" s="39">
        <v>8418999.6183000002</v>
      </c>
      <c r="L138" s="40">
        <v>2780</v>
      </c>
      <c r="M138" s="51">
        <v>0.53594771241830064</v>
      </c>
      <c r="N138" s="64">
        <v>0.20422535211267606</v>
      </c>
    </row>
    <row r="139" spans="1:14" ht="15.75" x14ac:dyDescent="0.25">
      <c r="A139" s="1">
        <v>20</v>
      </c>
      <c r="B139" s="2" t="s">
        <v>10</v>
      </c>
      <c r="C139" s="2" t="s">
        <v>30</v>
      </c>
      <c r="D139" s="2" t="s">
        <v>50</v>
      </c>
      <c r="E139" s="2" t="s">
        <v>50</v>
      </c>
      <c r="F139" s="2">
        <v>30211</v>
      </c>
      <c r="G139" s="2">
        <v>122.841399</v>
      </c>
      <c r="H139" s="2" t="s">
        <v>51</v>
      </c>
      <c r="I139" s="2">
        <v>-73.492097999999999</v>
      </c>
      <c r="J139" s="2">
        <v>662788.75515800004</v>
      </c>
      <c r="K139" s="39">
        <v>8441102.9054499995</v>
      </c>
      <c r="L139" s="40">
        <v>1042</v>
      </c>
      <c r="M139" s="51">
        <v>0.23404255319148937</v>
      </c>
      <c r="N139" s="64">
        <v>0.20270270270270271</v>
      </c>
    </row>
    <row r="140" spans="1:14" ht="15.75" x14ac:dyDescent="0.25">
      <c r="A140" s="1">
        <v>21</v>
      </c>
      <c r="B140" s="2" t="s">
        <v>10</v>
      </c>
      <c r="C140" s="2" t="s">
        <v>30</v>
      </c>
      <c r="D140" s="2" t="s">
        <v>52</v>
      </c>
      <c r="E140" s="2" t="s">
        <v>52</v>
      </c>
      <c r="F140" s="2">
        <v>30212</v>
      </c>
      <c r="G140" s="2">
        <v>178.51085399999999</v>
      </c>
      <c r="H140" s="2" t="s">
        <v>53</v>
      </c>
      <c r="I140" s="2">
        <v>-73.657583000000002</v>
      </c>
      <c r="J140" s="2">
        <v>645111.71656900004</v>
      </c>
      <c r="K140" s="39">
        <v>8475150.5599199999</v>
      </c>
      <c r="L140" s="40">
        <v>3237</v>
      </c>
      <c r="M140" s="51">
        <v>0.20394736842105263</v>
      </c>
      <c r="N140" s="64">
        <v>0.30514705882352944</v>
      </c>
    </row>
    <row r="141" spans="1:14" ht="15.75" x14ac:dyDescent="0.25">
      <c r="A141" s="1">
        <v>22</v>
      </c>
      <c r="B141" s="2" t="s">
        <v>10</v>
      </c>
      <c r="C141" s="2" t="s">
        <v>30</v>
      </c>
      <c r="D141" s="2" t="s">
        <v>54</v>
      </c>
      <c r="E141" s="2" t="s">
        <v>54</v>
      </c>
      <c r="F141" s="2">
        <v>30213</v>
      </c>
      <c r="G141" s="2">
        <v>248.62913</v>
      </c>
      <c r="H141" s="2" t="s">
        <v>55</v>
      </c>
      <c r="I141" s="2">
        <v>-73.274055000000004</v>
      </c>
      <c r="J141" s="2">
        <v>686636.29323099996</v>
      </c>
      <c r="K141" s="39">
        <v>8482946.1919</v>
      </c>
      <c r="L141" s="40">
        <v>27665</v>
      </c>
      <c r="M141" s="51">
        <v>0.34003656307129798</v>
      </c>
      <c r="N141" s="64">
        <v>0.29032258064516131</v>
      </c>
    </row>
    <row r="142" spans="1:14" ht="15.75" x14ac:dyDescent="0.25">
      <c r="A142" s="1">
        <v>23</v>
      </c>
      <c r="B142" s="2" t="s">
        <v>10</v>
      </c>
      <c r="C142" s="2" t="s">
        <v>30</v>
      </c>
      <c r="D142" s="2" t="s">
        <v>56</v>
      </c>
      <c r="E142" s="2" t="s">
        <v>57</v>
      </c>
      <c r="F142" s="2">
        <v>30214</v>
      </c>
      <c r="G142" s="2">
        <v>84.908979000000002</v>
      </c>
      <c r="H142" s="2" t="s">
        <v>58</v>
      </c>
      <c r="I142" s="2">
        <v>-73.603013000000004</v>
      </c>
      <c r="J142" s="2">
        <v>650899.66266599996</v>
      </c>
      <c r="K142" s="39">
        <v>8456016.1566599999</v>
      </c>
      <c r="L142" s="40">
        <v>2057</v>
      </c>
      <c r="M142" s="51">
        <v>0.23008849557522124</v>
      </c>
      <c r="N142" s="64">
        <v>0.26732673267326734</v>
      </c>
    </row>
    <row r="143" spans="1:14" ht="15.75" x14ac:dyDescent="0.25">
      <c r="A143" s="1">
        <v>24</v>
      </c>
      <c r="B143" s="2" t="s">
        <v>10</v>
      </c>
      <c r="C143" s="2" t="s">
        <v>30</v>
      </c>
      <c r="D143" s="2" t="s">
        <v>59</v>
      </c>
      <c r="E143" s="2" t="s">
        <v>59</v>
      </c>
      <c r="F143" s="2">
        <v>30215</v>
      </c>
      <c r="G143" s="2">
        <v>156.06259</v>
      </c>
      <c r="H143" s="2" t="s">
        <v>60</v>
      </c>
      <c r="I143" s="2">
        <v>-73.546270000000007</v>
      </c>
      <c r="J143" s="2">
        <v>657232.19123899995</v>
      </c>
      <c r="K143" s="39">
        <v>8489276.5610199999</v>
      </c>
      <c r="L143" s="40">
        <v>9910</v>
      </c>
      <c r="M143" s="51">
        <v>0.20214669051878353</v>
      </c>
      <c r="N143" s="64">
        <v>0.24305949008498584</v>
      </c>
    </row>
    <row r="144" spans="1:14" ht="15.75" x14ac:dyDescent="0.25">
      <c r="A144" s="1">
        <v>25</v>
      </c>
      <c r="B144" s="2" t="s">
        <v>10</v>
      </c>
      <c r="C144" s="2" t="s">
        <v>30</v>
      </c>
      <c r="D144" s="2" t="s">
        <v>61</v>
      </c>
      <c r="E144" s="2" t="s">
        <v>61</v>
      </c>
      <c r="F144" s="2">
        <v>30216</v>
      </c>
      <c r="G144" s="2">
        <v>158.00257500000001</v>
      </c>
      <c r="H144" s="2" t="s">
        <v>62</v>
      </c>
      <c r="I144" s="2">
        <v>-73.453028000000003</v>
      </c>
      <c r="J144" s="2">
        <v>667342.44879099994</v>
      </c>
      <c r="K144" s="39">
        <v>8492938.4114599992</v>
      </c>
      <c r="L144" s="40">
        <v>18313</v>
      </c>
      <c r="M144" s="51">
        <v>0.32807881773399017</v>
      </c>
      <c r="N144" s="64">
        <v>0.38509316770186336</v>
      </c>
    </row>
    <row r="145" spans="1:14" ht="15.75" x14ac:dyDescent="0.25">
      <c r="A145" s="1">
        <v>26</v>
      </c>
      <c r="B145" s="2" t="s">
        <v>10</v>
      </c>
      <c r="C145" s="2" t="s">
        <v>30</v>
      </c>
      <c r="D145" s="2" t="s">
        <v>63</v>
      </c>
      <c r="E145" s="2" t="s">
        <v>64</v>
      </c>
      <c r="F145" s="2">
        <v>30217</v>
      </c>
      <c r="G145" s="2">
        <v>453.371375</v>
      </c>
      <c r="H145" s="2" t="s">
        <v>65</v>
      </c>
      <c r="I145" s="2">
        <v>-73.458200000000005</v>
      </c>
      <c r="J145" s="2">
        <v>666540.90004400001</v>
      </c>
      <c r="K145" s="39">
        <v>8455136.7918299995</v>
      </c>
      <c r="L145" s="40">
        <v>2415</v>
      </c>
      <c r="M145" s="51">
        <v>0.23584905660377359</v>
      </c>
      <c r="N145" s="64">
        <v>0.21223021582733814</v>
      </c>
    </row>
    <row r="146" spans="1:14" ht="15.75" x14ac:dyDescent="0.25">
      <c r="A146" s="1">
        <v>27</v>
      </c>
      <c r="B146" s="2" t="s">
        <v>10</v>
      </c>
      <c r="C146" s="2" t="s">
        <v>30</v>
      </c>
      <c r="D146" s="2" t="s">
        <v>66</v>
      </c>
      <c r="E146" s="2" t="s">
        <v>66</v>
      </c>
      <c r="F146" s="2">
        <v>30218</v>
      </c>
      <c r="G146" s="2">
        <v>123.750552</v>
      </c>
      <c r="H146" s="2" t="s">
        <v>67</v>
      </c>
      <c r="I146" s="2">
        <v>-73.472205000000002</v>
      </c>
      <c r="J146" s="2">
        <v>665153.63199599995</v>
      </c>
      <c r="K146" s="39">
        <v>8474908.1409499999</v>
      </c>
      <c r="L146" s="40">
        <v>4197</v>
      </c>
      <c r="M146" s="51">
        <v>0.10559006211180125</v>
      </c>
      <c r="N146" s="64">
        <v>0.1778875849289685</v>
      </c>
    </row>
    <row r="147" spans="1:14" ht="15.75" x14ac:dyDescent="0.25">
      <c r="A147" s="1">
        <v>28</v>
      </c>
      <c r="B147" s="2" t="s">
        <v>10</v>
      </c>
      <c r="C147" s="2" t="s">
        <v>30</v>
      </c>
      <c r="D147" s="2" t="s">
        <v>68</v>
      </c>
      <c r="E147" s="2" t="s">
        <v>68</v>
      </c>
      <c r="F147" s="2">
        <v>30219</v>
      </c>
      <c r="G147" s="2">
        <v>112.09679800000001</v>
      </c>
      <c r="H147" s="2" t="s">
        <v>69</v>
      </c>
      <c r="I147" s="2">
        <v>-73.279405999999994</v>
      </c>
      <c r="J147" s="2">
        <v>686218.911097</v>
      </c>
      <c r="K147" s="39">
        <v>8505640.0564200003</v>
      </c>
      <c r="L147" s="40">
        <v>2962</v>
      </c>
      <c r="M147" s="51">
        <v>0.171875</v>
      </c>
      <c r="N147" s="64">
        <v>0.42499999999999999</v>
      </c>
    </row>
    <row r="148" spans="1:14" ht="15.75" x14ac:dyDescent="0.25">
      <c r="A148" s="1">
        <v>29</v>
      </c>
      <c r="B148" s="2" t="s">
        <v>10</v>
      </c>
      <c r="C148" s="2" t="s">
        <v>30</v>
      </c>
      <c r="D148" s="2" t="s">
        <v>70</v>
      </c>
      <c r="E148" s="2" t="s">
        <v>71</v>
      </c>
      <c r="F148" s="2">
        <v>30220</v>
      </c>
      <c r="G148" s="2">
        <v>175.23843400000001</v>
      </c>
      <c r="H148" s="2" t="s">
        <v>72</v>
      </c>
      <c r="I148" s="2">
        <v>-73.323964000000004</v>
      </c>
      <c r="J148" s="2">
        <v>681167.28106399998</v>
      </c>
      <c r="K148" s="39">
        <v>8472737.0401600003</v>
      </c>
      <c r="L148" s="41"/>
      <c r="M148" s="51">
        <v>0.31034482758620691</v>
      </c>
      <c r="N148" s="64">
        <v>0.26923076923076922</v>
      </c>
    </row>
    <row r="149" spans="1:14" ht="15.75" x14ac:dyDescent="0.25">
      <c r="A149" s="1">
        <v>30</v>
      </c>
      <c r="B149" s="2" t="s">
        <v>10</v>
      </c>
      <c r="C149" s="2" t="s">
        <v>73</v>
      </c>
      <c r="D149" s="2" t="s">
        <v>73</v>
      </c>
      <c r="E149" s="2" t="s">
        <v>73</v>
      </c>
      <c r="F149" s="2">
        <v>30301</v>
      </c>
      <c r="G149" s="2">
        <v>602.91831000000002</v>
      </c>
      <c r="H149" s="2" t="s">
        <v>74</v>
      </c>
      <c r="I149" s="2">
        <v>-72.750118999999998</v>
      </c>
      <c r="J149" s="2">
        <v>742464.71966900001</v>
      </c>
      <c r="K149" s="39">
        <v>8393792.4714100007</v>
      </c>
      <c r="L149" s="40">
        <v>3164</v>
      </c>
      <c r="M149" s="52">
        <v>7.0707070707070704E-2</v>
      </c>
      <c r="N149" s="64">
        <v>0.26339285714285715</v>
      </c>
    </row>
    <row r="150" spans="1:14" ht="15.75" x14ac:dyDescent="0.25">
      <c r="A150" s="1">
        <v>31</v>
      </c>
      <c r="B150" s="2" t="s">
        <v>10</v>
      </c>
      <c r="C150" s="2" t="s">
        <v>73</v>
      </c>
      <c r="D150" s="2" t="s">
        <v>75</v>
      </c>
      <c r="E150" s="2" t="s">
        <v>76</v>
      </c>
      <c r="F150" s="2">
        <v>30302</v>
      </c>
      <c r="G150" s="2">
        <v>66.625185000000002</v>
      </c>
      <c r="H150" s="2" t="s">
        <v>77</v>
      </c>
      <c r="I150" s="2">
        <v>-73.035216000000005</v>
      </c>
      <c r="J150" s="2">
        <v>712070.20385599998</v>
      </c>
      <c r="K150" s="39">
        <v>8433931.3496199995</v>
      </c>
      <c r="L150" s="40">
        <v>552</v>
      </c>
      <c r="M150" s="52">
        <v>0.33333333333333331</v>
      </c>
      <c r="N150" s="64">
        <v>0.15625</v>
      </c>
    </row>
    <row r="151" spans="1:14" ht="15.75" x14ac:dyDescent="0.25">
      <c r="A151" s="1">
        <v>32</v>
      </c>
      <c r="B151" s="2" t="s">
        <v>10</v>
      </c>
      <c r="C151" s="2" t="s">
        <v>73</v>
      </c>
      <c r="D151" s="2" t="s">
        <v>78</v>
      </c>
      <c r="E151" s="2" t="s">
        <v>78</v>
      </c>
      <c r="F151" s="2">
        <v>30303</v>
      </c>
      <c r="G151" s="2">
        <v>350.95733300000001</v>
      </c>
      <c r="H151" s="2" t="s">
        <v>79</v>
      </c>
      <c r="I151" s="2">
        <v>-72.786687999999998</v>
      </c>
      <c r="J151" s="2">
        <v>738713.32161099999</v>
      </c>
      <c r="K151" s="39">
        <v>8413497.4855400007</v>
      </c>
      <c r="L151" s="40">
        <v>1571</v>
      </c>
      <c r="M151" s="52">
        <v>8.8888888888888892E-2</v>
      </c>
      <c r="N151" s="64">
        <v>0.29591836734693877</v>
      </c>
    </row>
    <row r="152" spans="1:14" ht="15.75" x14ac:dyDescent="0.25">
      <c r="A152" s="1">
        <v>33</v>
      </c>
      <c r="B152" s="2" t="s">
        <v>10</v>
      </c>
      <c r="C152" s="2" t="s">
        <v>73</v>
      </c>
      <c r="D152" s="2" t="s">
        <v>80</v>
      </c>
      <c r="E152" s="2" t="s">
        <v>81</v>
      </c>
      <c r="F152" s="2">
        <v>30304</v>
      </c>
      <c r="G152" s="2">
        <v>632.64825900000005</v>
      </c>
      <c r="H152" s="2" t="s">
        <v>82</v>
      </c>
      <c r="I152" s="2">
        <v>-72.908388000000002</v>
      </c>
      <c r="J152" s="2">
        <v>725361.12849300005</v>
      </c>
      <c r="K152" s="39">
        <v>8389461.2255099993</v>
      </c>
      <c r="L152" s="40">
        <v>2066</v>
      </c>
      <c r="M152" s="52">
        <v>2.9411764705882353E-2</v>
      </c>
      <c r="N152" s="64">
        <v>0.26923076923076922</v>
      </c>
    </row>
    <row r="153" spans="1:14" ht="15.75" x14ac:dyDescent="0.25">
      <c r="A153" s="1">
        <v>34</v>
      </c>
      <c r="B153" s="2" t="s">
        <v>10</v>
      </c>
      <c r="C153" s="2" t="s">
        <v>73</v>
      </c>
      <c r="D153" s="2" t="s">
        <v>83</v>
      </c>
      <c r="E153" s="2" t="s">
        <v>83</v>
      </c>
      <c r="F153" s="2">
        <v>30305</v>
      </c>
      <c r="G153" s="2">
        <v>1171.7343229999999</v>
      </c>
      <c r="H153" s="2" t="s">
        <v>84</v>
      </c>
      <c r="I153" s="2">
        <v>-72.523126000000005</v>
      </c>
      <c r="J153" s="2">
        <v>767044.06749000004</v>
      </c>
      <c r="K153" s="39">
        <v>8402621.0411099996</v>
      </c>
      <c r="L153" s="40">
        <v>3110</v>
      </c>
      <c r="M153" s="52">
        <v>0.18446601941747573</v>
      </c>
      <c r="N153" s="64">
        <v>0.27631578947368424</v>
      </c>
    </row>
    <row r="154" spans="1:14" ht="15.75" x14ac:dyDescent="0.25">
      <c r="A154" s="1">
        <v>35</v>
      </c>
      <c r="B154" s="2" t="s">
        <v>10</v>
      </c>
      <c r="C154" s="2" t="s">
        <v>73</v>
      </c>
      <c r="D154" s="2" t="s">
        <v>85</v>
      </c>
      <c r="E154" s="2" t="s">
        <v>85</v>
      </c>
      <c r="F154" s="2">
        <v>30306</v>
      </c>
      <c r="G154" s="2">
        <v>229.31721200000001</v>
      </c>
      <c r="H154" s="2" t="s">
        <v>86</v>
      </c>
      <c r="I154" s="2">
        <v>-72.979122000000004</v>
      </c>
      <c r="J154" s="2">
        <v>718069.19924500003</v>
      </c>
      <c r="K154" s="39">
        <v>8427108.1732700001</v>
      </c>
      <c r="L154" s="40">
        <v>1286</v>
      </c>
      <c r="M154" s="52">
        <v>0.22222222222222221</v>
      </c>
      <c r="N154" s="64">
        <v>0.25757575757575757</v>
      </c>
    </row>
    <row r="155" spans="1:14" ht="15.75" x14ac:dyDescent="0.25">
      <c r="A155" s="1">
        <v>36</v>
      </c>
      <c r="B155" s="2" t="s">
        <v>10</v>
      </c>
      <c r="C155" s="2" t="s">
        <v>73</v>
      </c>
      <c r="D155" s="2" t="s">
        <v>87</v>
      </c>
      <c r="E155" s="2" t="s">
        <v>87</v>
      </c>
      <c r="F155" s="2">
        <v>30307</v>
      </c>
      <c r="G155" s="2">
        <v>176.597678</v>
      </c>
      <c r="H155" s="2" t="s">
        <v>88</v>
      </c>
      <c r="I155" s="2">
        <v>-72.980158000000003</v>
      </c>
      <c r="J155" s="2">
        <v>717857.35461599997</v>
      </c>
      <c r="K155" s="39">
        <v>8415604.3395399991</v>
      </c>
      <c r="L155" s="40">
        <v>1648</v>
      </c>
      <c r="M155" s="52">
        <v>0.12903225806451613</v>
      </c>
      <c r="N155" s="64">
        <v>0.34210526315789475</v>
      </c>
    </row>
    <row r="156" spans="1:14" ht="15.75" x14ac:dyDescent="0.25">
      <c r="A156" s="1">
        <v>37</v>
      </c>
      <c r="B156" s="2" t="s">
        <v>10</v>
      </c>
      <c r="C156" s="2" t="s">
        <v>89</v>
      </c>
      <c r="D156" s="2" t="s">
        <v>90</v>
      </c>
      <c r="E156" s="2" t="s">
        <v>90</v>
      </c>
      <c r="F156" s="2">
        <v>30401</v>
      </c>
      <c r="G156" s="2">
        <v>339.06337100000002</v>
      </c>
      <c r="H156" s="2" t="s">
        <v>91</v>
      </c>
      <c r="I156" s="2">
        <v>-73.229284000000007</v>
      </c>
      <c r="J156" s="2">
        <v>691001.88153999997</v>
      </c>
      <c r="K156" s="39">
        <v>8419001.2477100007</v>
      </c>
      <c r="L156" s="40">
        <v>5015</v>
      </c>
      <c r="M156" s="52">
        <v>0.22222222222222221</v>
      </c>
      <c r="N156" s="64">
        <v>0.16159695817490494</v>
      </c>
    </row>
    <row r="157" spans="1:14" ht="15.75" x14ac:dyDescent="0.25">
      <c r="A157" s="1">
        <v>38</v>
      </c>
      <c r="B157" s="2" t="s">
        <v>10</v>
      </c>
      <c r="C157" s="2" t="s">
        <v>89</v>
      </c>
      <c r="D157" s="2" t="s">
        <v>92</v>
      </c>
      <c r="E157" s="2" t="s">
        <v>92</v>
      </c>
      <c r="F157" s="2">
        <v>30402</v>
      </c>
      <c r="G157" s="2">
        <v>83.286640000000006</v>
      </c>
      <c r="H157" s="2" t="s">
        <v>93</v>
      </c>
      <c r="I157" s="2">
        <v>-73.353854999999996</v>
      </c>
      <c r="J157" s="2">
        <v>677701.10791799997</v>
      </c>
      <c r="K157" s="39">
        <v>8438866.2794799991</v>
      </c>
      <c r="L157" s="40">
        <v>970</v>
      </c>
      <c r="M157" s="52">
        <v>0.15789473684210525</v>
      </c>
      <c r="N157" s="64">
        <v>6.3829787234042548E-2</v>
      </c>
    </row>
    <row r="158" spans="1:14" ht="15.75" x14ac:dyDescent="0.25">
      <c r="A158" s="1">
        <v>39</v>
      </c>
      <c r="B158" s="2" t="s">
        <v>10</v>
      </c>
      <c r="C158" s="2" t="s">
        <v>89</v>
      </c>
      <c r="D158" s="2" t="s">
        <v>94</v>
      </c>
      <c r="E158" s="2" t="s">
        <v>94</v>
      </c>
      <c r="F158" s="2">
        <v>30403</v>
      </c>
      <c r="G158" s="2">
        <v>230.326965</v>
      </c>
      <c r="H158" s="2" t="s">
        <v>95</v>
      </c>
      <c r="I158" s="2">
        <v>-73.094503000000003</v>
      </c>
      <c r="J158" s="2">
        <v>705430.84870900004</v>
      </c>
      <c r="K158" s="39">
        <v>8405042.5675900001</v>
      </c>
      <c r="L158" s="40">
        <v>1472</v>
      </c>
      <c r="M158" s="52">
        <v>0.11475409836065574</v>
      </c>
      <c r="N158" s="64">
        <v>0.22689075630252101</v>
      </c>
    </row>
    <row r="159" spans="1:14" ht="15.75" x14ac:dyDescent="0.25">
      <c r="A159" s="1">
        <v>40</v>
      </c>
      <c r="B159" s="2" t="s">
        <v>10</v>
      </c>
      <c r="C159" s="2" t="s">
        <v>89</v>
      </c>
      <c r="D159" s="2" t="s">
        <v>96</v>
      </c>
      <c r="E159" s="2" t="s">
        <v>96</v>
      </c>
      <c r="F159" s="2">
        <v>30404</v>
      </c>
      <c r="G159" s="2">
        <v>204.112121</v>
      </c>
      <c r="H159" s="2" t="s">
        <v>97</v>
      </c>
      <c r="I159" s="2">
        <v>-73.086776</v>
      </c>
      <c r="J159" s="2">
        <v>706637.99744499999</v>
      </c>
      <c r="K159" s="39">
        <v>8450575.5104699992</v>
      </c>
      <c r="L159" s="40">
        <v>2160</v>
      </c>
      <c r="M159" s="52">
        <v>8.943089430894309E-2</v>
      </c>
      <c r="N159" s="64">
        <v>0.21088435374149661</v>
      </c>
    </row>
    <row r="160" spans="1:14" ht="15.75" x14ac:dyDescent="0.25">
      <c r="A160" s="1">
        <v>41</v>
      </c>
      <c r="B160" s="2" t="s">
        <v>10</v>
      </c>
      <c r="C160" s="2" t="s">
        <v>89</v>
      </c>
      <c r="D160" s="2" t="s">
        <v>98</v>
      </c>
      <c r="E160" s="2" t="s">
        <v>98</v>
      </c>
      <c r="F160" s="2">
        <v>30405</v>
      </c>
      <c r="G160" s="2">
        <v>91.777711999999994</v>
      </c>
      <c r="H160" s="2" t="s">
        <v>99</v>
      </c>
      <c r="I160" s="2">
        <v>-73.258258999999995</v>
      </c>
      <c r="J160" s="2">
        <v>688135.48605199996</v>
      </c>
      <c r="K160" s="39">
        <v>8454133.9386100005</v>
      </c>
      <c r="L160" s="40">
        <v>933</v>
      </c>
      <c r="M160" s="52">
        <v>0</v>
      </c>
      <c r="N160" s="64">
        <v>0.18518518518518517</v>
      </c>
    </row>
    <row r="161" spans="1:14" ht="15.75" x14ac:dyDescent="0.25">
      <c r="A161" s="1">
        <v>42</v>
      </c>
      <c r="B161" s="2" t="s">
        <v>10</v>
      </c>
      <c r="C161" s="2" t="s">
        <v>89</v>
      </c>
      <c r="D161" s="2" t="s">
        <v>100</v>
      </c>
      <c r="E161" s="2" t="s">
        <v>100</v>
      </c>
      <c r="F161" s="2">
        <v>30406</v>
      </c>
      <c r="G161" s="2">
        <v>1735.3753099999999</v>
      </c>
      <c r="H161" s="2" t="s">
        <v>101</v>
      </c>
      <c r="I161" s="2">
        <v>-73.295175</v>
      </c>
      <c r="J161" s="2">
        <v>683659.57014199998</v>
      </c>
      <c r="K161" s="39">
        <v>8386452.5239700004</v>
      </c>
      <c r="L161" s="40">
        <v>5326</v>
      </c>
      <c r="M161" s="52">
        <v>7.857142857142857E-2</v>
      </c>
      <c r="N161" s="64">
        <v>0.29100529100529099</v>
      </c>
    </row>
    <row r="162" spans="1:14" ht="15.75" x14ac:dyDescent="0.25">
      <c r="A162" s="1">
        <v>43</v>
      </c>
      <c r="B162" s="2" t="s">
        <v>10</v>
      </c>
      <c r="C162" s="2" t="s">
        <v>89</v>
      </c>
      <c r="D162" s="2" t="s">
        <v>102</v>
      </c>
      <c r="E162" s="2" t="s">
        <v>102</v>
      </c>
      <c r="F162" s="2">
        <v>30407</v>
      </c>
      <c r="G162" s="2">
        <v>72.789118999999999</v>
      </c>
      <c r="H162" s="2" t="s">
        <v>103</v>
      </c>
      <c r="I162" s="2">
        <v>-73.244033000000002</v>
      </c>
      <c r="J162" s="2">
        <v>689574.48090299999</v>
      </c>
      <c r="K162" s="39">
        <v>8440735.0380099993</v>
      </c>
      <c r="L162" s="40">
        <v>728</v>
      </c>
      <c r="M162" s="52">
        <v>0</v>
      </c>
      <c r="N162" s="64">
        <v>7.6923076923076927E-2</v>
      </c>
    </row>
    <row r="163" spans="1:14" ht="15.75" x14ac:dyDescent="0.25">
      <c r="A163" s="1">
        <v>44</v>
      </c>
      <c r="B163" s="2" t="s">
        <v>10</v>
      </c>
      <c r="C163" s="2" t="s">
        <v>89</v>
      </c>
      <c r="D163" s="2" t="s">
        <v>104</v>
      </c>
      <c r="E163" s="2" t="s">
        <v>105</v>
      </c>
      <c r="F163" s="2">
        <v>30408</v>
      </c>
      <c r="G163" s="2">
        <v>101.00806</v>
      </c>
      <c r="H163" s="2" t="s">
        <v>106</v>
      </c>
      <c r="I163" s="2">
        <v>-73.197817999999998</v>
      </c>
      <c r="J163" s="2">
        <v>694537.30192300002</v>
      </c>
      <c r="K163" s="39">
        <v>8437101.3843699992</v>
      </c>
      <c r="L163" s="40">
        <v>1292</v>
      </c>
      <c r="M163" s="52">
        <v>0.20454545454545456</v>
      </c>
      <c r="N163" s="64">
        <v>0.23762376237623761</v>
      </c>
    </row>
    <row r="164" spans="1:14" ht="15.75" x14ac:dyDescent="0.25">
      <c r="A164" s="1">
        <v>45</v>
      </c>
      <c r="B164" s="2" t="s">
        <v>10</v>
      </c>
      <c r="C164" s="2" t="s">
        <v>89</v>
      </c>
      <c r="D164" s="2" t="s">
        <v>107</v>
      </c>
      <c r="E164" s="2" t="s">
        <v>107</v>
      </c>
      <c r="F164" s="2">
        <v>30409</v>
      </c>
      <c r="G164" s="2">
        <v>103.775032</v>
      </c>
      <c r="H164" s="2" t="s">
        <v>108</v>
      </c>
      <c r="I164" s="2">
        <v>-73.245453999999995</v>
      </c>
      <c r="J164" s="2">
        <v>689569.56367399998</v>
      </c>
      <c r="K164" s="39">
        <v>8460879.7847600002</v>
      </c>
      <c r="L164" s="40">
        <v>2159</v>
      </c>
      <c r="M164" s="52">
        <v>6.25E-2</v>
      </c>
      <c r="N164" s="64">
        <v>0.2986111111111111</v>
      </c>
    </row>
    <row r="165" spans="1:14" ht="15.75" x14ac:dyDescent="0.25">
      <c r="A165" s="1">
        <v>46</v>
      </c>
      <c r="B165" s="2" t="s">
        <v>10</v>
      </c>
      <c r="C165" s="2" t="s">
        <v>89</v>
      </c>
      <c r="D165" s="2" t="s">
        <v>109</v>
      </c>
      <c r="E165" s="2" t="s">
        <v>109</v>
      </c>
      <c r="F165" s="2">
        <v>30410</v>
      </c>
      <c r="G165" s="2">
        <v>87.595410999999999</v>
      </c>
      <c r="H165" s="2" t="s">
        <v>110</v>
      </c>
      <c r="I165" s="2">
        <v>-73.087677999999997</v>
      </c>
      <c r="J165" s="2">
        <v>706345.25090300001</v>
      </c>
      <c r="K165" s="39">
        <v>8426653.1557700001</v>
      </c>
      <c r="L165" s="40">
        <v>1177</v>
      </c>
      <c r="M165" s="52">
        <v>2.3255813953488372E-2</v>
      </c>
      <c r="N165" s="64">
        <v>0.27160493827160492</v>
      </c>
    </row>
    <row r="166" spans="1:14" ht="15.75" x14ac:dyDescent="0.25">
      <c r="A166" s="1">
        <v>47</v>
      </c>
      <c r="B166" s="2" t="s">
        <v>10</v>
      </c>
      <c r="C166" s="2" t="s">
        <v>89</v>
      </c>
      <c r="D166" s="2" t="s">
        <v>111</v>
      </c>
      <c r="E166" s="2" t="s">
        <v>111</v>
      </c>
      <c r="F166" s="2">
        <v>30411</v>
      </c>
      <c r="G166" s="2">
        <v>96.223269999999999</v>
      </c>
      <c r="H166" s="2" t="s">
        <v>112</v>
      </c>
      <c r="I166" s="2">
        <v>-73.193821</v>
      </c>
      <c r="J166" s="2">
        <v>695175.94975999999</v>
      </c>
      <c r="K166" s="39">
        <v>8464255.45022</v>
      </c>
      <c r="L166" s="40">
        <v>856</v>
      </c>
      <c r="M166" s="52">
        <v>2.564102564102564E-2</v>
      </c>
      <c r="N166" s="64">
        <v>0.20792079207920791</v>
      </c>
    </row>
    <row r="167" spans="1:14" ht="15.75" x14ac:dyDescent="0.25">
      <c r="A167" s="1">
        <v>48</v>
      </c>
      <c r="B167" s="2" t="s">
        <v>10</v>
      </c>
      <c r="C167" s="2" t="s">
        <v>89</v>
      </c>
      <c r="D167" s="2" t="s">
        <v>113</v>
      </c>
      <c r="E167" s="2" t="s">
        <v>113</v>
      </c>
      <c r="F167" s="2">
        <v>30412</v>
      </c>
      <c r="G167" s="2">
        <v>365.23539299999999</v>
      </c>
      <c r="H167" s="2" t="s">
        <v>114</v>
      </c>
      <c r="I167" s="2">
        <v>-73.358265000000003</v>
      </c>
      <c r="J167" s="2">
        <v>677055.93118800002</v>
      </c>
      <c r="K167" s="39">
        <v>8414868.7765800003</v>
      </c>
      <c r="L167" s="40">
        <v>1441</v>
      </c>
      <c r="M167" s="52">
        <v>0.13953488372093023</v>
      </c>
      <c r="N167" s="64">
        <v>0.33734939759036142</v>
      </c>
    </row>
    <row r="168" spans="1:14" ht="15.75" x14ac:dyDescent="0.25">
      <c r="A168" s="1">
        <v>49</v>
      </c>
      <c r="B168" s="2" t="s">
        <v>10</v>
      </c>
      <c r="C168" s="2" t="s">
        <v>89</v>
      </c>
      <c r="D168" s="2" t="s">
        <v>115</v>
      </c>
      <c r="E168" s="2" t="s">
        <v>115</v>
      </c>
      <c r="F168" s="2">
        <v>30413</v>
      </c>
      <c r="G168" s="2">
        <v>44.387388999999999</v>
      </c>
      <c r="H168" s="2" t="s">
        <v>116</v>
      </c>
      <c r="I168" s="2">
        <v>-73.284007000000003</v>
      </c>
      <c r="J168" s="2">
        <v>685198.37242899998</v>
      </c>
      <c r="K168" s="39">
        <v>8432710.2234000005</v>
      </c>
      <c r="L168" s="40">
        <v>825</v>
      </c>
      <c r="M168" s="52">
        <v>0</v>
      </c>
      <c r="N168" s="64">
        <v>0.12790697674418605</v>
      </c>
    </row>
    <row r="169" spans="1:14" ht="15.75" x14ac:dyDescent="0.25">
      <c r="A169" s="1">
        <v>50</v>
      </c>
      <c r="B169" s="2" t="s">
        <v>10</v>
      </c>
      <c r="C169" s="2" t="s">
        <v>89</v>
      </c>
      <c r="D169" s="2" t="s">
        <v>117</v>
      </c>
      <c r="E169" s="2" t="s">
        <v>117</v>
      </c>
      <c r="F169" s="2">
        <v>30414</v>
      </c>
      <c r="G169" s="2">
        <v>158.22241099999999</v>
      </c>
      <c r="H169" s="2" t="s">
        <v>118</v>
      </c>
      <c r="I169" s="2">
        <v>-73.117936999999998</v>
      </c>
      <c r="J169" s="2">
        <v>703184.58326900005</v>
      </c>
      <c r="K169" s="39">
        <v>8439779.2502900008</v>
      </c>
      <c r="L169" s="40">
        <v>2259</v>
      </c>
      <c r="M169" s="52">
        <v>6.25E-2</v>
      </c>
      <c r="N169" s="64">
        <v>0.21276595744680851</v>
      </c>
    </row>
    <row r="170" spans="1:14" ht="15.75" x14ac:dyDescent="0.25">
      <c r="A170" s="1">
        <v>51</v>
      </c>
      <c r="B170" s="2" t="s">
        <v>10</v>
      </c>
      <c r="C170" s="2" t="s">
        <v>89</v>
      </c>
      <c r="D170" s="2" t="s">
        <v>119</v>
      </c>
      <c r="E170" s="2" t="s">
        <v>119</v>
      </c>
      <c r="F170" s="2">
        <v>30415</v>
      </c>
      <c r="G170" s="2">
        <v>142.42277200000001</v>
      </c>
      <c r="H170" s="2" t="s">
        <v>120</v>
      </c>
      <c r="I170" s="2">
        <v>-73.134484</v>
      </c>
      <c r="J170" s="2">
        <v>701574.13345800003</v>
      </c>
      <c r="K170" s="39">
        <v>8462158.3605700005</v>
      </c>
      <c r="L170" s="40">
        <v>3227</v>
      </c>
      <c r="M170" s="52">
        <v>7.3770491803278687E-2</v>
      </c>
      <c r="N170" s="64">
        <v>0.17973856209150327</v>
      </c>
    </row>
    <row r="171" spans="1:14" ht="15.75" x14ac:dyDescent="0.25">
      <c r="A171" s="1">
        <v>52</v>
      </c>
      <c r="B171" s="2" t="s">
        <v>10</v>
      </c>
      <c r="C171" s="2" t="s">
        <v>89</v>
      </c>
      <c r="D171" s="2" t="s">
        <v>121</v>
      </c>
      <c r="E171" s="2" t="s">
        <v>121</v>
      </c>
      <c r="F171" s="2">
        <v>30416</v>
      </c>
      <c r="G171" s="2">
        <v>168.61968999999999</v>
      </c>
      <c r="H171" s="2" t="s">
        <v>122</v>
      </c>
      <c r="I171" s="2">
        <v>-73.313727</v>
      </c>
      <c r="J171" s="2">
        <v>682105.60966700001</v>
      </c>
      <c r="K171" s="39">
        <v>8448897.9593599997</v>
      </c>
      <c r="L171" s="40">
        <v>1962</v>
      </c>
      <c r="M171" s="52">
        <v>0.11594202898550725</v>
      </c>
      <c r="N171" s="64">
        <v>0.2196969696969697</v>
      </c>
    </row>
    <row r="172" spans="1:14" ht="15.75" x14ac:dyDescent="0.25">
      <c r="A172" s="1">
        <v>53</v>
      </c>
      <c r="B172" s="2" t="s">
        <v>10</v>
      </c>
      <c r="C172" s="2" t="s">
        <v>89</v>
      </c>
      <c r="D172" s="2" t="s">
        <v>123</v>
      </c>
      <c r="E172" s="2" t="s">
        <v>123</v>
      </c>
      <c r="F172" s="2">
        <v>30417</v>
      </c>
      <c r="G172" s="2">
        <v>104.384715</v>
      </c>
      <c r="H172" s="2" t="s">
        <v>124</v>
      </c>
      <c r="I172" s="2">
        <v>-73.159803999999994</v>
      </c>
      <c r="J172" s="2">
        <v>698553.89405600005</v>
      </c>
      <c r="K172" s="39">
        <v>8425906.1231900007</v>
      </c>
      <c r="L172" s="40">
        <v>1193</v>
      </c>
      <c r="M172" s="52">
        <v>0.15217391304347827</v>
      </c>
      <c r="N172" s="64">
        <v>0.21818181818181817</v>
      </c>
    </row>
    <row r="173" spans="1:14" ht="15.75" x14ac:dyDescent="0.25">
      <c r="A173" s="1">
        <v>54</v>
      </c>
      <c r="B173" s="2" t="s">
        <v>10</v>
      </c>
      <c r="C173" s="2" t="s">
        <v>125</v>
      </c>
      <c r="D173" s="2" t="s">
        <v>125</v>
      </c>
      <c r="E173" s="2" t="s">
        <v>125</v>
      </c>
      <c r="F173" s="2">
        <v>30601</v>
      </c>
      <c r="G173" s="2">
        <v>135.42667800000001</v>
      </c>
      <c r="H173" s="2" t="s">
        <v>126</v>
      </c>
      <c r="I173" s="2">
        <v>-73.748176999999998</v>
      </c>
      <c r="J173" s="2">
        <v>635471.61161300004</v>
      </c>
      <c r="K173" s="39">
        <v>8505163.1234399993</v>
      </c>
      <c r="L173" s="40">
        <v>6809</v>
      </c>
      <c r="M173" s="52">
        <v>0.33546325878594252</v>
      </c>
      <c r="N173" s="64">
        <v>0.21987951807228914</v>
      </c>
    </row>
    <row r="174" spans="1:14" ht="15.75" x14ac:dyDescent="0.25">
      <c r="A174" s="1">
        <v>55</v>
      </c>
      <c r="B174" s="2" t="s">
        <v>10</v>
      </c>
      <c r="C174" s="2" t="s">
        <v>125</v>
      </c>
      <c r="D174" s="2" t="s">
        <v>127</v>
      </c>
      <c r="E174" s="2" t="s">
        <v>128</v>
      </c>
      <c r="F174" s="2">
        <v>30602</v>
      </c>
      <c r="G174" s="2">
        <v>90.985917000000001</v>
      </c>
      <c r="H174" s="2" t="s">
        <v>129</v>
      </c>
      <c r="I174" s="2">
        <v>-73.669270999999995</v>
      </c>
      <c r="J174" s="2">
        <v>643996.59154599998</v>
      </c>
      <c r="K174" s="39">
        <v>8502279.8067400008</v>
      </c>
      <c r="L174" s="40">
        <v>12477</v>
      </c>
      <c r="M174" s="52">
        <v>0.18574514038876891</v>
      </c>
      <c r="N174" s="64">
        <v>0.27713382507903056</v>
      </c>
    </row>
    <row r="175" spans="1:14" ht="15.75" x14ac:dyDescent="0.25">
      <c r="A175" s="1">
        <v>56</v>
      </c>
      <c r="B175" s="2" t="s">
        <v>10</v>
      </c>
      <c r="C175" s="2" t="s">
        <v>125</v>
      </c>
      <c r="D175" s="2" t="s">
        <v>130</v>
      </c>
      <c r="E175" s="2" t="s">
        <v>130</v>
      </c>
      <c r="F175" s="2">
        <v>30603</v>
      </c>
      <c r="G175" s="2">
        <v>108.15571199999999</v>
      </c>
      <c r="H175" s="2" t="s">
        <v>131</v>
      </c>
      <c r="I175" s="2">
        <v>-73.74785</v>
      </c>
      <c r="J175" s="2">
        <v>635454.13503</v>
      </c>
      <c r="K175" s="39">
        <v>8494884.8656300008</v>
      </c>
      <c r="L175" s="40">
        <v>2675</v>
      </c>
      <c r="M175" s="52">
        <v>0.30927835051546393</v>
      </c>
      <c r="N175" s="64">
        <v>0.36994219653179189</v>
      </c>
    </row>
    <row r="176" spans="1:14" ht="15.75" x14ac:dyDescent="0.25">
      <c r="A176" s="1">
        <v>57</v>
      </c>
      <c r="B176" s="2" t="s">
        <v>10</v>
      </c>
      <c r="C176" s="2" t="s">
        <v>125</v>
      </c>
      <c r="D176" s="2" t="s">
        <v>132</v>
      </c>
      <c r="E176" s="2" t="s">
        <v>132</v>
      </c>
      <c r="F176" s="2">
        <v>30604</v>
      </c>
      <c r="G176" s="2">
        <v>335.30189300000001</v>
      </c>
      <c r="H176" s="2" t="s">
        <v>133</v>
      </c>
      <c r="I176" s="2">
        <v>-73.731211999999999</v>
      </c>
      <c r="J176" s="2">
        <v>637420.74525399995</v>
      </c>
      <c r="K176" s="39">
        <v>8527181.9982699994</v>
      </c>
      <c r="L176" s="40">
        <v>10327</v>
      </c>
      <c r="M176" s="52">
        <v>0.26409495548961426</v>
      </c>
      <c r="N176" s="64">
        <v>0.24170616113744076</v>
      </c>
    </row>
    <row r="177" spans="1:14" ht="15.75" x14ac:dyDescent="0.25">
      <c r="A177" s="1">
        <v>58</v>
      </c>
      <c r="B177" s="2" t="s">
        <v>10</v>
      </c>
      <c r="C177" s="2" t="s">
        <v>125</v>
      </c>
      <c r="D177" s="2" t="s">
        <v>134</v>
      </c>
      <c r="E177" s="2" t="s">
        <v>134</v>
      </c>
      <c r="F177" s="2">
        <v>30605</v>
      </c>
      <c r="G177" s="2">
        <v>216.89364599999999</v>
      </c>
      <c r="H177" s="2" t="s">
        <v>135</v>
      </c>
      <c r="I177" s="2">
        <v>-73.519602000000006</v>
      </c>
      <c r="J177" s="2">
        <v>660220.92183400004</v>
      </c>
      <c r="K177" s="39">
        <v>8506411.1847399995</v>
      </c>
      <c r="L177" s="40">
        <v>8316</v>
      </c>
      <c r="M177" s="52">
        <v>0.26509186351706038</v>
      </c>
      <c r="N177" s="64">
        <v>0.21875</v>
      </c>
    </row>
    <row r="178" spans="1:14" ht="15.75" x14ac:dyDescent="0.25">
      <c r="A178" s="1">
        <v>59</v>
      </c>
      <c r="B178" s="2" t="s">
        <v>10</v>
      </c>
      <c r="C178" s="2" t="s">
        <v>125</v>
      </c>
      <c r="D178" s="2" t="s">
        <v>136</v>
      </c>
      <c r="E178" s="2" t="s">
        <v>136</v>
      </c>
      <c r="F178" s="2">
        <v>30606</v>
      </c>
      <c r="G178" s="2">
        <v>114.658642</v>
      </c>
      <c r="H178" s="2" t="s">
        <v>137</v>
      </c>
      <c r="I178" s="2">
        <v>-73.650662999999994</v>
      </c>
      <c r="J178" s="2">
        <v>646089.70934599999</v>
      </c>
      <c r="K178" s="39">
        <v>8516535.8951299991</v>
      </c>
      <c r="L178" s="40">
        <v>9131</v>
      </c>
      <c r="M178" s="52">
        <v>9.4117647058823528E-2</v>
      </c>
      <c r="N178" s="64">
        <v>0.29545454545454547</v>
      </c>
    </row>
    <row r="179" spans="1:14" ht="15.75" x14ac:dyDescent="0.25">
      <c r="A179" s="1">
        <v>60</v>
      </c>
      <c r="B179" s="2" t="s">
        <v>10</v>
      </c>
      <c r="C179" s="2" t="s">
        <v>125</v>
      </c>
      <c r="D179" s="2" t="s">
        <v>138</v>
      </c>
      <c r="E179" s="2" t="s">
        <v>138</v>
      </c>
      <c r="F179" s="2">
        <v>30607</v>
      </c>
      <c r="G179" s="2">
        <v>146.823961</v>
      </c>
      <c r="H179" s="2" t="s">
        <v>139</v>
      </c>
      <c r="I179" s="2">
        <v>-73.652501000000001</v>
      </c>
      <c r="J179" s="2">
        <v>645735.83744999999</v>
      </c>
      <c r="K179" s="39">
        <v>8488535.3149500005</v>
      </c>
      <c r="L179" s="40">
        <v>3649</v>
      </c>
      <c r="M179" s="52">
        <v>0.2814814814814815</v>
      </c>
      <c r="N179" s="64">
        <v>0.18867924528301888</v>
      </c>
    </row>
    <row r="180" spans="1:14" ht="15.75" x14ac:dyDescent="0.25">
      <c r="A180" s="1">
        <v>61</v>
      </c>
      <c r="B180" s="2" t="s">
        <v>10</v>
      </c>
      <c r="C180" s="2" t="s">
        <v>125</v>
      </c>
      <c r="D180" s="2" t="s">
        <v>140</v>
      </c>
      <c r="E180" s="2" t="s">
        <v>140</v>
      </c>
      <c r="F180" s="2">
        <v>30608</v>
      </c>
      <c r="G180" s="2">
        <v>99.983476999999993</v>
      </c>
      <c r="H180" s="2" t="s">
        <v>141</v>
      </c>
      <c r="I180" s="2">
        <v>-73.596301999999994</v>
      </c>
      <c r="J180" s="2">
        <v>651892.05555699999</v>
      </c>
      <c r="K180" s="39">
        <v>8501866.1210099999</v>
      </c>
      <c r="L180" s="40">
        <v>5298</v>
      </c>
      <c r="M180" s="52">
        <v>0.39260969976905313</v>
      </c>
      <c r="N180" s="64">
        <v>0.29157894736842105</v>
      </c>
    </row>
    <row r="181" spans="1:14" ht="15.75" x14ac:dyDescent="0.25">
      <c r="A181" s="1">
        <v>62</v>
      </c>
      <c r="B181" s="2" t="s">
        <v>10</v>
      </c>
      <c r="C181" s="2" t="s">
        <v>125</v>
      </c>
      <c r="D181" s="2" t="s">
        <v>142</v>
      </c>
      <c r="E181" s="2" t="s">
        <v>142</v>
      </c>
      <c r="F181" s="2">
        <v>30609</v>
      </c>
      <c r="G181" s="2">
        <v>55.395699</v>
      </c>
      <c r="H181" s="2" t="s">
        <v>143</v>
      </c>
      <c r="I181" s="2">
        <v>-73.617352999999994</v>
      </c>
      <c r="J181" s="2">
        <v>649671.089698</v>
      </c>
      <c r="K181" s="39">
        <v>8512062.1367600001</v>
      </c>
      <c r="L181" s="41"/>
      <c r="M181" s="52">
        <v>0.31333333333333335</v>
      </c>
      <c r="N181" s="64">
        <v>0.20279720279720279</v>
      </c>
    </row>
    <row r="182" spans="1:14" ht="15.75" x14ac:dyDescent="0.25">
      <c r="A182" s="1">
        <v>63</v>
      </c>
      <c r="B182" s="2" t="s">
        <v>10</v>
      </c>
      <c r="C182" s="2" t="s">
        <v>125</v>
      </c>
      <c r="D182" s="2" t="s">
        <v>144</v>
      </c>
      <c r="E182" s="2" t="s">
        <v>145</v>
      </c>
      <c r="F182" s="2">
        <v>30610</v>
      </c>
      <c r="G182" s="2">
        <v>59.718392999999999</v>
      </c>
      <c r="H182" s="2" t="s">
        <v>146</v>
      </c>
      <c r="I182" s="2">
        <v>-73.555042999999998</v>
      </c>
      <c r="J182" s="2">
        <v>656454.67489599995</v>
      </c>
      <c r="K182" s="39">
        <v>8518425.7111699991</v>
      </c>
      <c r="L182" s="41"/>
      <c r="M182" s="52">
        <v>0.37931034482758619</v>
      </c>
      <c r="N182" s="64">
        <v>0.26993865030674846</v>
      </c>
    </row>
    <row r="183" spans="1:14" ht="15.75" x14ac:dyDescent="0.25">
      <c r="A183" s="1">
        <v>64</v>
      </c>
      <c r="B183" s="2" t="s">
        <v>10</v>
      </c>
      <c r="C183" s="2" t="s">
        <v>125</v>
      </c>
      <c r="D183" s="2" t="s">
        <v>147</v>
      </c>
      <c r="E183" s="2" t="s">
        <v>148</v>
      </c>
      <c r="F183" s="2">
        <v>30611</v>
      </c>
      <c r="G183" s="2">
        <v>144.54529700000001</v>
      </c>
      <c r="H183" s="2" t="s">
        <v>149</v>
      </c>
      <c r="I183" s="2">
        <v>-73.791393999999997</v>
      </c>
      <c r="J183" s="2">
        <v>630863.98692000005</v>
      </c>
      <c r="K183" s="39">
        <v>8519398.8229399994</v>
      </c>
      <c r="L183" s="41"/>
      <c r="M183" s="52">
        <v>6.3829787234042548E-2</v>
      </c>
      <c r="N183" s="64">
        <v>0.22935779816513763</v>
      </c>
    </row>
    <row r="184" spans="1:14" ht="15.75" x14ac:dyDescent="0.25">
      <c r="A184" s="1">
        <v>65</v>
      </c>
      <c r="B184" s="2" t="s">
        <v>10</v>
      </c>
      <c r="C184" s="2" t="s">
        <v>150</v>
      </c>
      <c r="D184" s="2" t="s">
        <v>151</v>
      </c>
      <c r="E184" s="2" t="s">
        <v>151</v>
      </c>
      <c r="F184" s="2">
        <v>30501</v>
      </c>
      <c r="G184" s="2">
        <v>715.13049899999999</v>
      </c>
      <c r="H184" s="2" t="s">
        <v>152</v>
      </c>
      <c r="I184" s="2">
        <v>-72.212916000000007</v>
      </c>
      <c r="J184" s="2">
        <v>801194.39103499998</v>
      </c>
      <c r="K184" s="39">
        <v>8459685.2522999998</v>
      </c>
      <c r="L184" s="40">
        <v>11582</v>
      </c>
      <c r="M184" s="52">
        <v>0.23842195540308747</v>
      </c>
      <c r="N184" s="64">
        <v>0.2988505747126437</v>
      </c>
    </row>
    <row r="185" spans="1:14" ht="15.75" x14ac:dyDescent="0.25">
      <c r="A185" s="1">
        <v>66</v>
      </c>
      <c r="B185" s="2" t="s">
        <v>10</v>
      </c>
      <c r="C185" s="2" t="s">
        <v>150</v>
      </c>
      <c r="D185" s="2" t="s">
        <v>150</v>
      </c>
      <c r="E185" s="2" t="s">
        <v>150</v>
      </c>
      <c r="F185" s="2">
        <v>30502</v>
      </c>
      <c r="G185" s="2">
        <v>327.36611599999998</v>
      </c>
      <c r="H185" s="2" t="s">
        <v>153</v>
      </c>
      <c r="I185" s="2">
        <v>-72.341285999999997</v>
      </c>
      <c r="J185" s="2">
        <v>787514.52587100002</v>
      </c>
      <c r="K185" s="39">
        <v>8478193.9920799993</v>
      </c>
      <c r="L185" s="40">
        <v>4237</v>
      </c>
      <c r="M185" s="52">
        <v>0.22330097087378642</v>
      </c>
      <c r="N185" s="64">
        <v>0.31671554252199413</v>
      </c>
    </row>
    <row r="186" spans="1:14" ht="15.75" x14ac:dyDescent="0.25">
      <c r="A186" s="1">
        <v>67</v>
      </c>
      <c r="B186" s="2" t="s">
        <v>10</v>
      </c>
      <c r="C186" s="2" t="s">
        <v>150</v>
      </c>
      <c r="D186" s="2" t="s">
        <v>154</v>
      </c>
      <c r="E186" s="2" t="s">
        <v>154</v>
      </c>
      <c r="F186" s="2">
        <v>30503</v>
      </c>
      <c r="G186" s="2">
        <v>419.46825899999999</v>
      </c>
      <c r="H186" s="2" t="s">
        <v>155</v>
      </c>
      <c r="I186" s="2">
        <v>-72.395259999999993</v>
      </c>
      <c r="J186" s="2">
        <v>781471.78980399994</v>
      </c>
      <c r="K186" s="39">
        <v>8459697.66065</v>
      </c>
      <c r="L186" s="40">
        <v>8542</v>
      </c>
      <c r="M186" s="52">
        <v>0.26379310344827589</v>
      </c>
      <c r="N186" s="64">
        <v>0.26012145748987853</v>
      </c>
    </row>
    <row r="187" spans="1:14" ht="15.75" x14ac:dyDescent="0.25">
      <c r="A187" s="1">
        <v>68</v>
      </c>
      <c r="B187" s="2" t="s">
        <v>10</v>
      </c>
      <c r="C187" s="2" t="s">
        <v>150</v>
      </c>
      <c r="D187" s="2" t="s">
        <v>156</v>
      </c>
      <c r="E187" s="2" t="s">
        <v>156</v>
      </c>
      <c r="F187" s="2">
        <v>30504</v>
      </c>
      <c r="G187" s="2">
        <v>484.74699099999998</v>
      </c>
      <c r="H187" s="2" t="s">
        <v>157</v>
      </c>
      <c r="I187" s="2">
        <v>-72.230587</v>
      </c>
      <c r="J187" s="2">
        <v>798818.22785699996</v>
      </c>
      <c r="K187" s="39">
        <v>8419840.7145300005</v>
      </c>
      <c r="L187" s="40">
        <v>11802</v>
      </c>
      <c r="M187" s="52">
        <v>0.38362068965517243</v>
      </c>
      <c r="N187" s="64">
        <v>0.25204359673024523</v>
      </c>
    </row>
    <row r="188" spans="1:14" ht="15.75" x14ac:dyDescent="0.25">
      <c r="A188" s="1">
        <v>69</v>
      </c>
      <c r="B188" s="2" t="s">
        <v>10</v>
      </c>
      <c r="C188" s="2" t="s">
        <v>150</v>
      </c>
      <c r="D188" s="2" t="s">
        <v>158</v>
      </c>
      <c r="E188" s="2" t="s">
        <v>158</v>
      </c>
      <c r="F188" s="2">
        <v>30505</v>
      </c>
      <c r="G188" s="2">
        <v>222.27904100000001</v>
      </c>
      <c r="H188" s="2" t="s">
        <v>159</v>
      </c>
      <c r="I188" s="2">
        <v>-72.115370999999996</v>
      </c>
      <c r="J188" s="2">
        <v>811570.84007399995</v>
      </c>
      <c r="K188" s="39">
        <v>8445378.3523200005</v>
      </c>
      <c r="L188" s="40">
        <v>6695</v>
      </c>
      <c r="M188" s="52">
        <v>0.21621621621621623</v>
      </c>
      <c r="N188" s="64">
        <v>0.25330812854442342</v>
      </c>
    </row>
    <row r="189" spans="1:14" ht="15.75" x14ac:dyDescent="0.25">
      <c r="A189" s="1">
        <v>70</v>
      </c>
      <c r="B189" s="2" t="s">
        <v>10</v>
      </c>
      <c r="C189" s="2" t="s">
        <v>150</v>
      </c>
      <c r="D189" s="2" t="s">
        <v>160</v>
      </c>
      <c r="E189" s="2" t="s">
        <v>160</v>
      </c>
      <c r="F189" s="2">
        <v>30506</v>
      </c>
      <c r="G189" s="2">
        <v>454.08500199999997</v>
      </c>
      <c r="H189" s="2" t="s">
        <v>161</v>
      </c>
      <c r="I189" s="2">
        <v>-72.310412999999997</v>
      </c>
      <c r="J189" s="2">
        <v>790331.22655300004</v>
      </c>
      <c r="K189" s="39">
        <v>8431645.3190700002</v>
      </c>
      <c r="L189" s="40">
        <v>9908</v>
      </c>
      <c r="M189" s="52">
        <v>0.21107784431137724</v>
      </c>
      <c r="N189" s="64">
        <v>0.22341954022988506</v>
      </c>
    </row>
    <row r="190" spans="1:14" ht="15.75" x14ac:dyDescent="0.25">
      <c r="A190" s="1">
        <v>71</v>
      </c>
      <c r="B190" s="2" t="s">
        <v>10</v>
      </c>
      <c r="C190" s="2" t="s">
        <v>162</v>
      </c>
      <c r="D190" s="2" t="s">
        <v>163</v>
      </c>
      <c r="E190" s="2" t="s">
        <v>163</v>
      </c>
      <c r="F190" s="2">
        <v>30701</v>
      </c>
      <c r="G190" s="2">
        <v>425.67644799999999</v>
      </c>
      <c r="H190" s="2" t="s">
        <v>164</v>
      </c>
      <c r="I190" s="2">
        <v>-72.774625999999998</v>
      </c>
      <c r="J190" s="2">
        <v>740252.81596899999</v>
      </c>
      <c r="K190" s="39">
        <v>8438155.9838299993</v>
      </c>
      <c r="L190" s="40">
        <v>5402</v>
      </c>
      <c r="M190" s="52">
        <v>0.22872340425531915</v>
      </c>
      <c r="N190" s="64">
        <v>0.20224719101123595</v>
      </c>
    </row>
    <row r="191" spans="1:14" ht="15.75" x14ac:dyDescent="0.25">
      <c r="A191" s="1">
        <v>72</v>
      </c>
      <c r="B191" s="2" t="s">
        <v>10</v>
      </c>
      <c r="C191" s="2" t="s">
        <v>162</v>
      </c>
      <c r="D191" s="2" t="s">
        <v>165</v>
      </c>
      <c r="E191" s="2" t="s">
        <v>165</v>
      </c>
      <c r="F191" s="2">
        <v>30702</v>
      </c>
      <c r="G191" s="2">
        <v>310.40005300000001</v>
      </c>
      <c r="H191" s="2" t="s">
        <v>166</v>
      </c>
      <c r="I191" s="2">
        <v>-72.649818999999994</v>
      </c>
      <c r="J191" s="2">
        <v>753895.41591400001</v>
      </c>
      <c r="K191" s="39">
        <v>8454458.7330900002</v>
      </c>
      <c r="L191" s="40">
        <v>2369</v>
      </c>
      <c r="M191" s="52">
        <v>0.1044776119402985</v>
      </c>
      <c r="N191" s="64">
        <v>0.2696629213483146</v>
      </c>
    </row>
    <row r="192" spans="1:14" ht="15.75" x14ac:dyDescent="0.25">
      <c r="A192" s="1">
        <v>73</v>
      </c>
      <c r="B192" s="2" t="s">
        <v>10</v>
      </c>
      <c r="C192" s="2" t="s">
        <v>162</v>
      </c>
      <c r="D192" s="2" t="s">
        <v>167</v>
      </c>
      <c r="E192" s="2" t="s">
        <v>168</v>
      </c>
      <c r="F192" s="2">
        <v>30703</v>
      </c>
      <c r="G192" s="2">
        <v>349.94296500000002</v>
      </c>
      <c r="H192" s="2" t="s">
        <v>169</v>
      </c>
      <c r="I192" s="2">
        <v>-72.559669999999997</v>
      </c>
      <c r="J192" s="2">
        <v>763796.08894199994</v>
      </c>
      <c r="K192" s="39">
        <v>8469658.2520899996</v>
      </c>
      <c r="L192" s="40">
        <v>3985</v>
      </c>
      <c r="M192" s="52">
        <v>0.10638297872340426</v>
      </c>
      <c r="N192" s="64">
        <v>0.2</v>
      </c>
    </row>
    <row r="193" spans="1:15" ht="15.75" x14ac:dyDescent="0.25">
      <c r="A193" s="1">
        <v>74</v>
      </c>
      <c r="B193" s="2" t="s">
        <v>10</v>
      </c>
      <c r="C193" s="2" t="s">
        <v>162</v>
      </c>
      <c r="D193" s="2" t="s">
        <v>170</v>
      </c>
      <c r="E193" s="2" t="s">
        <v>170</v>
      </c>
      <c r="F193" s="2">
        <v>30704</v>
      </c>
      <c r="G193" s="2">
        <v>124.259585</v>
      </c>
      <c r="H193" s="2" t="s">
        <v>171</v>
      </c>
      <c r="I193" s="2">
        <v>-72.495823999999999</v>
      </c>
      <c r="J193" s="2">
        <v>770543.88605900004</v>
      </c>
      <c r="K193" s="39">
        <v>8454552.39652</v>
      </c>
      <c r="L193" s="40">
        <v>1685</v>
      </c>
      <c r="M193" s="51">
        <f>L193/K193</f>
        <v>1.9930091162408164E-4</v>
      </c>
      <c r="N193" s="64">
        <v>0.25735294117647056</v>
      </c>
    </row>
    <row r="194" spans="1:15" ht="15.75" x14ac:dyDescent="0.25">
      <c r="A194" s="1">
        <v>75</v>
      </c>
      <c r="B194" s="2" t="s">
        <v>10</v>
      </c>
      <c r="C194" s="2" t="s">
        <v>162</v>
      </c>
      <c r="D194" s="2" t="s">
        <v>172</v>
      </c>
      <c r="E194" s="2" t="s">
        <v>172</v>
      </c>
      <c r="F194" s="2">
        <v>30705</v>
      </c>
      <c r="G194" s="2">
        <v>62.725237999999997</v>
      </c>
      <c r="H194" s="2" t="s">
        <v>173</v>
      </c>
      <c r="I194" s="2">
        <v>-72.566795999999997</v>
      </c>
      <c r="J194" s="2">
        <v>762591.06417499995</v>
      </c>
      <c r="K194" s="39">
        <v>8427455.9396000002</v>
      </c>
      <c r="L194" s="40">
        <v>981</v>
      </c>
      <c r="M194" s="52">
        <v>8.3333333333333329E-2</v>
      </c>
      <c r="N194" s="64">
        <v>0.13157894736842105</v>
      </c>
    </row>
    <row r="195" spans="1:15" ht="15.75" x14ac:dyDescent="0.25">
      <c r="A195" s="1">
        <v>76</v>
      </c>
      <c r="B195" s="2" t="s">
        <v>10</v>
      </c>
      <c r="C195" s="2" t="s">
        <v>162</v>
      </c>
      <c r="D195" s="2" t="s">
        <v>174</v>
      </c>
      <c r="E195" s="2" t="s">
        <v>175</v>
      </c>
      <c r="F195" s="2">
        <v>30706</v>
      </c>
      <c r="G195" s="2">
        <v>104.870628</v>
      </c>
      <c r="H195" s="2" t="s">
        <v>176</v>
      </c>
      <c r="I195" s="2">
        <v>-72.574700000000007</v>
      </c>
      <c r="J195" s="2">
        <v>761819.490995</v>
      </c>
      <c r="K195" s="39">
        <v>8435443.4205699991</v>
      </c>
      <c r="L195" s="40">
        <v>1680</v>
      </c>
      <c r="M195" s="52">
        <v>3.5714285714285712E-2</v>
      </c>
      <c r="N195" s="64">
        <v>0.19230769230769232</v>
      </c>
    </row>
    <row r="196" spans="1:15" ht="15.75" x14ac:dyDescent="0.25">
      <c r="A196" s="1">
        <v>77</v>
      </c>
      <c r="B196" s="2" t="s">
        <v>10</v>
      </c>
      <c r="C196" s="2" t="s">
        <v>162</v>
      </c>
      <c r="D196" s="2" t="s">
        <v>177</v>
      </c>
      <c r="E196" s="2" t="s">
        <v>177</v>
      </c>
      <c r="F196" s="2">
        <v>30707</v>
      </c>
      <c r="G196" s="2">
        <v>146.5068</v>
      </c>
      <c r="H196" s="2" t="s">
        <v>178</v>
      </c>
      <c r="I196" s="2">
        <v>-72.757739000000001</v>
      </c>
      <c r="J196" s="2">
        <v>741961.89203700004</v>
      </c>
      <c r="K196" s="39">
        <v>8426108.2858799994</v>
      </c>
      <c r="L196" s="40">
        <v>1121</v>
      </c>
      <c r="M196" s="52">
        <v>0.2608695652173913</v>
      </c>
      <c r="N196" s="64">
        <v>0.31578947368421051</v>
      </c>
    </row>
    <row r="197" spans="1:15" ht="15.75" x14ac:dyDescent="0.25">
      <c r="A197" s="1">
        <v>78</v>
      </c>
      <c r="B197" s="2" t="s">
        <v>10</v>
      </c>
      <c r="C197" s="2" t="s">
        <v>162</v>
      </c>
      <c r="D197" s="2" t="s">
        <v>179</v>
      </c>
      <c r="E197" s="2" t="s">
        <v>179</v>
      </c>
      <c r="F197" s="2">
        <v>30708</v>
      </c>
      <c r="G197" s="2">
        <v>240.67893599999999</v>
      </c>
      <c r="H197" s="2" t="s">
        <v>180</v>
      </c>
      <c r="I197" s="2">
        <v>-72.447014999999993</v>
      </c>
      <c r="J197" s="2">
        <v>775660.456993</v>
      </c>
      <c r="K197" s="39">
        <v>8439863.3812300004</v>
      </c>
      <c r="L197" s="40">
        <v>3325</v>
      </c>
      <c r="M197" s="52">
        <v>0.21052631578947367</v>
      </c>
      <c r="N197" s="64">
        <v>0.20909090909090908</v>
      </c>
    </row>
    <row r="198" spans="1:15" ht="15.75" x14ac:dyDescent="0.25">
      <c r="A198" s="1">
        <v>79</v>
      </c>
      <c r="B198" s="2" t="s">
        <v>10</v>
      </c>
      <c r="C198" s="2" t="s">
        <v>162</v>
      </c>
      <c r="D198" s="2" t="s">
        <v>181</v>
      </c>
      <c r="E198" s="2" t="s">
        <v>181</v>
      </c>
      <c r="F198" s="2">
        <v>30709</v>
      </c>
      <c r="G198" s="2">
        <v>25.375121</v>
      </c>
      <c r="H198" s="2" t="s">
        <v>182</v>
      </c>
      <c r="I198" s="2">
        <v>-72.606241999999995</v>
      </c>
      <c r="J198" s="2">
        <v>758372.787075</v>
      </c>
      <c r="K198" s="39">
        <v>8431525.2305299994</v>
      </c>
      <c r="L198" s="40">
        <v>366</v>
      </c>
      <c r="M198" s="52">
        <v>0.16666666666666666</v>
      </c>
      <c r="N198" s="64">
        <v>0.35714285714285715</v>
      </c>
    </row>
    <row r="199" spans="1:15" ht="15.75" x14ac:dyDescent="0.25">
      <c r="A199" s="1">
        <v>80</v>
      </c>
      <c r="B199" s="2" t="s">
        <v>10</v>
      </c>
      <c r="C199" s="2" t="s">
        <v>162</v>
      </c>
      <c r="D199" s="2" t="s">
        <v>183</v>
      </c>
      <c r="E199" s="2" t="s">
        <v>183</v>
      </c>
      <c r="F199" s="2">
        <v>30710</v>
      </c>
      <c r="G199" s="2">
        <v>31.066551</v>
      </c>
      <c r="H199" s="2" t="s">
        <v>184</v>
      </c>
      <c r="I199" s="2">
        <v>-72.660443999999998</v>
      </c>
      <c r="J199" s="2">
        <v>752574.64818500006</v>
      </c>
      <c r="K199" s="39">
        <v>8437084.5049699992</v>
      </c>
      <c r="L199" s="40">
        <v>716</v>
      </c>
      <c r="M199" s="52">
        <v>0.44444444444444442</v>
      </c>
      <c r="N199" s="64">
        <v>0.26470588235294118</v>
      </c>
    </row>
    <row r="200" spans="1:15" ht="15.75" x14ac:dyDescent="0.25">
      <c r="A200" s="1">
        <v>81</v>
      </c>
      <c r="B200" s="2" t="s">
        <v>10</v>
      </c>
      <c r="C200" s="2" t="s">
        <v>162</v>
      </c>
      <c r="D200" s="2" t="s">
        <v>185</v>
      </c>
      <c r="E200" s="2" t="s">
        <v>185</v>
      </c>
      <c r="F200" s="2">
        <v>30711</v>
      </c>
      <c r="G200" s="2">
        <v>51.010924000000003</v>
      </c>
      <c r="H200" s="2" t="s">
        <v>186</v>
      </c>
      <c r="I200" s="2">
        <v>-72.637045000000001</v>
      </c>
      <c r="J200" s="2">
        <v>754983.16488199995</v>
      </c>
      <c r="K200" s="39">
        <v>8425322.0170600004</v>
      </c>
      <c r="L200" s="40">
        <v>769</v>
      </c>
      <c r="M200" s="52">
        <v>0.25</v>
      </c>
      <c r="N200" s="64">
        <v>0.25714285714285712</v>
      </c>
    </row>
    <row r="201" spans="1:15" ht="15.75" x14ac:dyDescent="0.25">
      <c r="A201" s="1">
        <v>82</v>
      </c>
      <c r="B201" s="2" t="s">
        <v>10</v>
      </c>
      <c r="C201" s="2" t="s">
        <v>162</v>
      </c>
      <c r="D201" s="2" t="s">
        <v>187</v>
      </c>
      <c r="E201" s="2" t="s">
        <v>187</v>
      </c>
      <c r="F201" s="2">
        <v>30712</v>
      </c>
      <c r="G201" s="2">
        <v>6.5842239999999999</v>
      </c>
      <c r="H201" s="2" t="s">
        <v>188</v>
      </c>
      <c r="I201" s="2">
        <v>-72.636234000000002</v>
      </c>
      <c r="J201" s="2">
        <v>755242.19513400004</v>
      </c>
      <c r="K201" s="39">
        <v>8442294.5145500004</v>
      </c>
      <c r="L201" s="40">
        <v>1401</v>
      </c>
      <c r="M201" s="52">
        <v>0.12941176470588237</v>
      </c>
      <c r="N201" s="64">
        <v>0.14492753623188406</v>
      </c>
    </row>
    <row r="202" spans="1:15" ht="15.75" x14ac:dyDescent="0.25">
      <c r="A202" s="1">
        <v>83</v>
      </c>
      <c r="B202" s="2" t="s">
        <v>10</v>
      </c>
      <c r="C202" s="2" t="s">
        <v>162</v>
      </c>
      <c r="D202" s="2" t="s">
        <v>189</v>
      </c>
      <c r="E202" s="2" t="s">
        <v>190</v>
      </c>
      <c r="F202" s="2">
        <v>30713</v>
      </c>
      <c r="G202" s="2">
        <v>114.333614</v>
      </c>
      <c r="H202" s="2" t="s">
        <v>191</v>
      </c>
      <c r="I202" s="2">
        <v>-72.677335999999997</v>
      </c>
      <c r="J202" s="2">
        <v>750567.77552499995</v>
      </c>
      <c r="K202" s="39">
        <v>8418830.1623400003</v>
      </c>
      <c r="L202" s="40">
        <v>1296</v>
      </c>
      <c r="M202" s="52">
        <v>0.3125</v>
      </c>
      <c r="N202" s="64">
        <v>0.19230769230769232</v>
      </c>
    </row>
    <row r="203" spans="1:15" ht="16.5" thickBot="1" x14ac:dyDescent="0.3">
      <c r="A203" s="1">
        <v>84</v>
      </c>
      <c r="B203" s="2" t="s">
        <v>10</v>
      </c>
      <c r="C203" s="2" t="s">
        <v>162</v>
      </c>
      <c r="D203" s="2" t="s">
        <v>192</v>
      </c>
      <c r="E203" s="2" t="s">
        <v>192</v>
      </c>
      <c r="F203" s="2">
        <v>30714</v>
      </c>
      <c r="G203" s="2">
        <v>136.53377599999999</v>
      </c>
      <c r="H203" s="2" t="s">
        <v>193</v>
      </c>
      <c r="I203" s="2">
        <v>-72.532038</v>
      </c>
      <c r="J203" s="2">
        <v>766470.44262900006</v>
      </c>
      <c r="K203" s="39">
        <v>8439507.8406600002</v>
      </c>
      <c r="L203" s="42">
        <v>1624</v>
      </c>
      <c r="M203" s="55">
        <v>0.24193548387096775</v>
      </c>
      <c r="N203" s="64">
        <v>0.17708333333333334</v>
      </c>
    </row>
    <row r="204" spans="1:15" ht="15.75" thickBot="1" x14ac:dyDescent="0.3">
      <c r="J204" s="38">
        <v>2015</v>
      </c>
      <c r="K204" t="s">
        <v>285</v>
      </c>
      <c r="L204" s="54">
        <f>SUM(L120:L203)</f>
        <v>458830</v>
      </c>
      <c r="M204" s="56">
        <f>SUM(M120:M203)/84</f>
        <v>0.19825098464827912</v>
      </c>
      <c r="N204" s="62"/>
    </row>
    <row r="205" spans="1:15" ht="15.75" thickBot="1" x14ac:dyDescent="0.3"/>
    <row r="206" spans="1:15" ht="15.75" thickBot="1" x14ac:dyDescent="0.3">
      <c r="A206" s="1576" t="s">
        <v>290</v>
      </c>
      <c r="B206" s="1588"/>
      <c r="C206" s="1588"/>
      <c r="D206" s="1588"/>
      <c r="E206" s="1588"/>
      <c r="F206" s="1588"/>
      <c r="G206" s="1588"/>
      <c r="H206" s="1588"/>
      <c r="I206" s="1588"/>
      <c r="J206" s="1588"/>
      <c r="K206" s="1588"/>
      <c r="L206" s="1588"/>
      <c r="M206" s="1588"/>
      <c r="N206" s="1577"/>
    </row>
    <row r="207" spans="1:15" ht="15.75" thickBot="1" x14ac:dyDescent="0.3">
      <c r="A207" s="4" t="s">
        <v>194</v>
      </c>
      <c r="B207" s="5" t="s">
        <v>0</v>
      </c>
      <c r="C207" s="5" t="s">
        <v>1</v>
      </c>
      <c r="D207" s="5" t="s">
        <v>2</v>
      </c>
      <c r="E207" s="5" t="s">
        <v>3</v>
      </c>
      <c r="F207" s="5" t="s">
        <v>4</v>
      </c>
      <c r="G207" s="5" t="s">
        <v>5</v>
      </c>
      <c r="H207" s="5" t="s">
        <v>6</v>
      </c>
      <c r="I207" s="5" t="s">
        <v>7</v>
      </c>
      <c r="J207" s="5" t="s">
        <v>8</v>
      </c>
      <c r="K207" s="43" t="s">
        <v>9</v>
      </c>
      <c r="L207" s="3" t="s">
        <v>284</v>
      </c>
      <c r="M207" s="50" t="s">
        <v>286</v>
      </c>
      <c r="N207" s="3" t="s">
        <v>288</v>
      </c>
      <c r="O207" s="50" t="s">
        <v>287</v>
      </c>
    </row>
    <row r="208" spans="1:15" ht="16.5" thickBot="1" x14ac:dyDescent="0.3">
      <c r="A208" s="6">
        <v>1</v>
      </c>
      <c r="B208" s="7" t="s">
        <v>10</v>
      </c>
      <c r="C208" s="7" t="s">
        <v>11</v>
      </c>
      <c r="D208" s="2" t="s">
        <v>11</v>
      </c>
      <c r="E208" s="2" t="s">
        <v>11</v>
      </c>
      <c r="F208" s="2">
        <v>30101</v>
      </c>
      <c r="G208" s="2">
        <v>286.698195</v>
      </c>
      <c r="H208" s="2" t="s">
        <v>12</v>
      </c>
      <c r="I208" s="2">
        <v>-72.871611999999999</v>
      </c>
      <c r="J208" s="2">
        <v>730250.30894599995</v>
      </c>
      <c r="K208" s="39">
        <v>8491538.0064700004</v>
      </c>
      <c r="L208" s="40">
        <v>56093</v>
      </c>
      <c r="M208" s="53">
        <v>0.27444336882865439</v>
      </c>
      <c r="N208" s="65">
        <v>0.1060475161987041</v>
      </c>
    </row>
    <row r="209" spans="1:14" ht="16.5" thickBot="1" x14ac:dyDescent="0.3">
      <c r="A209" s="6">
        <v>2</v>
      </c>
      <c r="B209" s="7" t="s">
        <v>10</v>
      </c>
      <c r="C209" s="7" t="s">
        <v>11</v>
      </c>
      <c r="D209" s="7" t="s">
        <v>17</v>
      </c>
      <c r="E209" s="7" t="s">
        <v>17</v>
      </c>
      <c r="F209" s="8">
        <v>30104</v>
      </c>
      <c r="G209" s="8">
        <v>860.44107299999996</v>
      </c>
      <c r="H209" s="7" t="s">
        <v>18</v>
      </c>
      <c r="I209" s="8">
        <v>-72.618118999999993</v>
      </c>
      <c r="J209" s="8">
        <v>757683.55550000002</v>
      </c>
      <c r="K209" s="44">
        <v>8490949.7559999991</v>
      </c>
      <c r="L209" s="45">
        <v>18328</v>
      </c>
      <c r="M209" s="53">
        <v>0.24110671936758893</v>
      </c>
      <c r="N209" s="65">
        <v>0.17157974300831444</v>
      </c>
    </row>
    <row r="210" spans="1:14" ht="16.5" thickBot="1" x14ac:dyDescent="0.3">
      <c r="A210" s="6">
        <v>3</v>
      </c>
      <c r="B210" s="7" t="s">
        <v>10</v>
      </c>
      <c r="C210" s="7" t="s">
        <v>11</v>
      </c>
      <c r="D210" s="7" t="s">
        <v>19</v>
      </c>
      <c r="E210" s="7" t="s">
        <v>19</v>
      </c>
      <c r="F210" s="8">
        <v>30105</v>
      </c>
      <c r="G210" s="8">
        <v>427.27367700000002</v>
      </c>
      <c r="H210" s="7" t="s">
        <v>20</v>
      </c>
      <c r="I210" s="8">
        <v>-72.975290000000001</v>
      </c>
      <c r="J210" s="8">
        <v>719178.03079999995</v>
      </c>
      <c r="K210" s="44">
        <v>8509310.9979999997</v>
      </c>
      <c r="L210" s="45">
        <v>4749</v>
      </c>
      <c r="M210" s="53">
        <v>0.13793103448275862</v>
      </c>
      <c r="N210" s="65">
        <v>0.255</v>
      </c>
    </row>
    <row r="211" spans="1:14" ht="16.5" thickBot="1" x14ac:dyDescent="0.3">
      <c r="A211" s="6">
        <v>4</v>
      </c>
      <c r="B211" s="7" t="s">
        <v>10</v>
      </c>
      <c r="C211" s="7" t="s">
        <v>11</v>
      </c>
      <c r="D211" s="7" t="s">
        <v>25</v>
      </c>
      <c r="E211" s="7" t="s">
        <v>26</v>
      </c>
      <c r="F211" s="8">
        <v>30108</v>
      </c>
      <c r="G211" s="8">
        <v>118.003257</v>
      </c>
      <c r="H211" s="7" t="s">
        <v>27</v>
      </c>
      <c r="I211" s="8">
        <v>-72.814003</v>
      </c>
      <c r="J211" s="8">
        <v>736631.7267</v>
      </c>
      <c r="K211" s="44">
        <v>8507750.7440000009</v>
      </c>
      <c r="L211" s="45">
        <v>3838</v>
      </c>
      <c r="M211" s="53">
        <v>0.3867924528301887</v>
      </c>
      <c r="N211" s="65">
        <v>0.2</v>
      </c>
    </row>
    <row r="212" spans="1:14" ht="16.5" thickBot="1" x14ac:dyDescent="0.3">
      <c r="A212" s="6">
        <v>5</v>
      </c>
      <c r="B212" s="7" t="s">
        <v>10</v>
      </c>
      <c r="C212" s="7" t="s">
        <v>11</v>
      </c>
      <c r="D212" s="7" t="s">
        <v>28</v>
      </c>
      <c r="E212" s="7" t="s">
        <v>28</v>
      </c>
      <c r="F212" s="8">
        <v>30109</v>
      </c>
      <c r="G212" s="8">
        <v>54.596538000000002</v>
      </c>
      <c r="H212" s="7" t="s">
        <v>29</v>
      </c>
      <c r="I212" s="8">
        <v>-72.871964000000006</v>
      </c>
      <c r="J212" s="8">
        <v>730268.73800000001</v>
      </c>
      <c r="K212" s="44">
        <v>8497924.6150000002</v>
      </c>
      <c r="L212" s="45">
        <v>9884</v>
      </c>
      <c r="M212" s="53">
        <v>0.31150442477876106</v>
      </c>
      <c r="N212" s="65">
        <v>0.1167964404894327</v>
      </c>
    </row>
    <row r="213" spans="1:14" ht="16.5" thickBot="1" x14ac:dyDescent="0.3">
      <c r="A213" s="6">
        <v>6</v>
      </c>
      <c r="B213" s="7" t="s">
        <v>10</v>
      </c>
      <c r="C213" s="7" t="s">
        <v>30</v>
      </c>
      <c r="D213" s="7" t="s">
        <v>30</v>
      </c>
      <c r="E213" s="7" t="s">
        <v>30</v>
      </c>
      <c r="F213" s="8">
        <v>30201</v>
      </c>
      <c r="G213" s="8">
        <v>197.24908600000001</v>
      </c>
      <c r="H213" s="7" t="s">
        <v>31</v>
      </c>
      <c r="I213" s="8">
        <v>-73.387912</v>
      </c>
      <c r="J213" s="8">
        <v>674283.45360000001</v>
      </c>
      <c r="K213" s="44">
        <v>8477308.9509999994</v>
      </c>
      <c r="L213" s="45">
        <v>48547</v>
      </c>
      <c r="M213" s="53">
        <v>0.30916245081506466</v>
      </c>
      <c r="N213" s="65">
        <v>0.20558464223385689</v>
      </c>
    </row>
    <row r="214" spans="1:14" ht="16.5" thickBot="1" x14ac:dyDescent="0.3">
      <c r="A214" s="6">
        <v>7</v>
      </c>
      <c r="B214" s="7" t="s">
        <v>10</v>
      </c>
      <c r="C214" s="7" t="s">
        <v>30</v>
      </c>
      <c r="D214" s="7" t="s">
        <v>36</v>
      </c>
      <c r="E214" s="7" t="s">
        <v>36</v>
      </c>
      <c r="F214" s="8">
        <v>30204</v>
      </c>
      <c r="G214" s="8">
        <v>156.34623199999999</v>
      </c>
      <c r="H214" s="7" t="s">
        <v>37</v>
      </c>
      <c r="I214" s="8">
        <v>-73.028308999999993</v>
      </c>
      <c r="J214" s="8">
        <v>713274.60730000003</v>
      </c>
      <c r="K214" s="44">
        <v>8489355.9340000004</v>
      </c>
      <c r="L214" s="45">
        <v>7441</v>
      </c>
      <c r="M214" s="53">
        <v>0.28813559322033899</v>
      </c>
      <c r="N214" s="65">
        <v>0.18717948717948718</v>
      </c>
    </row>
    <row r="215" spans="1:14" ht="16.5" thickBot="1" x14ac:dyDescent="0.3">
      <c r="A215" s="6">
        <v>8</v>
      </c>
      <c r="B215" s="7" t="s">
        <v>10</v>
      </c>
      <c r="C215" s="7" t="s">
        <v>30</v>
      </c>
      <c r="D215" s="7" t="s">
        <v>54</v>
      </c>
      <c r="E215" s="7" t="s">
        <v>54</v>
      </c>
      <c r="F215" s="8">
        <v>30213</v>
      </c>
      <c r="G215" s="8">
        <v>248.62913</v>
      </c>
      <c r="H215" s="7" t="s">
        <v>55</v>
      </c>
      <c r="I215" s="8">
        <v>-73.274055000000004</v>
      </c>
      <c r="J215" s="8">
        <v>686636.29319999996</v>
      </c>
      <c r="K215" s="44">
        <v>8482946.1919999998</v>
      </c>
      <c r="L215" s="45">
        <v>27665</v>
      </c>
      <c r="M215" s="53">
        <v>0.34003656307129798</v>
      </c>
      <c r="N215" s="65">
        <v>0.24305949008498584</v>
      </c>
    </row>
    <row r="216" spans="1:14" ht="16.5" thickBot="1" x14ac:dyDescent="0.3">
      <c r="A216" s="6">
        <v>9</v>
      </c>
      <c r="B216" s="7" t="s">
        <v>10</v>
      </c>
      <c r="C216" s="7" t="s">
        <v>30</v>
      </c>
      <c r="D216" s="7" t="s">
        <v>59</v>
      </c>
      <c r="E216" s="7" t="s">
        <v>59</v>
      </c>
      <c r="F216" s="8">
        <v>30215</v>
      </c>
      <c r="G216" s="8">
        <v>156.06259</v>
      </c>
      <c r="H216" s="7" t="s">
        <v>60</v>
      </c>
      <c r="I216" s="8">
        <v>-73.546270000000007</v>
      </c>
      <c r="J216" s="8">
        <v>657232.1912</v>
      </c>
      <c r="K216" s="44">
        <v>8489276.5610000007</v>
      </c>
      <c r="L216" s="45">
        <v>9910</v>
      </c>
      <c r="M216" s="53">
        <v>0.20214669051878353</v>
      </c>
      <c r="N216" s="65">
        <v>0.21223021582733814</v>
      </c>
    </row>
    <row r="217" spans="1:14" ht="16.5" thickBot="1" x14ac:dyDescent="0.3">
      <c r="A217" s="6">
        <v>10</v>
      </c>
      <c r="B217" s="7" t="s">
        <v>10</v>
      </c>
      <c r="C217" s="7" t="s">
        <v>30</v>
      </c>
      <c r="D217" s="7" t="s">
        <v>61</v>
      </c>
      <c r="E217" s="7" t="s">
        <v>61</v>
      </c>
      <c r="F217" s="8">
        <v>30216</v>
      </c>
      <c r="G217" s="8">
        <v>158.00257500000001</v>
      </c>
      <c r="H217" s="7" t="s">
        <v>62</v>
      </c>
      <c r="I217" s="8">
        <v>-73.453028000000003</v>
      </c>
      <c r="J217" s="8">
        <v>667342.44880000001</v>
      </c>
      <c r="K217" s="44">
        <v>8492938.4110000003</v>
      </c>
      <c r="L217" s="45">
        <v>18313</v>
      </c>
      <c r="M217" s="53">
        <v>0.32807881773399017</v>
      </c>
      <c r="N217" s="65">
        <v>0.1778875849289685</v>
      </c>
    </row>
    <row r="218" spans="1:14" ht="16.5" thickBot="1" x14ac:dyDescent="0.3">
      <c r="A218" s="6">
        <v>11</v>
      </c>
      <c r="B218" s="7" t="s">
        <v>10</v>
      </c>
      <c r="C218" s="7" t="s">
        <v>73</v>
      </c>
      <c r="D218" s="7" t="s">
        <v>73</v>
      </c>
      <c r="E218" s="7" t="s">
        <v>73</v>
      </c>
      <c r="F218" s="8">
        <v>30301</v>
      </c>
      <c r="G218" s="8">
        <v>602.91831000000002</v>
      </c>
      <c r="H218" s="7" t="s">
        <v>74</v>
      </c>
      <c r="I218" s="8">
        <v>-72.750118999999998</v>
      </c>
      <c r="J218" s="8">
        <v>742464.71970000002</v>
      </c>
      <c r="K218" s="44">
        <v>8393792.4710000008</v>
      </c>
      <c r="L218" s="45">
        <v>3164</v>
      </c>
      <c r="M218" s="53">
        <v>7.0707070707070704E-2</v>
      </c>
      <c r="N218" s="65">
        <v>0.26339285714285715</v>
      </c>
    </row>
    <row r="219" spans="1:14" ht="16.5" thickBot="1" x14ac:dyDescent="0.3">
      <c r="A219" s="6">
        <v>12</v>
      </c>
      <c r="B219" s="7" t="s">
        <v>10</v>
      </c>
      <c r="C219" s="7" t="s">
        <v>73</v>
      </c>
      <c r="D219" s="7" t="s">
        <v>85</v>
      </c>
      <c r="E219" s="7" t="s">
        <v>85</v>
      </c>
      <c r="F219" s="8">
        <v>30306</v>
      </c>
      <c r="G219" s="8">
        <v>229.31721200000001</v>
      </c>
      <c r="H219" s="7" t="s">
        <v>86</v>
      </c>
      <c r="I219" s="8">
        <v>-72.979122000000004</v>
      </c>
      <c r="J219" s="8">
        <v>718069.19920000003</v>
      </c>
      <c r="K219" s="44">
        <v>8427108.1730000004</v>
      </c>
      <c r="L219" s="45">
        <v>1286</v>
      </c>
      <c r="M219" s="53">
        <v>0.22222222222222221</v>
      </c>
      <c r="N219" s="65">
        <v>0.25757575757575757</v>
      </c>
    </row>
    <row r="220" spans="1:14" ht="16.5" thickBot="1" x14ac:dyDescent="0.3">
      <c r="A220" s="6">
        <v>13</v>
      </c>
      <c r="B220" s="7" t="s">
        <v>10</v>
      </c>
      <c r="C220" s="7" t="s">
        <v>89</v>
      </c>
      <c r="D220" s="7" t="s">
        <v>90</v>
      </c>
      <c r="E220" s="7" t="s">
        <v>90</v>
      </c>
      <c r="F220" s="8">
        <v>30401</v>
      </c>
      <c r="G220" s="8">
        <v>339.06337100000002</v>
      </c>
      <c r="H220" s="7" t="s">
        <v>91</v>
      </c>
      <c r="I220" s="8">
        <v>-73.229284000000007</v>
      </c>
      <c r="J220" s="8">
        <v>691001.88150000002</v>
      </c>
      <c r="K220" s="44">
        <v>8419001.2479999997</v>
      </c>
      <c r="L220" s="45">
        <v>5015</v>
      </c>
      <c r="M220" s="53">
        <v>0.22222222222222221</v>
      </c>
      <c r="N220" s="65">
        <v>0.16159695817490494</v>
      </c>
    </row>
    <row r="221" spans="1:14" ht="16.5" thickBot="1" x14ac:dyDescent="0.3">
      <c r="A221" s="6">
        <v>14</v>
      </c>
      <c r="B221" s="7" t="s">
        <v>10</v>
      </c>
      <c r="C221" s="7" t="s">
        <v>89</v>
      </c>
      <c r="D221" s="7" t="s">
        <v>100</v>
      </c>
      <c r="E221" s="7" t="s">
        <v>100</v>
      </c>
      <c r="F221" s="8">
        <v>30406</v>
      </c>
      <c r="G221" s="8">
        <v>1735.3753099999999</v>
      </c>
      <c r="H221" s="7" t="s">
        <v>101</v>
      </c>
      <c r="I221" s="8">
        <v>-73.295175</v>
      </c>
      <c r="J221" s="8">
        <v>683659.57010000001</v>
      </c>
      <c r="K221" s="44">
        <v>8386452.5240000002</v>
      </c>
      <c r="L221" s="45">
        <v>5326</v>
      </c>
      <c r="M221" s="53">
        <v>7.857142857142857E-2</v>
      </c>
      <c r="N221" s="65">
        <v>0.29100529100529099</v>
      </c>
    </row>
    <row r="222" spans="1:14" ht="16.5" thickBot="1" x14ac:dyDescent="0.3">
      <c r="A222" s="6">
        <v>15</v>
      </c>
      <c r="B222" s="7" t="s">
        <v>10</v>
      </c>
      <c r="C222" s="7" t="s">
        <v>125</v>
      </c>
      <c r="D222" s="7" t="s">
        <v>125</v>
      </c>
      <c r="E222" s="7" t="s">
        <v>125</v>
      </c>
      <c r="F222" s="8">
        <v>30601</v>
      </c>
      <c r="G222" s="8">
        <v>135.42667800000001</v>
      </c>
      <c r="H222" s="7" t="s">
        <v>126</v>
      </c>
      <c r="I222" s="8">
        <v>-73.748176999999998</v>
      </c>
      <c r="J222" s="8">
        <v>635471.61159999995</v>
      </c>
      <c r="K222" s="44">
        <v>8505163.1229999997</v>
      </c>
      <c r="L222" s="45">
        <v>11582</v>
      </c>
      <c r="M222" s="53">
        <v>0.33546325878594252</v>
      </c>
      <c r="N222" s="65">
        <v>0.21987951807228914</v>
      </c>
    </row>
    <row r="223" spans="1:14" ht="16.5" thickBot="1" x14ac:dyDescent="0.3">
      <c r="A223" s="6">
        <v>16</v>
      </c>
      <c r="B223" s="7" t="s">
        <v>10</v>
      </c>
      <c r="C223" s="7" t="s">
        <v>125</v>
      </c>
      <c r="D223" s="7" t="s">
        <v>127</v>
      </c>
      <c r="E223" s="7" t="s">
        <v>128</v>
      </c>
      <c r="F223" s="8">
        <v>30602</v>
      </c>
      <c r="G223" s="8">
        <v>90.985917000000001</v>
      </c>
      <c r="H223" s="7" t="s">
        <v>129</v>
      </c>
      <c r="I223" s="8">
        <v>-73.669270999999995</v>
      </c>
      <c r="J223" s="8">
        <v>643996.59149999998</v>
      </c>
      <c r="K223" s="44">
        <v>8502279.807</v>
      </c>
      <c r="L223" s="45">
        <v>9908</v>
      </c>
      <c r="M223" s="53">
        <v>0.18574514038876891</v>
      </c>
      <c r="N223" s="65">
        <v>0.27713382507903056</v>
      </c>
    </row>
    <row r="224" spans="1:14" ht="16.5" thickBot="1" x14ac:dyDescent="0.3">
      <c r="A224" s="6">
        <v>17</v>
      </c>
      <c r="B224" s="7" t="s">
        <v>10</v>
      </c>
      <c r="C224" s="7" t="s">
        <v>125</v>
      </c>
      <c r="D224" s="7" t="s">
        <v>140</v>
      </c>
      <c r="E224" s="7" t="s">
        <v>140</v>
      </c>
      <c r="F224" s="8">
        <v>30608</v>
      </c>
      <c r="G224" s="8">
        <v>99.983476999999993</v>
      </c>
      <c r="H224" s="7" t="s">
        <v>141</v>
      </c>
      <c r="I224" s="8">
        <v>-73.596301999999994</v>
      </c>
      <c r="J224" s="8">
        <v>651892.05559999996</v>
      </c>
      <c r="K224" s="44">
        <v>8501866.1209999993</v>
      </c>
      <c r="L224" s="45">
        <v>6809</v>
      </c>
      <c r="M224" s="53">
        <v>0.39260969976905313</v>
      </c>
      <c r="N224" s="65">
        <v>0.29157894736842105</v>
      </c>
    </row>
    <row r="225" spans="1:14" ht="16.5" thickBot="1" x14ac:dyDescent="0.3">
      <c r="A225" s="6">
        <v>18</v>
      </c>
      <c r="B225" s="7" t="s">
        <v>10</v>
      </c>
      <c r="C225" s="7" t="s">
        <v>150</v>
      </c>
      <c r="D225" s="7" t="s">
        <v>151</v>
      </c>
      <c r="E225" s="7" t="s">
        <v>151</v>
      </c>
      <c r="F225" s="8">
        <v>30501</v>
      </c>
      <c r="G225" s="8">
        <v>715.13049899999999</v>
      </c>
      <c r="H225" s="7" t="s">
        <v>152</v>
      </c>
      <c r="I225" s="8">
        <v>-72.212916000000007</v>
      </c>
      <c r="J225" s="8">
        <v>801194.39099999995</v>
      </c>
      <c r="K225" s="44">
        <v>8459685.2520000003</v>
      </c>
      <c r="L225" s="45">
        <v>12477</v>
      </c>
      <c r="M225" s="53">
        <v>0.23842195540308747</v>
      </c>
      <c r="N225" s="65">
        <v>0.2988505747126437</v>
      </c>
    </row>
    <row r="226" spans="1:14" ht="16.5" thickBot="1" x14ac:dyDescent="0.3">
      <c r="A226" s="6">
        <v>19</v>
      </c>
      <c r="B226" s="7" t="s">
        <v>10</v>
      </c>
      <c r="C226" s="7" t="s">
        <v>150</v>
      </c>
      <c r="D226" s="7" t="s">
        <v>160</v>
      </c>
      <c r="E226" s="7" t="s">
        <v>160</v>
      </c>
      <c r="F226" s="8">
        <v>30506</v>
      </c>
      <c r="G226" s="8">
        <v>454.08500199999997</v>
      </c>
      <c r="H226" s="7" t="s">
        <v>161</v>
      </c>
      <c r="I226" s="8">
        <v>-72.310412999999997</v>
      </c>
      <c r="J226" s="8">
        <v>790331.22660000005</v>
      </c>
      <c r="K226" s="44">
        <v>8431645.3190000001</v>
      </c>
      <c r="L226" s="45">
        <v>5298</v>
      </c>
      <c r="M226" s="53">
        <v>0.21107784431137724</v>
      </c>
      <c r="N226" s="65">
        <v>0.22341954022988506</v>
      </c>
    </row>
    <row r="227" spans="1:14" ht="16.5" thickBot="1" x14ac:dyDescent="0.3">
      <c r="A227" s="6">
        <v>20</v>
      </c>
      <c r="B227" s="7" t="s">
        <v>10</v>
      </c>
      <c r="C227" s="7" t="s">
        <v>162</v>
      </c>
      <c r="D227" s="7" t="s">
        <v>163</v>
      </c>
      <c r="E227" s="7" t="s">
        <v>163</v>
      </c>
      <c r="F227" s="8">
        <v>30701</v>
      </c>
      <c r="G227" s="8">
        <v>425.67644799999999</v>
      </c>
      <c r="H227" s="7" t="s">
        <v>164</v>
      </c>
      <c r="I227" s="8">
        <v>-72.774625999999998</v>
      </c>
      <c r="J227" s="8">
        <v>740252.81599999999</v>
      </c>
      <c r="K227" s="44">
        <v>8438155.9839999992</v>
      </c>
      <c r="L227" s="45">
        <v>5402</v>
      </c>
      <c r="M227" s="53">
        <v>0.22872340425531915</v>
      </c>
      <c r="N227" s="65">
        <v>0.20224719101123595</v>
      </c>
    </row>
    <row r="228" spans="1:14" ht="16.5" thickBot="1" x14ac:dyDescent="0.3">
      <c r="A228" s="6">
        <v>21</v>
      </c>
      <c r="B228" s="7" t="s">
        <v>10</v>
      </c>
      <c r="C228" s="7" t="s">
        <v>162</v>
      </c>
      <c r="D228" s="7" t="s">
        <v>179</v>
      </c>
      <c r="E228" s="7" t="s">
        <v>179</v>
      </c>
      <c r="F228" s="8">
        <v>30708</v>
      </c>
      <c r="G228" s="8">
        <v>240.67893599999999</v>
      </c>
      <c r="H228" s="7" t="s">
        <v>180</v>
      </c>
      <c r="I228" s="8">
        <v>-72.447014999999993</v>
      </c>
      <c r="J228" s="8">
        <v>775660.45700000005</v>
      </c>
      <c r="K228" s="44">
        <v>8439863.3809999991</v>
      </c>
      <c r="L228" s="45">
        <v>3325</v>
      </c>
      <c r="M228" s="53">
        <v>0.21052631578947367</v>
      </c>
      <c r="N228" s="65">
        <v>0.20909090909090908</v>
      </c>
    </row>
    <row r="229" spans="1:14" ht="16.5" thickBot="1" x14ac:dyDescent="0.3">
      <c r="A229" s="6">
        <v>22</v>
      </c>
      <c r="B229" s="7" t="s">
        <v>10</v>
      </c>
      <c r="C229" s="7" t="s">
        <v>162</v>
      </c>
      <c r="D229" s="7" t="s">
        <v>187</v>
      </c>
      <c r="E229" s="7" t="s">
        <v>187</v>
      </c>
      <c r="F229" s="8">
        <v>30712</v>
      </c>
      <c r="G229" s="8">
        <v>6.5842239999999999</v>
      </c>
      <c r="H229" s="7" t="s">
        <v>188</v>
      </c>
      <c r="I229" s="8">
        <v>-72.636234000000002</v>
      </c>
      <c r="J229" s="46">
        <v>755242.19510000001</v>
      </c>
      <c r="K229" s="47">
        <v>8442294.5150000006</v>
      </c>
      <c r="L229" s="48">
        <v>1401</v>
      </c>
      <c r="M229" s="57">
        <v>0.12941176470588237</v>
      </c>
      <c r="N229" s="65">
        <v>0.14492753623188406</v>
      </c>
    </row>
    <row r="230" spans="1:14" ht="15.75" thickBot="1" x14ac:dyDescent="0.3">
      <c r="J230" s="49">
        <v>2015</v>
      </c>
      <c r="K230" s="39" t="s">
        <v>285</v>
      </c>
      <c r="L230" s="58">
        <f>SUM(L208:L229)</f>
        <v>275761</v>
      </c>
      <c r="M230" s="59">
        <f>SUM(M208:M229)/22</f>
        <v>0.24295638376269435</v>
      </c>
      <c r="N230" s="61"/>
    </row>
    <row r="231" spans="1:14" ht="15.75" thickBot="1" x14ac:dyDescent="0.3">
      <c r="L231" s="60">
        <f>L230/L204</f>
        <v>0.60100908833336963</v>
      </c>
    </row>
    <row r="232" spans="1:14" ht="15.75" thickBot="1" x14ac:dyDescent="0.3"/>
    <row r="233" spans="1:14" ht="15.75" thickBot="1" x14ac:dyDescent="0.3">
      <c r="A233" s="1142" t="s">
        <v>1436</v>
      </c>
      <c r="B233" s="1143" t="s">
        <v>1437</v>
      </c>
      <c r="C233" s="1143" t="s">
        <v>451</v>
      </c>
      <c r="D233" s="1143" t="s">
        <v>452</v>
      </c>
      <c r="E233" s="1144" t="s">
        <v>1438</v>
      </c>
      <c r="F233" s="1144" t="s">
        <v>1439</v>
      </c>
    </row>
    <row r="234" spans="1:14" ht="15.75" thickBot="1" x14ac:dyDescent="0.3">
      <c r="A234" s="1145">
        <v>1</v>
      </c>
      <c r="B234" s="1140" t="s">
        <v>10</v>
      </c>
      <c r="C234" s="1140" t="s">
        <v>304</v>
      </c>
      <c r="D234" s="1140" t="s">
        <v>304</v>
      </c>
      <c r="E234" s="1140" t="s">
        <v>304</v>
      </c>
      <c r="F234" s="1146">
        <v>30101</v>
      </c>
    </row>
    <row r="235" spans="1:14" ht="15.75" thickBot="1" x14ac:dyDescent="0.3">
      <c r="A235" s="1145">
        <v>2</v>
      </c>
      <c r="B235" s="1140" t="s">
        <v>10</v>
      </c>
      <c r="C235" s="1140" t="s">
        <v>304</v>
      </c>
      <c r="D235" s="1140" t="s">
        <v>305</v>
      </c>
      <c r="E235" s="1140" t="s">
        <v>305</v>
      </c>
      <c r="F235" s="1146">
        <v>30104</v>
      </c>
    </row>
    <row r="236" spans="1:14" ht="15.75" thickBot="1" x14ac:dyDescent="0.3">
      <c r="A236" s="1145">
        <v>3</v>
      </c>
      <c r="B236" s="1140" t="s">
        <v>10</v>
      </c>
      <c r="C236" s="1140" t="s">
        <v>304</v>
      </c>
      <c r="D236" s="1140" t="s">
        <v>306</v>
      </c>
      <c r="E236" s="1140" t="s">
        <v>306</v>
      </c>
      <c r="F236" s="1146">
        <v>30105</v>
      </c>
    </row>
    <row r="237" spans="1:14" ht="15.75" thickBot="1" x14ac:dyDescent="0.3">
      <c r="A237" s="1145">
        <v>4</v>
      </c>
      <c r="B237" s="1140" t="s">
        <v>10</v>
      </c>
      <c r="C237" s="1140" t="s">
        <v>304</v>
      </c>
      <c r="D237" s="1140" t="s">
        <v>1440</v>
      </c>
      <c r="E237" s="1140" t="s">
        <v>1440</v>
      </c>
      <c r="F237" s="1146">
        <v>30108</v>
      </c>
    </row>
    <row r="238" spans="1:14" ht="15.75" thickBot="1" x14ac:dyDescent="0.3">
      <c r="A238" s="1145">
        <v>5</v>
      </c>
      <c r="B238" s="1140" t="s">
        <v>10</v>
      </c>
      <c r="C238" s="1140" t="s">
        <v>304</v>
      </c>
      <c r="D238" s="1140" t="s">
        <v>308</v>
      </c>
      <c r="E238" s="1140" t="s">
        <v>308</v>
      </c>
      <c r="F238" s="1146">
        <v>30109</v>
      </c>
    </row>
    <row r="239" spans="1:14" ht="15.75" thickBot="1" x14ac:dyDescent="0.3">
      <c r="A239" s="1145">
        <v>6</v>
      </c>
      <c r="B239" s="1140" t="s">
        <v>10</v>
      </c>
      <c r="C239" s="1140" t="s">
        <v>309</v>
      </c>
      <c r="D239" s="1140" t="s">
        <v>309</v>
      </c>
      <c r="E239" s="1140" t="s">
        <v>309</v>
      </c>
      <c r="F239" s="1146">
        <v>30201</v>
      </c>
    </row>
    <row r="240" spans="1:14" ht="15.75" thickBot="1" x14ac:dyDescent="0.3">
      <c r="A240" s="1145">
        <v>7</v>
      </c>
      <c r="B240" s="1140" t="s">
        <v>10</v>
      </c>
      <c r="C240" s="1140" t="s">
        <v>309</v>
      </c>
      <c r="D240" s="1140" t="s">
        <v>310</v>
      </c>
      <c r="E240" s="1140" t="s">
        <v>310</v>
      </c>
      <c r="F240" s="1146">
        <v>30204</v>
      </c>
    </row>
    <row r="241" spans="1:6" ht="15.75" thickBot="1" x14ac:dyDescent="0.3">
      <c r="A241" s="1145">
        <v>8</v>
      </c>
      <c r="B241" s="1140" t="s">
        <v>10</v>
      </c>
      <c r="C241" s="1140" t="s">
        <v>309</v>
      </c>
      <c r="D241" s="1140" t="s">
        <v>311</v>
      </c>
      <c r="E241" s="1140" t="s">
        <v>311</v>
      </c>
      <c r="F241" s="1146">
        <v>30213</v>
      </c>
    </row>
    <row r="242" spans="1:6" ht="15.75" thickBot="1" x14ac:dyDescent="0.3">
      <c r="A242" s="1145">
        <v>9</v>
      </c>
      <c r="B242" s="1140" t="s">
        <v>10</v>
      </c>
      <c r="C242" s="1140" t="s">
        <v>309</v>
      </c>
      <c r="D242" s="1140" t="s">
        <v>1441</v>
      </c>
      <c r="E242" s="1140" t="s">
        <v>1441</v>
      </c>
      <c r="F242" s="1146">
        <v>30215</v>
      </c>
    </row>
    <row r="243" spans="1:6" ht="15.75" thickBot="1" x14ac:dyDescent="0.3">
      <c r="A243" s="1145">
        <v>10</v>
      </c>
      <c r="B243" s="1140" t="s">
        <v>10</v>
      </c>
      <c r="C243" s="1140" t="s">
        <v>309</v>
      </c>
      <c r="D243" s="1140" t="s">
        <v>313</v>
      </c>
      <c r="E243" s="1140" t="s">
        <v>313</v>
      </c>
      <c r="F243" s="1146">
        <v>30216</v>
      </c>
    </row>
    <row r="244" spans="1:6" ht="15.75" thickBot="1" x14ac:dyDescent="0.3">
      <c r="A244" s="1145">
        <v>11</v>
      </c>
      <c r="B244" s="1140" t="s">
        <v>10</v>
      </c>
      <c r="C244" s="1140" t="s">
        <v>314</v>
      </c>
      <c r="D244" s="1140" t="s">
        <v>314</v>
      </c>
      <c r="E244" s="1140" t="s">
        <v>314</v>
      </c>
      <c r="F244" s="1146">
        <v>30301</v>
      </c>
    </row>
    <row r="245" spans="1:6" ht="15.75" thickBot="1" x14ac:dyDescent="0.3">
      <c r="A245" s="1145">
        <v>12</v>
      </c>
      <c r="B245" s="1140" t="s">
        <v>10</v>
      </c>
      <c r="C245" s="1140" t="s">
        <v>314</v>
      </c>
      <c r="D245" s="1140" t="s">
        <v>315</v>
      </c>
      <c r="E245" s="1140" t="s">
        <v>315</v>
      </c>
      <c r="F245" s="1146">
        <v>30306</v>
      </c>
    </row>
    <row r="246" spans="1:6" ht="15.75" thickBot="1" x14ac:dyDescent="0.3">
      <c r="A246" s="1145">
        <v>13</v>
      </c>
      <c r="B246" s="1140" t="s">
        <v>10</v>
      </c>
      <c r="C246" s="1140" t="s">
        <v>566</v>
      </c>
      <c r="D246" s="1140" t="s">
        <v>316</v>
      </c>
      <c r="E246" s="1140" t="s">
        <v>316</v>
      </c>
      <c r="F246" s="1146">
        <v>30401</v>
      </c>
    </row>
    <row r="247" spans="1:6" ht="15.75" thickBot="1" x14ac:dyDescent="0.3">
      <c r="A247" s="1145">
        <v>14</v>
      </c>
      <c r="B247" s="1140" t="s">
        <v>10</v>
      </c>
      <c r="C247" s="1140" t="s">
        <v>566</v>
      </c>
      <c r="D247" s="1140" t="s">
        <v>317</v>
      </c>
      <c r="E247" s="1140" t="s">
        <v>317</v>
      </c>
      <c r="F247" s="1146">
        <v>30406</v>
      </c>
    </row>
    <row r="248" spans="1:6" ht="15.75" thickBot="1" x14ac:dyDescent="0.3">
      <c r="A248" s="1145">
        <v>15</v>
      </c>
      <c r="B248" s="1140" t="s">
        <v>10</v>
      </c>
      <c r="C248" s="1140" t="s">
        <v>410</v>
      </c>
      <c r="D248" s="1140" t="s">
        <v>318</v>
      </c>
      <c r="E248" s="1140" t="s">
        <v>318</v>
      </c>
      <c r="F248" s="1146">
        <v>30501</v>
      </c>
    </row>
    <row r="249" spans="1:6" ht="15.75" thickBot="1" x14ac:dyDescent="0.3">
      <c r="A249" s="1145">
        <v>16</v>
      </c>
      <c r="B249" s="1140" t="s">
        <v>10</v>
      </c>
      <c r="C249" s="1140" t="s">
        <v>410</v>
      </c>
      <c r="D249" s="1140" t="s">
        <v>319</v>
      </c>
      <c r="E249" s="1140" t="s">
        <v>319</v>
      </c>
      <c r="F249" s="1146">
        <v>30506</v>
      </c>
    </row>
    <row r="250" spans="1:6" ht="15.75" thickBot="1" x14ac:dyDescent="0.3">
      <c r="A250" s="1145">
        <v>17</v>
      </c>
      <c r="B250" s="1140" t="s">
        <v>10</v>
      </c>
      <c r="C250" s="1140" t="s">
        <v>320</v>
      </c>
      <c r="D250" s="1140" t="s">
        <v>320</v>
      </c>
      <c r="E250" s="1140" t="s">
        <v>320</v>
      </c>
      <c r="F250" s="1146">
        <v>30601</v>
      </c>
    </row>
    <row r="251" spans="1:6" ht="15.75" thickBot="1" x14ac:dyDescent="0.3">
      <c r="A251" s="1145">
        <v>18</v>
      </c>
      <c r="B251" s="1140" t="s">
        <v>10</v>
      </c>
      <c r="C251" s="1140" t="s">
        <v>320</v>
      </c>
      <c r="D251" s="1140" t="s">
        <v>321</v>
      </c>
      <c r="E251" s="1140" t="s">
        <v>321</v>
      </c>
      <c r="F251" s="1146">
        <v>30602</v>
      </c>
    </row>
    <row r="252" spans="1:6" ht="15.75" thickBot="1" x14ac:dyDescent="0.3">
      <c r="A252" s="1145">
        <v>19</v>
      </c>
      <c r="B252" s="1140" t="s">
        <v>10</v>
      </c>
      <c r="C252" s="1140" t="s">
        <v>320</v>
      </c>
      <c r="D252" s="1140" t="s">
        <v>322</v>
      </c>
      <c r="E252" s="1140" t="s">
        <v>322</v>
      </c>
      <c r="F252" s="1146">
        <v>30608</v>
      </c>
    </row>
    <row r="253" spans="1:6" ht="15.75" thickBot="1" x14ac:dyDescent="0.3">
      <c r="A253" s="1145">
        <v>20</v>
      </c>
      <c r="B253" s="1140" t="s">
        <v>10</v>
      </c>
      <c r="C253" s="1140" t="s">
        <v>567</v>
      </c>
      <c r="D253" s="1140" t="s">
        <v>323</v>
      </c>
      <c r="E253" s="1140" t="s">
        <v>323</v>
      </c>
      <c r="F253" s="1146">
        <v>30701</v>
      </c>
    </row>
    <row r="254" spans="1:6" ht="15.75" thickBot="1" x14ac:dyDescent="0.3">
      <c r="A254" s="1145">
        <v>21</v>
      </c>
      <c r="B254" s="1140" t="s">
        <v>10</v>
      </c>
      <c r="C254" s="1140" t="s">
        <v>567</v>
      </c>
      <c r="D254" s="1140" t="s">
        <v>324</v>
      </c>
      <c r="E254" s="1140" t="s">
        <v>324</v>
      </c>
      <c r="F254" s="1146">
        <v>30708</v>
      </c>
    </row>
    <row r="255" spans="1:6" ht="15.75" thickBot="1" x14ac:dyDescent="0.3">
      <c r="A255" s="1145">
        <v>22</v>
      </c>
      <c r="B255" s="1140" t="s">
        <v>10</v>
      </c>
      <c r="C255" s="1140" t="s">
        <v>567</v>
      </c>
      <c r="D255" s="1140" t="s">
        <v>325</v>
      </c>
      <c r="E255" s="1140" t="s">
        <v>325</v>
      </c>
      <c r="F255" s="1147">
        <v>30712</v>
      </c>
    </row>
    <row r="256" spans="1:6" ht="15.75" thickBot="1" x14ac:dyDescent="0.3"/>
    <row r="257" spans="1:5" ht="15.75" thickBot="1" x14ac:dyDescent="0.3">
      <c r="A257" s="1148" t="s">
        <v>194</v>
      </c>
      <c r="B257" s="1149" t="s">
        <v>3</v>
      </c>
      <c r="C257" s="1149" t="s">
        <v>1442</v>
      </c>
      <c r="D257" s="1149" t="s">
        <v>286</v>
      </c>
      <c r="E257" s="1149" t="s">
        <v>288</v>
      </c>
    </row>
    <row r="258" spans="1:5" ht="15.75" thickBot="1" x14ac:dyDescent="0.3">
      <c r="A258" s="1150">
        <v>1</v>
      </c>
      <c r="B258" s="1151" t="s">
        <v>11</v>
      </c>
      <c r="C258" s="1152">
        <v>56093</v>
      </c>
      <c r="D258" s="1153">
        <v>0.27400000000000002</v>
      </c>
      <c r="E258" s="1153">
        <v>0.106</v>
      </c>
    </row>
    <row r="259" spans="1:5" ht="15.75" thickBot="1" x14ac:dyDescent="0.3">
      <c r="A259" s="1150">
        <v>2</v>
      </c>
      <c r="B259" s="1151" t="s">
        <v>17</v>
      </c>
      <c r="C259" s="1152">
        <v>18328</v>
      </c>
      <c r="D259" s="1153">
        <v>0.24099999999999999</v>
      </c>
      <c r="E259" s="1153">
        <v>0.17199999999999999</v>
      </c>
    </row>
    <row r="260" spans="1:5" ht="15.75" thickBot="1" x14ac:dyDescent="0.3">
      <c r="A260" s="1150">
        <v>3</v>
      </c>
      <c r="B260" s="1151" t="s">
        <v>19</v>
      </c>
      <c r="C260" s="1152">
        <v>4749</v>
      </c>
      <c r="D260" s="1153">
        <v>0.13800000000000001</v>
      </c>
      <c r="E260" s="1153">
        <v>0.255</v>
      </c>
    </row>
    <row r="261" spans="1:5" ht="15.75" thickBot="1" x14ac:dyDescent="0.3">
      <c r="A261" s="1150">
        <v>4</v>
      </c>
      <c r="B261" s="1151" t="s">
        <v>26</v>
      </c>
      <c r="C261" s="1152">
        <v>3838</v>
      </c>
      <c r="D261" s="1153">
        <v>0.38700000000000001</v>
      </c>
      <c r="E261" s="1153">
        <v>0.2</v>
      </c>
    </row>
    <row r="262" spans="1:5" ht="15.75" thickBot="1" x14ac:dyDescent="0.3">
      <c r="A262" s="1150">
        <v>5</v>
      </c>
      <c r="B262" s="1151" t="s">
        <v>28</v>
      </c>
      <c r="C262" s="1152">
        <v>9884</v>
      </c>
      <c r="D262" s="1153">
        <v>0.312</v>
      </c>
      <c r="E262" s="1153">
        <v>0.11700000000000001</v>
      </c>
    </row>
    <row r="263" spans="1:5" ht="15.75" thickBot="1" x14ac:dyDescent="0.3">
      <c r="A263" s="1150">
        <v>6</v>
      </c>
      <c r="B263" s="1151" t="s">
        <v>30</v>
      </c>
      <c r="C263" s="1152">
        <v>48547</v>
      </c>
      <c r="D263" s="1153">
        <v>0.309</v>
      </c>
      <c r="E263" s="1153">
        <v>0.20599999999999999</v>
      </c>
    </row>
    <row r="264" spans="1:5" ht="15.75" thickBot="1" x14ac:dyDescent="0.3">
      <c r="A264" s="1150">
        <v>7</v>
      </c>
      <c r="B264" s="1151" t="s">
        <v>36</v>
      </c>
      <c r="C264" s="1152">
        <v>7441</v>
      </c>
      <c r="D264" s="1153">
        <v>0.28799999999999998</v>
      </c>
      <c r="E264" s="1153">
        <v>0.187</v>
      </c>
    </row>
    <row r="265" spans="1:5" ht="15.75" thickBot="1" x14ac:dyDescent="0.3">
      <c r="A265" s="1150">
        <v>8</v>
      </c>
      <c r="B265" s="1151" t="s">
        <v>54</v>
      </c>
      <c r="C265" s="1152">
        <v>27665</v>
      </c>
      <c r="D265" s="1153">
        <v>0.34</v>
      </c>
      <c r="E265" s="1153">
        <v>0.24299999999999999</v>
      </c>
    </row>
    <row r="266" spans="1:5" ht="15.75" thickBot="1" x14ac:dyDescent="0.3">
      <c r="A266" s="1150">
        <v>9</v>
      </c>
      <c r="B266" s="1151" t="s">
        <v>59</v>
      </c>
      <c r="C266" s="1152">
        <v>9910</v>
      </c>
      <c r="D266" s="1153">
        <v>0.20200000000000001</v>
      </c>
      <c r="E266" s="1153">
        <v>0.21199999999999999</v>
      </c>
    </row>
    <row r="267" spans="1:5" ht="15.75" thickBot="1" x14ac:dyDescent="0.3">
      <c r="A267" s="1150">
        <v>10</v>
      </c>
      <c r="B267" s="1151" t="s">
        <v>61</v>
      </c>
      <c r="C267" s="1152">
        <v>18313</v>
      </c>
      <c r="D267" s="1153">
        <v>0.32800000000000001</v>
      </c>
      <c r="E267" s="1153">
        <v>0.17799999999999999</v>
      </c>
    </row>
    <row r="268" spans="1:5" ht="15.75" thickBot="1" x14ac:dyDescent="0.3">
      <c r="A268" s="1150">
        <v>11</v>
      </c>
      <c r="B268" s="1151" t="s">
        <v>73</v>
      </c>
      <c r="C268" s="1152">
        <v>3164</v>
      </c>
      <c r="D268" s="1153">
        <v>7.0999999999999994E-2</v>
      </c>
      <c r="E268" s="1153">
        <v>0.26300000000000001</v>
      </c>
    </row>
    <row r="269" spans="1:5" ht="15.75" thickBot="1" x14ac:dyDescent="0.3">
      <c r="A269" s="1150">
        <v>12</v>
      </c>
      <c r="B269" s="1151" t="s">
        <v>85</v>
      </c>
      <c r="C269" s="1152">
        <v>1286</v>
      </c>
      <c r="D269" s="1153">
        <v>0.222</v>
      </c>
      <c r="E269" s="1153">
        <v>0.25800000000000001</v>
      </c>
    </row>
    <row r="270" spans="1:5" ht="15.75" thickBot="1" x14ac:dyDescent="0.3">
      <c r="A270" s="1150">
        <v>13</v>
      </c>
      <c r="B270" s="1151" t="s">
        <v>90</v>
      </c>
      <c r="C270" s="1152">
        <v>5015</v>
      </c>
      <c r="D270" s="1153">
        <v>0.222</v>
      </c>
      <c r="E270" s="1153">
        <v>0.16200000000000001</v>
      </c>
    </row>
    <row r="271" spans="1:5" ht="15.75" thickBot="1" x14ac:dyDescent="0.3">
      <c r="A271" s="1150">
        <v>14</v>
      </c>
      <c r="B271" s="1151" t="s">
        <v>100</v>
      </c>
      <c r="C271" s="1152">
        <v>5326</v>
      </c>
      <c r="D271" s="1153">
        <v>7.9000000000000001E-2</v>
      </c>
      <c r="E271" s="1153">
        <v>0.29099999999999998</v>
      </c>
    </row>
    <row r="272" spans="1:5" ht="15.75" thickBot="1" x14ac:dyDescent="0.3">
      <c r="A272" s="1150">
        <v>15</v>
      </c>
      <c r="B272" s="1151" t="s">
        <v>125</v>
      </c>
      <c r="C272" s="1152">
        <v>11582</v>
      </c>
      <c r="D272" s="1153">
        <v>0.33500000000000002</v>
      </c>
      <c r="E272" s="1153">
        <v>0.22</v>
      </c>
    </row>
    <row r="273" spans="1:7" ht="15.75" thickBot="1" x14ac:dyDescent="0.3">
      <c r="A273" s="1150">
        <v>16</v>
      </c>
      <c r="B273" s="1151" t="s">
        <v>128</v>
      </c>
      <c r="C273" s="1152">
        <v>9908</v>
      </c>
      <c r="D273" s="1153">
        <v>0.186</v>
      </c>
      <c r="E273" s="1153">
        <v>0.27700000000000002</v>
      </c>
    </row>
    <row r="274" spans="1:7" ht="15.75" thickBot="1" x14ac:dyDescent="0.3">
      <c r="A274" s="1150">
        <v>17</v>
      </c>
      <c r="B274" s="1151" t="s">
        <v>140</v>
      </c>
      <c r="C274" s="1152">
        <v>6809</v>
      </c>
      <c r="D274" s="1153">
        <v>0.39300000000000002</v>
      </c>
      <c r="E274" s="1153">
        <v>0.29199999999999998</v>
      </c>
    </row>
    <row r="275" spans="1:7" ht="15.75" thickBot="1" x14ac:dyDescent="0.3">
      <c r="A275" s="1150">
        <v>18</v>
      </c>
      <c r="B275" s="1151" t="s">
        <v>151</v>
      </c>
      <c r="C275" s="1152">
        <v>12477</v>
      </c>
      <c r="D275" s="1153">
        <v>0.23799999999999999</v>
      </c>
      <c r="E275" s="1153">
        <v>0.29899999999999999</v>
      </c>
    </row>
    <row r="276" spans="1:7" ht="15.75" thickBot="1" x14ac:dyDescent="0.3">
      <c r="A276" s="1150">
        <v>19</v>
      </c>
      <c r="B276" s="1151" t="s">
        <v>160</v>
      </c>
      <c r="C276" s="1152">
        <v>5298</v>
      </c>
      <c r="D276" s="1153">
        <v>0.21099999999999999</v>
      </c>
      <c r="E276" s="1153">
        <v>0.223</v>
      </c>
    </row>
    <row r="277" spans="1:7" ht="15.75" thickBot="1" x14ac:dyDescent="0.3">
      <c r="A277" s="1150">
        <v>20</v>
      </c>
      <c r="B277" s="1151" t="s">
        <v>163</v>
      </c>
      <c r="C277" s="1152">
        <v>5402</v>
      </c>
      <c r="D277" s="1153">
        <v>0.22900000000000001</v>
      </c>
      <c r="E277" s="1153">
        <v>0.20200000000000001</v>
      </c>
    </row>
    <row r="278" spans="1:7" ht="15.75" thickBot="1" x14ac:dyDescent="0.3">
      <c r="A278" s="1150">
        <v>21</v>
      </c>
      <c r="B278" s="1151" t="s">
        <v>179</v>
      </c>
      <c r="C278" s="1152">
        <v>3325</v>
      </c>
      <c r="D278" s="1153">
        <v>0.21099999999999999</v>
      </c>
      <c r="E278" s="1153">
        <v>0.20899999999999999</v>
      </c>
    </row>
    <row r="279" spans="1:7" ht="15.75" thickBot="1" x14ac:dyDescent="0.3">
      <c r="A279" s="1150">
        <v>22</v>
      </c>
      <c r="B279" s="1151" t="s">
        <v>187</v>
      </c>
      <c r="C279" s="1152">
        <v>1401</v>
      </c>
      <c r="D279" s="1153">
        <v>0.129</v>
      </c>
      <c r="E279" s="1153">
        <v>0.14499999999999999</v>
      </c>
    </row>
    <row r="281" spans="1:7" ht="15.75" thickBot="1" x14ac:dyDescent="0.3"/>
    <row r="282" spans="1:7" ht="15.75" thickBot="1" x14ac:dyDescent="0.3">
      <c r="A282" s="1602" t="s">
        <v>379</v>
      </c>
      <c r="B282" s="1154" t="s">
        <v>1443</v>
      </c>
      <c r="C282" s="1154">
        <v>2007</v>
      </c>
      <c r="D282" s="1154">
        <v>2017</v>
      </c>
      <c r="E282" s="1154" t="s">
        <v>377</v>
      </c>
      <c r="F282" s="1154">
        <v>2018</v>
      </c>
      <c r="G282" s="1154">
        <v>2019</v>
      </c>
    </row>
    <row r="283" spans="1:7" ht="15.75" thickBot="1" x14ac:dyDescent="0.3">
      <c r="A283" s="1603"/>
      <c r="B283" s="1155" t="s">
        <v>11</v>
      </c>
      <c r="C283" s="1156">
        <v>83156</v>
      </c>
      <c r="D283" s="1157">
        <v>105277</v>
      </c>
      <c r="E283" s="1158">
        <v>2.8999999999999998E-3</v>
      </c>
      <c r="F283" s="1159">
        <v>108016</v>
      </c>
      <c r="G283" s="1159">
        <v>110862</v>
      </c>
    </row>
    <row r="284" spans="1:7" ht="15.75" thickBot="1" x14ac:dyDescent="0.3">
      <c r="A284" s="1604" t="s">
        <v>383</v>
      </c>
      <c r="B284" s="1160" t="s">
        <v>304</v>
      </c>
      <c r="C284" s="1156">
        <v>51225</v>
      </c>
      <c r="D284" s="1161">
        <v>71260</v>
      </c>
      <c r="E284" s="1162">
        <v>3.3599999999999998E-2</v>
      </c>
      <c r="F284" s="1159">
        <v>73652</v>
      </c>
      <c r="G284" s="1159">
        <v>76123</v>
      </c>
    </row>
    <row r="285" spans="1:7" ht="15.75" thickBot="1" x14ac:dyDescent="0.3">
      <c r="A285" s="1605"/>
      <c r="B285" s="1163" t="s">
        <v>305</v>
      </c>
      <c r="C285" s="1156">
        <v>16532</v>
      </c>
      <c r="D285" s="1161">
        <v>17065</v>
      </c>
      <c r="E285" s="1162">
        <v>3.2000000000000002E-3</v>
      </c>
      <c r="F285" s="1159">
        <v>17119</v>
      </c>
      <c r="G285" s="1159">
        <v>17174</v>
      </c>
    </row>
    <row r="286" spans="1:7" ht="15.75" thickBot="1" x14ac:dyDescent="0.3">
      <c r="A286" s="1605"/>
      <c r="B286" s="1163" t="s">
        <v>306</v>
      </c>
      <c r="C286" s="1156">
        <v>4515</v>
      </c>
      <c r="D286" s="1161">
        <v>3069</v>
      </c>
      <c r="E286" s="1162">
        <v>-3.7900000000000003E-2</v>
      </c>
      <c r="F286" s="1159">
        <v>2953</v>
      </c>
      <c r="G286" s="1159">
        <v>2841</v>
      </c>
    </row>
    <row r="287" spans="1:7" ht="24.75" thickBot="1" x14ac:dyDescent="0.3">
      <c r="A287" s="1605"/>
      <c r="B287" s="1163" t="s">
        <v>307</v>
      </c>
      <c r="C287" s="1156">
        <v>3531</v>
      </c>
      <c r="D287" s="1161">
        <v>2679</v>
      </c>
      <c r="E287" s="1162">
        <v>-2.7199999999999998E-2</v>
      </c>
      <c r="F287" s="1159">
        <v>2606</v>
      </c>
      <c r="G287" s="1159">
        <v>2535</v>
      </c>
    </row>
    <row r="288" spans="1:7" ht="15.75" thickBot="1" x14ac:dyDescent="0.3">
      <c r="A288" s="1606"/>
      <c r="B288" s="1163" t="s">
        <v>308</v>
      </c>
      <c r="C288" s="1156">
        <v>7353</v>
      </c>
      <c r="D288" s="1161">
        <v>11204</v>
      </c>
      <c r="E288" s="1162">
        <v>4.2999999999999997E-2</v>
      </c>
      <c r="F288" s="1159">
        <v>11686</v>
      </c>
      <c r="G288" s="1159">
        <v>12189</v>
      </c>
    </row>
    <row r="289" spans="1:7" ht="15.75" thickBot="1" x14ac:dyDescent="0.3">
      <c r="A289" s="1164" t="s">
        <v>379</v>
      </c>
      <c r="B289" s="1165" t="s">
        <v>30</v>
      </c>
      <c r="C289" s="1155">
        <v>90774</v>
      </c>
      <c r="D289" s="1166">
        <v>98950</v>
      </c>
      <c r="E289" s="1158">
        <v>1E-3</v>
      </c>
      <c r="F289" s="1159">
        <v>99876</v>
      </c>
      <c r="G289" s="1159">
        <v>100822</v>
      </c>
    </row>
    <row r="290" spans="1:7" ht="15.75" thickBot="1" x14ac:dyDescent="0.3">
      <c r="A290" s="1604" t="s">
        <v>383</v>
      </c>
      <c r="B290" s="1167" t="s">
        <v>30</v>
      </c>
      <c r="C290" s="1156">
        <v>37260</v>
      </c>
      <c r="D290" s="1157">
        <v>43560</v>
      </c>
      <c r="E290" s="1162">
        <v>1.5699999999999999E-2</v>
      </c>
      <c r="F290" s="1159">
        <v>44246</v>
      </c>
      <c r="G290" s="1159">
        <v>44942</v>
      </c>
    </row>
    <row r="291" spans="1:7" ht="15.75" thickBot="1" x14ac:dyDescent="0.3">
      <c r="A291" s="1605"/>
      <c r="B291" s="1167" t="s">
        <v>36</v>
      </c>
      <c r="C291" s="1156">
        <v>7078</v>
      </c>
      <c r="D291" s="1157">
        <v>5454</v>
      </c>
      <c r="E291" s="1162">
        <v>-2.5700000000000001E-2</v>
      </c>
      <c r="F291" s="1159">
        <v>5314</v>
      </c>
      <c r="G291" s="1159">
        <v>5177</v>
      </c>
    </row>
    <row r="292" spans="1:7" ht="15.75" thickBot="1" x14ac:dyDescent="0.3">
      <c r="A292" s="1605"/>
      <c r="B292" s="1167" t="s">
        <v>54</v>
      </c>
      <c r="C292" s="1156">
        <v>20357</v>
      </c>
      <c r="D292" s="1157">
        <v>21915</v>
      </c>
      <c r="E292" s="1162">
        <v>7.4000000000000003E-3</v>
      </c>
      <c r="F292" s="1159">
        <v>22077</v>
      </c>
      <c r="G292" s="1159">
        <v>22241</v>
      </c>
    </row>
    <row r="293" spans="1:7" ht="15.75" thickBot="1" x14ac:dyDescent="0.3">
      <c r="A293" s="1605"/>
      <c r="B293" s="1167" t="s">
        <v>388</v>
      </c>
      <c r="C293" s="1156">
        <v>9430</v>
      </c>
      <c r="D293" s="1157">
        <v>8770</v>
      </c>
      <c r="E293" s="1162">
        <v>-7.1999999999999998E-3</v>
      </c>
      <c r="F293" s="1159">
        <v>8707</v>
      </c>
      <c r="G293" s="1159">
        <v>8644</v>
      </c>
    </row>
    <row r="294" spans="1:7" ht="15.75" thickBot="1" x14ac:dyDescent="0.3">
      <c r="A294" s="1606"/>
      <c r="B294" s="1167" t="s">
        <v>61</v>
      </c>
      <c r="C294" s="1156">
        <v>16649</v>
      </c>
      <c r="D294" s="1157">
        <v>19251</v>
      </c>
      <c r="E294" s="1162">
        <v>1.46E-2</v>
      </c>
      <c r="F294" s="1159">
        <v>19533</v>
      </c>
      <c r="G294" s="1159">
        <v>19818</v>
      </c>
    </row>
    <row r="295" spans="1:7" ht="15.75" thickBot="1" x14ac:dyDescent="0.3">
      <c r="A295" s="1164" t="s">
        <v>379</v>
      </c>
      <c r="B295" s="1165" t="s">
        <v>73</v>
      </c>
      <c r="C295" s="1155">
        <v>4340</v>
      </c>
      <c r="D295" s="1166">
        <v>4024</v>
      </c>
      <c r="E295" s="1158">
        <v>-7.1999999999999998E-3</v>
      </c>
      <c r="F295" s="1159">
        <v>3994</v>
      </c>
      <c r="G295" s="1159">
        <v>3964</v>
      </c>
    </row>
    <row r="296" spans="1:7" ht="15.75" thickBot="1" x14ac:dyDescent="0.3">
      <c r="A296" s="1604"/>
      <c r="B296" s="1163" t="s">
        <v>314</v>
      </c>
      <c r="C296" s="1168">
        <v>3166</v>
      </c>
      <c r="D296" s="1168">
        <v>2925</v>
      </c>
      <c r="E296" s="1162">
        <v>-7.9000000000000008E-3</v>
      </c>
      <c r="F296" s="1159">
        <v>2902</v>
      </c>
      <c r="G296" s="1159">
        <v>2879</v>
      </c>
    </row>
    <row r="297" spans="1:7" ht="15.75" thickBot="1" x14ac:dyDescent="0.3">
      <c r="A297" s="1606"/>
      <c r="B297" s="1163" t="s">
        <v>315</v>
      </c>
      <c r="C297" s="1168">
        <v>1174</v>
      </c>
      <c r="D297" s="1168">
        <v>1099</v>
      </c>
      <c r="E297" s="1162">
        <v>-6.6E-3</v>
      </c>
      <c r="F297" s="1159">
        <v>1092</v>
      </c>
      <c r="G297" s="1159">
        <v>1085</v>
      </c>
    </row>
    <row r="298" spans="1:7" ht="15.75" thickBot="1" x14ac:dyDescent="0.3">
      <c r="A298" s="1164" t="s">
        <v>379</v>
      </c>
      <c r="B298" s="1165" t="s">
        <v>89</v>
      </c>
      <c r="C298" s="1155">
        <v>8607</v>
      </c>
      <c r="D298" s="1166">
        <v>7829</v>
      </c>
      <c r="E298" s="1158">
        <v>-1.35E-2</v>
      </c>
      <c r="F298" s="1159">
        <v>7780</v>
      </c>
      <c r="G298" s="1159">
        <v>7735</v>
      </c>
    </row>
    <row r="299" spans="1:7" ht="15.75" thickBot="1" x14ac:dyDescent="0.3">
      <c r="A299" s="1604"/>
      <c r="B299" s="1169" t="s">
        <v>316</v>
      </c>
      <c r="C299" s="1168">
        <v>4558</v>
      </c>
      <c r="D299" s="1168">
        <v>5074</v>
      </c>
      <c r="E299" s="1162">
        <v>1.0800000000000001E-2</v>
      </c>
      <c r="F299" s="1159">
        <v>5129</v>
      </c>
      <c r="G299" s="1159">
        <v>5184</v>
      </c>
    </row>
    <row r="300" spans="1:7" ht="15.75" thickBot="1" x14ac:dyDescent="0.3">
      <c r="A300" s="1606"/>
      <c r="B300" s="1169" t="s">
        <v>317</v>
      </c>
      <c r="C300" s="1168">
        <v>4049</v>
      </c>
      <c r="D300" s="1168">
        <v>2755</v>
      </c>
      <c r="E300" s="1162">
        <v>-3.78E-2</v>
      </c>
      <c r="F300" s="1159">
        <v>2651</v>
      </c>
      <c r="G300" s="1159">
        <v>2551</v>
      </c>
    </row>
    <row r="301" spans="1:7" ht="15.75" thickBot="1" x14ac:dyDescent="0.3">
      <c r="A301" s="1164" t="s">
        <v>379</v>
      </c>
      <c r="B301" s="1165" t="s">
        <v>150</v>
      </c>
      <c r="C301" s="1155">
        <v>17533</v>
      </c>
      <c r="D301" s="1166">
        <v>25775</v>
      </c>
      <c r="E301" s="1162">
        <v>2.7900000000000001E-2</v>
      </c>
      <c r="F301" s="1159">
        <v>26950</v>
      </c>
      <c r="G301" s="1159">
        <v>28208</v>
      </c>
    </row>
    <row r="302" spans="1:7" ht="15.75" thickBot="1" x14ac:dyDescent="0.3">
      <c r="A302" s="1604"/>
      <c r="B302" s="1169" t="s">
        <v>318</v>
      </c>
      <c r="C302" s="1168">
        <v>10212</v>
      </c>
      <c r="D302" s="1168">
        <v>10757</v>
      </c>
      <c r="E302" s="1162">
        <v>5.1999999999999998E-3</v>
      </c>
      <c r="F302" s="1159">
        <v>10813</v>
      </c>
      <c r="G302" s="1159">
        <v>10869</v>
      </c>
    </row>
    <row r="303" spans="1:7" ht="24.75" thickBot="1" x14ac:dyDescent="0.3">
      <c r="A303" s="1606"/>
      <c r="B303" s="1169" t="s">
        <v>319</v>
      </c>
      <c r="C303" s="1168">
        <v>7321</v>
      </c>
      <c r="D303" s="1168">
        <v>15018</v>
      </c>
      <c r="E303" s="1162">
        <v>7.4499999999999997E-2</v>
      </c>
      <c r="F303" s="1159">
        <v>16137</v>
      </c>
      <c r="G303" s="1159">
        <v>17339</v>
      </c>
    </row>
    <row r="304" spans="1:7" ht="15.75" thickBot="1" x14ac:dyDescent="0.3">
      <c r="A304" s="1164" t="s">
        <v>379</v>
      </c>
      <c r="B304" s="1165" t="s">
        <v>125</v>
      </c>
      <c r="C304" s="1155">
        <v>21246</v>
      </c>
      <c r="D304" s="1166">
        <v>20537</v>
      </c>
      <c r="E304" s="1158">
        <v>-2.3999999999999998E-3</v>
      </c>
      <c r="F304" s="1159">
        <v>20468</v>
      </c>
      <c r="G304" s="1159">
        <v>20400</v>
      </c>
    </row>
    <row r="305" spans="1:7" ht="15.75" thickBot="1" x14ac:dyDescent="0.3">
      <c r="A305" s="1604"/>
      <c r="B305" s="1169" t="s">
        <v>320</v>
      </c>
      <c r="C305" s="1168">
        <v>5706</v>
      </c>
      <c r="D305" s="1168">
        <v>5535</v>
      </c>
      <c r="E305" s="1162">
        <v>-3.0000000000000001E-3</v>
      </c>
      <c r="F305" s="1159">
        <v>5518</v>
      </c>
      <c r="G305" s="1159">
        <v>5501</v>
      </c>
    </row>
    <row r="306" spans="1:7" ht="15.75" thickBot="1" x14ac:dyDescent="0.3">
      <c r="A306" s="1605"/>
      <c r="B306" s="1169" t="s">
        <v>414</v>
      </c>
      <c r="C306" s="1168">
        <v>10898</v>
      </c>
      <c r="D306" s="1168">
        <v>10746</v>
      </c>
      <c r="E306" s="1162">
        <v>-1.4E-3</v>
      </c>
      <c r="F306" s="1159">
        <v>10731</v>
      </c>
      <c r="G306" s="1159">
        <v>10716</v>
      </c>
    </row>
    <row r="307" spans="1:7" ht="15.75" thickBot="1" x14ac:dyDescent="0.3">
      <c r="A307" s="1606"/>
      <c r="B307" s="1169" t="s">
        <v>322</v>
      </c>
      <c r="C307" s="1168">
        <v>4642</v>
      </c>
      <c r="D307" s="1168">
        <v>4256</v>
      </c>
      <c r="E307" s="1162">
        <v>-8.6E-3</v>
      </c>
      <c r="F307" s="1159">
        <v>4219</v>
      </c>
      <c r="G307" s="1159">
        <v>4183</v>
      </c>
    </row>
    <row r="308" spans="1:7" ht="15.75" thickBot="1" x14ac:dyDescent="0.3">
      <c r="A308" s="1164" t="s">
        <v>379</v>
      </c>
      <c r="B308" s="1165" t="s">
        <v>162</v>
      </c>
      <c r="C308" s="1155">
        <v>9426</v>
      </c>
      <c r="D308" s="1166">
        <v>9735</v>
      </c>
      <c r="E308" s="1158">
        <v>5.7999999999999996E-3</v>
      </c>
      <c r="F308" s="1159">
        <v>9770</v>
      </c>
      <c r="G308" s="1159">
        <v>9805</v>
      </c>
    </row>
    <row r="309" spans="1:7" ht="24.75" thickBot="1" x14ac:dyDescent="0.3">
      <c r="A309" s="1604"/>
      <c r="B309" s="1169" t="s">
        <v>323</v>
      </c>
      <c r="C309" s="1168">
        <v>5490</v>
      </c>
      <c r="D309" s="1168">
        <v>5314</v>
      </c>
      <c r="E309" s="1162">
        <v>-3.3E-3</v>
      </c>
      <c r="F309" s="1159">
        <v>5297</v>
      </c>
      <c r="G309" s="1159">
        <v>5279</v>
      </c>
    </row>
    <row r="310" spans="1:7" ht="15.75" thickBot="1" x14ac:dyDescent="0.3">
      <c r="A310" s="1605"/>
      <c r="B310" s="1169" t="s">
        <v>324</v>
      </c>
      <c r="C310" s="1168">
        <v>2723</v>
      </c>
      <c r="D310" s="1168">
        <v>3119</v>
      </c>
      <c r="E310" s="1162">
        <v>1.37E-2</v>
      </c>
      <c r="F310" s="1159">
        <v>3162</v>
      </c>
      <c r="G310" s="1159">
        <v>3205</v>
      </c>
    </row>
    <row r="311" spans="1:7" ht="15.75" thickBot="1" x14ac:dyDescent="0.3">
      <c r="A311" s="1606"/>
      <c r="B311" s="1169" t="s">
        <v>325</v>
      </c>
      <c r="C311" s="1168">
        <v>1213</v>
      </c>
      <c r="D311" s="1168">
        <v>1302</v>
      </c>
      <c r="E311" s="1162">
        <v>7.1000000000000004E-3</v>
      </c>
      <c r="F311" s="1159">
        <v>1311</v>
      </c>
      <c r="G311" s="1159">
        <v>1321</v>
      </c>
    </row>
    <row r="312" spans="1:7" ht="15.75" thickBot="1" x14ac:dyDescent="0.3">
      <c r="A312" s="1607" t="s">
        <v>1444</v>
      </c>
      <c r="B312" s="1608"/>
      <c r="C312" s="1608"/>
      <c r="D312" s="1608"/>
      <c r="E312" s="1609"/>
      <c r="F312" s="1170">
        <v>276853</v>
      </c>
      <c r="G312" s="1170">
        <v>281795</v>
      </c>
    </row>
    <row r="313" spans="1:7" ht="15.75" thickBot="1" x14ac:dyDescent="0.3"/>
    <row r="314" spans="1:7" ht="15.75" thickBot="1" x14ac:dyDescent="0.3">
      <c r="A314" s="1610" t="s">
        <v>1445</v>
      </c>
      <c r="B314" s="1611"/>
      <c r="C314" s="1611"/>
      <c r="D314" s="1612"/>
    </row>
    <row r="315" spans="1:7" ht="20.25" customHeight="1" thickBot="1" x14ac:dyDescent="0.3">
      <c r="A315" s="1615" t="s">
        <v>1446</v>
      </c>
      <c r="B315" s="1617" t="s">
        <v>302</v>
      </c>
      <c r="C315" s="1618"/>
      <c r="D315" s="1619"/>
    </row>
    <row r="316" spans="1:7" ht="15.75" thickBot="1" x14ac:dyDescent="0.3">
      <c r="A316" s="1616"/>
      <c r="B316" s="1171">
        <v>1993</v>
      </c>
      <c r="C316" s="1171">
        <v>2007</v>
      </c>
      <c r="D316" s="1171">
        <v>2017</v>
      </c>
    </row>
    <row r="317" spans="1:7" ht="15.75" thickBot="1" x14ac:dyDescent="0.3">
      <c r="A317" s="1172" t="s">
        <v>1447</v>
      </c>
      <c r="B317" s="1161">
        <v>381997</v>
      </c>
      <c r="C317" s="1161">
        <v>404190</v>
      </c>
      <c r="D317" s="1161">
        <v>424259</v>
      </c>
    </row>
    <row r="318" spans="1:7" ht="15.75" thickBot="1" x14ac:dyDescent="0.3">
      <c r="A318" s="1172" t="s">
        <v>1448</v>
      </c>
      <c r="B318" s="1161">
        <v>95092</v>
      </c>
      <c r="C318" s="1161">
        <v>96064</v>
      </c>
      <c r="D318" s="1161">
        <v>114722</v>
      </c>
    </row>
    <row r="319" spans="1:7" ht="15.75" thickBot="1" x14ac:dyDescent="0.3">
      <c r="A319" s="1172" t="s">
        <v>1449</v>
      </c>
      <c r="B319" s="1161">
        <v>51068</v>
      </c>
      <c r="C319" s="1161">
        <v>51225</v>
      </c>
      <c r="D319" s="1161">
        <v>71260</v>
      </c>
    </row>
    <row r="320" spans="1:7" ht="15.75" thickBot="1" x14ac:dyDescent="0.3"/>
    <row r="321" spans="1:8" ht="15.75" thickBot="1" x14ac:dyDescent="0.3">
      <c r="A321" s="1620" t="s">
        <v>1450</v>
      </c>
      <c r="B321" s="1621"/>
      <c r="C321" s="1621"/>
      <c r="D321" s="1621"/>
      <c r="E321" s="1621"/>
      <c r="F321" s="1621"/>
      <c r="G321" s="1621"/>
      <c r="H321" s="1622"/>
    </row>
    <row r="322" spans="1:8" ht="18" customHeight="1" thickBot="1" x14ac:dyDescent="0.3">
      <c r="A322" s="1623" t="s">
        <v>452</v>
      </c>
      <c r="B322" s="1620" t="s">
        <v>1451</v>
      </c>
      <c r="C322" s="1622"/>
      <c r="D322" s="1173" t="s">
        <v>1452</v>
      </c>
      <c r="E322" s="1625" t="s">
        <v>1454</v>
      </c>
      <c r="F322" s="1625" t="s">
        <v>1455</v>
      </c>
      <c r="G322" s="1625" t="s">
        <v>302</v>
      </c>
      <c r="H322" s="1625" t="s">
        <v>1456</v>
      </c>
    </row>
    <row r="323" spans="1:8" ht="15.75" thickBot="1" x14ac:dyDescent="0.3">
      <c r="A323" s="1624"/>
      <c r="B323" s="1174" t="s">
        <v>222</v>
      </c>
      <c r="C323" s="1174" t="s">
        <v>221</v>
      </c>
      <c r="D323" s="1174" t="s">
        <v>1453</v>
      </c>
      <c r="E323" s="1626"/>
      <c r="F323" s="1626"/>
      <c r="G323" s="1626"/>
      <c r="H323" s="1626"/>
    </row>
    <row r="324" spans="1:8" ht="34.5" thickBot="1" x14ac:dyDescent="0.3">
      <c r="A324" s="1175" t="s">
        <v>11</v>
      </c>
      <c r="B324" s="1176" t="s">
        <v>1457</v>
      </c>
      <c r="C324" s="1147" t="s">
        <v>1458</v>
      </c>
      <c r="D324" s="1147">
        <v>2384</v>
      </c>
      <c r="E324" s="1147" t="s">
        <v>1459</v>
      </c>
      <c r="F324" s="1147">
        <v>817.98</v>
      </c>
      <c r="G324" s="1177">
        <v>96064</v>
      </c>
      <c r="H324" s="1147">
        <v>46.2</v>
      </c>
    </row>
    <row r="325" spans="1:8" ht="15.75" thickBot="1" x14ac:dyDescent="0.3"/>
    <row r="326" spans="1:8" ht="24" customHeight="1" thickBot="1" x14ac:dyDescent="0.3">
      <c r="B326" s="1613" t="s">
        <v>1460</v>
      </c>
      <c r="C326" s="1614"/>
    </row>
    <row r="327" spans="1:8" ht="15.75" thickBot="1" x14ac:dyDescent="0.3">
      <c r="B327" s="1178" t="s">
        <v>1413</v>
      </c>
      <c r="C327" s="1179" t="s">
        <v>1461</v>
      </c>
    </row>
    <row r="328" spans="1:8" ht="15.75" thickBot="1" x14ac:dyDescent="0.3">
      <c r="B328" s="1178" t="s">
        <v>1412</v>
      </c>
      <c r="C328" s="1179" t="s">
        <v>1462</v>
      </c>
    </row>
    <row r="329" spans="1:8" ht="15.75" thickBot="1" x14ac:dyDescent="0.3">
      <c r="B329" s="1178" t="s">
        <v>1463</v>
      </c>
      <c r="C329" s="1180" t="s">
        <v>1464</v>
      </c>
    </row>
    <row r="330" spans="1:8" ht="15.75" thickBot="1" x14ac:dyDescent="0.3">
      <c r="B330" s="1178" t="s">
        <v>1465</v>
      </c>
      <c r="C330" s="1179" t="s">
        <v>1466</v>
      </c>
    </row>
    <row r="331" spans="1:8" ht="24" customHeight="1" thickBot="1" x14ac:dyDescent="0.3">
      <c r="B331" s="1613" t="s">
        <v>1467</v>
      </c>
      <c r="C331" s="1614"/>
    </row>
    <row r="332" spans="1:8" ht="15.75" thickBot="1" x14ac:dyDescent="0.3">
      <c r="B332" s="1178" t="s">
        <v>1413</v>
      </c>
      <c r="C332" s="1179" t="s">
        <v>1468</v>
      </c>
    </row>
    <row r="333" spans="1:8" ht="15.75" thickBot="1" x14ac:dyDescent="0.3">
      <c r="B333" s="1178" t="s">
        <v>1412</v>
      </c>
      <c r="C333" s="1180" t="s">
        <v>1469</v>
      </c>
    </row>
    <row r="334" spans="1:8" ht="15.75" thickBot="1" x14ac:dyDescent="0.3">
      <c r="B334" s="1178" t="s">
        <v>1463</v>
      </c>
      <c r="C334" s="1180" t="s">
        <v>1470</v>
      </c>
    </row>
    <row r="335" spans="1:8" ht="15.75" thickBot="1" x14ac:dyDescent="0.3">
      <c r="B335" s="1178" t="s">
        <v>1465</v>
      </c>
      <c r="C335" s="1179" t="s">
        <v>1471</v>
      </c>
    </row>
  </sheetData>
  <mergeCells count="29">
    <mergeCell ref="B326:C326"/>
    <mergeCell ref="B331:C331"/>
    <mergeCell ref="A315:A316"/>
    <mergeCell ref="B315:D315"/>
    <mergeCell ref="A321:H321"/>
    <mergeCell ref="A322:A323"/>
    <mergeCell ref="B322:C322"/>
    <mergeCell ref="E322:E323"/>
    <mergeCell ref="F322:F323"/>
    <mergeCell ref="G322:G323"/>
    <mergeCell ref="H322:H323"/>
    <mergeCell ref="A302:A303"/>
    <mergeCell ref="A305:A307"/>
    <mergeCell ref="A309:A311"/>
    <mergeCell ref="A312:E312"/>
    <mergeCell ref="A314:D314"/>
    <mergeCell ref="A282:A283"/>
    <mergeCell ref="A284:A288"/>
    <mergeCell ref="A290:A294"/>
    <mergeCell ref="A296:A297"/>
    <mergeCell ref="A299:A300"/>
    <mergeCell ref="A118:N118"/>
    <mergeCell ref="A206:N206"/>
    <mergeCell ref="C2:E2"/>
    <mergeCell ref="C3:E3"/>
    <mergeCell ref="A30:H30"/>
    <mergeCell ref="C14:F14"/>
    <mergeCell ref="C12:E12"/>
    <mergeCell ref="C19:F19"/>
  </mergeCells>
  <conditionalFormatting sqref="M120:M128">
    <cfRule type="cellIs" dxfId="339" priority="385" operator="greaterThanOrEqual">
      <formula>40%</formula>
    </cfRule>
    <cfRule type="cellIs" dxfId="338" priority="386" operator="between">
      <formula>20%</formula>
      <formula>39.9%</formula>
    </cfRule>
    <cfRule type="cellIs" dxfId="337" priority="387" operator="between">
      <formula>5%</formula>
      <formula>19.9%</formula>
    </cfRule>
    <cfRule type="cellIs" dxfId="336" priority="388" operator="lessThanOrEqual">
      <formula>4.9%</formula>
    </cfRule>
  </conditionalFormatting>
  <conditionalFormatting sqref="M129:M147">
    <cfRule type="cellIs" dxfId="335" priority="381" operator="greaterThanOrEqual">
      <formula>40%</formula>
    </cfRule>
    <cfRule type="cellIs" dxfId="334" priority="382" operator="between">
      <formula>20%</formula>
      <formula>39.9%</formula>
    </cfRule>
    <cfRule type="cellIs" dxfId="333" priority="383" operator="between">
      <formula>5%</formula>
      <formula>19.9%</formula>
    </cfRule>
    <cfRule type="cellIs" dxfId="332" priority="384" operator="lessThanOrEqual">
      <formula>4.9%</formula>
    </cfRule>
  </conditionalFormatting>
  <conditionalFormatting sqref="M148">
    <cfRule type="cellIs" dxfId="331" priority="377" operator="greaterThanOrEqual">
      <formula>40%</formula>
    </cfRule>
    <cfRule type="cellIs" dxfId="330" priority="378" operator="between">
      <formula>20%</formula>
      <formula>39.9%</formula>
    </cfRule>
    <cfRule type="cellIs" dxfId="329" priority="379" operator="between">
      <formula>5%</formula>
      <formula>19.9%</formula>
    </cfRule>
    <cfRule type="cellIs" dxfId="328" priority="380" operator="lessThanOrEqual">
      <formula>4.9%</formula>
    </cfRule>
  </conditionalFormatting>
  <conditionalFormatting sqref="M229">
    <cfRule type="cellIs" dxfId="327" priority="173" operator="greaterThanOrEqual">
      <formula>40%</formula>
    </cfRule>
    <cfRule type="cellIs" dxfId="326" priority="174" operator="between">
      <formula>20%</formula>
      <formula>39.9%</formula>
    </cfRule>
    <cfRule type="cellIs" dxfId="325" priority="175" operator="between">
      <formula>5%</formula>
      <formula>19.9%</formula>
    </cfRule>
    <cfRule type="cellIs" dxfId="324" priority="176" operator="lessThanOrEqual">
      <formula>4.9%</formula>
    </cfRule>
  </conditionalFormatting>
  <conditionalFormatting sqref="M149:M155">
    <cfRule type="cellIs" dxfId="323" priority="373" operator="greaterThanOrEqual">
      <formula>40%</formula>
    </cfRule>
    <cfRule type="cellIs" dxfId="322" priority="374" operator="between">
      <formula>20%</formula>
      <formula>39.9%</formula>
    </cfRule>
    <cfRule type="cellIs" dxfId="321" priority="375" operator="between">
      <formula>5%</formula>
      <formula>19.9%</formula>
    </cfRule>
    <cfRule type="cellIs" dxfId="320" priority="376" operator="lessThanOrEqual">
      <formula>4.9%</formula>
    </cfRule>
  </conditionalFormatting>
  <conditionalFormatting sqref="M156">
    <cfRule type="cellIs" dxfId="319" priority="369" operator="greaterThanOrEqual">
      <formula>40%</formula>
    </cfRule>
    <cfRule type="cellIs" dxfId="318" priority="370" operator="between">
      <formula>20%</formula>
      <formula>39.9%</formula>
    </cfRule>
    <cfRule type="cellIs" dxfId="317" priority="371" operator="between">
      <formula>5%</formula>
      <formula>19.9%</formula>
    </cfRule>
    <cfRule type="cellIs" dxfId="316" priority="372" operator="lessThanOrEqual">
      <formula>4.9%</formula>
    </cfRule>
  </conditionalFormatting>
  <conditionalFormatting sqref="M157:M158">
    <cfRule type="cellIs" dxfId="315" priority="365" operator="greaterThanOrEqual">
      <formula>40%</formula>
    </cfRule>
    <cfRule type="cellIs" dxfId="314" priority="366" operator="between">
      <formula>20%</formula>
      <formula>39.9%</formula>
    </cfRule>
    <cfRule type="cellIs" dxfId="313" priority="367" operator="between">
      <formula>5%</formula>
      <formula>19.9%</formula>
    </cfRule>
    <cfRule type="cellIs" dxfId="312" priority="368" operator="lessThanOrEqual">
      <formula>4.9%</formula>
    </cfRule>
  </conditionalFormatting>
  <conditionalFormatting sqref="M159:M165">
    <cfRule type="cellIs" dxfId="311" priority="361" operator="greaterThanOrEqual">
      <formula>40%</formula>
    </cfRule>
    <cfRule type="cellIs" dxfId="310" priority="362" operator="between">
      <formula>20%</formula>
      <formula>39.9%</formula>
    </cfRule>
    <cfRule type="cellIs" dxfId="309" priority="363" operator="between">
      <formula>5%</formula>
      <formula>19.9%</formula>
    </cfRule>
    <cfRule type="cellIs" dxfId="308" priority="364" operator="lessThanOrEqual">
      <formula>4.9%</formula>
    </cfRule>
  </conditionalFormatting>
  <conditionalFormatting sqref="M166:M172">
    <cfRule type="cellIs" dxfId="307" priority="357" operator="greaterThanOrEqual">
      <formula>40%</formula>
    </cfRule>
    <cfRule type="cellIs" dxfId="306" priority="358" operator="between">
      <formula>20%</formula>
      <formula>39.9%</formula>
    </cfRule>
    <cfRule type="cellIs" dxfId="305" priority="359" operator="between">
      <formula>5%</formula>
      <formula>19.9%</formula>
    </cfRule>
    <cfRule type="cellIs" dxfId="304" priority="360" operator="lessThanOrEqual">
      <formula>4.9%</formula>
    </cfRule>
  </conditionalFormatting>
  <conditionalFormatting sqref="M173">
    <cfRule type="cellIs" dxfId="303" priority="353" operator="greaterThanOrEqual">
      <formula>40%</formula>
    </cfRule>
    <cfRule type="cellIs" dxfId="302" priority="354" operator="between">
      <formula>20%</formula>
      <formula>39.9%</formula>
    </cfRule>
    <cfRule type="cellIs" dxfId="301" priority="355" operator="between">
      <formula>5%</formula>
      <formula>19.9%</formula>
    </cfRule>
    <cfRule type="cellIs" dxfId="300" priority="356" operator="lessThanOrEqual">
      <formula>4.9%</formula>
    </cfRule>
  </conditionalFormatting>
  <conditionalFormatting sqref="M175">
    <cfRule type="cellIs" dxfId="299" priority="349" operator="greaterThanOrEqual">
      <formula>40%</formula>
    </cfRule>
    <cfRule type="cellIs" dxfId="298" priority="350" operator="between">
      <formula>20%</formula>
      <formula>39.9%</formula>
    </cfRule>
    <cfRule type="cellIs" dxfId="297" priority="351" operator="between">
      <formula>5%</formula>
      <formula>19.9%</formula>
    </cfRule>
    <cfRule type="cellIs" dxfId="296" priority="352" operator="lessThanOrEqual">
      <formula>4.9%</formula>
    </cfRule>
  </conditionalFormatting>
  <conditionalFormatting sqref="M182">
    <cfRule type="cellIs" dxfId="295" priority="345" operator="greaterThanOrEqual">
      <formula>40%</formula>
    </cfRule>
    <cfRule type="cellIs" dxfId="294" priority="346" operator="between">
      <formula>20%</formula>
      <formula>39.9%</formula>
    </cfRule>
    <cfRule type="cellIs" dxfId="293" priority="347" operator="between">
      <formula>5%</formula>
      <formula>19.9%</formula>
    </cfRule>
    <cfRule type="cellIs" dxfId="292" priority="348" operator="lessThanOrEqual">
      <formula>4.9%</formula>
    </cfRule>
  </conditionalFormatting>
  <conditionalFormatting sqref="M176">
    <cfRule type="cellIs" dxfId="291" priority="341" operator="greaterThanOrEqual">
      <formula>40%</formula>
    </cfRule>
    <cfRule type="cellIs" dxfId="290" priority="342" operator="between">
      <formula>20%</formula>
      <formula>39.9%</formula>
    </cfRule>
    <cfRule type="cellIs" dxfId="289" priority="343" operator="between">
      <formula>5%</formula>
      <formula>19.9%</formula>
    </cfRule>
    <cfRule type="cellIs" dxfId="288" priority="344" operator="lessThanOrEqual">
      <formula>4.9%</formula>
    </cfRule>
  </conditionalFormatting>
  <conditionalFormatting sqref="M183">
    <cfRule type="cellIs" dxfId="287" priority="337" operator="greaterThanOrEqual">
      <formula>40%</formula>
    </cfRule>
    <cfRule type="cellIs" dxfId="286" priority="338" operator="between">
      <formula>20%</formula>
      <formula>39.9%</formula>
    </cfRule>
    <cfRule type="cellIs" dxfId="285" priority="339" operator="between">
      <formula>5%</formula>
      <formula>19.9%</formula>
    </cfRule>
    <cfRule type="cellIs" dxfId="284" priority="340" operator="lessThanOrEqual">
      <formula>4.9%</formula>
    </cfRule>
  </conditionalFormatting>
  <conditionalFormatting sqref="M177">
    <cfRule type="cellIs" dxfId="283" priority="333" operator="greaterThanOrEqual">
      <formula>40%</formula>
    </cfRule>
    <cfRule type="cellIs" dxfId="282" priority="334" operator="between">
      <formula>20%</formula>
      <formula>39.9%</formula>
    </cfRule>
    <cfRule type="cellIs" dxfId="281" priority="335" operator="between">
      <formula>5%</formula>
      <formula>19.9%</formula>
    </cfRule>
    <cfRule type="cellIs" dxfId="280" priority="336" operator="lessThanOrEqual">
      <formula>4.9%</formula>
    </cfRule>
  </conditionalFormatting>
  <conditionalFormatting sqref="M178">
    <cfRule type="cellIs" dxfId="279" priority="329" operator="greaterThanOrEqual">
      <formula>40%</formula>
    </cfRule>
    <cfRule type="cellIs" dxfId="278" priority="330" operator="between">
      <formula>20%</formula>
      <formula>39.9%</formula>
    </cfRule>
    <cfRule type="cellIs" dxfId="277" priority="331" operator="between">
      <formula>5%</formula>
      <formula>19.9%</formula>
    </cfRule>
    <cfRule type="cellIs" dxfId="276" priority="332" operator="lessThanOrEqual">
      <formula>4.9%</formula>
    </cfRule>
  </conditionalFormatting>
  <conditionalFormatting sqref="M180">
    <cfRule type="cellIs" dxfId="275" priority="321" operator="greaterThanOrEqual">
      <formula>40%</formula>
    </cfRule>
    <cfRule type="cellIs" dxfId="274" priority="322" operator="between">
      <formula>20%</formula>
      <formula>39.9%</formula>
    </cfRule>
    <cfRule type="cellIs" dxfId="273" priority="323" operator="between">
      <formula>5%</formula>
      <formula>19.9%</formula>
    </cfRule>
    <cfRule type="cellIs" dxfId="272" priority="324" operator="lessThanOrEqual">
      <formula>4.9%</formula>
    </cfRule>
  </conditionalFormatting>
  <conditionalFormatting sqref="M179">
    <cfRule type="cellIs" dxfId="271" priority="317" operator="greaterThanOrEqual">
      <formula>40%</formula>
    </cfRule>
    <cfRule type="cellIs" dxfId="270" priority="318" operator="between">
      <formula>20%</formula>
      <formula>39.9%</formula>
    </cfRule>
    <cfRule type="cellIs" dxfId="269" priority="319" operator="between">
      <formula>5%</formula>
      <formula>19.9%</formula>
    </cfRule>
    <cfRule type="cellIs" dxfId="268" priority="320" operator="lessThanOrEqual">
      <formula>4.9%</formula>
    </cfRule>
  </conditionalFormatting>
  <conditionalFormatting sqref="M181">
    <cfRule type="cellIs" dxfId="267" priority="313" operator="greaterThanOrEqual">
      <formula>40%</formula>
    </cfRule>
    <cfRule type="cellIs" dxfId="266" priority="314" operator="between">
      <formula>20%</formula>
      <formula>39.9%</formula>
    </cfRule>
    <cfRule type="cellIs" dxfId="265" priority="315" operator="between">
      <formula>5%</formula>
      <formula>19.9%</formula>
    </cfRule>
    <cfRule type="cellIs" dxfId="264" priority="316" operator="lessThanOrEqual">
      <formula>4.9%</formula>
    </cfRule>
  </conditionalFormatting>
  <conditionalFormatting sqref="M174">
    <cfRule type="cellIs" dxfId="263" priority="309" operator="greaterThanOrEqual">
      <formula>40%</formula>
    </cfRule>
    <cfRule type="cellIs" dxfId="262" priority="310" operator="between">
      <formula>20%</formula>
      <formula>39.9%</formula>
    </cfRule>
    <cfRule type="cellIs" dxfId="261" priority="311" operator="between">
      <formula>5%</formula>
      <formula>19.9%</formula>
    </cfRule>
    <cfRule type="cellIs" dxfId="260" priority="312" operator="lessThanOrEqual">
      <formula>4.9%</formula>
    </cfRule>
  </conditionalFormatting>
  <conditionalFormatting sqref="M184">
    <cfRule type="cellIs" dxfId="259" priority="305" operator="greaterThanOrEqual">
      <formula>40%</formula>
    </cfRule>
    <cfRule type="cellIs" dxfId="258" priority="306" operator="between">
      <formula>20%</formula>
      <formula>39.9%</formula>
    </cfRule>
    <cfRule type="cellIs" dxfId="257" priority="307" operator="between">
      <formula>5%</formula>
      <formula>19.9%</formula>
    </cfRule>
    <cfRule type="cellIs" dxfId="256" priority="308" operator="lessThanOrEqual">
      <formula>4.9%</formula>
    </cfRule>
  </conditionalFormatting>
  <conditionalFormatting sqref="M185:M188">
    <cfRule type="cellIs" dxfId="255" priority="301" operator="greaterThanOrEqual">
      <formula>40%</formula>
    </cfRule>
    <cfRule type="cellIs" dxfId="254" priority="302" operator="between">
      <formula>20%</formula>
      <formula>39.9%</formula>
    </cfRule>
    <cfRule type="cellIs" dxfId="253" priority="303" operator="between">
      <formula>5%</formula>
      <formula>19.9%</formula>
    </cfRule>
    <cfRule type="cellIs" dxfId="252" priority="304" operator="lessThanOrEqual">
      <formula>4.9%</formula>
    </cfRule>
  </conditionalFormatting>
  <conditionalFormatting sqref="M189">
    <cfRule type="cellIs" dxfId="251" priority="297" operator="greaterThanOrEqual">
      <formula>40%</formula>
    </cfRule>
    <cfRule type="cellIs" dxfId="250" priority="298" operator="between">
      <formula>20%</formula>
      <formula>39.9%</formula>
    </cfRule>
    <cfRule type="cellIs" dxfId="249" priority="299" operator="between">
      <formula>5%</formula>
      <formula>19.9%</formula>
    </cfRule>
    <cfRule type="cellIs" dxfId="248" priority="300" operator="lessThanOrEqual">
      <formula>4.9%</formula>
    </cfRule>
  </conditionalFormatting>
  <conditionalFormatting sqref="M190">
    <cfRule type="cellIs" dxfId="247" priority="293" operator="greaterThanOrEqual">
      <formula>40%</formula>
    </cfRule>
    <cfRule type="cellIs" dxfId="246" priority="294" operator="between">
      <formula>20%</formula>
      <formula>39.9%</formula>
    </cfRule>
    <cfRule type="cellIs" dxfId="245" priority="295" operator="between">
      <formula>5%</formula>
      <formula>19.9%</formula>
    </cfRule>
    <cfRule type="cellIs" dxfId="244" priority="296" operator="lessThanOrEqual">
      <formula>4.9%</formula>
    </cfRule>
  </conditionalFormatting>
  <conditionalFormatting sqref="M191">
    <cfRule type="cellIs" dxfId="243" priority="289" operator="greaterThanOrEqual">
      <formula>40%</formula>
    </cfRule>
    <cfRule type="cellIs" dxfId="242" priority="290" operator="between">
      <formula>20%</formula>
      <formula>39.9%</formula>
    </cfRule>
    <cfRule type="cellIs" dxfId="241" priority="291" operator="between">
      <formula>5%</formula>
      <formula>19.9%</formula>
    </cfRule>
    <cfRule type="cellIs" dxfId="240" priority="292" operator="lessThanOrEqual">
      <formula>4.9%</formula>
    </cfRule>
  </conditionalFormatting>
  <conditionalFormatting sqref="M192">
    <cfRule type="cellIs" dxfId="239" priority="285" operator="greaterThanOrEqual">
      <formula>40%</formula>
    </cfRule>
    <cfRule type="cellIs" dxfId="238" priority="286" operator="between">
      <formula>20%</formula>
      <formula>39.9%</formula>
    </cfRule>
    <cfRule type="cellIs" dxfId="237" priority="287" operator="between">
      <formula>5%</formula>
      <formula>19.9%</formula>
    </cfRule>
    <cfRule type="cellIs" dxfId="236" priority="288" operator="lessThanOrEqual">
      <formula>4.9%</formula>
    </cfRule>
  </conditionalFormatting>
  <conditionalFormatting sqref="M193">
    <cfRule type="cellIs" dxfId="235" priority="281" operator="greaterThanOrEqual">
      <formula>40%</formula>
    </cfRule>
    <cfRule type="cellIs" dxfId="234" priority="282" operator="between">
      <formula>20%</formula>
      <formula>39.9%</formula>
    </cfRule>
    <cfRule type="cellIs" dxfId="233" priority="283" operator="between">
      <formula>5%</formula>
      <formula>19.9%</formula>
    </cfRule>
    <cfRule type="cellIs" dxfId="232" priority="284" operator="lessThanOrEqual">
      <formula>4.9%</formula>
    </cfRule>
  </conditionalFormatting>
  <conditionalFormatting sqref="M194:M196">
    <cfRule type="cellIs" dxfId="231" priority="277" operator="greaterThanOrEqual">
      <formula>40%</formula>
    </cfRule>
    <cfRule type="cellIs" dxfId="230" priority="278" operator="between">
      <formula>20%</formula>
      <formula>39.9%</formula>
    </cfRule>
    <cfRule type="cellIs" dxfId="229" priority="279" operator="between">
      <formula>5%</formula>
      <formula>19.9%</formula>
    </cfRule>
    <cfRule type="cellIs" dxfId="228" priority="280" operator="lessThanOrEqual">
      <formula>4.9%</formula>
    </cfRule>
  </conditionalFormatting>
  <conditionalFormatting sqref="M228">
    <cfRule type="cellIs" dxfId="227" priority="177" operator="greaterThanOrEqual">
      <formula>40%</formula>
    </cfRule>
    <cfRule type="cellIs" dxfId="226" priority="178" operator="between">
      <formula>20%</formula>
      <formula>39.9%</formula>
    </cfRule>
    <cfRule type="cellIs" dxfId="225" priority="179" operator="between">
      <formula>5%</formula>
      <formula>19.9%</formula>
    </cfRule>
    <cfRule type="cellIs" dxfId="224" priority="180" operator="lessThanOrEqual">
      <formula>4.9%</formula>
    </cfRule>
  </conditionalFormatting>
  <conditionalFormatting sqref="M203">
    <cfRule type="cellIs" dxfId="223" priority="269" operator="greaterThanOrEqual">
      <formula>40%</formula>
    </cfRule>
    <cfRule type="cellIs" dxfId="222" priority="270" operator="between">
      <formula>20%</formula>
      <formula>39.9%</formula>
    </cfRule>
    <cfRule type="cellIs" dxfId="221" priority="271" operator="between">
      <formula>5%</formula>
      <formula>19.9%</formula>
    </cfRule>
    <cfRule type="cellIs" dxfId="220" priority="272" operator="lessThanOrEqual">
      <formula>4.9%</formula>
    </cfRule>
  </conditionalFormatting>
  <conditionalFormatting sqref="M197:M202">
    <cfRule type="cellIs" dxfId="219" priority="265" operator="greaterThanOrEqual">
      <formula>40%</formula>
    </cfRule>
    <cfRule type="cellIs" dxfId="218" priority="266" operator="between">
      <formula>20%</formula>
      <formula>39.9%</formula>
    </cfRule>
    <cfRule type="cellIs" dxfId="217" priority="267" operator="between">
      <formula>5%</formula>
      <formula>19.9%</formula>
    </cfRule>
    <cfRule type="cellIs" dxfId="216" priority="268" operator="lessThanOrEqual">
      <formula>4.9%</formula>
    </cfRule>
  </conditionalFormatting>
  <conditionalFormatting sqref="M208">
    <cfRule type="cellIs" dxfId="215" priority="261" operator="greaterThanOrEqual">
      <formula>40%</formula>
    </cfRule>
    <cfRule type="cellIs" dxfId="214" priority="262" operator="between">
      <formula>20%</formula>
      <formula>39.9%</formula>
    </cfRule>
    <cfRule type="cellIs" dxfId="213" priority="263" operator="between">
      <formula>5%</formula>
      <formula>19.9%</formula>
    </cfRule>
    <cfRule type="cellIs" dxfId="212" priority="264" operator="lessThanOrEqual">
      <formula>4.9%</formula>
    </cfRule>
  </conditionalFormatting>
  <conditionalFormatting sqref="M209">
    <cfRule type="cellIs" dxfId="211" priority="257" operator="greaterThanOrEqual">
      <formula>40%</formula>
    </cfRule>
    <cfRule type="cellIs" dxfId="210" priority="258" operator="between">
      <formula>20%</formula>
      <formula>39.9%</formula>
    </cfRule>
    <cfRule type="cellIs" dxfId="209" priority="259" operator="between">
      <formula>5%</formula>
      <formula>19.9%</formula>
    </cfRule>
    <cfRule type="cellIs" dxfId="208" priority="260" operator="lessThanOrEqual">
      <formula>4.9%</formula>
    </cfRule>
  </conditionalFormatting>
  <conditionalFormatting sqref="M210">
    <cfRule type="cellIs" dxfId="207" priority="253" operator="greaterThanOrEqual">
      <formula>40%</formula>
    </cfRule>
    <cfRule type="cellIs" dxfId="206" priority="254" operator="between">
      <formula>20%</formula>
      <formula>39.9%</formula>
    </cfRule>
    <cfRule type="cellIs" dxfId="205" priority="255" operator="between">
      <formula>5%</formula>
      <formula>19.9%</formula>
    </cfRule>
    <cfRule type="cellIs" dxfId="204" priority="256" operator="lessThanOrEqual">
      <formula>4.9%</formula>
    </cfRule>
  </conditionalFormatting>
  <conditionalFormatting sqref="M211">
    <cfRule type="cellIs" dxfId="203" priority="249" operator="greaterThanOrEqual">
      <formula>40%</formula>
    </cfRule>
    <cfRule type="cellIs" dxfId="202" priority="250" operator="between">
      <formula>20%</formula>
      <formula>39.9%</formula>
    </cfRule>
    <cfRule type="cellIs" dxfId="201" priority="251" operator="between">
      <formula>5%</formula>
      <formula>19.9%</formula>
    </cfRule>
    <cfRule type="cellIs" dxfId="200" priority="252" operator="lessThanOrEqual">
      <formula>4.9%</formula>
    </cfRule>
  </conditionalFormatting>
  <conditionalFormatting sqref="M212">
    <cfRule type="cellIs" dxfId="199" priority="245" operator="greaterThanOrEqual">
      <formula>40%</formula>
    </cfRule>
    <cfRule type="cellIs" dxfId="198" priority="246" operator="between">
      <formula>20%</formula>
      <formula>39.9%</formula>
    </cfRule>
    <cfRule type="cellIs" dxfId="197" priority="247" operator="between">
      <formula>5%</formula>
      <formula>19.9%</formula>
    </cfRule>
    <cfRule type="cellIs" dxfId="196" priority="248" operator="lessThanOrEqual">
      <formula>4.9%</formula>
    </cfRule>
  </conditionalFormatting>
  <conditionalFormatting sqref="M213">
    <cfRule type="cellIs" dxfId="195" priority="241" operator="greaterThanOrEqual">
      <formula>40%</formula>
    </cfRule>
    <cfRule type="cellIs" dxfId="194" priority="242" operator="between">
      <formula>20%</formula>
      <formula>39.9%</formula>
    </cfRule>
    <cfRule type="cellIs" dxfId="193" priority="243" operator="between">
      <formula>5%</formula>
      <formula>19.9%</formula>
    </cfRule>
    <cfRule type="cellIs" dxfId="192" priority="244" operator="lessThanOrEqual">
      <formula>4.9%</formula>
    </cfRule>
  </conditionalFormatting>
  <conditionalFormatting sqref="M214">
    <cfRule type="cellIs" dxfId="191" priority="237" operator="greaterThanOrEqual">
      <formula>40%</formula>
    </cfRule>
    <cfRule type="cellIs" dxfId="190" priority="238" operator="between">
      <formula>20%</formula>
      <formula>39.9%</formula>
    </cfRule>
    <cfRule type="cellIs" dxfId="189" priority="239" operator="between">
      <formula>5%</formula>
      <formula>19.9%</formula>
    </cfRule>
    <cfRule type="cellIs" dxfId="188" priority="240" operator="lessThanOrEqual">
      <formula>4.9%</formula>
    </cfRule>
  </conditionalFormatting>
  <conditionalFormatting sqref="M215">
    <cfRule type="cellIs" dxfId="187" priority="233" operator="greaterThanOrEqual">
      <formula>40%</formula>
    </cfRule>
    <cfRule type="cellIs" dxfId="186" priority="234" operator="between">
      <formula>20%</formula>
      <formula>39.9%</formula>
    </cfRule>
    <cfRule type="cellIs" dxfId="185" priority="235" operator="between">
      <formula>5%</formula>
      <formula>19.9%</formula>
    </cfRule>
    <cfRule type="cellIs" dxfId="184" priority="236" operator="lessThanOrEqual">
      <formula>4.9%</formula>
    </cfRule>
  </conditionalFormatting>
  <conditionalFormatting sqref="M216">
    <cfRule type="cellIs" dxfId="183" priority="229" operator="greaterThanOrEqual">
      <formula>40%</formula>
    </cfRule>
    <cfRule type="cellIs" dxfId="182" priority="230" operator="between">
      <formula>20%</formula>
      <formula>39.9%</formula>
    </cfRule>
    <cfRule type="cellIs" dxfId="181" priority="231" operator="between">
      <formula>5%</formula>
      <formula>19.9%</formula>
    </cfRule>
    <cfRule type="cellIs" dxfId="180" priority="232" operator="lessThanOrEqual">
      <formula>4.9%</formula>
    </cfRule>
  </conditionalFormatting>
  <conditionalFormatting sqref="M217">
    <cfRule type="cellIs" dxfId="179" priority="225" operator="greaterThanOrEqual">
      <formula>40%</formula>
    </cfRule>
    <cfRule type="cellIs" dxfId="178" priority="226" operator="between">
      <formula>20%</formula>
      <formula>39.9%</formula>
    </cfRule>
    <cfRule type="cellIs" dxfId="177" priority="227" operator="between">
      <formula>5%</formula>
      <formula>19.9%</formula>
    </cfRule>
    <cfRule type="cellIs" dxfId="176" priority="228" operator="lessThanOrEqual">
      <formula>4.9%</formula>
    </cfRule>
  </conditionalFormatting>
  <conditionalFormatting sqref="M218">
    <cfRule type="cellIs" dxfId="175" priority="221" operator="greaterThanOrEqual">
      <formula>40%</formula>
    </cfRule>
    <cfRule type="cellIs" dxfId="174" priority="222" operator="between">
      <formula>20%</formula>
      <formula>39.9%</formula>
    </cfRule>
    <cfRule type="cellIs" dxfId="173" priority="223" operator="between">
      <formula>5%</formula>
      <formula>19.9%</formula>
    </cfRule>
    <cfRule type="cellIs" dxfId="172" priority="224" operator="lessThanOrEqual">
      <formula>4.9%</formula>
    </cfRule>
  </conditionalFormatting>
  <conditionalFormatting sqref="M219">
    <cfRule type="cellIs" dxfId="171" priority="213" operator="greaterThanOrEqual">
      <formula>40%</formula>
    </cfRule>
    <cfRule type="cellIs" dxfId="170" priority="214" operator="between">
      <formula>20%</formula>
      <formula>39.9%</formula>
    </cfRule>
    <cfRule type="cellIs" dxfId="169" priority="215" operator="between">
      <formula>5%</formula>
      <formula>19.9%</formula>
    </cfRule>
    <cfRule type="cellIs" dxfId="168" priority="216" operator="lessThanOrEqual">
      <formula>4.9%</formula>
    </cfRule>
  </conditionalFormatting>
  <conditionalFormatting sqref="M220">
    <cfRule type="cellIs" dxfId="167" priority="209" operator="greaterThanOrEqual">
      <formula>40%</formula>
    </cfRule>
    <cfRule type="cellIs" dxfId="166" priority="210" operator="between">
      <formula>20%</formula>
      <formula>39.9%</formula>
    </cfRule>
    <cfRule type="cellIs" dxfId="165" priority="211" operator="between">
      <formula>5%</formula>
      <formula>19.9%</formula>
    </cfRule>
    <cfRule type="cellIs" dxfId="164" priority="212" operator="lessThanOrEqual">
      <formula>4.9%</formula>
    </cfRule>
  </conditionalFormatting>
  <conditionalFormatting sqref="M221">
    <cfRule type="cellIs" dxfId="163" priority="205" operator="greaterThanOrEqual">
      <formula>40%</formula>
    </cfRule>
    <cfRule type="cellIs" dxfId="162" priority="206" operator="between">
      <formula>20%</formula>
      <formula>39.9%</formula>
    </cfRule>
    <cfRule type="cellIs" dxfId="161" priority="207" operator="between">
      <formula>5%</formula>
      <formula>19.9%</formula>
    </cfRule>
    <cfRule type="cellIs" dxfId="160" priority="208" operator="lessThanOrEqual">
      <formula>4.9%</formula>
    </cfRule>
  </conditionalFormatting>
  <conditionalFormatting sqref="M222">
    <cfRule type="cellIs" dxfId="159" priority="201" operator="greaterThanOrEqual">
      <formula>40%</formula>
    </cfRule>
    <cfRule type="cellIs" dxfId="158" priority="202" operator="between">
      <formula>20%</formula>
      <formula>39.9%</formula>
    </cfRule>
    <cfRule type="cellIs" dxfId="157" priority="203" operator="between">
      <formula>5%</formula>
      <formula>19.9%</formula>
    </cfRule>
    <cfRule type="cellIs" dxfId="156" priority="204" operator="lessThanOrEqual">
      <formula>4.9%</formula>
    </cfRule>
  </conditionalFormatting>
  <conditionalFormatting sqref="M223">
    <cfRule type="cellIs" dxfId="155" priority="197" operator="greaterThanOrEqual">
      <formula>40%</formula>
    </cfRule>
    <cfRule type="cellIs" dxfId="154" priority="198" operator="between">
      <formula>20%</formula>
      <formula>39.9%</formula>
    </cfRule>
    <cfRule type="cellIs" dxfId="153" priority="199" operator="between">
      <formula>5%</formula>
      <formula>19.9%</formula>
    </cfRule>
    <cfRule type="cellIs" dxfId="152" priority="200" operator="lessThanOrEqual">
      <formula>4.9%</formula>
    </cfRule>
  </conditionalFormatting>
  <conditionalFormatting sqref="M224">
    <cfRule type="cellIs" dxfId="151" priority="193" operator="greaterThanOrEqual">
      <formula>40%</formula>
    </cfRule>
    <cfRule type="cellIs" dxfId="150" priority="194" operator="between">
      <formula>20%</formula>
      <formula>39.9%</formula>
    </cfRule>
    <cfRule type="cellIs" dxfId="149" priority="195" operator="between">
      <formula>5%</formula>
      <formula>19.9%</formula>
    </cfRule>
    <cfRule type="cellIs" dxfId="148" priority="196" operator="lessThanOrEqual">
      <formula>4.9%</formula>
    </cfRule>
  </conditionalFormatting>
  <conditionalFormatting sqref="M226">
    <cfRule type="cellIs" dxfId="147" priority="189" operator="greaterThanOrEqual">
      <formula>40%</formula>
    </cfRule>
    <cfRule type="cellIs" dxfId="146" priority="190" operator="between">
      <formula>20%</formula>
      <formula>39.9%</formula>
    </cfRule>
    <cfRule type="cellIs" dxfId="145" priority="191" operator="between">
      <formula>5%</formula>
      <formula>19.9%</formula>
    </cfRule>
    <cfRule type="cellIs" dxfId="144" priority="192" operator="lessThanOrEqual">
      <formula>4.9%</formula>
    </cfRule>
  </conditionalFormatting>
  <conditionalFormatting sqref="M225">
    <cfRule type="cellIs" dxfId="143" priority="185" operator="greaterThanOrEqual">
      <formula>40%</formula>
    </cfRule>
    <cfRule type="cellIs" dxfId="142" priority="186" operator="between">
      <formula>20%</formula>
      <formula>39.9%</formula>
    </cfRule>
    <cfRule type="cellIs" dxfId="141" priority="187" operator="between">
      <formula>5%</formula>
      <formula>19.9%</formula>
    </cfRule>
    <cfRule type="cellIs" dxfId="140" priority="188" operator="lessThanOrEqual">
      <formula>4.9%</formula>
    </cfRule>
  </conditionalFormatting>
  <conditionalFormatting sqref="M227">
    <cfRule type="cellIs" dxfId="139" priority="181" operator="greaterThanOrEqual">
      <formula>40%</formula>
    </cfRule>
    <cfRule type="cellIs" dxfId="138" priority="182" operator="between">
      <formula>20%</formula>
      <formula>39.9%</formula>
    </cfRule>
    <cfRule type="cellIs" dxfId="137" priority="183" operator="between">
      <formula>5%</formula>
      <formula>19.9%</formula>
    </cfRule>
    <cfRule type="cellIs" dxfId="136" priority="184" operator="lessThanOrEqual">
      <formula>4.9%</formula>
    </cfRule>
  </conditionalFormatting>
  <conditionalFormatting sqref="N120:N128">
    <cfRule type="cellIs" dxfId="135" priority="169" operator="greaterThanOrEqual">
      <formula>40%</formula>
    </cfRule>
    <cfRule type="cellIs" dxfId="134" priority="170" operator="between">
      <formula>30%</formula>
      <formula>39.9%</formula>
    </cfRule>
    <cfRule type="cellIs" dxfId="133" priority="171" operator="between">
      <formula>20%</formula>
      <formula>29.9%</formula>
    </cfRule>
    <cfRule type="cellIs" dxfId="132" priority="172" operator="lessThanOrEqual">
      <formula>19.9%</formula>
    </cfRule>
  </conditionalFormatting>
  <conditionalFormatting sqref="N129:N148">
    <cfRule type="cellIs" dxfId="131" priority="161" operator="greaterThanOrEqual">
      <formula>40%</formula>
    </cfRule>
    <cfRule type="cellIs" dxfId="130" priority="162" operator="between">
      <formula>30%</formula>
      <formula>39.9%</formula>
    </cfRule>
    <cfRule type="cellIs" dxfId="129" priority="163" operator="between">
      <formula>20%</formula>
      <formula>29.9%</formula>
    </cfRule>
    <cfRule type="cellIs" dxfId="128" priority="164" operator="lessThanOrEqual">
      <formula>19.9%</formula>
    </cfRule>
  </conditionalFormatting>
  <conditionalFormatting sqref="N149:N155">
    <cfRule type="cellIs" dxfId="127" priority="153" operator="greaterThanOrEqual">
      <formula>40%</formula>
    </cfRule>
    <cfRule type="cellIs" dxfId="126" priority="154" operator="between">
      <formula>30%</formula>
      <formula>39.9%</formula>
    </cfRule>
    <cfRule type="cellIs" dxfId="125" priority="155" operator="between">
      <formula>20%</formula>
      <formula>29.9%</formula>
    </cfRule>
    <cfRule type="cellIs" dxfId="124" priority="156" operator="lessThanOrEqual">
      <formula>19.9%</formula>
    </cfRule>
  </conditionalFormatting>
  <conditionalFormatting sqref="N156">
    <cfRule type="cellIs" dxfId="123" priority="149" operator="greaterThanOrEqual">
      <formula>40%</formula>
    </cfRule>
    <cfRule type="cellIs" dxfId="122" priority="150" operator="between">
      <formula>30%</formula>
      <formula>39.9%</formula>
    </cfRule>
    <cfRule type="cellIs" dxfId="121" priority="151" operator="between">
      <formula>20%</formula>
      <formula>29.9%</formula>
    </cfRule>
    <cfRule type="cellIs" dxfId="120" priority="152" operator="lessThanOrEqual">
      <formula>19.9%</formula>
    </cfRule>
  </conditionalFormatting>
  <conditionalFormatting sqref="N157:N158">
    <cfRule type="cellIs" dxfId="119" priority="145" operator="greaterThanOrEqual">
      <formula>40%</formula>
    </cfRule>
    <cfRule type="cellIs" dxfId="118" priority="146" operator="between">
      <formula>30%</formula>
      <formula>39.9%</formula>
    </cfRule>
    <cfRule type="cellIs" dxfId="117" priority="147" operator="between">
      <formula>20%</formula>
      <formula>29.9%</formula>
    </cfRule>
    <cfRule type="cellIs" dxfId="116" priority="148" operator="lessThanOrEqual">
      <formula>19.9%</formula>
    </cfRule>
  </conditionalFormatting>
  <conditionalFormatting sqref="N159:N172">
    <cfRule type="cellIs" dxfId="115" priority="141" operator="greaterThanOrEqual">
      <formula>40%</formula>
    </cfRule>
    <cfRule type="cellIs" dxfId="114" priority="142" operator="between">
      <formula>30%</formula>
      <formula>39.9%</formula>
    </cfRule>
    <cfRule type="cellIs" dxfId="113" priority="143" operator="between">
      <formula>20%</formula>
      <formula>29.9%</formula>
    </cfRule>
    <cfRule type="cellIs" dxfId="112" priority="144" operator="lessThanOrEqual">
      <formula>19.9%</formula>
    </cfRule>
  </conditionalFormatting>
  <conditionalFormatting sqref="N173">
    <cfRule type="cellIs" dxfId="111" priority="133" operator="greaterThanOrEqual">
      <formula>40%</formula>
    </cfRule>
    <cfRule type="cellIs" dxfId="110" priority="134" operator="between">
      <formula>30%</formula>
      <formula>39.9%</formula>
    </cfRule>
    <cfRule type="cellIs" dxfId="109" priority="135" operator="between">
      <formula>20%</formula>
      <formula>29.9%</formula>
    </cfRule>
    <cfRule type="cellIs" dxfId="108" priority="136" operator="lessThanOrEqual">
      <formula>19.9%</formula>
    </cfRule>
  </conditionalFormatting>
  <conditionalFormatting sqref="N174">
    <cfRule type="cellIs" dxfId="107" priority="129" operator="greaterThanOrEqual">
      <formula>40%</formula>
    </cfRule>
    <cfRule type="cellIs" dxfId="106" priority="130" operator="between">
      <formula>30%</formula>
      <formula>39.9%</formula>
    </cfRule>
    <cfRule type="cellIs" dxfId="105" priority="131" operator="between">
      <formula>20%</formula>
      <formula>29.9%</formula>
    </cfRule>
    <cfRule type="cellIs" dxfId="104" priority="132" operator="lessThanOrEqual">
      <formula>19.9%</formula>
    </cfRule>
  </conditionalFormatting>
  <conditionalFormatting sqref="N175">
    <cfRule type="cellIs" dxfId="103" priority="121" operator="greaterThanOrEqual">
      <formula>40%</formula>
    </cfRule>
    <cfRule type="cellIs" dxfId="102" priority="122" operator="between">
      <formula>30%</formula>
      <formula>39.9%</formula>
    </cfRule>
    <cfRule type="cellIs" dxfId="101" priority="123" operator="between">
      <formula>20%</formula>
      <formula>29.9%</formula>
    </cfRule>
    <cfRule type="cellIs" dxfId="100" priority="124" operator="lessThanOrEqual">
      <formula>19.9%</formula>
    </cfRule>
  </conditionalFormatting>
  <conditionalFormatting sqref="N177">
    <cfRule type="cellIs" dxfId="99" priority="113" operator="greaterThanOrEqual">
      <formula>40%</formula>
    </cfRule>
    <cfRule type="cellIs" dxfId="98" priority="114" operator="between">
      <formula>30%</formula>
      <formula>39.9%</formula>
    </cfRule>
    <cfRule type="cellIs" dxfId="97" priority="115" operator="between">
      <formula>20%</formula>
      <formula>29.9%</formula>
    </cfRule>
    <cfRule type="cellIs" dxfId="96" priority="116" operator="lessThanOrEqual">
      <formula>19.9%</formula>
    </cfRule>
  </conditionalFormatting>
  <conditionalFormatting sqref="N176">
    <cfRule type="cellIs" dxfId="95" priority="109" operator="greaterThanOrEqual">
      <formula>40%</formula>
    </cfRule>
    <cfRule type="cellIs" dxfId="94" priority="110" operator="between">
      <formula>30%</formula>
      <formula>39.9%</formula>
    </cfRule>
    <cfRule type="cellIs" dxfId="93" priority="111" operator="between">
      <formula>20%</formula>
      <formula>29.9%</formula>
    </cfRule>
    <cfRule type="cellIs" dxfId="92" priority="112" operator="lessThanOrEqual">
      <formula>19.9%</formula>
    </cfRule>
  </conditionalFormatting>
  <conditionalFormatting sqref="N178">
    <cfRule type="cellIs" dxfId="91" priority="101" operator="greaterThanOrEqual">
      <formula>40%</formula>
    </cfRule>
    <cfRule type="cellIs" dxfId="90" priority="102" operator="between">
      <formula>30%</formula>
      <formula>39.9%</formula>
    </cfRule>
    <cfRule type="cellIs" dxfId="89" priority="103" operator="between">
      <formula>20%</formula>
      <formula>29.9%</formula>
    </cfRule>
    <cfRule type="cellIs" dxfId="88" priority="104" operator="lessThanOrEqual">
      <formula>19.9%</formula>
    </cfRule>
  </conditionalFormatting>
  <conditionalFormatting sqref="N179">
    <cfRule type="cellIs" dxfId="87" priority="89" operator="greaterThanOrEqual">
      <formula>40%</formula>
    </cfRule>
    <cfRule type="cellIs" dxfId="86" priority="90" operator="between">
      <formula>30%</formula>
      <formula>39.9%</formula>
    </cfRule>
    <cfRule type="cellIs" dxfId="85" priority="91" operator="between">
      <formula>20%</formula>
      <formula>29.9%</formula>
    </cfRule>
    <cfRule type="cellIs" dxfId="84" priority="92" operator="lessThanOrEqual">
      <formula>19.9%</formula>
    </cfRule>
  </conditionalFormatting>
  <conditionalFormatting sqref="N181">
    <cfRule type="cellIs" dxfId="83" priority="85" operator="greaterThanOrEqual">
      <formula>40%</formula>
    </cfRule>
    <cfRule type="cellIs" dxfId="82" priority="86" operator="between">
      <formula>30%</formula>
      <formula>39.9%</formula>
    </cfRule>
    <cfRule type="cellIs" dxfId="81" priority="87" operator="between">
      <formula>20%</formula>
      <formula>29.9%</formula>
    </cfRule>
    <cfRule type="cellIs" dxfId="80" priority="88" operator="lessThanOrEqual">
      <formula>19.9%</formula>
    </cfRule>
  </conditionalFormatting>
  <conditionalFormatting sqref="N180">
    <cfRule type="cellIs" dxfId="79" priority="81" operator="greaterThanOrEqual">
      <formula>40%</formula>
    </cfRule>
    <cfRule type="cellIs" dxfId="78" priority="82" operator="between">
      <formula>30%</formula>
      <formula>39.9%</formula>
    </cfRule>
    <cfRule type="cellIs" dxfId="77" priority="83" operator="between">
      <formula>20%</formula>
      <formula>29.9%</formula>
    </cfRule>
    <cfRule type="cellIs" dxfId="76" priority="84" operator="lessThanOrEqual">
      <formula>19.9%</formula>
    </cfRule>
  </conditionalFormatting>
  <conditionalFormatting sqref="N182">
    <cfRule type="cellIs" dxfId="75" priority="77" operator="greaterThanOrEqual">
      <formula>40%</formula>
    </cfRule>
    <cfRule type="cellIs" dxfId="74" priority="78" operator="between">
      <formula>30%</formula>
      <formula>39.9%</formula>
    </cfRule>
    <cfRule type="cellIs" dxfId="73" priority="79" operator="between">
      <formula>20%</formula>
      <formula>29.9%</formula>
    </cfRule>
    <cfRule type="cellIs" dxfId="72" priority="80" operator="lessThanOrEqual">
      <formula>19.9%</formula>
    </cfRule>
  </conditionalFormatting>
  <conditionalFormatting sqref="N183">
    <cfRule type="cellIs" dxfId="71" priority="73" operator="greaterThanOrEqual">
      <formula>40%</formula>
    </cfRule>
    <cfRule type="cellIs" dxfId="70" priority="74" operator="between">
      <formula>30%</formula>
      <formula>39.9%</formula>
    </cfRule>
    <cfRule type="cellIs" dxfId="69" priority="75" operator="between">
      <formula>20%</formula>
      <formula>29.9%</formula>
    </cfRule>
    <cfRule type="cellIs" dxfId="68" priority="76" operator="lessThanOrEqual">
      <formula>19.9%</formula>
    </cfRule>
  </conditionalFormatting>
  <conditionalFormatting sqref="N184">
    <cfRule type="cellIs" dxfId="67" priority="69" operator="greaterThanOrEqual">
      <formula>40%</formula>
    </cfRule>
    <cfRule type="cellIs" dxfId="66" priority="70" operator="between">
      <formula>30%</formula>
      <formula>39.9%</formula>
    </cfRule>
    <cfRule type="cellIs" dxfId="65" priority="71" operator="between">
      <formula>20%</formula>
      <formula>29.9%</formula>
    </cfRule>
    <cfRule type="cellIs" dxfId="64" priority="72" operator="lessThanOrEqual">
      <formula>19.9%</formula>
    </cfRule>
  </conditionalFormatting>
  <conditionalFormatting sqref="N185:N188">
    <cfRule type="cellIs" dxfId="63" priority="65" operator="greaterThanOrEqual">
      <formula>40%</formula>
    </cfRule>
    <cfRule type="cellIs" dxfId="62" priority="66" operator="between">
      <formula>30%</formula>
      <formula>39.9%</formula>
    </cfRule>
    <cfRule type="cellIs" dxfId="61" priority="67" operator="between">
      <formula>20%</formula>
      <formula>29.9%</formula>
    </cfRule>
    <cfRule type="cellIs" dxfId="60" priority="68" operator="lessThanOrEqual">
      <formula>19.9%</formula>
    </cfRule>
  </conditionalFormatting>
  <conditionalFormatting sqref="N189">
    <cfRule type="cellIs" dxfId="59" priority="61" operator="greaterThanOrEqual">
      <formula>40%</formula>
    </cfRule>
    <cfRule type="cellIs" dxfId="58" priority="62" operator="between">
      <formula>30%</formula>
      <formula>39.9%</formula>
    </cfRule>
    <cfRule type="cellIs" dxfId="57" priority="63" operator="between">
      <formula>20%</formula>
      <formula>29.9%</formula>
    </cfRule>
    <cfRule type="cellIs" dxfId="56" priority="64" operator="lessThanOrEqual">
      <formula>19.9%</formula>
    </cfRule>
  </conditionalFormatting>
  <conditionalFormatting sqref="N190">
    <cfRule type="cellIs" dxfId="55" priority="53" operator="greaterThanOrEqual">
      <formula>40%</formula>
    </cfRule>
    <cfRule type="cellIs" dxfId="54" priority="54" operator="between">
      <formula>30%</formula>
      <formula>39.9%</formula>
    </cfRule>
    <cfRule type="cellIs" dxfId="53" priority="55" operator="between">
      <formula>20%</formula>
      <formula>29.9%</formula>
    </cfRule>
    <cfRule type="cellIs" dxfId="52" priority="56" operator="lessThanOrEqual">
      <formula>19.9%</formula>
    </cfRule>
  </conditionalFormatting>
  <conditionalFormatting sqref="N191">
    <cfRule type="cellIs" dxfId="51" priority="49" operator="greaterThanOrEqual">
      <formula>40%</formula>
    </cfRule>
    <cfRule type="cellIs" dxfId="50" priority="50" operator="between">
      <formula>30%</formula>
      <formula>39.9%</formula>
    </cfRule>
    <cfRule type="cellIs" dxfId="49" priority="51" operator="between">
      <formula>20%</formula>
      <formula>29.9%</formula>
    </cfRule>
    <cfRule type="cellIs" dxfId="48" priority="52" operator="lessThanOrEqual">
      <formula>19.9%</formula>
    </cfRule>
  </conditionalFormatting>
  <conditionalFormatting sqref="N192:N201">
    <cfRule type="cellIs" dxfId="47" priority="45" operator="greaterThanOrEqual">
      <formula>40%</formula>
    </cfRule>
    <cfRule type="cellIs" dxfId="46" priority="46" operator="between">
      <formula>30%</formula>
      <formula>39.9%</formula>
    </cfRule>
    <cfRule type="cellIs" dxfId="45" priority="47" operator="between">
      <formula>20%</formula>
      <formula>29.9%</formula>
    </cfRule>
    <cfRule type="cellIs" dxfId="44" priority="48" operator="lessThanOrEqual">
      <formula>19.9%</formula>
    </cfRule>
  </conditionalFormatting>
  <conditionalFormatting sqref="N202">
    <cfRule type="cellIs" dxfId="43" priority="41" operator="greaterThanOrEqual">
      <formula>40%</formula>
    </cfRule>
    <cfRule type="cellIs" dxfId="42" priority="42" operator="between">
      <formula>30%</formula>
      <formula>39.9%</formula>
    </cfRule>
    <cfRule type="cellIs" dxfId="41" priority="43" operator="between">
      <formula>20%</formula>
      <formula>29.9%</formula>
    </cfRule>
    <cfRule type="cellIs" dxfId="40" priority="44" operator="lessThanOrEqual">
      <formula>19.9%</formula>
    </cfRule>
  </conditionalFormatting>
  <conditionalFormatting sqref="N203">
    <cfRule type="cellIs" dxfId="39" priority="37" operator="greaterThanOrEqual">
      <formula>40%</formula>
    </cfRule>
    <cfRule type="cellIs" dxfId="38" priority="38" operator="between">
      <formula>30%</formula>
      <formula>39.9%</formula>
    </cfRule>
    <cfRule type="cellIs" dxfId="37" priority="39" operator="between">
      <formula>20%</formula>
      <formula>29.9%</formula>
    </cfRule>
    <cfRule type="cellIs" dxfId="36" priority="40" operator="lessThanOrEqual">
      <formula>19.9%</formula>
    </cfRule>
  </conditionalFormatting>
  <conditionalFormatting sqref="N208:N212">
    <cfRule type="cellIs" dxfId="35" priority="33" operator="greaterThanOrEqual">
      <formula>40%</formula>
    </cfRule>
    <cfRule type="cellIs" dxfId="34" priority="34" operator="between">
      <formula>30%</formula>
      <formula>39.9%</formula>
    </cfRule>
    <cfRule type="cellIs" dxfId="33" priority="35" operator="between">
      <formula>20%</formula>
      <formula>29.9%</formula>
    </cfRule>
    <cfRule type="cellIs" dxfId="32" priority="36" operator="lessThanOrEqual">
      <formula>19.9%</formula>
    </cfRule>
  </conditionalFormatting>
  <conditionalFormatting sqref="N213:N217">
    <cfRule type="cellIs" dxfId="31" priority="29" operator="greaterThanOrEqual">
      <formula>40%</formula>
    </cfRule>
    <cfRule type="cellIs" dxfId="30" priority="30" operator="between">
      <formula>30%</formula>
      <formula>39.9%</formula>
    </cfRule>
    <cfRule type="cellIs" dxfId="29" priority="31" operator="between">
      <formula>20%</formula>
      <formula>29.9%</formula>
    </cfRule>
    <cfRule type="cellIs" dxfId="28" priority="32" operator="lessThanOrEqual">
      <formula>19.9%</formula>
    </cfRule>
  </conditionalFormatting>
  <conditionalFormatting sqref="N218:N221">
    <cfRule type="cellIs" dxfId="27" priority="25" operator="greaterThanOrEqual">
      <formula>40%</formula>
    </cfRule>
    <cfRule type="cellIs" dxfId="26" priority="26" operator="between">
      <formula>30%</formula>
      <formula>39.9%</formula>
    </cfRule>
    <cfRule type="cellIs" dxfId="25" priority="27" operator="between">
      <formula>20%</formula>
      <formula>29.9%</formula>
    </cfRule>
    <cfRule type="cellIs" dxfId="24" priority="28" operator="lessThanOrEqual">
      <formula>19.9%</formula>
    </cfRule>
  </conditionalFormatting>
  <conditionalFormatting sqref="N222">
    <cfRule type="cellIs" dxfId="23" priority="21" operator="greaterThanOrEqual">
      <formula>40%</formula>
    </cfRule>
    <cfRule type="cellIs" dxfId="22" priority="22" operator="between">
      <formula>30%</formula>
      <formula>39.9%</formula>
    </cfRule>
    <cfRule type="cellIs" dxfId="21" priority="23" operator="between">
      <formula>20%</formula>
      <formula>29.9%</formula>
    </cfRule>
    <cfRule type="cellIs" dxfId="20" priority="24" operator="lessThanOrEqual">
      <formula>19.9%</formula>
    </cfRule>
  </conditionalFormatting>
  <conditionalFormatting sqref="N223">
    <cfRule type="cellIs" dxfId="19" priority="17" operator="greaterThanOrEqual">
      <formula>40%</formula>
    </cfRule>
    <cfRule type="cellIs" dxfId="18" priority="18" operator="between">
      <formula>30%</formula>
      <formula>39.9%</formula>
    </cfRule>
    <cfRule type="cellIs" dxfId="17" priority="19" operator="between">
      <formula>20%</formula>
      <formula>29.9%</formula>
    </cfRule>
    <cfRule type="cellIs" dxfId="16" priority="20" operator="lessThanOrEqual">
      <formula>19.9%</formula>
    </cfRule>
  </conditionalFormatting>
  <conditionalFormatting sqref="N224">
    <cfRule type="cellIs" dxfId="15" priority="13" operator="greaterThanOrEqual">
      <formula>40%</formula>
    </cfRule>
    <cfRule type="cellIs" dxfId="14" priority="14" operator="between">
      <formula>30%</formula>
      <formula>39.9%</formula>
    </cfRule>
    <cfRule type="cellIs" dxfId="13" priority="15" operator="between">
      <formula>20%</formula>
      <formula>29.9%</formula>
    </cfRule>
    <cfRule type="cellIs" dxfId="12" priority="16" operator="lessThanOrEqual">
      <formula>19.9%</formula>
    </cfRule>
  </conditionalFormatting>
  <conditionalFormatting sqref="N226">
    <cfRule type="cellIs" dxfId="11" priority="9" operator="greaterThanOrEqual">
      <formula>40%</formula>
    </cfRule>
    <cfRule type="cellIs" dxfId="10" priority="10" operator="between">
      <formula>30%</formula>
      <formula>39.9%</formula>
    </cfRule>
    <cfRule type="cellIs" dxfId="9" priority="11" operator="between">
      <formula>20%</formula>
      <formula>29.9%</formula>
    </cfRule>
    <cfRule type="cellIs" dxfId="8" priority="12" operator="lessThanOrEqual">
      <formula>19.9%</formula>
    </cfRule>
  </conditionalFormatting>
  <conditionalFormatting sqref="N225">
    <cfRule type="cellIs" dxfId="7" priority="5" operator="greaterThanOrEqual">
      <formula>40%</formula>
    </cfRule>
    <cfRule type="cellIs" dxfId="6" priority="6" operator="between">
      <formula>30%</formula>
      <formula>39.9%</formula>
    </cfRule>
    <cfRule type="cellIs" dxfId="5" priority="7" operator="between">
      <formula>20%</formula>
      <formula>29.9%</formula>
    </cfRule>
    <cfRule type="cellIs" dxfId="4" priority="8" operator="lessThanOrEqual">
      <formula>19.9%</formula>
    </cfRule>
  </conditionalFormatting>
  <conditionalFormatting sqref="N227:N229">
    <cfRule type="cellIs" dxfId="3" priority="1" operator="greaterThanOrEqual">
      <formula>40%</formula>
    </cfRule>
    <cfRule type="cellIs" dxfId="2" priority="2" operator="between">
      <formula>30%</formula>
      <formula>39.9%</formula>
    </cfRule>
    <cfRule type="cellIs" dxfId="1" priority="3" operator="between">
      <formula>20%</formula>
      <formula>29.9%</formula>
    </cfRule>
    <cfRule type="cellIs" dxfId="0" priority="4" operator="lessThanOrEqual">
      <formula>19.9%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0"/>
  <sheetViews>
    <sheetView topLeftCell="A103" workbookViewId="0">
      <selection activeCell="I69" sqref="I69"/>
    </sheetView>
  </sheetViews>
  <sheetFormatPr baseColWidth="10" defaultRowHeight="15" x14ac:dyDescent="0.25"/>
  <cols>
    <col min="2" max="2" width="15.85546875" customWidth="1"/>
    <col min="3" max="3" width="18.85546875" customWidth="1"/>
    <col min="4" max="4" width="15.28515625" customWidth="1"/>
    <col min="5" max="5" width="16" customWidth="1"/>
    <col min="6" max="6" width="17.5703125" customWidth="1"/>
    <col min="7" max="7" width="15.5703125" customWidth="1"/>
    <col min="8" max="8" width="15.7109375" customWidth="1"/>
    <col min="9" max="9" width="15.5703125" customWidth="1"/>
    <col min="10" max="10" width="16" customWidth="1"/>
    <col min="11" max="11" width="15.5703125" customWidth="1"/>
    <col min="12" max="12" width="18.42578125" customWidth="1"/>
    <col min="13" max="13" width="16.5703125" customWidth="1"/>
    <col min="14" max="14" width="8.85546875" customWidth="1"/>
    <col min="18" max="18" width="24.28515625" customWidth="1"/>
    <col min="19" max="19" width="17.42578125" bestFit="1" customWidth="1"/>
    <col min="20" max="29" width="15.5703125" bestFit="1" customWidth="1"/>
  </cols>
  <sheetData>
    <row r="1" spans="2:6" x14ac:dyDescent="0.25">
      <c r="B1" t="s">
        <v>1851</v>
      </c>
    </row>
    <row r="3" spans="2:6" ht="38.25" x14ac:dyDescent="0.25">
      <c r="B3" s="1232" t="s">
        <v>1532</v>
      </c>
      <c r="C3" s="1233" t="s">
        <v>1533</v>
      </c>
      <c r="D3" s="1233" t="s">
        <v>1534</v>
      </c>
      <c r="E3" s="1233" t="s">
        <v>1535</v>
      </c>
      <c r="F3" s="1233" t="s">
        <v>1536</v>
      </c>
    </row>
    <row r="4" spans="2:6" x14ac:dyDescent="0.25">
      <c r="E4" s="1234"/>
    </row>
    <row r="5" spans="2:6" x14ac:dyDescent="0.25">
      <c r="B5" s="1235" t="s">
        <v>1537</v>
      </c>
      <c r="C5" s="1236">
        <v>1</v>
      </c>
      <c r="D5" s="1237">
        <f>D6</f>
        <v>2448072.7799999998</v>
      </c>
      <c r="E5" s="1238"/>
      <c r="F5" s="1243">
        <f>F6</f>
        <v>2074637.9491525423</v>
      </c>
    </row>
    <row r="6" spans="2:6" x14ac:dyDescent="0.25">
      <c r="B6" s="1239" t="s">
        <v>1538</v>
      </c>
      <c r="C6" s="1240"/>
      <c r="D6" s="1925">
        <v>2448072.7799999998</v>
      </c>
      <c r="E6" s="1242">
        <v>0.84745762711864414</v>
      </c>
      <c r="F6" s="1928">
        <f>D6*E6</f>
        <v>2074637.9491525423</v>
      </c>
    </row>
    <row r="7" spans="2:6" x14ac:dyDescent="0.25">
      <c r="B7" s="1239" t="s">
        <v>1539</v>
      </c>
      <c r="C7" s="1244"/>
      <c r="D7" s="1926"/>
      <c r="E7" s="1245"/>
      <c r="F7" s="1929"/>
    </row>
    <row r="8" spans="2:6" x14ac:dyDescent="0.25">
      <c r="B8" s="1239" t="s">
        <v>1540</v>
      </c>
      <c r="C8" s="1244"/>
      <c r="D8" s="1926"/>
      <c r="E8" s="1242">
        <v>0.97</v>
      </c>
      <c r="F8" s="1929"/>
    </row>
    <row r="9" spans="2:6" x14ac:dyDescent="0.25">
      <c r="B9" s="1239" t="s">
        <v>1541</v>
      </c>
      <c r="C9" s="1244"/>
      <c r="D9" s="1926"/>
      <c r="E9" s="1242">
        <v>0.97</v>
      </c>
      <c r="F9" s="1929"/>
    </row>
    <row r="10" spans="2:6" x14ac:dyDescent="0.25">
      <c r="B10" s="1239" t="s">
        <v>1542</v>
      </c>
      <c r="C10" s="1244"/>
      <c r="D10" s="1927"/>
      <c r="E10" s="1242">
        <v>0.97</v>
      </c>
      <c r="F10" s="1929"/>
    </row>
    <row r="11" spans="2:6" x14ac:dyDescent="0.25">
      <c r="B11" s="1239" t="s">
        <v>1543</v>
      </c>
      <c r="C11" s="1244"/>
      <c r="D11" s="1241">
        <v>0</v>
      </c>
      <c r="E11" s="1242">
        <v>0.66</v>
      </c>
      <c r="F11" s="1930"/>
    </row>
    <row r="12" spans="2:6" x14ac:dyDescent="0.25">
      <c r="B12" s="1246" t="s">
        <v>1544</v>
      </c>
      <c r="C12" s="1236">
        <v>1</v>
      </c>
      <c r="D12" s="1247">
        <f>SUM(D13:D18)</f>
        <v>984989.6</v>
      </c>
      <c r="E12" s="1238"/>
      <c r="F12" s="1243">
        <f>SUM(F13:F18)</f>
        <v>834736.94915254239</v>
      </c>
    </row>
    <row r="13" spans="2:6" x14ac:dyDescent="0.25">
      <c r="B13" s="1248" t="s">
        <v>1545</v>
      </c>
      <c r="C13" s="1249"/>
      <c r="D13" s="1250">
        <v>372035.5</v>
      </c>
      <c r="E13" s="1242">
        <v>0.84745762711864414</v>
      </c>
      <c r="F13" s="1243">
        <f>D13*E13</f>
        <v>315284.32203389832</v>
      </c>
    </row>
    <row r="14" spans="2:6" x14ac:dyDescent="0.25">
      <c r="B14" s="1248" t="s">
        <v>1546</v>
      </c>
      <c r="C14" s="1249"/>
      <c r="D14" s="1251">
        <v>41520</v>
      </c>
      <c r="E14" s="1242">
        <v>0.84745762711864414</v>
      </c>
      <c r="F14" s="1243">
        <f t="shared" ref="F14:F18" si="0">D14*E14</f>
        <v>35186.440677966108</v>
      </c>
    </row>
    <row r="15" spans="2:6" x14ac:dyDescent="0.25">
      <c r="B15" s="1248" t="s">
        <v>1547</v>
      </c>
      <c r="C15" s="1249"/>
      <c r="D15" s="1251">
        <v>90000</v>
      </c>
      <c r="E15" s="1242">
        <v>0.84745762711864414</v>
      </c>
      <c r="F15" s="1243">
        <f t="shared" si="0"/>
        <v>76271.186440677979</v>
      </c>
    </row>
    <row r="16" spans="2:6" x14ac:dyDescent="0.25">
      <c r="B16" s="1252" t="s">
        <v>1548</v>
      </c>
      <c r="C16" s="1249"/>
      <c r="D16" s="1251">
        <v>251434.1</v>
      </c>
      <c r="E16" s="1242">
        <v>0.84745762711864414</v>
      </c>
      <c r="F16" s="1243">
        <f t="shared" si="0"/>
        <v>213079.74576271189</v>
      </c>
    </row>
    <row r="17" spans="2:6" x14ac:dyDescent="0.25">
      <c r="B17" s="1252" t="s">
        <v>702</v>
      </c>
      <c r="C17" s="1249"/>
      <c r="D17" s="1251">
        <v>30000</v>
      </c>
      <c r="E17" s="1242">
        <v>0.84745762711864414</v>
      </c>
      <c r="F17" s="1243">
        <f t="shared" si="0"/>
        <v>25423.728813559323</v>
      </c>
    </row>
    <row r="18" spans="2:6" ht="15.75" thickBot="1" x14ac:dyDescent="0.3">
      <c r="B18" s="1252" t="s">
        <v>507</v>
      </c>
      <c r="C18" s="1249"/>
      <c r="D18" s="1253">
        <v>200000</v>
      </c>
      <c r="E18" s="1242">
        <v>0.84745762711864414</v>
      </c>
      <c r="F18" s="1243">
        <f t="shared" si="0"/>
        <v>169491.52542372883</v>
      </c>
    </row>
    <row r="19" spans="2:6" ht="15.75" thickBot="1" x14ac:dyDescent="0.3">
      <c r="B19" s="1254" t="s">
        <v>285</v>
      </c>
      <c r="C19" s="1255"/>
      <c r="D19" s="1256">
        <f>D12+D5</f>
        <v>3433062.38</v>
      </c>
      <c r="E19" s="1257"/>
      <c r="F19" s="1258">
        <f>F5+F12</f>
        <v>2909374.8983050846</v>
      </c>
    </row>
    <row r="22" spans="2:6" ht="38.25" x14ac:dyDescent="0.25">
      <c r="C22" s="1233" t="s">
        <v>1549</v>
      </c>
      <c r="D22" s="1233" t="s">
        <v>1534</v>
      </c>
      <c r="E22" s="1259" t="s">
        <v>1550</v>
      </c>
      <c r="F22" s="1233" t="s">
        <v>1536</v>
      </c>
    </row>
    <row r="23" spans="2:6" ht="15.75" thickBot="1" x14ac:dyDescent="0.3"/>
    <row r="24" spans="2:6" ht="39" thickBot="1" x14ac:dyDescent="0.3">
      <c r="B24" s="1562" t="s">
        <v>1551</v>
      </c>
      <c r="C24" s="1260"/>
      <c r="D24" s="1261">
        <v>730900</v>
      </c>
      <c r="E24" s="1262"/>
      <c r="F24" s="1261">
        <v>625462.54915254237</v>
      </c>
    </row>
    <row r="25" spans="2:6" x14ac:dyDescent="0.25">
      <c r="B25" s="1563" t="s">
        <v>1482</v>
      </c>
      <c r="C25" s="1263"/>
      <c r="D25" s="1564">
        <v>98400</v>
      </c>
      <c r="E25" s="1565"/>
      <c r="F25" s="1566">
        <v>89445.6</v>
      </c>
    </row>
    <row r="26" spans="2:6" x14ac:dyDescent="0.25">
      <c r="B26" s="1239" t="s">
        <v>1540</v>
      </c>
      <c r="C26" s="1567">
        <v>98400</v>
      </c>
      <c r="D26" s="1919">
        <v>98400</v>
      </c>
      <c r="E26" s="1568">
        <v>0.90900000000000003</v>
      </c>
      <c r="F26" s="1569">
        <v>89445.6</v>
      </c>
    </row>
    <row r="27" spans="2:6" x14ac:dyDescent="0.25">
      <c r="B27" s="1239" t="s">
        <v>1541</v>
      </c>
      <c r="C27" s="1570"/>
      <c r="D27" s="1920"/>
      <c r="E27" s="1565"/>
      <c r="F27" s="1569">
        <v>0</v>
      </c>
    </row>
    <row r="28" spans="2:6" x14ac:dyDescent="0.25">
      <c r="B28" s="1239" t="s">
        <v>1552</v>
      </c>
      <c r="C28" s="1567"/>
      <c r="D28" s="1921"/>
      <c r="E28" s="1565">
        <v>0.90900000000000003</v>
      </c>
      <c r="F28" s="1569">
        <v>0</v>
      </c>
    </row>
    <row r="29" spans="2:6" x14ac:dyDescent="0.25">
      <c r="B29" s="1563" t="s">
        <v>1483</v>
      </c>
      <c r="C29" s="1263"/>
      <c r="D29" s="1266">
        <v>16800</v>
      </c>
      <c r="E29" s="1238"/>
      <c r="F29" s="1243">
        <v>14237.288135593222</v>
      </c>
    </row>
    <row r="30" spans="2:6" x14ac:dyDescent="0.25">
      <c r="B30" s="1239" t="s">
        <v>1538</v>
      </c>
      <c r="C30" s="1567">
        <v>1680</v>
      </c>
      <c r="D30" s="1919">
        <v>16800</v>
      </c>
      <c r="E30" s="1242">
        <v>0.84745762711864414</v>
      </c>
      <c r="F30" s="1243">
        <v>14237.288135593222</v>
      </c>
    </row>
    <row r="31" spans="2:6" x14ac:dyDescent="0.25">
      <c r="B31" s="1239" t="s">
        <v>1553</v>
      </c>
      <c r="C31" s="1571"/>
      <c r="D31" s="1920"/>
      <c r="E31" s="1245"/>
      <c r="F31" s="1243"/>
    </row>
    <row r="32" spans="2:6" x14ac:dyDescent="0.25">
      <c r="B32" s="1239" t="s">
        <v>1540</v>
      </c>
      <c r="C32" s="1571"/>
      <c r="D32" s="1920"/>
      <c r="E32" s="1242">
        <v>1</v>
      </c>
      <c r="F32" s="1243"/>
    </row>
    <row r="33" spans="2:6" x14ac:dyDescent="0.25">
      <c r="B33" s="1239" t="s">
        <v>1541</v>
      </c>
      <c r="C33" s="1571"/>
      <c r="D33" s="1920"/>
      <c r="E33" s="1245"/>
      <c r="F33" s="1243"/>
    </row>
    <row r="34" spans="2:6" x14ac:dyDescent="0.25">
      <c r="B34" s="1239" t="s">
        <v>1552</v>
      </c>
      <c r="C34" s="1571"/>
      <c r="D34" s="1920"/>
      <c r="E34" s="1245"/>
      <c r="F34" s="1243"/>
    </row>
    <row r="35" spans="2:6" x14ac:dyDescent="0.25">
      <c r="B35" s="1239" t="s">
        <v>838</v>
      </c>
      <c r="C35" s="1571"/>
      <c r="D35" s="1921"/>
      <c r="E35" s="1242">
        <v>0.66</v>
      </c>
      <c r="F35" s="1243"/>
    </row>
    <row r="36" spans="2:6" x14ac:dyDescent="0.25">
      <c r="B36" s="1563" t="s">
        <v>1472</v>
      </c>
      <c r="C36" s="1572"/>
      <c r="D36" s="1266">
        <v>151200</v>
      </c>
      <c r="E36" s="1238"/>
      <c r="F36" s="1243">
        <v>128135.593220339</v>
      </c>
    </row>
    <row r="37" spans="2:6" x14ac:dyDescent="0.25">
      <c r="B37" s="1239" t="s">
        <v>1538</v>
      </c>
      <c r="C37" s="1573">
        <v>15120</v>
      </c>
      <c r="D37" s="1919">
        <v>151200</v>
      </c>
      <c r="E37" s="1574">
        <v>0.84745762711864414</v>
      </c>
      <c r="F37" s="1243">
        <v>128135.593220339</v>
      </c>
    </row>
    <row r="38" spans="2:6" x14ac:dyDescent="0.25">
      <c r="B38" s="1239" t="s">
        <v>1553</v>
      </c>
      <c r="C38" s="1575"/>
      <c r="D38" s="1920"/>
      <c r="E38" s="1565"/>
      <c r="F38" s="1243"/>
    </row>
    <row r="39" spans="2:6" x14ac:dyDescent="0.25">
      <c r="B39" s="1239" t="s">
        <v>1540</v>
      </c>
      <c r="C39" s="1575"/>
      <c r="D39" s="1920"/>
      <c r="E39" s="1574">
        <v>1</v>
      </c>
      <c r="F39" s="1243"/>
    </row>
    <row r="40" spans="2:6" x14ac:dyDescent="0.25">
      <c r="B40" s="1239" t="s">
        <v>1541</v>
      </c>
      <c r="C40" s="1575"/>
      <c r="D40" s="1920"/>
      <c r="E40" s="1565"/>
      <c r="F40" s="1243"/>
    </row>
    <row r="41" spans="2:6" x14ac:dyDescent="0.25">
      <c r="B41" s="1239" t="s">
        <v>1552</v>
      </c>
      <c r="C41" s="1575"/>
      <c r="D41" s="1920"/>
      <c r="E41" s="1565"/>
      <c r="F41" s="1243"/>
    </row>
    <row r="42" spans="2:6" x14ac:dyDescent="0.25">
      <c r="B42" s="1239" t="s">
        <v>838</v>
      </c>
      <c r="C42" s="1575"/>
      <c r="D42" s="1921"/>
      <c r="E42" s="1574">
        <v>0.66</v>
      </c>
      <c r="F42" s="1243"/>
    </row>
    <row r="43" spans="2:6" x14ac:dyDescent="0.25">
      <c r="B43" s="1563" t="s">
        <v>507</v>
      </c>
      <c r="C43" s="1263"/>
      <c r="D43" s="1266"/>
      <c r="E43" s="1238"/>
      <c r="F43" s="1243">
        <v>0</v>
      </c>
    </row>
    <row r="44" spans="2:6" x14ac:dyDescent="0.25">
      <c r="B44" s="1239" t="s">
        <v>1538</v>
      </c>
      <c r="C44" s="1264"/>
      <c r="D44" s="1265"/>
      <c r="E44" s="1242">
        <v>0.84745762711864414</v>
      </c>
      <c r="F44" s="1243">
        <v>0</v>
      </c>
    </row>
    <row r="45" spans="2:6" x14ac:dyDescent="0.25">
      <c r="B45" s="1239" t="s">
        <v>1553</v>
      </c>
      <c r="C45" s="1267"/>
      <c r="D45" s="1268"/>
      <c r="E45" s="1245"/>
      <c r="F45" s="1243"/>
    </row>
    <row r="46" spans="2:6" x14ac:dyDescent="0.25">
      <c r="B46" s="1239" t="s">
        <v>1540</v>
      </c>
      <c r="C46" s="1267"/>
      <c r="D46" s="1268"/>
      <c r="E46" s="1242">
        <v>1</v>
      </c>
      <c r="F46" s="1243"/>
    </row>
    <row r="47" spans="2:6" x14ac:dyDescent="0.25">
      <c r="B47" s="1239" t="s">
        <v>1541</v>
      </c>
      <c r="C47" s="1267"/>
      <c r="D47" s="1268"/>
      <c r="E47" s="1245"/>
      <c r="F47" s="1243"/>
    </row>
    <row r="48" spans="2:6" x14ac:dyDescent="0.25">
      <c r="B48" s="1239" t="s">
        <v>1552</v>
      </c>
      <c r="C48" s="1267"/>
      <c r="D48" s="1268"/>
      <c r="E48" s="1245"/>
      <c r="F48" s="1243"/>
    </row>
    <row r="49" spans="2:29" x14ac:dyDescent="0.25">
      <c r="B49" s="1239" t="s">
        <v>838</v>
      </c>
      <c r="C49" s="1267"/>
      <c r="D49" s="1269"/>
      <c r="E49" s="1242">
        <v>0.66</v>
      </c>
      <c r="F49" s="1243"/>
    </row>
    <row r="50" spans="2:29" ht="38.25" x14ac:dyDescent="0.25">
      <c r="B50" s="1562" t="s">
        <v>1554</v>
      </c>
      <c r="C50" s="1252"/>
      <c r="D50" s="1266"/>
      <c r="E50" s="1242"/>
      <c r="F50" s="1243">
        <v>393644.06779661018</v>
      </c>
    </row>
    <row r="51" spans="2:29" ht="38.25" x14ac:dyDescent="0.25">
      <c r="B51" s="1563" t="s">
        <v>1555</v>
      </c>
      <c r="C51" s="1263"/>
      <c r="D51" s="1266">
        <v>464500</v>
      </c>
      <c r="E51" s="1238"/>
      <c r="F51" s="1243">
        <v>393644.06779661018</v>
      </c>
    </row>
    <row r="52" spans="2:29" x14ac:dyDescent="0.25">
      <c r="B52" s="1239" t="s">
        <v>1538</v>
      </c>
      <c r="C52" s="1573">
        <v>46450</v>
      </c>
      <c r="D52" s="1922">
        <v>464500</v>
      </c>
      <c r="E52" s="1242">
        <v>0.84745762711864414</v>
      </c>
      <c r="F52" s="1243">
        <v>393644.06779661018</v>
      </c>
    </row>
    <row r="53" spans="2:29" x14ac:dyDescent="0.25">
      <c r="B53" s="1239" t="s">
        <v>1553</v>
      </c>
      <c r="C53" s="1267"/>
      <c r="D53" s="1923"/>
      <c r="E53" s="1245"/>
      <c r="F53" s="1243"/>
    </row>
    <row r="54" spans="2:29" x14ac:dyDescent="0.25">
      <c r="B54" s="1239" t="s">
        <v>1540</v>
      </c>
      <c r="C54" s="1267"/>
      <c r="D54" s="1923"/>
      <c r="E54" s="1242">
        <v>1</v>
      </c>
      <c r="F54" s="1243"/>
    </row>
    <row r="55" spans="2:29" x14ac:dyDescent="0.25">
      <c r="B55" s="1239" t="s">
        <v>1541</v>
      </c>
      <c r="C55" s="1267"/>
      <c r="D55" s="1923"/>
      <c r="E55" s="1245"/>
      <c r="F55" s="1243"/>
    </row>
    <row r="56" spans="2:29" x14ac:dyDescent="0.25">
      <c r="B56" s="1239" t="s">
        <v>1552</v>
      </c>
      <c r="C56" s="1267"/>
      <c r="D56" s="1923"/>
      <c r="E56" s="1245"/>
      <c r="F56" s="1243"/>
    </row>
    <row r="57" spans="2:29" x14ac:dyDescent="0.25">
      <c r="B57" s="1239" t="s">
        <v>838</v>
      </c>
      <c r="C57" s="1267"/>
      <c r="D57" s="1924"/>
      <c r="E57" s="1242">
        <v>0.66</v>
      </c>
      <c r="F57" s="1270"/>
    </row>
    <row r="60" spans="2:29" x14ac:dyDescent="0.25">
      <c r="B60" s="1544" t="s">
        <v>291</v>
      </c>
      <c r="C60" s="1544">
        <v>0</v>
      </c>
      <c r="D60" s="1545">
        <v>1</v>
      </c>
      <c r="E60" s="1545">
        <v>2</v>
      </c>
      <c r="F60" s="1545">
        <v>3</v>
      </c>
      <c r="G60" s="1545">
        <v>4</v>
      </c>
      <c r="H60" s="1545">
        <v>5</v>
      </c>
      <c r="I60" s="1545">
        <v>6</v>
      </c>
      <c r="J60" s="1545">
        <v>7</v>
      </c>
      <c r="K60" s="1545">
        <v>8</v>
      </c>
      <c r="L60" s="1545">
        <v>9</v>
      </c>
      <c r="M60" s="1545">
        <v>10</v>
      </c>
      <c r="N60" s="1546"/>
      <c r="O60" s="1546"/>
      <c r="P60" s="1546"/>
      <c r="Q60" s="1546"/>
      <c r="R60" s="1544" t="s">
        <v>291</v>
      </c>
      <c r="S60" s="1544">
        <v>0</v>
      </c>
      <c r="T60" s="1545">
        <v>1</v>
      </c>
      <c r="U60" s="1545">
        <v>2</v>
      </c>
      <c r="V60" s="1545">
        <v>3</v>
      </c>
      <c r="W60" s="1545">
        <v>4</v>
      </c>
      <c r="X60" s="1545">
        <v>5</v>
      </c>
      <c r="Y60" s="1545">
        <v>6</v>
      </c>
      <c r="Z60" s="1545">
        <v>7</v>
      </c>
      <c r="AA60" s="1545">
        <v>8</v>
      </c>
      <c r="AB60" s="1545">
        <v>9</v>
      </c>
      <c r="AC60" s="1545">
        <v>10</v>
      </c>
    </row>
    <row r="61" spans="2:29" x14ac:dyDescent="0.25">
      <c r="B61" s="1936" t="s">
        <v>1556</v>
      </c>
      <c r="C61" s="1937"/>
      <c r="D61" s="1937"/>
      <c r="E61" s="1937"/>
      <c r="F61" s="1937"/>
      <c r="G61" s="1937"/>
      <c r="H61" s="1937"/>
      <c r="I61" s="1937"/>
      <c r="J61" s="1937"/>
      <c r="K61" s="1937"/>
      <c r="L61" s="1937"/>
      <c r="M61" s="1938"/>
      <c r="N61" s="1546"/>
      <c r="O61" s="1546"/>
      <c r="P61" s="1546"/>
      <c r="Q61" s="1546"/>
      <c r="R61" s="1936" t="s">
        <v>1556</v>
      </c>
      <c r="S61" s="1937"/>
      <c r="T61" s="1937"/>
      <c r="U61" s="1937"/>
      <c r="V61" s="1937"/>
      <c r="W61" s="1937"/>
      <c r="X61" s="1937"/>
      <c r="Y61" s="1937"/>
      <c r="Z61" s="1937"/>
      <c r="AA61" s="1937"/>
      <c r="AB61" s="1937"/>
      <c r="AC61" s="1938"/>
    </row>
    <row r="62" spans="2:29" x14ac:dyDescent="0.25">
      <c r="B62" s="1547" t="s">
        <v>1557</v>
      </c>
      <c r="C62" s="1548"/>
      <c r="D62" s="1549"/>
      <c r="E62" s="1549"/>
      <c r="F62" s="1549"/>
      <c r="G62" s="1549"/>
      <c r="H62" s="1549"/>
      <c r="I62" s="1549"/>
      <c r="J62" s="1549"/>
      <c r="K62" s="1549"/>
      <c r="L62" s="1549"/>
      <c r="M62" s="1549"/>
      <c r="N62" s="1546"/>
      <c r="O62" s="1546"/>
      <c r="P62" s="1546"/>
      <c r="Q62" s="1546"/>
      <c r="R62" s="1547" t="s">
        <v>1557</v>
      </c>
      <c r="S62" s="1548"/>
      <c r="T62" s="1549"/>
      <c r="U62" s="1549"/>
      <c r="V62" s="1549"/>
      <c r="W62" s="1549"/>
      <c r="X62" s="1549"/>
      <c r="Y62" s="1549"/>
      <c r="Z62" s="1549"/>
      <c r="AA62" s="1549"/>
      <c r="AB62" s="1549"/>
      <c r="AC62" s="1549"/>
    </row>
    <row r="63" spans="2:29" x14ac:dyDescent="0.25">
      <c r="B63" s="1547" t="s">
        <v>1558</v>
      </c>
      <c r="C63" s="1550"/>
      <c r="D63" s="1550"/>
      <c r="E63" s="1550"/>
      <c r="F63" s="1550"/>
      <c r="G63" s="1550"/>
      <c r="H63" s="1550"/>
      <c r="I63" s="1550"/>
      <c r="J63" s="1550"/>
      <c r="K63" s="1550"/>
      <c r="L63" s="1550"/>
      <c r="M63" s="1550"/>
      <c r="N63" s="1546"/>
      <c r="O63" s="1546"/>
      <c r="P63" s="1546"/>
      <c r="Q63" s="1546"/>
      <c r="R63" s="1547" t="s">
        <v>1558</v>
      </c>
      <c r="S63" s="1550"/>
      <c r="T63" s="1550"/>
      <c r="U63" s="1550"/>
      <c r="V63" s="1550"/>
      <c r="W63" s="1550"/>
      <c r="X63" s="1550"/>
      <c r="Y63" s="1550"/>
      <c r="Z63" s="1550"/>
      <c r="AA63" s="1550"/>
      <c r="AB63" s="1550"/>
      <c r="AC63" s="1550"/>
    </row>
    <row r="64" spans="2:29" x14ac:dyDescent="0.25">
      <c r="B64" s="1547" t="s">
        <v>1559</v>
      </c>
      <c r="C64" s="1551"/>
      <c r="D64" s="1551"/>
      <c r="E64" s="1552"/>
      <c r="F64" s="1551"/>
      <c r="G64" s="1551"/>
      <c r="H64" s="1551"/>
      <c r="I64" s="1551"/>
      <c r="J64" s="1551"/>
      <c r="K64" s="1551"/>
      <c r="L64" s="1551"/>
      <c r="M64" s="1551"/>
      <c r="N64" s="1546"/>
      <c r="O64" s="1546"/>
      <c r="P64" s="1546"/>
      <c r="Q64" s="1546"/>
      <c r="R64" s="1547" t="s">
        <v>1559</v>
      </c>
      <c r="S64" s="1551"/>
      <c r="T64" s="1551"/>
      <c r="U64" s="1552"/>
      <c r="V64" s="1551"/>
      <c r="W64" s="1551"/>
      <c r="X64" s="1551"/>
      <c r="Y64" s="1551"/>
      <c r="Z64" s="1551"/>
      <c r="AA64" s="1551"/>
      <c r="AB64" s="1551"/>
      <c r="AC64" s="1551"/>
    </row>
    <row r="65" spans="2:29" x14ac:dyDescent="0.25">
      <c r="B65" s="1553" t="s">
        <v>1560</v>
      </c>
      <c r="C65" s="1554"/>
      <c r="D65" s="1554">
        <v>447859</v>
      </c>
      <c r="E65" s="1554">
        <v>447873</v>
      </c>
      <c r="F65" s="1554">
        <v>447887</v>
      </c>
      <c r="G65" s="1554">
        <v>447902</v>
      </c>
      <c r="H65" s="1554">
        <v>447916</v>
      </c>
      <c r="I65" s="1554">
        <v>447930</v>
      </c>
      <c r="J65" s="1554">
        <v>447944</v>
      </c>
      <c r="K65" s="1554">
        <v>447959</v>
      </c>
      <c r="L65" s="1554">
        <v>447973</v>
      </c>
      <c r="M65" s="1554">
        <v>447987</v>
      </c>
      <c r="N65" s="1546"/>
      <c r="O65" s="1546"/>
      <c r="P65" s="1546"/>
      <c r="Q65" s="1546"/>
      <c r="R65" s="1553" t="s">
        <v>1560</v>
      </c>
      <c r="S65" s="1554"/>
      <c r="T65" s="1554">
        <v>447859</v>
      </c>
      <c r="U65" s="1554">
        <v>447873</v>
      </c>
      <c r="V65" s="1554">
        <v>447887</v>
      </c>
      <c r="W65" s="1554">
        <v>447902</v>
      </c>
      <c r="X65" s="1554">
        <v>447916</v>
      </c>
      <c r="Y65" s="1554">
        <v>447930</v>
      </c>
      <c r="Z65" s="1554">
        <v>447944</v>
      </c>
      <c r="AA65" s="1554">
        <v>447959</v>
      </c>
      <c r="AB65" s="1554">
        <v>447973</v>
      </c>
      <c r="AC65" s="1554">
        <v>447987</v>
      </c>
    </row>
    <row r="66" spans="2:29" ht="25.5" customHeight="1" x14ac:dyDescent="0.25">
      <c r="B66" s="1939" t="s">
        <v>1561</v>
      </c>
      <c r="C66" s="1940"/>
      <c r="D66" s="1940"/>
      <c r="E66" s="1940"/>
      <c r="F66" s="1940"/>
      <c r="G66" s="1940"/>
      <c r="H66" s="1940"/>
      <c r="I66" s="1940"/>
      <c r="J66" s="1940"/>
      <c r="K66" s="1940"/>
      <c r="L66" s="1940"/>
      <c r="M66" s="1941"/>
      <c r="N66" s="1546"/>
      <c r="O66" s="1546"/>
      <c r="P66" s="1546"/>
      <c r="Q66" s="1546"/>
      <c r="R66" s="1939" t="s">
        <v>1561</v>
      </c>
      <c r="S66" s="1940"/>
      <c r="T66" s="1940"/>
      <c r="U66" s="1940"/>
      <c r="V66" s="1940"/>
      <c r="W66" s="1940"/>
      <c r="X66" s="1940"/>
      <c r="Y66" s="1940"/>
      <c r="Z66" s="1940"/>
      <c r="AA66" s="1940"/>
      <c r="AB66" s="1940"/>
      <c r="AC66" s="1941"/>
    </row>
    <row r="67" spans="2:29" ht="21" customHeight="1" x14ac:dyDescent="0.25">
      <c r="B67" s="1936" t="s">
        <v>1562</v>
      </c>
      <c r="C67" s="1937"/>
      <c r="D67" s="1937"/>
      <c r="E67" s="1937"/>
      <c r="F67" s="1937"/>
      <c r="G67" s="1937"/>
      <c r="H67" s="1937"/>
      <c r="I67" s="1937"/>
      <c r="J67" s="1937"/>
      <c r="K67" s="1937"/>
      <c r="L67" s="1937"/>
      <c r="M67" s="1938"/>
      <c r="N67" s="1546"/>
      <c r="O67" s="1546"/>
      <c r="P67" s="1546"/>
      <c r="Q67" s="1546"/>
      <c r="R67" s="1936" t="s">
        <v>1562</v>
      </c>
      <c r="S67" s="1937"/>
      <c r="T67" s="1937"/>
      <c r="U67" s="1937"/>
      <c r="V67" s="1937"/>
      <c r="W67" s="1937"/>
      <c r="X67" s="1937"/>
      <c r="Y67" s="1937"/>
      <c r="Z67" s="1937"/>
      <c r="AA67" s="1937"/>
      <c r="AB67" s="1937"/>
      <c r="AC67" s="1938"/>
    </row>
    <row r="68" spans="2:29" ht="25.5" x14ac:dyDescent="0.25">
      <c r="B68" s="1555" t="s">
        <v>1563</v>
      </c>
      <c r="C68" s="1556">
        <v>3989535.88</v>
      </c>
      <c r="D68" s="1556"/>
      <c r="E68" s="1557"/>
      <c r="F68" s="1556"/>
      <c r="G68" s="1556"/>
      <c r="H68" s="1556"/>
      <c r="I68" s="1556"/>
      <c r="J68" s="1556"/>
      <c r="K68" s="1556"/>
      <c r="L68" s="1556"/>
      <c r="M68" s="1556"/>
      <c r="N68" s="1546"/>
      <c r="O68" s="1546"/>
      <c r="P68" s="1546"/>
      <c r="Q68" s="1546"/>
      <c r="R68" s="1555" t="s">
        <v>1563</v>
      </c>
      <c r="S68" s="1556">
        <v>3989535.88</v>
      </c>
      <c r="T68" s="1556"/>
      <c r="U68" s="1557"/>
      <c r="V68" s="1556"/>
      <c r="W68" s="1556"/>
      <c r="X68" s="1556"/>
      <c r="Y68" s="1556"/>
      <c r="Z68" s="1556"/>
      <c r="AA68" s="1556"/>
      <c r="AB68" s="1556"/>
      <c r="AC68" s="1556"/>
    </row>
    <row r="69" spans="2:29" ht="39.75" customHeight="1" x14ac:dyDescent="0.25">
      <c r="B69" s="1555" t="s">
        <v>1564</v>
      </c>
      <c r="C69" s="1556"/>
      <c r="D69" s="1556"/>
      <c r="E69" s="1557"/>
      <c r="F69" s="1556"/>
      <c r="G69" s="1556"/>
      <c r="H69" s="1556">
        <v>613895.28</v>
      </c>
      <c r="I69" s="1556"/>
      <c r="J69" s="1556"/>
      <c r="K69" s="1556"/>
      <c r="L69" s="1556"/>
      <c r="M69" s="1556"/>
      <c r="N69" s="1546"/>
      <c r="O69" s="1546"/>
      <c r="P69" s="1546"/>
      <c r="Q69" s="1546"/>
      <c r="R69" s="1555" t="s">
        <v>1564</v>
      </c>
      <c r="S69" s="1556"/>
      <c r="T69" s="1556"/>
      <c r="U69" s="1557"/>
      <c r="V69" s="1556"/>
      <c r="W69" s="1556"/>
      <c r="X69" s="1556">
        <v>613895.28</v>
      </c>
      <c r="Y69" s="1556"/>
      <c r="Z69" s="1556"/>
      <c r="AA69" s="1556"/>
      <c r="AB69" s="1556"/>
      <c r="AC69" s="1556"/>
    </row>
    <row r="70" spans="2:29" ht="39.75" customHeight="1" x14ac:dyDescent="0.25">
      <c r="B70" s="1555" t="s">
        <v>1565</v>
      </c>
      <c r="C70" s="1556"/>
      <c r="D70" s="1556">
        <v>115200</v>
      </c>
      <c r="E70" s="1556">
        <v>115200</v>
      </c>
      <c r="F70" s="1556">
        <v>115200</v>
      </c>
      <c r="G70" s="1556">
        <v>115200</v>
      </c>
      <c r="H70" s="1556">
        <v>115200</v>
      </c>
      <c r="I70" s="1556">
        <v>115200</v>
      </c>
      <c r="J70" s="1556">
        <v>115200</v>
      </c>
      <c r="K70" s="1556">
        <v>115200</v>
      </c>
      <c r="L70" s="1556">
        <v>115200</v>
      </c>
      <c r="M70" s="1556">
        <v>115200</v>
      </c>
      <c r="N70" s="1546"/>
      <c r="O70" s="1546"/>
      <c r="P70" s="1546"/>
      <c r="Q70" s="1546"/>
      <c r="R70" s="1555" t="s">
        <v>1565</v>
      </c>
      <c r="S70" s="1556"/>
      <c r="T70" s="1556">
        <v>115200</v>
      </c>
      <c r="U70" s="1556">
        <v>115200</v>
      </c>
      <c r="V70" s="1556">
        <v>115200</v>
      </c>
      <c r="W70" s="1556">
        <v>115200</v>
      </c>
      <c r="X70" s="1556">
        <v>115200</v>
      </c>
      <c r="Y70" s="1556">
        <v>115200</v>
      </c>
      <c r="Z70" s="1556">
        <v>115200</v>
      </c>
      <c r="AA70" s="1556">
        <v>115200</v>
      </c>
      <c r="AB70" s="1556">
        <v>115200</v>
      </c>
      <c r="AC70" s="1556">
        <v>115200</v>
      </c>
    </row>
    <row r="71" spans="2:29" ht="39.75" customHeight="1" x14ac:dyDescent="0.25">
      <c r="B71" s="1555" t="s">
        <v>1566</v>
      </c>
      <c r="C71" s="1556"/>
      <c r="D71" s="1556">
        <v>46450</v>
      </c>
      <c r="E71" s="1556">
        <v>46450</v>
      </c>
      <c r="F71" s="1556">
        <v>46450</v>
      </c>
      <c r="G71" s="1556">
        <v>46450</v>
      </c>
      <c r="H71" s="1556">
        <v>46450</v>
      </c>
      <c r="I71" s="1556">
        <v>46450</v>
      </c>
      <c r="J71" s="1556">
        <v>46450</v>
      </c>
      <c r="K71" s="1556">
        <v>46450</v>
      </c>
      <c r="L71" s="1556">
        <v>46450</v>
      </c>
      <c r="M71" s="1556">
        <v>46450</v>
      </c>
      <c r="N71" s="1546"/>
      <c r="O71" s="1546"/>
      <c r="P71" s="1546"/>
      <c r="Q71" s="1546"/>
      <c r="R71" s="1555" t="s">
        <v>1566</v>
      </c>
      <c r="S71" s="1556"/>
      <c r="T71" s="1556">
        <v>46450</v>
      </c>
      <c r="U71" s="1556">
        <v>46450</v>
      </c>
      <c r="V71" s="1556">
        <v>46450</v>
      </c>
      <c r="W71" s="1556">
        <v>46450</v>
      </c>
      <c r="X71" s="1556">
        <v>46450</v>
      </c>
      <c r="Y71" s="1556">
        <v>46450</v>
      </c>
      <c r="Z71" s="1556">
        <v>46450</v>
      </c>
      <c r="AA71" s="1556">
        <v>46450</v>
      </c>
      <c r="AB71" s="1556">
        <v>46450</v>
      </c>
      <c r="AC71" s="1556">
        <v>46450</v>
      </c>
    </row>
    <row r="72" spans="2:29" ht="39.75" customHeight="1" x14ac:dyDescent="0.25">
      <c r="B72" s="1553" t="s">
        <v>1567</v>
      </c>
      <c r="C72" s="1558">
        <v>3989535.88</v>
      </c>
      <c r="D72" s="1559">
        <v>161650</v>
      </c>
      <c r="E72" s="1559">
        <v>161650</v>
      </c>
      <c r="F72" s="1559">
        <v>161650</v>
      </c>
      <c r="G72" s="1559">
        <v>161650</v>
      </c>
      <c r="H72" s="1559">
        <v>775545.28</v>
      </c>
      <c r="I72" s="1559">
        <v>161650</v>
      </c>
      <c r="J72" s="1559">
        <v>161650</v>
      </c>
      <c r="K72" s="1559">
        <v>161650</v>
      </c>
      <c r="L72" s="1559">
        <v>161650</v>
      </c>
      <c r="M72" s="1559">
        <v>161650</v>
      </c>
      <c r="N72" s="1546"/>
      <c r="O72" s="1546"/>
      <c r="P72" s="1546"/>
      <c r="Q72" s="1546"/>
      <c r="R72" s="1553" t="s">
        <v>1567</v>
      </c>
      <c r="S72" s="1558">
        <v>3989535.88</v>
      </c>
      <c r="T72" s="1559">
        <v>161650</v>
      </c>
      <c r="U72" s="1559">
        <v>161650</v>
      </c>
      <c r="V72" s="1559">
        <v>161650</v>
      </c>
      <c r="W72" s="1559">
        <v>161650</v>
      </c>
      <c r="X72" s="1559">
        <v>775545.28</v>
      </c>
      <c r="Y72" s="1559">
        <v>161650</v>
      </c>
      <c r="Z72" s="1559">
        <v>161650</v>
      </c>
      <c r="AA72" s="1559">
        <v>161650</v>
      </c>
      <c r="AB72" s="1559">
        <v>161650</v>
      </c>
      <c r="AC72" s="1559">
        <v>161650</v>
      </c>
    </row>
    <row r="73" spans="2:29" ht="45" customHeight="1" x14ac:dyDescent="0.25">
      <c r="B73" s="1560" t="s">
        <v>1568</v>
      </c>
      <c r="C73" s="1561">
        <v>-3989535.88</v>
      </c>
      <c r="D73" s="1561">
        <v>609509</v>
      </c>
      <c r="E73" s="1561">
        <v>609523</v>
      </c>
      <c r="F73" s="1561">
        <v>609537</v>
      </c>
      <c r="G73" s="1561">
        <v>609552</v>
      </c>
      <c r="H73" s="1561">
        <v>1223461.28</v>
      </c>
      <c r="I73" s="1561">
        <v>609580</v>
      </c>
      <c r="J73" s="1561">
        <v>609594</v>
      </c>
      <c r="K73" s="1561">
        <v>609609</v>
      </c>
      <c r="L73" s="1561">
        <v>609623</v>
      </c>
      <c r="M73" s="1561">
        <v>609637</v>
      </c>
      <c r="N73" s="1546"/>
      <c r="O73" s="1546"/>
      <c r="P73" s="1546"/>
      <c r="Q73" s="1546"/>
      <c r="R73" s="1560" t="s">
        <v>1568</v>
      </c>
      <c r="S73" s="1561">
        <v>-3989535.88</v>
      </c>
      <c r="T73" s="1561">
        <v>609509</v>
      </c>
      <c r="U73" s="1561">
        <v>609523</v>
      </c>
      <c r="V73" s="1561">
        <v>609537</v>
      </c>
      <c r="W73" s="1561">
        <v>609552</v>
      </c>
      <c r="X73" s="1561">
        <v>1223461.28</v>
      </c>
      <c r="Y73" s="1561">
        <v>609580</v>
      </c>
      <c r="Z73" s="1561">
        <v>609594</v>
      </c>
      <c r="AA73" s="1561">
        <v>609609</v>
      </c>
      <c r="AB73" s="1561">
        <v>609623</v>
      </c>
      <c r="AC73" s="1561">
        <v>609637</v>
      </c>
    </row>
    <row r="74" spans="2:29" ht="18.75" customHeight="1" x14ac:dyDescent="0.25">
      <c r="B74" s="1942" t="s">
        <v>1569</v>
      </c>
      <c r="C74" s="1943"/>
      <c r="D74" s="1943"/>
      <c r="E74" s="1943"/>
      <c r="F74" s="1943"/>
      <c r="G74" s="1943"/>
      <c r="H74" s="1943"/>
      <c r="I74" s="1943"/>
      <c r="J74" s="1943"/>
      <c r="K74" s="1943"/>
      <c r="L74" s="1943"/>
      <c r="M74" s="1944"/>
    </row>
    <row r="77" spans="2:29" ht="15.75" x14ac:dyDescent="0.25">
      <c r="B77" s="1273" t="s">
        <v>1581</v>
      </c>
    </row>
    <row r="79" spans="2:29" x14ac:dyDescent="0.25">
      <c r="B79" s="1274" t="s">
        <v>1582</v>
      </c>
      <c r="C79" s="1275">
        <v>0.09</v>
      </c>
    </row>
    <row r="81" spans="2:16" x14ac:dyDescent="0.25">
      <c r="B81" s="1276" t="s">
        <v>1583</v>
      </c>
    </row>
    <row r="83" spans="2:16" x14ac:dyDescent="0.25">
      <c r="B83" s="1277" t="s">
        <v>1584</v>
      </c>
      <c r="C83" s="1277" t="s">
        <v>1585</v>
      </c>
      <c r="D83" s="1277">
        <v>0</v>
      </c>
      <c r="E83" s="1277">
        <v>1</v>
      </c>
      <c r="F83" s="1277">
        <v>2</v>
      </c>
      <c r="G83" s="1277">
        <v>3</v>
      </c>
      <c r="H83" s="1277">
        <v>4</v>
      </c>
      <c r="I83" s="1277">
        <v>5</v>
      </c>
      <c r="J83" s="1277">
        <v>6</v>
      </c>
      <c r="K83" s="1277">
        <v>7</v>
      </c>
      <c r="L83" s="1277">
        <v>8</v>
      </c>
      <c r="M83" s="1277">
        <v>9</v>
      </c>
      <c r="N83" s="1277">
        <v>10</v>
      </c>
      <c r="O83" s="1277" t="s">
        <v>1586</v>
      </c>
      <c r="P83" s="1277" t="s">
        <v>1587</v>
      </c>
    </row>
    <row r="84" spans="2:16" x14ac:dyDescent="0.25">
      <c r="B84" s="1278"/>
      <c r="C84" s="1278"/>
      <c r="D84" s="1278"/>
      <c r="E84" s="1278"/>
      <c r="F84" s="1279"/>
      <c r="G84" s="1279"/>
      <c r="H84" s="1279"/>
      <c r="I84" s="1279"/>
      <c r="J84" s="1279"/>
      <c r="K84" s="1279"/>
      <c r="L84" s="1279"/>
      <c r="M84" s="1279"/>
      <c r="N84" s="1279"/>
      <c r="O84" s="1278"/>
      <c r="P84" s="1278"/>
    </row>
    <row r="85" spans="2:16" x14ac:dyDescent="0.25">
      <c r="B85" s="1280">
        <v>95</v>
      </c>
      <c r="C85" s="1279">
        <f>C90*0.95+C90</f>
        <v>8898613.5646310318</v>
      </c>
      <c r="D85" s="1279">
        <f>-C85</f>
        <v>-8898613.5646310318</v>
      </c>
      <c r="E85" s="1279">
        <f>E86</f>
        <v>447859</v>
      </c>
      <c r="F85" s="1279">
        <f t="shared" ref="F85:N89" si="1">F86</f>
        <v>447873</v>
      </c>
      <c r="G85" s="1279">
        <f t="shared" si="1"/>
        <v>447887</v>
      </c>
      <c r="H85" s="1279">
        <f t="shared" si="1"/>
        <v>447902</v>
      </c>
      <c r="I85" s="1279">
        <f t="shared" si="1"/>
        <v>447916</v>
      </c>
      <c r="J85" s="1279">
        <f t="shared" si="1"/>
        <v>447930</v>
      </c>
      <c r="K85" s="1279">
        <f t="shared" si="1"/>
        <v>447944</v>
      </c>
      <c r="L85" s="1279">
        <f t="shared" si="1"/>
        <v>447959</v>
      </c>
      <c r="M85" s="1279">
        <f t="shared" si="1"/>
        <v>447973</v>
      </c>
      <c r="N85" s="1279">
        <f t="shared" si="1"/>
        <v>447987</v>
      </c>
      <c r="O85" s="1297">
        <f t="shared" ref="O85:O89" si="2">NPV($B$96,E85:N85,D85)</f>
        <v>-810923.17215500365</v>
      </c>
      <c r="P85" s="1301">
        <f t="shared" ref="P85:P89" si="3">IRR(D85:N85)</f>
        <v>-0.10862781835302715</v>
      </c>
    </row>
    <row r="86" spans="2:16" x14ac:dyDescent="0.25">
      <c r="B86" s="1280">
        <v>60</v>
      </c>
      <c r="C86" s="1279">
        <f>C90*0.6+C90</f>
        <v>7301426.5145690516</v>
      </c>
      <c r="D86" s="1279">
        <f>-C86</f>
        <v>-7301426.5145690516</v>
      </c>
      <c r="E86" s="1279">
        <f>E87</f>
        <v>447859</v>
      </c>
      <c r="F86" s="1279">
        <f t="shared" si="1"/>
        <v>447873</v>
      </c>
      <c r="G86" s="1279">
        <f t="shared" si="1"/>
        <v>447887</v>
      </c>
      <c r="H86" s="1279">
        <f t="shared" si="1"/>
        <v>447902</v>
      </c>
      <c r="I86" s="1279">
        <f t="shared" si="1"/>
        <v>447916</v>
      </c>
      <c r="J86" s="1279">
        <f t="shared" si="1"/>
        <v>447930</v>
      </c>
      <c r="K86" s="1279">
        <f t="shared" si="1"/>
        <v>447944</v>
      </c>
      <c r="L86" s="1279">
        <f t="shared" si="1"/>
        <v>447959</v>
      </c>
      <c r="M86" s="1279">
        <f t="shared" si="1"/>
        <v>447973</v>
      </c>
      <c r="N86" s="1279">
        <f t="shared" si="1"/>
        <v>447987</v>
      </c>
      <c r="O86" s="1297">
        <f t="shared" si="2"/>
        <v>-125917.02322732242</v>
      </c>
      <c r="P86" s="1301">
        <f t="shared" si="3"/>
        <v>-8.0221007356161556E-2</v>
      </c>
    </row>
    <row r="87" spans="2:16" x14ac:dyDescent="0.25">
      <c r="B87" s="1298">
        <v>75</v>
      </c>
      <c r="C87" s="1299">
        <f>C90*0.75+C90</f>
        <v>7985935.2503099004</v>
      </c>
      <c r="D87" s="1299">
        <f t="shared" ref="D87:D95" si="4">-C87</f>
        <v>-7985935.2503099004</v>
      </c>
      <c r="E87" s="1299">
        <f t="shared" ref="E87:E88" si="5">E88</f>
        <v>447859</v>
      </c>
      <c r="F87" s="1299">
        <f t="shared" si="1"/>
        <v>447873</v>
      </c>
      <c r="G87" s="1299">
        <f t="shared" si="1"/>
        <v>447887</v>
      </c>
      <c r="H87" s="1299">
        <f t="shared" si="1"/>
        <v>447902</v>
      </c>
      <c r="I87" s="1299">
        <f t="shared" si="1"/>
        <v>447916</v>
      </c>
      <c r="J87" s="1299">
        <f t="shared" si="1"/>
        <v>447930</v>
      </c>
      <c r="K87" s="1299">
        <f t="shared" si="1"/>
        <v>447944</v>
      </c>
      <c r="L87" s="1299">
        <f t="shared" si="1"/>
        <v>447959</v>
      </c>
      <c r="M87" s="1299">
        <f t="shared" si="1"/>
        <v>447973</v>
      </c>
      <c r="N87" s="1299">
        <f t="shared" si="1"/>
        <v>447987</v>
      </c>
      <c r="O87" s="1299">
        <f t="shared" si="2"/>
        <v>-419491.08705347171</v>
      </c>
      <c r="P87" s="1300">
        <f t="shared" si="3"/>
        <v>-9.3337323491890278E-2</v>
      </c>
    </row>
    <row r="88" spans="2:16" x14ac:dyDescent="0.25">
      <c r="B88" s="1298">
        <v>50</v>
      </c>
      <c r="C88" s="1299">
        <f>C90*0.5+C90</f>
        <v>6845087.3574084863</v>
      </c>
      <c r="D88" s="1299">
        <f t="shared" si="4"/>
        <v>-6845087.3574084863</v>
      </c>
      <c r="E88" s="1299">
        <f t="shared" si="5"/>
        <v>447859</v>
      </c>
      <c r="F88" s="1299">
        <f t="shared" si="1"/>
        <v>447873</v>
      </c>
      <c r="G88" s="1299">
        <f t="shared" si="1"/>
        <v>447887</v>
      </c>
      <c r="H88" s="1299">
        <f t="shared" si="1"/>
        <v>447902</v>
      </c>
      <c r="I88" s="1299">
        <f t="shared" si="1"/>
        <v>447916</v>
      </c>
      <c r="J88" s="1299">
        <f t="shared" si="1"/>
        <v>447930</v>
      </c>
      <c r="K88" s="1299">
        <f t="shared" si="1"/>
        <v>447944</v>
      </c>
      <c r="L88" s="1299">
        <f t="shared" si="1"/>
        <v>447959</v>
      </c>
      <c r="M88" s="1299">
        <f t="shared" si="1"/>
        <v>447973</v>
      </c>
      <c r="N88" s="1299">
        <f t="shared" si="1"/>
        <v>447987</v>
      </c>
      <c r="O88" s="1299">
        <f t="shared" si="2"/>
        <v>69799.01932344331</v>
      </c>
      <c r="P88" s="1300">
        <f t="shared" si="3"/>
        <v>-7.0502331249612804E-2</v>
      </c>
    </row>
    <row r="89" spans="2:16" x14ac:dyDescent="0.25">
      <c r="B89" s="1298">
        <v>20</v>
      </c>
      <c r="C89" s="1299">
        <f>C90*0.2+C90</f>
        <v>5476069.8859267887</v>
      </c>
      <c r="D89" s="1299">
        <f t="shared" si="4"/>
        <v>-5476069.8859267887</v>
      </c>
      <c r="E89" s="1299">
        <f>E90</f>
        <v>447859</v>
      </c>
      <c r="F89" s="1299">
        <f t="shared" si="1"/>
        <v>447873</v>
      </c>
      <c r="G89" s="1299">
        <f t="shared" si="1"/>
        <v>447887</v>
      </c>
      <c r="H89" s="1299">
        <f t="shared" si="1"/>
        <v>447902</v>
      </c>
      <c r="I89" s="1299">
        <f t="shared" si="1"/>
        <v>447916</v>
      </c>
      <c r="J89" s="1299">
        <f t="shared" si="1"/>
        <v>447930</v>
      </c>
      <c r="K89" s="1299">
        <f t="shared" si="1"/>
        <v>447944</v>
      </c>
      <c r="L89" s="1299">
        <f t="shared" si="1"/>
        <v>447959</v>
      </c>
      <c r="M89" s="1299">
        <f t="shared" si="1"/>
        <v>447973</v>
      </c>
      <c r="N89" s="1299">
        <f t="shared" si="1"/>
        <v>447987</v>
      </c>
      <c r="O89" s="1299">
        <f t="shared" si="2"/>
        <v>656947.14697574137</v>
      </c>
      <c r="P89" s="1300">
        <f t="shared" si="3"/>
        <v>-3.4957930198386444E-2</v>
      </c>
    </row>
    <row r="90" spans="2:16" x14ac:dyDescent="0.25">
      <c r="B90" s="1281">
        <v>0</v>
      </c>
      <c r="C90" s="1282">
        <f>'EVALUACIÓN SOCIAL'!S18</f>
        <v>4563391.5716056572</v>
      </c>
      <c r="D90" s="1282">
        <f>-C90</f>
        <v>-4563391.5716056572</v>
      </c>
      <c r="E90" s="1282">
        <f t="shared" ref="E90:N90" si="6">D65</f>
        <v>447859</v>
      </c>
      <c r="F90" s="1282">
        <f t="shared" si="6"/>
        <v>447873</v>
      </c>
      <c r="G90" s="1282">
        <f t="shared" si="6"/>
        <v>447887</v>
      </c>
      <c r="H90" s="1282">
        <f t="shared" si="6"/>
        <v>447902</v>
      </c>
      <c r="I90" s="1282">
        <f t="shared" si="6"/>
        <v>447916</v>
      </c>
      <c r="J90" s="1282">
        <f t="shared" si="6"/>
        <v>447930</v>
      </c>
      <c r="K90" s="1282">
        <f t="shared" si="6"/>
        <v>447944</v>
      </c>
      <c r="L90" s="1282">
        <f t="shared" si="6"/>
        <v>447959</v>
      </c>
      <c r="M90" s="1282">
        <f t="shared" si="6"/>
        <v>447973</v>
      </c>
      <c r="N90" s="1282">
        <f t="shared" si="6"/>
        <v>447987</v>
      </c>
      <c r="O90" s="1282">
        <f>NPV($B$96,E90:N90,D90)</f>
        <v>1048379.2320772738</v>
      </c>
      <c r="P90" s="1283">
        <f>IRR(D90:N90)</f>
        <v>-3.3701375419799007E-3</v>
      </c>
    </row>
    <row r="91" spans="2:16" x14ac:dyDescent="0.25">
      <c r="B91" s="1298">
        <v>-20</v>
      </c>
      <c r="C91" s="1299">
        <f>C90*-0.2+C90</f>
        <v>3650713.2572845258</v>
      </c>
      <c r="D91" s="1299">
        <f t="shared" si="4"/>
        <v>-3650713.2572845258</v>
      </c>
      <c r="E91" s="1299">
        <f>$E$90</f>
        <v>447859</v>
      </c>
      <c r="F91" s="1299">
        <f t="shared" ref="F91:N91" si="7">$E$90</f>
        <v>447859</v>
      </c>
      <c r="G91" s="1299">
        <f t="shared" si="7"/>
        <v>447859</v>
      </c>
      <c r="H91" s="1299">
        <f t="shared" si="7"/>
        <v>447859</v>
      </c>
      <c r="I91" s="1299">
        <f t="shared" si="7"/>
        <v>447859</v>
      </c>
      <c r="J91" s="1299">
        <f t="shared" si="7"/>
        <v>447859</v>
      </c>
      <c r="K91" s="1299">
        <f t="shared" si="7"/>
        <v>447859</v>
      </c>
      <c r="L91" s="1299">
        <f t="shared" si="7"/>
        <v>447859</v>
      </c>
      <c r="M91" s="1299">
        <f t="shared" si="7"/>
        <v>447859</v>
      </c>
      <c r="N91" s="1299">
        <f t="shared" si="7"/>
        <v>447859</v>
      </c>
      <c r="O91" s="1299">
        <f t="shared" ref="O91:O95" si="8">NPV($B$96,E91:N91,D91)</f>
        <v>1439442.0048423873</v>
      </c>
      <c r="P91" s="1300">
        <f>IRR(D91:N91)</f>
        <v>3.8998646978678497E-2</v>
      </c>
    </row>
    <row r="92" spans="2:16" x14ac:dyDescent="0.25">
      <c r="B92" s="1298">
        <v>-50</v>
      </c>
      <c r="C92" s="1299">
        <f>C90*-0.5+C90</f>
        <v>2281695.7858028286</v>
      </c>
      <c r="D92" s="1299">
        <f t="shared" si="4"/>
        <v>-2281695.7858028286</v>
      </c>
      <c r="E92" s="1299">
        <f t="shared" ref="E92:N95" si="9">$E$90</f>
        <v>447859</v>
      </c>
      <c r="F92" s="1299">
        <f t="shared" si="9"/>
        <v>447859</v>
      </c>
      <c r="G92" s="1299">
        <f t="shared" si="9"/>
        <v>447859</v>
      </c>
      <c r="H92" s="1299">
        <f t="shared" si="9"/>
        <v>447859</v>
      </c>
      <c r="I92" s="1299">
        <f t="shared" si="9"/>
        <v>447859</v>
      </c>
      <c r="J92" s="1299">
        <f t="shared" si="9"/>
        <v>447859</v>
      </c>
      <c r="K92" s="1299">
        <f t="shared" si="9"/>
        <v>447859</v>
      </c>
      <c r="L92" s="1299">
        <f t="shared" si="9"/>
        <v>447859</v>
      </c>
      <c r="M92" s="1299">
        <f t="shared" si="9"/>
        <v>447859</v>
      </c>
      <c r="N92" s="1299">
        <f t="shared" si="9"/>
        <v>447859</v>
      </c>
      <c r="O92" s="1299">
        <f t="shared" si="8"/>
        <v>2026590.1324946855</v>
      </c>
      <c r="P92" s="1300">
        <f t="shared" ref="P92:P95" si="10">IRR(D92:N92)</f>
        <v>0.14607976916691956</v>
      </c>
    </row>
    <row r="93" spans="2:16" x14ac:dyDescent="0.25">
      <c r="B93" s="1298">
        <v>-75</v>
      </c>
      <c r="C93" s="1299">
        <f>C90*-0.75+C90</f>
        <v>1140847.8929014141</v>
      </c>
      <c r="D93" s="1299">
        <f t="shared" si="4"/>
        <v>-1140847.8929014141</v>
      </c>
      <c r="E93" s="1299">
        <f t="shared" si="9"/>
        <v>447859</v>
      </c>
      <c r="F93" s="1299">
        <f t="shared" si="9"/>
        <v>447859</v>
      </c>
      <c r="G93" s="1299">
        <f t="shared" si="9"/>
        <v>447859</v>
      </c>
      <c r="H93" s="1299">
        <f t="shared" si="9"/>
        <v>447859</v>
      </c>
      <c r="I93" s="1299">
        <f t="shared" si="9"/>
        <v>447859</v>
      </c>
      <c r="J93" s="1299">
        <f t="shared" si="9"/>
        <v>447859</v>
      </c>
      <c r="K93" s="1299">
        <f t="shared" si="9"/>
        <v>447859</v>
      </c>
      <c r="L93" s="1299">
        <f t="shared" si="9"/>
        <v>447859</v>
      </c>
      <c r="M93" s="1299">
        <f t="shared" si="9"/>
        <v>447859</v>
      </c>
      <c r="N93" s="1299">
        <f t="shared" si="9"/>
        <v>447859</v>
      </c>
      <c r="O93" s="1299">
        <f t="shared" si="8"/>
        <v>2515880.2388716005</v>
      </c>
      <c r="P93" s="1300">
        <f t="shared" si="10"/>
        <v>0.37649069146384662</v>
      </c>
    </row>
    <row r="94" spans="2:16" x14ac:dyDescent="0.25">
      <c r="B94" s="1280">
        <v>-60</v>
      </c>
      <c r="C94" s="1279">
        <f>C90*-0.6+C90</f>
        <v>1825356.6286422629</v>
      </c>
      <c r="D94" s="1279">
        <f t="shared" si="4"/>
        <v>-1825356.6286422629</v>
      </c>
      <c r="E94" s="1297">
        <f t="shared" si="9"/>
        <v>447859</v>
      </c>
      <c r="F94" s="1297">
        <f t="shared" si="9"/>
        <v>447859</v>
      </c>
      <c r="G94" s="1297">
        <f t="shared" si="9"/>
        <v>447859</v>
      </c>
      <c r="H94" s="1297">
        <f t="shared" si="9"/>
        <v>447859</v>
      </c>
      <c r="I94" s="1297">
        <f t="shared" si="9"/>
        <v>447859</v>
      </c>
      <c r="J94" s="1297">
        <f t="shared" si="9"/>
        <v>447859</v>
      </c>
      <c r="K94" s="1297">
        <f t="shared" si="9"/>
        <v>447859</v>
      </c>
      <c r="L94" s="1297">
        <f t="shared" si="9"/>
        <v>447859</v>
      </c>
      <c r="M94" s="1297">
        <f t="shared" si="9"/>
        <v>447859</v>
      </c>
      <c r="N94" s="1297">
        <f t="shared" si="9"/>
        <v>447859</v>
      </c>
      <c r="O94" s="1297">
        <f t="shared" si="8"/>
        <v>2222306.1750454516</v>
      </c>
      <c r="P94" s="1301">
        <f t="shared" si="10"/>
        <v>0.20839729551141928</v>
      </c>
    </row>
    <row r="95" spans="2:16" x14ac:dyDescent="0.25">
      <c r="B95" s="1280">
        <v>-95</v>
      </c>
      <c r="C95" s="1279">
        <f>C90*-0.95+C90</f>
        <v>228169.57858028263</v>
      </c>
      <c r="D95" s="1279">
        <f t="shared" si="4"/>
        <v>-228169.57858028263</v>
      </c>
      <c r="E95" s="1297">
        <f t="shared" si="9"/>
        <v>447859</v>
      </c>
      <c r="F95" s="1297">
        <f t="shared" si="9"/>
        <v>447859</v>
      </c>
      <c r="G95" s="1297">
        <f t="shared" si="9"/>
        <v>447859</v>
      </c>
      <c r="H95" s="1297">
        <f t="shared" si="9"/>
        <v>447859</v>
      </c>
      <c r="I95" s="1297">
        <f t="shared" si="9"/>
        <v>447859</v>
      </c>
      <c r="J95" s="1297">
        <f t="shared" si="9"/>
        <v>447859</v>
      </c>
      <c r="K95" s="1297">
        <f t="shared" si="9"/>
        <v>447859</v>
      </c>
      <c r="L95" s="1297">
        <f t="shared" si="9"/>
        <v>447859</v>
      </c>
      <c r="M95" s="1297">
        <f t="shared" si="9"/>
        <v>447859</v>
      </c>
      <c r="N95" s="1297">
        <f t="shared" si="9"/>
        <v>447859</v>
      </c>
      <c r="O95" s="1297">
        <f t="shared" si="8"/>
        <v>2907312.3239731323</v>
      </c>
      <c r="P95" s="1301">
        <f t="shared" si="10"/>
        <v>1.9627963123358376</v>
      </c>
    </row>
    <row r="96" spans="2:16" x14ac:dyDescent="0.25">
      <c r="B96" s="1296">
        <v>0.08</v>
      </c>
    </row>
    <row r="97" spans="2:7" x14ac:dyDescent="0.25">
      <c r="B97" s="1296"/>
    </row>
    <row r="98" spans="2:7" x14ac:dyDescent="0.25">
      <c r="B98" s="1302" t="s">
        <v>1598</v>
      </c>
      <c r="C98" s="1303" t="s">
        <v>1598</v>
      </c>
      <c r="D98" s="1303" t="s">
        <v>1585</v>
      </c>
      <c r="E98" s="1303" t="s">
        <v>1599</v>
      </c>
      <c r="F98" s="1303" t="s">
        <v>1600</v>
      </c>
      <c r="G98" s="1303" t="s">
        <v>1601</v>
      </c>
    </row>
    <row r="99" spans="2:7" x14ac:dyDescent="0.25">
      <c r="B99" s="1304">
        <f>+C99-100%</f>
        <v>0.95</v>
      </c>
      <c r="C99" s="1305">
        <v>1.95</v>
      </c>
      <c r="D99" s="1306">
        <f>D104*0.9+D104</f>
        <v>10404532.783260899</v>
      </c>
      <c r="E99" s="1307">
        <f t="shared" ref="E99:E102" si="11">O85</f>
        <v>-810923.17215500365</v>
      </c>
      <c r="F99" s="1308">
        <f t="shared" ref="F99:F102" si="12">P85</f>
        <v>-0.10862781835302715</v>
      </c>
      <c r="G99" s="1309">
        <f t="shared" ref="G99:G102" si="13">E99/D99</f>
        <v>-7.7939412470268671E-2</v>
      </c>
    </row>
    <row r="100" spans="2:7" x14ac:dyDescent="0.25">
      <c r="B100" s="1304">
        <f>+C100-100%</f>
        <v>0.60000000000000009</v>
      </c>
      <c r="C100" s="1305">
        <v>1.6</v>
      </c>
      <c r="D100" s="1306">
        <f>D104*0.6+D104</f>
        <v>8761711.8174828626</v>
      </c>
      <c r="E100" s="1307">
        <f t="shared" si="11"/>
        <v>-125917.02322732242</v>
      </c>
      <c r="F100" s="1308">
        <f t="shared" si="12"/>
        <v>-8.0221007356161556E-2</v>
      </c>
      <c r="G100" s="1309">
        <f t="shared" si="13"/>
        <v>-1.4371281075014506E-2</v>
      </c>
    </row>
    <row r="101" spans="2:7" x14ac:dyDescent="0.25">
      <c r="B101" s="1304">
        <f t="shared" ref="B101:B108" si="14">+C101-100%</f>
        <v>0.75</v>
      </c>
      <c r="C101" s="1305">
        <v>1.75</v>
      </c>
      <c r="D101" s="1306">
        <f>D104*0.4+D104</f>
        <v>7666497.8402975043</v>
      </c>
      <c r="E101" s="1307">
        <f t="shared" si="11"/>
        <v>-419491.08705347171</v>
      </c>
      <c r="F101" s="1308">
        <f t="shared" si="12"/>
        <v>-9.3337323491890278E-2</v>
      </c>
      <c r="G101" s="1309">
        <f t="shared" si="13"/>
        <v>-5.4717433669451476E-2</v>
      </c>
    </row>
    <row r="102" spans="2:7" x14ac:dyDescent="0.25">
      <c r="B102" s="1304">
        <f t="shared" si="14"/>
        <v>0.5</v>
      </c>
      <c r="C102" s="1305">
        <v>1.5</v>
      </c>
      <c r="D102" s="1306">
        <f>D104*0.2+D104</f>
        <v>6571283.863112146</v>
      </c>
      <c r="E102" s="1307">
        <f t="shared" si="11"/>
        <v>69799.01932344331</v>
      </c>
      <c r="F102" s="1308">
        <f t="shared" si="12"/>
        <v>-7.0502331249612804E-2</v>
      </c>
      <c r="G102" s="1309">
        <f t="shared" si="13"/>
        <v>1.0621823798429953E-2</v>
      </c>
    </row>
    <row r="103" spans="2:7" x14ac:dyDescent="0.25">
      <c r="B103" s="1304">
        <f t="shared" si="14"/>
        <v>0.19999999999999996</v>
      </c>
      <c r="C103" s="1305">
        <v>1.2</v>
      </c>
      <c r="D103" s="1306">
        <f>D104*0.1+D104</f>
        <v>6023676.8745194674</v>
      </c>
      <c r="E103" s="1307">
        <f t="shared" ref="E103:F105" si="15">O89</f>
        <v>656947.14697574137</v>
      </c>
      <c r="F103" s="1308">
        <f t="shared" si="15"/>
        <v>-3.4957930198386444E-2</v>
      </c>
      <c r="G103" s="1309">
        <f>E103/D103</f>
        <v>0.10906082126593961</v>
      </c>
    </row>
    <row r="104" spans="2:7" x14ac:dyDescent="0.25">
      <c r="B104" s="1310">
        <f>+C104-100%</f>
        <v>0</v>
      </c>
      <c r="C104" s="1310">
        <v>1</v>
      </c>
      <c r="D104" s="1311">
        <f>+C89</f>
        <v>5476069.8859267887</v>
      </c>
      <c r="E104" s="1312">
        <f t="shared" si="15"/>
        <v>1048379.2320772738</v>
      </c>
      <c r="F104" s="1313">
        <f t="shared" si="15"/>
        <v>-3.3701375419799007E-3</v>
      </c>
      <c r="G104" s="1314">
        <f>E104/D104</f>
        <v>0.19144737994881206</v>
      </c>
    </row>
    <row r="105" spans="2:7" x14ac:dyDescent="0.25">
      <c r="B105" s="1304">
        <f t="shared" si="14"/>
        <v>-1.2</v>
      </c>
      <c r="C105" s="1305">
        <v>-0.2</v>
      </c>
      <c r="D105" s="1315">
        <f>D104*-0.05+D104</f>
        <v>5202266.3916304493</v>
      </c>
      <c r="E105" s="1316">
        <f t="shared" si="15"/>
        <v>1439442.0048423873</v>
      </c>
      <c r="F105" s="1308">
        <f t="shared" si="15"/>
        <v>3.8998646978678497E-2</v>
      </c>
      <c r="G105" s="1309">
        <f>E105/D105</f>
        <v>0.27669517407993593</v>
      </c>
    </row>
    <row r="106" spans="2:7" x14ac:dyDescent="0.25">
      <c r="B106" s="1304">
        <f t="shared" si="14"/>
        <v>-1.5</v>
      </c>
      <c r="C106" s="1305">
        <v>-0.5</v>
      </c>
      <c r="D106" s="1315">
        <f>D104*-0.1+D104</f>
        <v>4928462.89733411</v>
      </c>
      <c r="E106" s="1316">
        <f t="shared" ref="E106:E108" si="16">O92</f>
        <v>2026590.1324946855</v>
      </c>
      <c r="F106" s="1308">
        <f t="shared" ref="F106:F108" si="17">P92</f>
        <v>0.14607976916691956</v>
      </c>
      <c r="G106" s="1309">
        <f t="shared" ref="G106:G108" si="18">E106/D106</f>
        <v>0.41120125578928529</v>
      </c>
    </row>
    <row r="107" spans="2:7" x14ac:dyDescent="0.25">
      <c r="B107" s="1304">
        <f t="shared" si="14"/>
        <v>-1.75</v>
      </c>
      <c r="C107" s="1305">
        <v>-0.75</v>
      </c>
      <c r="D107" s="1315">
        <f>D104*-0.13+D104</f>
        <v>4764180.8007563064</v>
      </c>
      <c r="E107" s="1316">
        <f t="shared" si="16"/>
        <v>2515880.2388716005</v>
      </c>
      <c r="F107" s="1308">
        <f t="shared" si="17"/>
        <v>0.37649069146384662</v>
      </c>
      <c r="G107" s="1309">
        <f t="shared" si="18"/>
        <v>0.52808244356977563</v>
      </c>
    </row>
    <row r="108" spans="2:7" x14ac:dyDescent="0.25">
      <c r="B108" s="1304">
        <f t="shared" si="14"/>
        <v>-0.95</v>
      </c>
      <c r="C108" s="1305">
        <v>0.05</v>
      </c>
      <c r="D108" s="1315">
        <f>D104*-0.25+D104</f>
        <v>4107052.4144450915</v>
      </c>
      <c r="E108" s="1316">
        <f t="shared" si="16"/>
        <v>2222306.1750454516</v>
      </c>
      <c r="F108" s="1308">
        <f t="shared" si="17"/>
        <v>0.20839729551141928</v>
      </c>
      <c r="G108" s="1309">
        <f t="shared" si="18"/>
        <v>0.54109515798466135</v>
      </c>
    </row>
    <row r="113" spans="2:14" x14ac:dyDescent="0.25">
      <c r="B113" s="1271" t="s">
        <v>1570</v>
      </c>
      <c r="C113" s="1945" t="s">
        <v>1571</v>
      </c>
      <c r="D113" s="1946"/>
      <c r="E113" s="1947"/>
      <c r="F113" s="1272" t="s">
        <v>1572</v>
      </c>
    </row>
    <row r="114" spans="2:14" x14ac:dyDescent="0.25">
      <c r="B114" s="496"/>
      <c r="C114" s="496"/>
      <c r="D114" s="496"/>
      <c r="E114" s="1234"/>
      <c r="F114" s="496"/>
    </row>
    <row r="115" spans="2:14" x14ac:dyDescent="0.25">
      <c r="B115" s="1948" t="s">
        <v>1573</v>
      </c>
      <c r="C115" s="1951" t="s">
        <v>1574</v>
      </c>
      <c r="D115" s="1952"/>
      <c r="E115" s="1953"/>
      <c r="F115" s="1317">
        <f>E104</f>
        <v>1048379.2320772738</v>
      </c>
    </row>
    <row r="116" spans="2:14" x14ac:dyDescent="0.25">
      <c r="B116" s="1949"/>
      <c r="C116" s="1951" t="s">
        <v>1575</v>
      </c>
      <c r="D116" s="1952"/>
      <c r="E116" s="1953"/>
      <c r="F116" s="1318">
        <f>F104</f>
        <v>-3.3701375419799007E-3</v>
      </c>
    </row>
    <row r="117" spans="2:14" x14ac:dyDescent="0.25">
      <c r="B117" s="1950"/>
      <c r="C117" s="1951" t="s">
        <v>1602</v>
      </c>
      <c r="D117" s="1952"/>
      <c r="E117" s="1953"/>
      <c r="F117" s="1322">
        <f>G104</f>
        <v>0.19144737994881206</v>
      </c>
    </row>
    <row r="118" spans="2:14" x14ac:dyDescent="0.25">
      <c r="B118" s="1948" t="s">
        <v>1576</v>
      </c>
      <c r="C118" s="1951" t="s">
        <v>1577</v>
      </c>
      <c r="D118" s="1952"/>
      <c r="E118" s="1953"/>
      <c r="F118" s="1317">
        <f>C139</f>
        <v>5023450.2473923527</v>
      </c>
    </row>
    <row r="119" spans="2:14" x14ac:dyDescent="0.25">
      <c r="B119" s="1949"/>
      <c r="C119" s="1951" t="s">
        <v>1578</v>
      </c>
      <c r="D119" s="1952"/>
      <c r="E119" s="1953"/>
      <c r="F119" s="1320"/>
    </row>
    <row r="120" spans="2:14" x14ac:dyDescent="0.25">
      <c r="B120" s="1949"/>
      <c r="C120" s="1951" t="s">
        <v>1579</v>
      </c>
      <c r="D120" s="1952"/>
      <c r="E120" s="1953"/>
      <c r="F120" s="1319"/>
    </row>
    <row r="121" spans="2:14" x14ac:dyDescent="0.25">
      <c r="B121" s="1950"/>
      <c r="C121" s="1951" t="s">
        <v>1580</v>
      </c>
      <c r="D121" s="1952"/>
      <c r="E121" s="1953"/>
      <c r="F121" s="1321">
        <f>C141</f>
        <v>22.837039871603977</v>
      </c>
    </row>
    <row r="123" spans="2:14" x14ac:dyDescent="0.25">
      <c r="B123" s="1211" t="s">
        <v>1529</v>
      </c>
      <c r="C123" s="1212"/>
      <c r="D123" s="1212"/>
      <c r="E123" s="1212"/>
      <c r="F123" s="1212"/>
      <c r="G123" s="1212"/>
      <c r="H123" s="1212"/>
      <c r="I123" s="1212"/>
      <c r="J123" s="1212"/>
      <c r="K123" s="1212"/>
      <c r="L123" s="1212"/>
      <c r="M123" s="1212"/>
      <c r="N123" s="1212"/>
    </row>
    <row r="124" spans="2:14" x14ac:dyDescent="0.25">
      <c r="B124" s="1212"/>
      <c r="C124" s="1212"/>
      <c r="D124" s="1212"/>
      <c r="E124" s="1212"/>
      <c r="F124" s="1212"/>
      <c r="G124" s="1212"/>
      <c r="H124" s="1212"/>
      <c r="I124" s="1212"/>
      <c r="J124" s="1212"/>
      <c r="K124" s="1212"/>
      <c r="L124" s="1212"/>
      <c r="M124" s="1212"/>
      <c r="N124" s="1212"/>
    </row>
    <row r="125" spans="2:14" ht="15" customHeight="1" x14ac:dyDescent="0.25">
      <c r="B125" s="1934" t="s">
        <v>1490</v>
      </c>
      <c r="C125" s="1213" t="s">
        <v>1516</v>
      </c>
      <c r="D125" s="1931" t="s">
        <v>1517</v>
      </c>
      <c r="E125" s="1932"/>
      <c r="F125" s="1932"/>
      <c r="G125" s="1932"/>
      <c r="H125" s="1932"/>
      <c r="I125" s="1932"/>
      <c r="J125" s="1932"/>
      <c r="K125" s="1932"/>
      <c r="L125" s="1932"/>
      <c r="M125" s="1933"/>
      <c r="N125" s="1212"/>
    </row>
    <row r="126" spans="2:14" x14ac:dyDescent="0.25">
      <c r="B126" s="1935"/>
      <c r="C126" s="1213">
        <v>0</v>
      </c>
      <c r="D126" s="1213">
        <v>1</v>
      </c>
      <c r="E126" s="1213">
        <v>2</v>
      </c>
      <c r="F126" s="1213">
        <v>3</v>
      </c>
      <c r="G126" s="1213">
        <v>4</v>
      </c>
      <c r="H126" s="1213">
        <v>5</v>
      </c>
      <c r="I126" s="1213">
        <v>6</v>
      </c>
      <c r="J126" s="1213">
        <v>7</v>
      </c>
      <c r="K126" s="1213">
        <v>8</v>
      </c>
      <c r="L126" s="1213">
        <v>9</v>
      </c>
      <c r="M126" s="1213">
        <v>10</v>
      </c>
      <c r="N126" s="1212"/>
    </row>
    <row r="127" spans="2:14" ht="39" x14ac:dyDescent="0.25">
      <c r="B127" s="1217" t="s">
        <v>1518</v>
      </c>
      <c r="C127" s="1215"/>
      <c r="D127" s="1218">
        <f>+D128+D129</f>
        <v>232880</v>
      </c>
      <c r="E127" s="1218">
        <f t="shared" ref="E127:M127" si="19">+E128+E129</f>
        <v>232880</v>
      </c>
      <c r="F127" s="1218">
        <f t="shared" si="19"/>
        <v>232880</v>
      </c>
      <c r="G127" s="1218">
        <f t="shared" si="19"/>
        <v>232880</v>
      </c>
      <c r="H127" s="1218">
        <f t="shared" si="19"/>
        <v>232880</v>
      </c>
      <c r="I127" s="1218">
        <f t="shared" si="19"/>
        <v>232880</v>
      </c>
      <c r="J127" s="1218">
        <f t="shared" si="19"/>
        <v>232880</v>
      </c>
      <c r="K127" s="1218">
        <f t="shared" si="19"/>
        <v>232880</v>
      </c>
      <c r="L127" s="1218">
        <f t="shared" si="19"/>
        <v>232880</v>
      </c>
      <c r="M127" s="1218">
        <f t="shared" si="19"/>
        <v>232880</v>
      </c>
      <c r="N127" s="1212"/>
    </row>
    <row r="128" spans="2:14" x14ac:dyDescent="0.25">
      <c r="B128" s="1215" t="s">
        <v>1519</v>
      </c>
      <c r="C128" s="1215"/>
      <c r="D128" s="1219">
        <v>185880</v>
      </c>
      <c r="E128" s="1219">
        <v>185880</v>
      </c>
      <c r="F128" s="1219">
        <v>185880</v>
      </c>
      <c r="G128" s="1219">
        <v>185880</v>
      </c>
      <c r="H128" s="1219">
        <v>185880</v>
      </c>
      <c r="I128" s="1219">
        <v>185880</v>
      </c>
      <c r="J128" s="1219">
        <v>185880</v>
      </c>
      <c r="K128" s="1219">
        <v>185880</v>
      </c>
      <c r="L128" s="1219">
        <v>185880</v>
      </c>
      <c r="M128" s="1219">
        <v>185880</v>
      </c>
      <c r="N128" s="1212"/>
    </row>
    <row r="129" spans="2:14" x14ac:dyDescent="0.25">
      <c r="B129" s="1215" t="s">
        <v>978</v>
      </c>
      <c r="C129" s="1215"/>
      <c r="D129" s="1219">
        <v>47000</v>
      </c>
      <c r="E129" s="1219">
        <v>47000</v>
      </c>
      <c r="F129" s="1219">
        <v>47000</v>
      </c>
      <c r="G129" s="1219">
        <v>47000</v>
      </c>
      <c r="H129" s="1219">
        <v>47000</v>
      </c>
      <c r="I129" s="1219">
        <v>47000</v>
      </c>
      <c r="J129" s="1219">
        <v>47000</v>
      </c>
      <c r="K129" s="1219">
        <v>47000</v>
      </c>
      <c r="L129" s="1219">
        <v>47000</v>
      </c>
      <c r="M129" s="1219">
        <v>47000</v>
      </c>
      <c r="N129" s="1212"/>
    </row>
    <row r="130" spans="2:14" ht="38.25" x14ac:dyDescent="0.25">
      <c r="B130" s="1220" t="s">
        <v>1520</v>
      </c>
      <c r="C130" s="1216"/>
      <c r="D130" s="1221">
        <f>+D131+D132</f>
        <v>71230</v>
      </c>
      <c r="E130" s="1221">
        <f t="shared" ref="E130:M130" si="20">+E131+E132</f>
        <v>71230</v>
      </c>
      <c r="F130" s="1221">
        <f t="shared" si="20"/>
        <v>71230</v>
      </c>
      <c r="G130" s="1221">
        <f t="shared" si="20"/>
        <v>71230</v>
      </c>
      <c r="H130" s="1221">
        <f t="shared" si="20"/>
        <v>71230</v>
      </c>
      <c r="I130" s="1221">
        <f t="shared" si="20"/>
        <v>71230</v>
      </c>
      <c r="J130" s="1221">
        <f t="shared" si="20"/>
        <v>71230</v>
      </c>
      <c r="K130" s="1221">
        <f t="shared" si="20"/>
        <v>71230</v>
      </c>
      <c r="L130" s="1221">
        <f t="shared" si="20"/>
        <v>71230</v>
      </c>
      <c r="M130" s="1221">
        <f t="shared" si="20"/>
        <v>71230</v>
      </c>
      <c r="N130" s="1222"/>
    </row>
    <row r="131" spans="2:14" x14ac:dyDescent="0.25">
      <c r="B131" s="1215" t="s">
        <v>1519</v>
      </c>
      <c r="C131" s="1215"/>
      <c r="D131" s="1219">
        <v>70680</v>
      </c>
      <c r="E131" s="1219">
        <v>70680</v>
      </c>
      <c r="F131" s="1219">
        <v>70680</v>
      </c>
      <c r="G131" s="1219">
        <v>70680</v>
      </c>
      <c r="H131" s="1219">
        <v>70680</v>
      </c>
      <c r="I131" s="1219">
        <v>70680</v>
      </c>
      <c r="J131" s="1219">
        <v>70680</v>
      </c>
      <c r="K131" s="1219">
        <v>70680</v>
      </c>
      <c r="L131" s="1219">
        <v>70680</v>
      </c>
      <c r="M131" s="1219">
        <v>70680</v>
      </c>
      <c r="N131" s="1212"/>
    </row>
    <row r="132" spans="2:14" x14ac:dyDescent="0.25">
      <c r="B132" s="1215" t="s">
        <v>978</v>
      </c>
      <c r="C132" s="1215"/>
      <c r="D132" s="1219">
        <v>550</v>
      </c>
      <c r="E132" s="1219">
        <v>550</v>
      </c>
      <c r="F132" s="1219">
        <v>550</v>
      </c>
      <c r="G132" s="1219">
        <v>550</v>
      </c>
      <c r="H132" s="1219">
        <v>550</v>
      </c>
      <c r="I132" s="1219">
        <v>550</v>
      </c>
      <c r="J132" s="1219">
        <v>550</v>
      </c>
      <c r="K132" s="1219">
        <v>550</v>
      </c>
      <c r="L132" s="1219">
        <v>550</v>
      </c>
      <c r="M132" s="1219">
        <v>550</v>
      </c>
      <c r="N132" s="1212"/>
    </row>
    <row r="133" spans="2:14" x14ac:dyDescent="0.25">
      <c r="B133" s="1223" t="s">
        <v>1521</v>
      </c>
      <c r="C133" s="1215"/>
      <c r="D133" s="1214">
        <f>+D127-D130</f>
        <v>161650</v>
      </c>
      <c r="E133" s="1214">
        <f t="shared" ref="E133:M133" si="21">+E127-E130</f>
        <v>161650</v>
      </c>
      <c r="F133" s="1214">
        <f t="shared" si="21"/>
        <v>161650</v>
      </c>
      <c r="G133" s="1214">
        <f t="shared" si="21"/>
        <v>161650</v>
      </c>
      <c r="H133" s="1214">
        <f t="shared" si="21"/>
        <v>161650</v>
      </c>
      <c r="I133" s="1214">
        <f t="shared" si="21"/>
        <v>161650</v>
      </c>
      <c r="J133" s="1214">
        <f t="shared" si="21"/>
        <v>161650</v>
      </c>
      <c r="K133" s="1214">
        <f t="shared" si="21"/>
        <v>161650</v>
      </c>
      <c r="L133" s="1214">
        <f t="shared" si="21"/>
        <v>161650</v>
      </c>
      <c r="M133" s="1214">
        <f t="shared" si="21"/>
        <v>161650</v>
      </c>
      <c r="N133" s="1212"/>
    </row>
    <row r="134" spans="2:14" x14ac:dyDescent="0.25">
      <c r="B134" s="1215" t="s">
        <v>1604</v>
      </c>
      <c r="C134" s="1224">
        <f>1/(1+0.09)^C126</f>
        <v>1</v>
      </c>
      <c r="D134" s="1224">
        <f t="shared" ref="D134:M134" si="22">1/(1+0.09)^D126</f>
        <v>0.9174311926605504</v>
      </c>
      <c r="E134" s="1224">
        <f t="shared" si="22"/>
        <v>0.84167999326655996</v>
      </c>
      <c r="F134" s="1224">
        <f t="shared" si="22"/>
        <v>0.77218348006106419</v>
      </c>
      <c r="G134" s="1224">
        <f t="shared" si="22"/>
        <v>0.7084252110651964</v>
      </c>
      <c r="H134" s="1224">
        <f t="shared" si="22"/>
        <v>0.64993138629834524</v>
      </c>
      <c r="I134" s="1224">
        <f t="shared" si="22"/>
        <v>0.5962673268792158</v>
      </c>
      <c r="J134" s="1224">
        <f t="shared" si="22"/>
        <v>0.54703424484331731</v>
      </c>
      <c r="K134" s="1224">
        <f t="shared" si="22"/>
        <v>0.50186627967276809</v>
      </c>
      <c r="L134" s="1224">
        <f t="shared" si="22"/>
        <v>0.46042777951630098</v>
      </c>
      <c r="M134" s="1224">
        <f t="shared" si="22"/>
        <v>0.42241080689568894</v>
      </c>
      <c r="N134" s="1212"/>
    </row>
    <row r="135" spans="2:14" x14ac:dyDescent="0.25">
      <c r="B135" s="1223" t="s">
        <v>1523</v>
      </c>
      <c r="C135" s="1214">
        <v>3986035.8800000004</v>
      </c>
      <c r="D135" s="1214">
        <f>D133*D134</f>
        <v>148302.75229357797</v>
      </c>
      <c r="E135" s="1214">
        <f t="shared" ref="E135:J135" si="23">E133*E134</f>
        <v>136057.57091153943</v>
      </c>
      <c r="F135" s="1214">
        <f t="shared" si="23"/>
        <v>124823.45955187103</v>
      </c>
      <c r="G135" s="1214">
        <f t="shared" si="23"/>
        <v>114516.935368689</v>
      </c>
      <c r="H135" s="1214">
        <f t="shared" si="23"/>
        <v>105061.4085951275</v>
      </c>
      <c r="I135" s="1214">
        <f t="shared" si="23"/>
        <v>96386.613390025232</v>
      </c>
      <c r="J135" s="1214">
        <f t="shared" si="23"/>
        <v>88428.085678922245</v>
      </c>
      <c r="K135" s="1214">
        <f>K133*K134</f>
        <v>81126.684109102964</v>
      </c>
      <c r="L135" s="1214">
        <f>L133*L134</f>
        <v>74428.150558810055</v>
      </c>
      <c r="M135" s="1214">
        <f>M133*M134</f>
        <v>68282.706934688118</v>
      </c>
      <c r="N135" s="1212"/>
    </row>
    <row r="136" spans="2:14" x14ac:dyDescent="0.25">
      <c r="B136" s="1212"/>
      <c r="C136" s="1212"/>
      <c r="D136" s="1212"/>
      <c r="E136" s="1212"/>
      <c r="F136" s="1212"/>
      <c r="G136" s="1212"/>
      <c r="H136" s="1212"/>
      <c r="I136" s="1212"/>
      <c r="J136" s="1212"/>
      <c r="K136" s="1212"/>
      <c r="L136" s="1212"/>
      <c r="M136" s="1212"/>
      <c r="N136" s="1212"/>
    </row>
    <row r="137" spans="2:14" x14ac:dyDescent="0.25">
      <c r="B137" s="1212"/>
      <c r="C137" s="1212"/>
      <c r="D137" s="1212"/>
      <c r="E137" s="1212"/>
      <c r="F137" s="1212"/>
      <c r="G137" s="1212"/>
      <c r="H137" s="1212"/>
      <c r="I137" s="1212"/>
      <c r="J137" s="1212"/>
      <c r="K137" s="1212"/>
      <c r="L137" s="1212"/>
      <c r="M137" s="1212"/>
      <c r="N137" s="1212"/>
    </row>
    <row r="138" spans="2:14" x14ac:dyDescent="0.25">
      <c r="B138" s="1226" t="s">
        <v>1524</v>
      </c>
      <c r="C138" s="1213" t="s">
        <v>1525</v>
      </c>
      <c r="D138" s="1212"/>
      <c r="E138" s="1212"/>
      <c r="F138" s="1212"/>
      <c r="G138" s="1212"/>
      <c r="H138" s="1212"/>
      <c r="I138" s="1212"/>
      <c r="J138" s="1212"/>
      <c r="K138" s="1212"/>
      <c r="L138" s="1212"/>
      <c r="M138" s="1212"/>
      <c r="N138" s="1212"/>
    </row>
    <row r="139" spans="2:14" x14ac:dyDescent="0.25">
      <c r="B139" s="1215" t="s">
        <v>1526</v>
      </c>
      <c r="C139" s="1227">
        <f>SUM(C135:M135)</f>
        <v>5023450.2473923527</v>
      </c>
      <c r="D139" s="1212"/>
      <c r="E139" s="1212"/>
      <c r="F139" s="1212"/>
      <c r="G139" s="1212"/>
      <c r="H139" s="1212"/>
      <c r="I139" s="1212"/>
      <c r="J139" s="1212"/>
      <c r="K139" s="1212"/>
      <c r="L139" s="1212"/>
      <c r="M139" s="1212"/>
      <c r="N139" s="1212"/>
    </row>
    <row r="140" spans="2:14" x14ac:dyDescent="0.25">
      <c r="B140" s="1215" t="s">
        <v>1527</v>
      </c>
      <c r="C140" s="1228">
        <v>219969.41265748758</v>
      </c>
      <c r="D140" s="1212"/>
      <c r="E140" s="1212"/>
      <c r="F140" s="1212"/>
      <c r="G140" s="1212"/>
      <c r="H140" s="1212"/>
      <c r="I140" s="1212"/>
      <c r="J140" s="1212"/>
      <c r="K140" s="1212"/>
      <c r="L140" s="1212"/>
      <c r="M140" s="1212"/>
      <c r="N140" s="1212"/>
    </row>
    <row r="141" spans="2:14" x14ac:dyDescent="0.25">
      <c r="B141" s="1215" t="s">
        <v>1528</v>
      </c>
      <c r="C141" s="1219">
        <f>C139/C140</f>
        <v>22.837039871603977</v>
      </c>
      <c r="D141" s="1212"/>
      <c r="E141" s="1212"/>
      <c r="F141" s="1212"/>
      <c r="G141" s="1212"/>
      <c r="H141" s="1212"/>
      <c r="I141" s="1212"/>
      <c r="J141" s="1212"/>
      <c r="K141" s="1212"/>
      <c r="L141" s="1212"/>
      <c r="M141" s="1212"/>
      <c r="N141" s="1212"/>
    </row>
    <row r="143" spans="2:14" x14ac:dyDescent="0.25">
      <c r="B143" s="1230">
        <v>0.75</v>
      </c>
    </row>
    <row r="144" spans="2:14" x14ac:dyDescent="0.25">
      <c r="B144" s="1934" t="s">
        <v>1490</v>
      </c>
      <c r="C144" s="1213" t="s">
        <v>1516</v>
      </c>
      <c r="D144" s="1931" t="s">
        <v>1517</v>
      </c>
      <c r="E144" s="1932"/>
      <c r="F144" s="1932"/>
      <c r="G144" s="1932"/>
      <c r="H144" s="1932"/>
      <c r="I144" s="1932"/>
      <c r="J144" s="1932"/>
      <c r="K144" s="1932"/>
      <c r="L144" s="1932"/>
      <c r="M144" s="1933"/>
    </row>
    <row r="145" spans="1:13" x14ac:dyDescent="0.25">
      <c r="A145" s="1229">
        <v>0</v>
      </c>
      <c r="B145" s="1935"/>
      <c r="C145" s="1213">
        <v>0</v>
      </c>
      <c r="D145" s="1213">
        <v>1</v>
      </c>
      <c r="E145" s="1213">
        <v>2</v>
      </c>
      <c r="F145" s="1213">
        <v>3</v>
      </c>
      <c r="G145" s="1213">
        <v>4</v>
      </c>
      <c r="H145" s="1213">
        <v>5</v>
      </c>
      <c r="I145" s="1213">
        <v>6</v>
      </c>
      <c r="J145" s="1213">
        <v>7</v>
      </c>
      <c r="K145" s="1213">
        <v>8</v>
      </c>
      <c r="L145" s="1213">
        <v>9</v>
      </c>
      <c r="M145" s="1213">
        <v>10</v>
      </c>
    </row>
    <row r="146" spans="1:13" ht="39" x14ac:dyDescent="0.25">
      <c r="B146" s="1217" t="s">
        <v>1518</v>
      </c>
      <c r="C146" s="1215"/>
      <c r="D146" s="1218">
        <f>+D147+D148</f>
        <v>232880</v>
      </c>
      <c r="E146" s="1218">
        <f t="shared" ref="E146:M146" si="24">+E147+E148</f>
        <v>232880</v>
      </c>
      <c r="F146" s="1218">
        <f t="shared" si="24"/>
        <v>232880</v>
      </c>
      <c r="G146" s="1218">
        <f t="shared" si="24"/>
        <v>232880</v>
      </c>
      <c r="H146" s="1218">
        <f t="shared" si="24"/>
        <v>232880</v>
      </c>
      <c r="I146" s="1218">
        <f t="shared" si="24"/>
        <v>232880</v>
      </c>
      <c r="J146" s="1218">
        <f t="shared" si="24"/>
        <v>232880</v>
      </c>
      <c r="K146" s="1218">
        <f t="shared" si="24"/>
        <v>232880</v>
      </c>
      <c r="L146" s="1218">
        <f t="shared" si="24"/>
        <v>232880</v>
      </c>
      <c r="M146" s="1218">
        <f t="shared" si="24"/>
        <v>232880</v>
      </c>
    </row>
    <row r="147" spans="1:13" x14ac:dyDescent="0.25">
      <c r="B147" s="1215" t="s">
        <v>1519</v>
      </c>
      <c r="C147" s="1215"/>
      <c r="D147" s="1219">
        <v>185880</v>
      </c>
      <c r="E147" s="1219">
        <v>185880</v>
      </c>
      <c r="F147" s="1219">
        <v>185880</v>
      </c>
      <c r="G147" s="1219">
        <v>185880</v>
      </c>
      <c r="H147" s="1219">
        <v>185880</v>
      </c>
      <c r="I147" s="1219">
        <v>185880</v>
      </c>
      <c r="J147" s="1219">
        <v>185880</v>
      </c>
      <c r="K147" s="1219">
        <v>185880</v>
      </c>
      <c r="L147" s="1219">
        <v>185880</v>
      </c>
      <c r="M147" s="1219">
        <v>185880</v>
      </c>
    </row>
    <row r="148" spans="1:13" x14ac:dyDescent="0.25">
      <c r="B148" s="1215" t="s">
        <v>978</v>
      </c>
      <c r="C148" s="1215"/>
      <c r="D148" s="1219">
        <v>47000</v>
      </c>
      <c r="E148" s="1219">
        <v>47000</v>
      </c>
      <c r="F148" s="1219">
        <v>47000</v>
      </c>
      <c r="G148" s="1219">
        <v>47000</v>
      </c>
      <c r="H148" s="1219">
        <v>47000</v>
      </c>
      <c r="I148" s="1219">
        <v>47000</v>
      </c>
      <c r="J148" s="1219">
        <v>47000</v>
      </c>
      <c r="K148" s="1219">
        <v>47000</v>
      </c>
      <c r="L148" s="1219">
        <v>47000</v>
      </c>
      <c r="M148" s="1219">
        <v>47000</v>
      </c>
    </row>
    <row r="149" spans="1:13" ht="38.25" x14ac:dyDescent="0.25">
      <c r="B149" s="1220" t="s">
        <v>1520</v>
      </c>
      <c r="C149" s="1216"/>
      <c r="D149" s="1221">
        <f>+D150+D151</f>
        <v>71230</v>
      </c>
      <c r="E149" s="1221">
        <f t="shared" ref="E149:M149" si="25">+E150+E151</f>
        <v>71230</v>
      </c>
      <c r="F149" s="1221">
        <f t="shared" si="25"/>
        <v>71230</v>
      </c>
      <c r="G149" s="1221">
        <f t="shared" si="25"/>
        <v>71230</v>
      </c>
      <c r="H149" s="1221">
        <f t="shared" si="25"/>
        <v>71230</v>
      </c>
      <c r="I149" s="1221">
        <f t="shared" si="25"/>
        <v>71230</v>
      </c>
      <c r="J149" s="1221">
        <f t="shared" si="25"/>
        <v>71230</v>
      </c>
      <c r="K149" s="1221">
        <f t="shared" si="25"/>
        <v>71230</v>
      </c>
      <c r="L149" s="1221">
        <f t="shared" si="25"/>
        <v>71230</v>
      </c>
      <c r="M149" s="1221">
        <f t="shared" si="25"/>
        <v>71230</v>
      </c>
    </row>
    <row r="150" spans="1:13" x14ac:dyDescent="0.25">
      <c r="B150" s="1215" t="s">
        <v>1519</v>
      </c>
      <c r="C150" s="1215"/>
      <c r="D150" s="1219">
        <v>70680</v>
      </c>
      <c r="E150" s="1219">
        <v>70680</v>
      </c>
      <c r="F150" s="1219">
        <v>70680</v>
      </c>
      <c r="G150" s="1219">
        <v>70680</v>
      </c>
      <c r="H150" s="1219">
        <v>70680</v>
      </c>
      <c r="I150" s="1219">
        <v>70680</v>
      </c>
      <c r="J150" s="1219">
        <v>70680</v>
      </c>
      <c r="K150" s="1219">
        <v>70680</v>
      </c>
      <c r="L150" s="1219">
        <v>70680</v>
      </c>
      <c r="M150" s="1219">
        <v>70680</v>
      </c>
    </row>
    <row r="151" spans="1:13" x14ac:dyDescent="0.25">
      <c r="B151" s="1215" t="s">
        <v>978</v>
      </c>
      <c r="C151" s="1215"/>
      <c r="D151" s="1219">
        <v>550</v>
      </c>
      <c r="E151" s="1219">
        <v>550</v>
      </c>
      <c r="F151" s="1219">
        <v>550</v>
      </c>
      <c r="G151" s="1219">
        <v>550</v>
      </c>
      <c r="H151" s="1219">
        <v>550</v>
      </c>
      <c r="I151" s="1219">
        <v>550</v>
      </c>
      <c r="J151" s="1219">
        <v>550</v>
      </c>
      <c r="K151" s="1219">
        <v>550</v>
      </c>
      <c r="L151" s="1219">
        <v>550</v>
      </c>
      <c r="M151" s="1219">
        <v>550</v>
      </c>
    </row>
    <row r="152" spans="1:13" x14ac:dyDescent="0.25">
      <c r="B152" s="1223" t="s">
        <v>1521</v>
      </c>
      <c r="C152" s="1215"/>
      <c r="D152" s="1214">
        <f>+D146-D149</f>
        <v>161650</v>
      </c>
      <c r="E152" s="1214">
        <f t="shared" ref="E152:M152" si="26">+E146-E149</f>
        <v>161650</v>
      </c>
      <c r="F152" s="1214">
        <f t="shared" si="26"/>
        <v>161650</v>
      </c>
      <c r="G152" s="1214">
        <f t="shared" si="26"/>
        <v>161650</v>
      </c>
      <c r="H152" s="1214">
        <f t="shared" si="26"/>
        <v>161650</v>
      </c>
      <c r="I152" s="1214">
        <f t="shared" si="26"/>
        <v>161650</v>
      </c>
      <c r="J152" s="1214">
        <f t="shared" si="26"/>
        <v>161650</v>
      </c>
      <c r="K152" s="1214">
        <f t="shared" si="26"/>
        <v>161650</v>
      </c>
      <c r="L152" s="1214">
        <f t="shared" si="26"/>
        <v>161650</v>
      </c>
      <c r="M152" s="1214">
        <f t="shared" si="26"/>
        <v>161650</v>
      </c>
    </row>
    <row r="153" spans="1:13" x14ac:dyDescent="0.25">
      <c r="B153" s="1215" t="s">
        <v>1603</v>
      </c>
      <c r="C153" s="1224">
        <f>1/(1+0.08)^C145</f>
        <v>1</v>
      </c>
      <c r="D153" s="1225">
        <f>1/(1+0.08)^D145</f>
        <v>0.92592592592592582</v>
      </c>
      <c r="E153" s="1225">
        <f t="shared" ref="E153:M153" si="27">1/(1+0.08)^E145</f>
        <v>0.85733882030178321</v>
      </c>
      <c r="F153" s="1225">
        <f t="shared" si="27"/>
        <v>0.79383224102016958</v>
      </c>
      <c r="G153" s="1225">
        <f t="shared" si="27"/>
        <v>0.73502985279645328</v>
      </c>
      <c r="H153" s="1225">
        <f t="shared" si="27"/>
        <v>0.68058319703375303</v>
      </c>
      <c r="I153" s="1225">
        <f t="shared" si="27"/>
        <v>0.63016962688310452</v>
      </c>
      <c r="J153" s="1225">
        <f t="shared" si="27"/>
        <v>0.58349039526213387</v>
      </c>
      <c r="K153" s="1225">
        <f t="shared" si="27"/>
        <v>0.54026888450197574</v>
      </c>
      <c r="L153" s="1225">
        <f t="shared" si="27"/>
        <v>0.50024896713145905</v>
      </c>
      <c r="M153" s="1225">
        <f t="shared" si="27"/>
        <v>0.46319348808468425</v>
      </c>
    </row>
    <row r="154" spans="1:13" x14ac:dyDescent="0.25">
      <c r="B154" s="1223" t="s">
        <v>1523</v>
      </c>
      <c r="C154" s="1214">
        <f>3986035.88*0.75</f>
        <v>2989526.91</v>
      </c>
      <c r="D154" s="1214">
        <f>D152*D153</f>
        <v>149675.9259259259</v>
      </c>
      <c r="E154" s="1214">
        <f t="shared" ref="E154:J154" si="28">E152*E153</f>
        <v>138588.82030178324</v>
      </c>
      <c r="F154" s="1214">
        <f t="shared" si="28"/>
        <v>128322.98176091041</v>
      </c>
      <c r="G154" s="1214">
        <f t="shared" si="28"/>
        <v>118817.57570454667</v>
      </c>
      <c r="H154" s="1214">
        <f t="shared" si="28"/>
        <v>110016.27380050618</v>
      </c>
      <c r="I154" s="1214">
        <f t="shared" si="28"/>
        <v>101866.92018565384</v>
      </c>
      <c r="J154" s="1214">
        <f t="shared" si="28"/>
        <v>94321.222394123935</v>
      </c>
      <c r="K154" s="1214">
        <f>K152*K153</f>
        <v>87334.46517974438</v>
      </c>
      <c r="L154" s="1214">
        <f>L152*L153</f>
        <v>80865.245536800358</v>
      </c>
      <c r="M154" s="1214">
        <f>M152*M153</f>
        <v>74875.22734888921</v>
      </c>
    </row>
    <row r="155" spans="1:13" x14ac:dyDescent="0.25">
      <c r="B155" s="1212"/>
      <c r="C155" s="1212"/>
      <c r="D155" s="1212"/>
      <c r="E155" s="1212"/>
      <c r="F155" s="1212"/>
      <c r="G155" s="1212"/>
      <c r="H155" s="1212"/>
      <c r="I155" s="1212"/>
      <c r="J155" s="1212"/>
      <c r="K155" s="1212"/>
      <c r="L155" s="1212"/>
      <c r="M155" s="1212"/>
    </row>
    <row r="156" spans="1:13" x14ac:dyDescent="0.25">
      <c r="B156" s="1212"/>
      <c r="C156" s="1212"/>
      <c r="D156" s="1212"/>
      <c r="E156" s="1212"/>
      <c r="F156" s="1212"/>
      <c r="G156" s="1212"/>
      <c r="H156" s="1212"/>
      <c r="I156" s="1212"/>
      <c r="J156" s="1212"/>
      <c r="K156" s="1212"/>
      <c r="L156" s="1212"/>
      <c r="M156" s="1212"/>
    </row>
    <row r="157" spans="1:13" x14ac:dyDescent="0.25">
      <c r="B157" s="1226" t="s">
        <v>1524</v>
      </c>
      <c r="C157" s="1213" t="s">
        <v>1525</v>
      </c>
      <c r="D157" s="1212"/>
      <c r="E157" s="1212"/>
      <c r="F157" s="1212"/>
      <c r="G157" s="1212"/>
      <c r="H157" s="1212"/>
      <c r="I157" s="1212"/>
      <c r="J157" s="1212"/>
      <c r="K157" s="1212"/>
      <c r="L157" s="1212"/>
      <c r="M157" s="1212"/>
    </row>
    <row r="158" spans="1:13" x14ac:dyDescent="0.25">
      <c r="B158" s="1215" t="s">
        <v>1526</v>
      </c>
      <c r="C158" s="1227">
        <f>SUM(C154:M154)</f>
        <v>4074211.5681388844</v>
      </c>
      <c r="D158" s="1212"/>
      <c r="E158" s="1212"/>
      <c r="F158" s="1212"/>
      <c r="G158" s="1212"/>
      <c r="H158" s="1212"/>
      <c r="I158" s="1212"/>
      <c r="J158" s="1212"/>
      <c r="K158" s="1212"/>
      <c r="L158" s="1212"/>
      <c r="M158" s="1212"/>
    </row>
    <row r="159" spans="1:13" x14ac:dyDescent="0.25">
      <c r="B159" s="1215" t="s">
        <v>1527</v>
      </c>
      <c r="C159" s="1228">
        <v>219969.41265748758</v>
      </c>
      <c r="D159" s="1212"/>
      <c r="E159" s="1212"/>
      <c r="F159" s="1212"/>
      <c r="G159" s="1212"/>
      <c r="H159" s="1212"/>
      <c r="I159" s="1212"/>
      <c r="J159" s="1212"/>
      <c r="K159" s="1212"/>
      <c r="L159" s="1212"/>
      <c r="M159" s="1212"/>
    </row>
    <row r="160" spans="1:13" x14ac:dyDescent="0.25">
      <c r="B160" s="1215" t="s">
        <v>1528</v>
      </c>
      <c r="C160" s="1219">
        <f>C158/C159</f>
        <v>18.521718628593163</v>
      </c>
      <c r="D160" s="1212"/>
      <c r="E160" s="1212"/>
      <c r="F160" s="1212"/>
      <c r="G160" s="1212"/>
      <c r="H160" s="1212"/>
      <c r="I160" s="1212"/>
      <c r="J160" s="1212"/>
      <c r="K160" s="1212"/>
      <c r="L160" s="1212"/>
      <c r="M160" s="1212"/>
    </row>
    <row r="163" spans="1:13" x14ac:dyDescent="0.25">
      <c r="B163" s="1230">
        <v>0.5</v>
      </c>
    </row>
    <row r="164" spans="1:13" x14ac:dyDescent="0.25">
      <c r="B164" s="1934" t="s">
        <v>1490</v>
      </c>
      <c r="C164" s="1213" t="s">
        <v>1516</v>
      </c>
      <c r="D164" s="1931" t="s">
        <v>1517</v>
      </c>
      <c r="E164" s="1932"/>
      <c r="F164" s="1932"/>
      <c r="G164" s="1932"/>
      <c r="H164" s="1932"/>
      <c r="I164" s="1932"/>
      <c r="J164" s="1932"/>
      <c r="K164" s="1932"/>
      <c r="L164" s="1932"/>
      <c r="M164" s="1933"/>
    </row>
    <row r="165" spans="1:13" x14ac:dyDescent="0.25">
      <c r="A165" s="1229">
        <v>0</v>
      </c>
      <c r="B165" s="1935"/>
      <c r="C165" s="1213">
        <v>0</v>
      </c>
      <c r="D165" s="1213">
        <v>1</v>
      </c>
      <c r="E165" s="1213">
        <v>2</v>
      </c>
      <c r="F165" s="1213">
        <v>3</v>
      </c>
      <c r="G165" s="1213">
        <v>4</v>
      </c>
      <c r="H165" s="1213">
        <v>5</v>
      </c>
      <c r="I165" s="1213">
        <v>6</v>
      </c>
      <c r="J165" s="1213">
        <v>7</v>
      </c>
      <c r="K165" s="1213">
        <v>8</v>
      </c>
      <c r="L165" s="1213">
        <v>9</v>
      </c>
      <c r="M165" s="1213">
        <v>10</v>
      </c>
    </row>
    <row r="166" spans="1:13" ht="39" x14ac:dyDescent="0.25">
      <c r="B166" s="1217" t="s">
        <v>1518</v>
      </c>
      <c r="C166" s="1215"/>
      <c r="D166" s="1218">
        <f>+D167+D168</f>
        <v>232880</v>
      </c>
      <c r="E166" s="1218">
        <f t="shared" ref="E166:M166" si="29">+E167+E168</f>
        <v>232880</v>
      </c>
      <c r="F166" s="1218">
        <f t="shared" si="29"/>
        <v>232880</v>
      </c>
      <c r="G166" s="1218">
        <f t="shared" si="29"/>
        <v>232880</v>
      </c>
      <c r="H166" s="1218">
        <f t="shared" si="29"/>
        <v>232880</v>
      </c>
      <c r="I166" s="1218">
        <f t="shared" si="29"/>
        <v>232880</v>
      </c>
      <c r="J166" s="1218">
        <f t="shared" si="29"/>
        <v>232880</v>
      </c>
      <c r="K166" s="1218">
        <f t="shared" si="29"/>
        <v>232880</v>
      </c>
      <c r="L166" s="1218">
        <f t="shared" si="29"/>
        <v>232880</v>
      </c>
      <c r="M166" s="1218">
        <f t="shared" si="29"/>
        <v>232880</v>
      </c>
    </row>
    <row r="167" spans="1:13" x14ac:dyDescent="0.25">
      <c r="B167" s="1215" t="s">
        <v>1519</v>
      </c>
      <c r="C167" s="1215"/>
      <c r="D167" s="1219">
        <v>185880</v>
      </c>
      <c r="E167" s="1219">
        <v>185880</v>
      </c>
      <c r="F167" s="1219">
        <v>185880</v>
      </c>
      <c r="G167" s="1219">
        <v>185880</v>
      </c>
      <c r="H167" s="1219">
        <v>185880</v>
      </c>
      <c r="I167" s="1219">
        <v>185880</v>
      </c>
      <c r="J167" s="1219">
        <v>185880</v>
      </c>
      <c r="K167" s="1219">
        <v>185880</v>
      </c>
      <c r="L167" s="1219">
        <v>185880</v>
      </c>
      <c r="M167" s="1219">
        <v>185880</v>
      </c>
    </row>
    <row r="168" spans="1:13" x14ac:dyDescent="0.25">
      <c r="B168" s="1215" t="s">
        <v>978</v>
      </c>
      <c r="C168" s="1215"/>
      <c r="D168" s="1219">
        <v>47000</v>
      </c>
      <c r="E168" s="1219">
        <v>47000</v>
      </c>
      <c r="F168" s="1219">
        <v>47000</v>
      </c>
      <c r="G168" s="1219">
        <v>47000</v>
      </c>
      <c r="H168" s="1219">
        <v>47000</v>
      </c>
      <c r="I168" s="1219">
        <v>47000</v>
      </c>
      <c r="J168" s="1219">
        <v>47000</v>
      </c>
      <c r="K168" s="1219">
        <v>47000</v>
      </c>
      <c r="L168" s="1219">
        <v>47000</v>
      </c>
      <c r="M168" s="1219">
        <v>47000</v>
      </c>
    </row>
    <row r="169" spans="1:13" ht="38.25" x14ac:dyDescent="0.25">
      <c r="B169" s="1220" t="s">
        <v>1520</v>
      </c>
      <c r="C169" s="1216"/>
      <c r="D169" s="1221">
        <f>+D170+D171</f>
        <v>71230</v>
      </c>
      <c r="E169" s="1221">
        <f t="shared" ref="E169:M169" si="30">+E170+E171</f>
        <v>71230</v>
      </c>
      <c r="F169" s="1221">
        <f t="shared" si="30"/>
        <v>71230</v>
      </c>
      <c r="G169" s="1221">
        <f t="shared" si="30"/>
        <v>71230</v>
      </c>
      <c r="H169" s="1221">
        <f t="shared" si="30"/>
        <v>71230</v>
      </c>
      <c r="I169" s="1221">
        <f t="shared" si="30"/>
        <v>71230</v>
      </c>
      <c r="J169" s="1221">
        <f t="shared" si="30"/>
        <v>71230</v>
      </c>
      <c r="K169" s="1221">
        <f t="shared" si="30"/>
        <v>71230</v>
      </c>
      <c r="L169" s="1221">
        <f t="shared" si="30"/>
        <v>71230</v>
      </c>
      <c r="M169" s="1221">
        <f t="shared" si="30"/>
        <v>71230</v>
      </c>
    </row>
    <row r="170" spans="1:13" x14ac:dyDescent="0.25">
      <c r="B170" s="1215" t="s">
        <v>1519</v>
      </c>
      <c r="C170" s="1215"/>
      <c r="D170" s="1219">
        <v>70680</v>
      </c>
      <c r="E170" s="1219">
        <v>70680</v>
      </c>
      <c r="F170" s="1219">
        <v>70680</v>
      </c>
      <c r="G170" s="1219">
        <v>70680</v>
      </c>
      <c r="H170" s="1219">
        <v>70680</v>
      </c>
      <c r="I170" s="1219">
        <v>70680</v>
      </c>
      <c r="J170" s="1219">
        <v>70680</v>
      </c>
      <c r="K170" s="1219">
        <v>70680</v>
      </c>
      <c r="L170" s="1219">
        <v>70680</v>
      </c>
      <c r="M170" s="1219">
        <v>70680</v>
      </c>
    </row>
    <row r="171" spans="1:13" x14ac:dyDescent="0.25">
      <c r="B171" s="1215" t="s">
        <v>978</v>
      </c>
      <c r="C171" s="1215"/>
      <c r="D171" s="1219">
        <v>550</v>
      </c>
      <c r="E171" s="1219">
        <v>550</v>
      </c>
      <c r="F171" s="1219">
        <v>550</v>
      </c>
      <c r="G171" s="1219">
        <v>550</v>
      </c>
      <c r="H171" s="1219">
        <v>550</v>
      </c>
      <c r="I171" s="1219">
        <v>550</v>
      </c>
      <c r="J171" s="1219">
        <v>550</v>
      </c>
      <c r="K171" s="1219">
        <v>550</v>
      </c>
      <c r="L171" s="1219">
        <v>550</v>
      </c>
      <c r="M171" s="1219">
        <v>550</v>
      </c>
    </row>
    <row r="172" spans="1:13" x14ac:dyDescent="0.25">
      <c r="B172" s="1223" t="s">
        <v>1521</v>
      </c>
      <c r="C172" s="1215"/>
      <c r="D172" s="1214">
        <f>+D166-D169</f>
        <v>161650</v>
      </c>
      <c r="E172" s="1214">
        <f t="shared" ref="E172:M172" si="31">+E166-E169</f>
        <v>161650</v>
      </c>
      <c r="F172" s="1214">
        <f t="shared" si="31"/>
        <v>161650</v>
      </c>
      <c r="G172" s="1214">
        <f t="shared" si="31"/>
        <v>161650</v>
      </c>
      <c r="H172" s="1214">
        <f t="shared" si="31"/>
        <v>161650</v>
      </c>
      <c r="I172" s="1214">
        <f t="shared" si="31"/>
        <v>161650</v>
      </c>
      <c r="J172" s="1214">
        <f t="shared" si="31"/>
        <v>161650</v>
      </c>
      <c r="K172" s="1214">
        <f t="shared" si="31"/>
        <v>161650</v>
      </c>
      <c r="L172" s="1214">
        <f t="shared" si="31"/>
        <v>161650</v>
      </c>
      <c r="M172" s="1214">
        <f t="shared" si="31"/>
        <v>161650</v>
      </c>
    </row>
    <row r="173" spans="1:13" x14ac:dyDescent="0.25">
      <c r="B173" s="1215" t="s">
        <v>1522</v>
      </c>
      <c r="C173" s="1224">
        <f t="shared" ref="C173:M173" si="32">1/(1+0.11)^C165</f>
        <v>1</v>
      </c>
      <c r="D173" s="1225">
        <f t="shared" si="32"/>
        <v>0.9009009009009008</v>
      </c>
      <c r="E173" s="1225">
        <f t="shared" si="32"/>
        <v>0.8116224332440547</v>
      </c>
      <c r="F173" s="1225">
        <f t="shared" si="32"/>
        <v>0.73119138130095018</v>
      </c>
      <c r="G173" s="1225">
        <f t="shared" si="32"/>
        <v>0.65873097414500015</v>
      </c>
      <c r="H173" s="1225">
        <f t="shared" si="32"/>
        <v>0.5934513280585586</v>
      </c>
      <c r="I173" s="1225">
        <f t="shared" si="32"/>
        <v>0.53464083608879154</v>
      </c>
      <c r="J173" s="1225">
        <f t="shared" si="32"/>
        <v>0.48165841089080319</v>
      </c>
      <c r="K173" s="1225">
        <f t="shared" si="32"/>
        <v>0.43392649629802077</v>
      </c>
      <c r="L173" s="1225">
        <f t="shared" si="32"/>
        <v>0.39092477143965831</v>
      </c>
      <c r="M173" s="1225">
        <f t="shared" si="32"/>
        <v>0.3521844787744669</v>
      </c>
    </row>
    <row r="174" spans="1:13" x14ac:dyDescent="0.25">
      <c r="B174" s="1223" t="s">
        <v>1523</v>
      </c>
      <c r="C174" s="1214">
        <f>3986035.88*0.5</f>
        <v>1993017.94</v>
      </c>
      <c r="D174" s="1214">
        <f>D172*D173</f>
        <v>145630.63063063062</v>
      </c>
      <c r="E174" s="1214">
        <f t="shared" ref="E174:J174" si="33">E172*E173</f>
        <v>131198.76633390144</v>
      </c>
      <c r="F174" s="1214">
        <f t="shared" si="33"/>
        <v>118197.0867872986</v>
      </c>
      <c r="G174" s="1214">
        <f t="shared" si="33"/>
        <v>106483.86197053928</v>
      </c>
      <c r="H174" s="1214">
        <f t="shared" si="33"/>
        <v>95931.407180665992</v>
      </c>
      <c r="I174" s="1214">
        <f t="shared" si="33"/>
        <v>86424.691153753156</v>
      </c>
      <c r="J174" s="1214">
        <f t="shared" si="33"/>
        <v>77860.082120498337</v>
      </c>
      <c r="K174" s="1214">
        <f>K172*K173</f>
        <v>70144.218126575055</v>
      </c>
      <c r="L174" s="1214">
        <f>L172*L173</f>
        <v>63192.989303220769</v>
      </c>
      <c r="M174" s="1214">
        <f>M172*M173</f>
        <v>56930.620993892575</v>
      </c>
    </row>
    <row r="175" spans="1:13" x14ac:dyDescent="0.25">
      <c r="B175" s="1212"/>
      <c r="C175" s="1212"/>
      <c r="D175" s="1212"/>
      <c r="E175" s="1212"/>
      <c r="F175" s="1212"/>
      <c r="G175" s="1212"/>
      <c r="H175" s="1212"/>
      <c r="I175" s="1212"/>
      <c r="J175" s="1212"/>
      <c r="K175" s="1212"/>
      <c r="L175" s="1212"/>
      <c r="M175" s="1212"/>
    </row>
    <row r="176" spans="1:13" x14ac:dyDescent="0.25">
      <c r="B176" s="1212"/>
      <c r="C176" s="1212"/>
      <c r="D176" s="1212"/>
      <c r="E176" s="1212"/>
      <c r="F176" s="1212"/>
      <c r="G176" s="1212"/>
      <c r="H176" s="1212"/>
      <c r="I176" s="1212"/>
      <c r="J176" s="1212"/>
      <c r="K176" s="1212"/>
      <c r="L176" s="1212"/>
      <c r="M176" s="1212"/>
    </row>
    <row r="177" spans="1:13" x14ac:dyDescent="0.25">
      <c r="B177" s="1226" t="s">
        <v>1524</v>
      </c>
      <c r="C177" s="1213" t="s">
        <v>1525</v>
      </c>
      <c r="D177" s="1212"/>
      <c r="E177" s="1212"/>
      <c r="F177" s="1212"/>
      <c r="G177" s="1212"/>
      <c r="H177" s="1212"/>
      <c r="I177" s="1212"/>
      <c r="J177" s="1212"/>
      <c r="K177" s="1212"/>
      <c r="L177" s="1212"/>
      <c r="M177" s="1212"/>
    </row>
    <row r="178" spans="1:13" x14ac:dyDescent="0.25">
      <c r="B178" s="1215" t="s">
        <v>1526</v>
      </c>
      <c r="C178" s="1227">
        <f>SUM(C174:M174)</f>
        <v>2945012.2946009757</v>
      </c>
      <c r="D178" s="1212"/>
      <c r="E178" s="1212"/>
      <c r="F178" s="1212"/>
      <c r="G178" s="1212"/>
      <c r="H178" s="1212"/>
      <c r="I178" s="1212"/>
      <c r="J178" s="1212"/>
      <c r="K178" s="1212"/>
      <c r="L178" s="1212"/>
      <c r="M178" s="1212"/>
    </row>
    <row r="179" spans="1:13" x14ac:dyDescent="0.25">
      <c r="B179" s="1215" t="s">
        <v>1527</v>
      </c>
      <c r="C179" s="1228">
        <v>219969.41265748758</v>
      </c>
      <c r="D179" s="1212"/>
      <c r="E179" s="1212"/>
      <c r="F179" s="1212"/>
      <c r="G179" s="1212"/>
      <c r="H179" s="1212"/>
      <c r="I179" s="1212"/>
      <c r="J179" s="1212"/>
      <c r="K179" s="1212"/>
      <c r="L179" s="1212"/>
      <c r="M179" s="1212"/>
    </row>
    <row r="180" spans="1:13" x14ac:dyDescent="0.25">
      <c r="B180" s="1215" t="s">
        <v>1528</v>
      </c>
      <c r="C180" s="1219">
        <f>C178/C179</f>
        <v>13.388280938798651</v>
      </c>
      <c r="D180" s="1212"/>
      <c r="E180" s="1212"/>
      <c r="F180" s="1212"/>
      <c r="G180" s="1212"/>
      <c r="H180" s="1212"/>
      <c r="I180" s="1212"/>
      <c r="J180" s="1212"/>
      <c r="K180" s="1212"/>
      <c r="L180" s="1212"/>
      <c r="M180" s="1212"/>
    </row>
    <row r="182" spans="1:13" x14ac:dyDescent="0.25">
      <c r="B182" s="1230">
        <v>0.2</v>
      </c>
    </row>
    <row r="183" spans="1:13" x14ac:dyDescent="0.25">
      <c r="B183" s="1934" t="s">
        <v>1490</v>
      </c>
      <c r="C183" s="1213" t="s">
        <v>1516</v>
      </c>
      <c r="D183" s="1931" t="s">
        <v>1517</v>
      </c>
      <c r="E183" s="1932"/>
      <c r="F183" s="1932"/>
      <c r="G183" s="1932"/>
      <c r="H183" s="1932"/>
      <c r="I183" s="1932"/>
      <c r="J183" s="1932"/>
      <c r="K183" s="1932"/>
      <c r="L183" s="1932"/>
      <c r="M183" s="1933"/>
    </row>
    <row r="184" spans="1:13" x14ac:dyDescent="0.25">
      <c r="A184" s="1229">
        <v>0</v>
      </c>
      <c r="B184" s="1935"/>
      <c r="C184" s="1213">
        <v>0</v>
      </c>
      <c r="D184" s="1213">
        <v>1</v>
      </c>
      <c r="E184" s="1213">
        <v>2</v>
      </c>
      <c r="F184" s="1213">
        <v>3</v>
      </c>
      <c r="G184" s="1213">
        <v>4</v>
      </c>
      <c r="H184" s="1213">
        <v>5</v>
      </c>
      <c r="I184" s="1213">
        <v>6</v>
      </c>
      <c r="J184" s="1213">
        <v>7</v>
      </c>
      <c r="K184" s="1213">
        <v>8</v>
      </c>
      <c r="L184" s="1213">
        <v>9</v>
      </c>
      <c r="M184" s="1213">
        <v>10</v>
      </c>
    </row>
    <row r="185" spans="1:13" ht="39" x14ac:dyDescent="0.25">
      <c r="B185" s="1217" t="s">
        <v>1518</v>
      </c>
      <c r="C185" s="1215"/>
      <c r="D185" s="1218">
        <f>+D186+D187</f>
        <v>232880</v>
      </c>
      <c r="E185" s="1218">
        <f t="shared" ref="E185:M185" si="34">+E186+E187</f>
        <v>232880</v>
      </c>
      <c r="F185" s="1218">
        <f t="shared" si="34"/>
        <v>232880</v>
      </c>
      <c r="G185" s="1218">
        <f t="shared" si="34"/>
        <v>232880</v>
      </c>
      <c r="H185" s="1218">
        <f t="shared" si="34"/>
        <v>232880</v>
      </c>
      <c r="I185" s="1218">
        <f t="shared" si="34"/>
        <v>232880</v>
      </c>
      <c r="J185" s="1218">
        <f t="shared" si="34"/>
        <v>232880</v>
      </c>
      <c r="K185" s="1218">
        <f t="shared" si="34"/>
        <v>232880</v>
      </c>
      <c r="L185" s="1218">
        <f t="shared" si="34"/>
        <v>232880</v>
      </c>
      <c r="M185" s="1218">
        <f t="shared" si="34"/>
        <v>232880</v>
      </c>
    </row>
    <row r="186" spans="1:13" x14ac:dyDescent="0.25">
      <c r="B186" s="1215" t="s">
        <v>1519</v>
      </c>
      <c r="C186" s="1215"/>
      <c r="D186" s="1219">
        <v>185880</v>
      </c>
      <c r="E186" s="1219">
        <v>185880</v>
      </c>
      <c r="F186" s="1219">
        <v>185880</v>
      </c>
      <c r="G186" s="1219">
        <v>185880</v>
      </c>
      <c r="H186" s="1219">
        <v>185880</v>
      </c>
      <c r="I186" s="1219">
        <v>185880</v>
      </c>
      <c r="J186" s="1219">
        <v>185880</v>
      </c>
      <c r="K186" s="1219">
        <v>185880</v>
      </c>
      <c r="L186" s="1219">
        <v>185880</v>
      </c>
      <c r="M186" s="1219">
        <v>185880</v>
      </c>
    </row>
    <row r="187" spans="1:13" x14ac:dyDescent="0.25">
      <c r="B187" s="1215" t="s">
        <v>978</v>
      </c>
      <c r="C187" s="1215"/>
      <c r="D187" s="1219">
        <v>47000</v>
      </c>
      <c r="E187" s="1219">
        <v>47000</v>
      </c>
      <c r="F187" s="1219">
        <v>47000</v>
      </c>
      <c r="G187" s="1219">
        <v>47000</v>
      </c>
      <c r="H187" s="1219">
        <v>47000</v>
      </c>
      <c r="I187" s="1219">
        <v>47000</v>
      </c>
      <c r="J187" s="1219">
        <v>47000</v>
      </c>
      <c r="K187" s="1219">
        <v>47000</v>
      </c>
      <c r="L187" s="1219">
        <v>47000</v>
      </c>
      <c r="M187" s="1219">
        <v>47000</v>
      </c>
    </row>
    <row r="188" spans="1:13" ht="38.25" x14ac:dyDescent="0.25">
      <c r="B188" s="1220" t="s">
        <v>1520</v>
      </c>
      <c r="C188" s="1216"/>
      <c r="D188" s="1221">
        <f>+D189+D190</f>
        <v>71230</v>
      </c>
      <c r="E188" s="1221">
        <f t="shared" ref="E188:M188" si="35">+E189+E190</f>
        <v>71230</v>
      </c>
      <c r="F188" s="1221">
        <f t="shared" si="35"/>
        <v>71230</v>
      </c>
      <c r="G188" s="1221">
        <f t="shared" si="35"/>
        <v>71230</v>
      </c>
      <c r="H188" s="1221">
        <f t="shared" si="35"/>
        <v>71230</v>
      </c>
      <c r="I188" s="1221">
        <f t="shared" si="35"/>
        <v>71230</v>
      </c>
      <c r="J188" s="1221">
        <f t="shared" si="35"/>
        <v>71230</v>
      </c>
      <c r="K188" s="1221">
        <f t="shared" si="35"/>
        <v>71230</v>
      </c>
      <c r="L188" s="1221">
        <f t="shared" si="35"/>
        <v>71230</v>
      </c>
      <c r="M188" s="1221">
        <f t="shared" si="35"/>
        <v>71230</v>
      </c>
    </row>
    <row r="189" spans="1:13" x14ac:dyDescent="0.25">
      <c r="B189" s="1215" t="s">
        <v>1519</v>
      </c>
      <c r="C189" s="1215"/>
      <c r="D189" s="1219">
        <v>70680</v>
      </c>
      <c r="E189" s="1219">
        <v>70680</v>
      </c>
      <c r="F189" s="1219">
        <v>70680</v>
      </c>
      <c r="G189" s="1219">
        <v>70680</v>
      </c>
      <c r="H189" s="1219">
        <v>70680</v>
      </c>
      <c r="I189" s="1219">
        <v>70680</v>
      </c>
      <c r="J189" s="1219">
        <v>70680</v>
      </c>
      <c r="K189" s="1219">
        <v>70680</v>
      </c>
      <c r="L189" s="1219">
        <v>70680</v>
      </c>
      <c r="M189" s="1219">
        <v>70680</v>
      </c>
    </row>
    <row r="190" spans="1:13" x14ac:dyDescent="0.25">
      <c r="B190" s="1215" t="s">
        <v>978</v>
      </c>
      <c r="C190" s="1215"/>
      <c r="D190" s="1219">
        <v>550</v>
      </c>
      <c r="E190" s="1219">
        <v>550</v>
      </c>
      <c r="F190" s="1219">
        <v>550</v>
      </c>
      <c r="G190" s="1219">
        <v>550</v>
      </c>
      <c r="H190" s="1219">
        <v>550</v>
      </c>
      <c r="I190" s="1219">
        <v>550</v>
      </c>
      <c r="J190" s="1219">
        <v>550</v>
      </c>
      <c r="K190" s="1219">
        <v>550</v>
      </c>
      <c r="L190" s="1219">
        <v>550</v>
      </c>
      <c r="M190" s="1219">
        <v>550</v>
      </c>
    </row>
    <row r="191" spans="1:13" x14ac:dyDescent="0.25">
      <c r="B191" s="1223" t="s">
        <v>1521</v>
      </c>
      <c r="C191" s="1215"/>
      <c r="D191" s="1214">
        <f>+D185-D188</f>
        <v>161650</v>
      </c>
      <c r="E191" s="1214">
        <f t="shared" ref="E191:M191" si="36">+E185-E188</f>
        <v>161650</v>
      </c>
      <c r="F191" s="1214">
        <f t="shared" si="36"/>
        <v>161650</v>
      </c>
      <c r="G191" s="1214">
        <f t="shared" si="36"/>
        <v>161650</v>
      </c>
      <c r="H191" s="1214">
        <f t="shared" si="36"/>
        <v>161650</v>
      </c>
      <c r="I191" s="1214">
        <f t="shared" si="36"/>
        <v>161650</v>
      </c>
      <c r="J191" s="1214">
        <f t="shared" si="36"/>
        <v>161650</v>
      </c>
      <c r="K191" s="1214">
        <f t="shared" si="36"/>
        <v>161650</v>
      </c>
      <c r="L191" s="1214">
        <f t="shared" si="36"/>
        <v>161650</v>
      </c>
      <c r="M191" s="1214">
        <f t="shared" si="36"/>
        <v>161650</v>
      </c>
    </row>
    <row r="192" spans="1:13" x14ac:dyDescent="0.25">
      <c r="B192" s="1215" t="s">
        <v>1522</v>
      </c>
      <c r="C192" s="1224">
        <f t="shared" ref="C192:M192" si="37">1/(1+0.11)^C184</f>
        <v>1</v>
      </c>
      <c r="D192" s="1225">
        <f t="shared" si="37"/>
        <v>0.9009009009009008</v>
      </c>
      <c r="E192" s="1225">
        <f t="shared" si="37"/>
        <v>0.8116224332440547</v>
      </c>
      <c r="F192" s="1225">
        <f t="shared" si="37"/>
        <v>0.73119138130095018</v>
      </c>
      <c r="G192" s="1225">
        <f t="shared" si="37"/>
        <v>0.65873097414500015</v>
      </c>
      <c r="H192" s="1225">
        <f t="shared" si="37"/>
        <v>0.5934513280585586</v>
      </c>
      <c r="I192" s="1225">
        <f t="shared" si="37"/>
        <v>0.53464083608879154</v>
      </c>
      <c r="J192" s="1225">
        <f t="shared" si="37"/>
        <v>0.48165841089080319</v>
      </c>
      <c r="K192" s="1225">
        <f t="shared" si="37"/>
        <v>0.43392649629802077</v>
      </c>
      <c r="L192" s="1225">
        <f t="shared" si="37"/>
        <v>0.39092477143965831</v>
      </c>
      <c r="M192" s="1225">
        <f t="shared" si="37"/>
        <v>0.3521844787744669</v>
      </c>
    </row>
    <row r="193" spans="1:13" x14ac:dyDescent="0.25">
      <c r="B193" s="1223" t="s">
        <v>1523</v>
      </c>
      <c r="C193" s="1214">
        <f>3986035.88*0.2</f>
        <v>797207.17599999998</v>
      </c>
      <c r="D193" s="1214">
        <f>D191*D192</f>
        <v>145630.63063063062</v>
      </c>
      <c r="E193" s="1214">
        <f t="shared" ref="E193:J193" si="38">E191*E192</f>
        <v>131198.76633390144</v>
      </c>
      <c r="F193" s="1214">
        <f t="shared" si="38"/>
        <v>118197.0867872986</v>
      </c>
      <c r="G193" s="1214">
        <f t="shared" si="38"/>
        <v>106483.86197053928</v>
      </c>
      <c r="H193" s="1214">
        <f t="shared" si="38"/>
        <v>95931.407180665992</v>
      </c>
      <c r="I193" s="1214">
        <f t="shared" si="38"/>
        <v>86424.691153753156</v>
      </c>
      <c r="J193" s="1214">
        <f t="shared" si="38"/>
        <v>77860.082120498337</v>
      </c>
      <c r="K193" s="1214">
        <f>K191*K192</f>
        <v>70144.218126575055</v>
      </c>
      <c r="L193" s="1214">
        <f>L191*L192</f>
        <v>63192.989303220769</v>
      </c>
      <c r="M193" s="1214">
        <f>M191*M192</f>
        <v>56930.620993892575</v>
      </c>
    </row>
    <row r="194" spans="1:13" x14ac:dyDescent="0.25">
      <c r="B194" s="1212"/>
      <c r="C194" s="1212"/>
      <c r="D194" s="1212"/>
      <c r="E194" s="1212"/>
      <c r="F194" s="1212"/>
      <c r="G194" s="1212"/>
      <c r="H194" s="1212"/>
      <c r="I194" s="1212"/>
      <c r="J194" s="1212"/>
      <c r="K194" s="1212"/>
      <c r="L194" s="1212"/>
      <c r="M194" s="1212"/>
    </row>
    <row r="195" spans="1:13" x14ac:dyDescent="0.25">
      <c r="B195" s="1212"/>
      <c r="C195" s="1212"/>
      <c r="D195" s="1212"/>
      <c r="E195" s="1212"/>
      <c r="F195" s="1212"/>
      <c r="G195" s="1212"/>
      <c r="H195" s="1212"/>
      <c r="I195" s="1212"/>
      <c r="J195" s="1212"/>
      <c r="K195" s="1212"/>
      <c r="L195" s="1212"/>
      <c r="M195" s="1212"/>
    </row>
    <row r="196" spans="1:13" x14ac:dyDescent="0.25">
      <c r="B196" s="1226" t="s">
        <v>1524</v>
      </c>
      <c r="C196" s="1213" t="s">
        <v>1525</v>
      </c>
      <c r="D196" s="1212"/>
      <c r="E196" s="1212"/>
      <c r="F196" s="1212"/>
      <c r="G196" s="1212"/>
      <c r="H196" s="1212"/>
      <c r="I196" s="1212"/>
      <c r="J196" s="1212"/>
      <c r="K196" s="1212"/>
      <c r="L196" s="1212"/>
      <c r="M196" s="1212"/>
    </row>
    <row r="197" spans="1:13" x14ac:dyDescent="0.25">
      <c r="B197" s="1215" t="s">
        <v>1526</v>
      </c>
      <c r="C197" s="1227">
        <f>SUM(C193:M193)</f>
        <v>1749201.5306009757</v>
      </c>
      <c r="D197" s="1212"/>
      <c r="E197" s="1212"/>
      <c r="F197" s="1212"/>
      <c r="G197" s="1212"/>
      <c r="H197" s="1212"/>
      <c r="I197" s="1212"/>
      <c r="J197" s="1212"/>
      <c r="K197" s="1212"/>
      <c r="L197" s="1212"/>
      <c r="M197" s="1212"/>
    </row>
    <row r="198" spans="1:13" x14ac:dyDescent="0.25">
      <c r="B198" s="1215" t="s">
        <v>1527</v>
      </c>
      <c r="C198" s="1228">
        <v>219969.41265748758</v>
      </c>
      <c r="D198" s="1212"/>
      <c r="E198" s="1212"/>
      <c r="F198" s="1212"/>
      <c r="G198" s="1212"/>
      <c r="H198" s="1212"/>
      <c r="I198" s="1212"/>
      <c r="J198" s="1212"/>
      <c r="K198" s="1212"/>
      <c r="L198" s="1212"/>
      <c r="M198" s="1212"/>
    </row>
    <row r="199" spans="1:13" x14ac:dyDescent="0.25">
      <c r="B199" s="1215" t="s">
        <v>1528</v>
      </c>
      <c r="C199" s="1219">
        <f>C197/C198</f>
        <v>7.9520216445940228</v>
      </c>
      <c r="D199" s="1212"/>
      <c r="E199" s="1212"/>
      <c r="F199" s="1212"/>
      <c r="G199" s="1212"/>
      <c r="H199" s="1212"/>
      <c r="I199" s="1212"/>
      <c r="J199" s="1212"/>
      <c r="K199" s="1212"/>
      <c r="L199" s="1212"/>
      <c r="M199" s="1212"/>
    </row>
    <row r="202" spans="1:13" x14ac:dyDescent="0.25">
      <c r="B202" s="1230">
        <v>0</v>
      </c>
    </row>
    <row r="203" spans="1:13" x14ac:dyDescent="0.25">
      <c r="B203" s="1934" t="s">
        <v>1490</v>
      </c>
      <c r="C203" s="1213" t="s">
        <v>1516</v>
      </c>
      <c r="D203" s="1931" t="s">
        <v>1517</v>
      </c>
      <c r="E203" s="1932"/>
      <c r="F203" s="1932"/>
      <c r="G203" s="1932"/>
      <c r="H203" s="1932"/>
      <c r="I203" s="1932"/>
      <c r="J203" s="1932"/>
      <c r="K203" s="1932"/>
      <c r="L203" s="1932"/>
      <c r="M203" s="1933"/>
    </row>
    <row r="204" spans="1:13" x14ac:dyDescent="0.25">
      <c r="A204" s="1229">
        <v>0</v>
      </c>
      <c r="B204" s="1935"/>
      <c r="C204" s="1213">
        <v>0</v>
      </c>
      <c r="D204" s="1213">
        <v>1</v>
      </c>
      <c r="E204" s="1213">
        <v>2</v>
      </c>
      <c r="F204" s="1213">
        <v>3</v>
      </c>
      <c r="G204" s="1213">
        <v>4</v>
      </c>
      <c r="H204" s="1213">
        <v>5</v>
      </c>
      <c r="I204" s="1213">
        <v>6</v>
      </c>
      <c r="J204" s="1213">
        <v>7</v>
      </c>
      <c r="K204" s="1213">
        <v>8</v>
      </c>
      <c r="L204" s="1213">
        <v>9</v>
      </c>
      <c r="M204" s="1213">
        <v>10</v>
      </c>
    </row>
    <row r="205" spans="1:13" ht="39" x14ac:dyDescent="0.25">
      <c r="B205" s="1217" t="s">
        <v>1518</v>
      </c>
      <c r="C205" s="1215"/>
      <c r="D205" s="1218">
        <f>+D206+D207</f>
        <v>232880</v>
      </c>
      <c r="E205" s="1218">
        <f t="shared" ref="E205:M205" si="39">+E206+E207</f>
        <v>232880</v>
      </c>
      <c r="F205" s="1218">
        <f t="shared" si="39"/>
        <v>232880</v>
      </c>
      <c r="G205" s="1218">
        <f t="shared" si="39"/>
        <v>232880</v>
      </c>
      <c r="H205" s="1218">
        <f t="shared" si="39"/>
        <v>232880</v>
      </c>
      <c r="I205" s="1218">
        <f t="shared" si="39"/>
        <v>232880</v>
      </c>
      <c r="J205" s="1218">
        <f t="shared" si="39"/>
        <v>232880</v>
      </c>
      <c r="K205" s="1218">
        <f t="shared" si="39"/>
        <v>232880</v>
      </c>
      <c r="L205" s="1218">
        <f t="shared" si="39"/>
        <v>232880</v>
      </c>
      <c r="M205" s="1218">
        <f t="shared" si="39"/>
        <v>232880</v>
      </c>
    </row>
    <row r="206" spans="1:13" x14ac:dyDescent="0.25">
      <c r="B206" s="1215" t="s">
        <v>1519</v>
      </c>
      <c r="C206" s="1215"/>
      <c r="D206" s="1219">
        <v>185880</v>
      </c>
      <c r="E206" s="1219">
        <v>185880</v>
      </c>
      <c r="F206" s="1219">
        <v>185880</v>
      </c>
      <c r="G206" s="1219">
        <v>185880</v>
      </c>
      <c r="H206" s="1219">
        <v>185880</v>
      </c>
      <c r="I206" s="1219">
        <v>185880</v>
      </c>
      <c r="J206" s="1219">
        <v>185880</v>
      </c>
      <c r="K206" s="1219">
        <v>185880</v>
      </c>
      <c r="L206" s="1219">
        <v>185880</v>
      </c>
      <c r="M206" s="1219">
        <v>185880</v>
      </c>
    </row>
    <row r="207" spans="1:13" x14ac:dyDescent="0.25">
      <c r="B207" s="1215" t="s">
        <v>978</v>
      </c>
      <c r="C207" s="1215"/>
      <c r="D207" s="1219">
        <v>47000</v>
      </c>
      <c r="E207" s="1219">
        <v>47000</v>
      </c>
      <c r="F207" s="1219">
        <v>47000</v>
      </c>
      <c r="G207" s="1219">
        <v>47000</v>
      </c>
      <c r="H207" s="1219">
        <v>47000</v>
      </c>
      <c r="I207" s="1219">
        <v>47000</v>
      </c>
      <c r="J207" s="1219">
        <v>47000</v>
      </c>
      <c r="K207" s="1219">
        <v>47000</v>
      </c>
      <c r="L207" s="1219">
        <v>47000</v>
      </c>
      <c r="M207" s="1219">
        <v>47000</v>
      </c>
    </row>
    <row r="208" spans="1:13" ht="38.25" x14ac:dyDescent="0.25">
      <c r="B208" s="1220" t="s">
        <v>1520</v>
      </c>
      <c r="C208" s="1216"/>
      <c r="D208" s="1221">
        <f>+D209+D210</f>
        <v>71230</v>
      </c>
      <c r="E208" s="1221">
        <f t="shared" ref="E208:M208" si="40">+E209+E210</f>
        <v>71230</v>
      </c>
      <c r="F208" s="1221">
        <f t="shared" si="40"/>
        <v>71230</v>
      </c>
      <c r="G208" s="1221">
        <f t="shared" si="40"/>
        <v>71230</v>
      </c>
      <c r="H208" s="1221">
        <f t="shared" si="40"/>
        <v>71230</v>
      </c>
      <c r="I208" s="1221">
        <f t="shared" si="40"/>
        <v>71230</v>
      </c>
      <c r="J208" s="1221">
        <f t="shared" si="40"/>
        <v>71230</v>
      </c>
      <c r="K208" s="1221">
        <f t="shared" si="40"/>
        <v>71230</v>
      </c>
      <c r="L208" s="1221">
        <f t="shared" si="40"/>
        <v>71230</v>
      </c>
      <c r="M208" s="1221">
        <f t="shared" si="40"/>
        <v>71230</v>
      </c>
    </row>
    <row r="209" spans="1:13" x14ac:dyDescent="0.25">
      <c r="B209" s="1215" t="s">
        <v>1519</v>
      </c>
      <c r="C209" s="1215"/>
      <c r="D209" s="1219">
        <v>70680</v>
      </c>
      <c r="E209" s="1219">
        <v>70680</v>
      </c>
      <c r="F209" s="1219">
        <v>70680</v>
      </c>
      <c r="G209" s="1219">
        <v>70680</v>
      </c>
      <c r="H209" s="1219">
        <v>70680</v>
      </c>
      <c r="I209" s="1219">
        <v>70680</v>
      </c>
      <c r="J209" s="1219">
        <v>70680</v>
      </c>
      <c r="K209" s="1219">
        <v>70680</v>
      </c>
      <c r="L209" s="1219">
        <v>70680</v>
      </c>
      <c r="M209" s="1219">
        <v>70680</v>
      </c>
    </row>
    <row r="210" spans="1:13" x14ac:dyDescent="0.25">
      <c r="B210" s="1215" t="s">
        <v>978</v>
      </c>
      <c r="C210" s="1215"/>
      <c r="D210" s="1219">
        <v>550</v>
      </c>
      <c r="E210" s="1219">
        <v>550</v>
      </c>
      <c r="F210" s="1219">
        <v>550</v>
      </c>
      <c r="G210" s="1219">
        <v>550</v>
      </c>
      <c r="H210" s="1219">
        <v>550</v>
      </c>
      <c r="I210" s="1219">
        <v>550</v>
      </c>
      <c r="J210" s="1219">
        <v>550</v>
      </c>
      <c r="K210" s="1219">
        <v>550</v>
      </c>
      <c r="L210" s="1219">
        <v>550</v>
      </c>
      <c r="M210" s="1219">
        <v>550</v>
      </c>
    </row>
    <row r="211" spans="1:13" x14ac:dyDescent="0.25">
      <c r="B211" s="1223" t="s">
        <v>1521</v>
      </c>
      <c r="C211" s="1215"/>
      <c r="D211" s="1214">
        <f>+D205-D208</f>
        <v>161650</v>
      </c>
      <c r="E211" s="1214">
        <f t="shared" ref="E211:M211" si="41">+E205-E208</f>
        <v>161650</v>
      </c>
      <c r="F211" s="1214">
        <f t="shared" si="41"/>
        <v>161650</v>
      </c>
      <c r="G211" s="1214">
        <f t="shared" si="41"/>
        <v>161650</v>
      </c>
      <c r="H211" s="1214">
        <f t="shared" si="41"/>
        <v>161650</v>
      </c>
      <c r="I211" s="1214">
        <f t="shared" si="41"/>
        <v>161650</v>
      </c>
      <c r="J211" s="1214">
        <f t="shared" si="41"/>
        <v>161650</v>
      </c>
      <c r="K211" s="1214">
        <f t="shared" si="41"/>
        <v>161650</v>
      </c>
      <c r="L211" s="1214">
        <f t="shared" si="41"/>
        <v>161650</v>
      </c>
      <c r="M211" s="1214">
        <f t="shared" si="41"/>
        <v>161650</v>
      </c>
    </row>
    <row r="212" spans="1:13" x14ac:dyDescent="0.25">
      <c r="B212" s="1215" t="s">
        <v>1522</v>
      </c>
      <c r="C212" s="1224">
        <f t="shared" ref="C212:M212" si="42">1/(1+0.11)^C204</f>
        <v>1</v>
      </c>
      <c r="D212" s="1225">
        <f t="shared" si="42"/>
        <v>0.9009009009009008</v>
      </c>
      <c r="E212" s="1225">
        <f t="shared" si="42"/>
        <v>0.8116224332440547</v>
      </c>
      <c r="F212" s="1225">
        <f t="shared" si="42"/>
        <v>0.73119138130095018</v>
      </c>
      <c r="G212" s="1225">
        <f t="shared" si="42"/>
        <v>0.65873097414500015</v>
      </c>
      <c r="H212" s="1225">
        <f t="shared" si="42"/>
        <v>0.5934513280585586</v>
      </c>
      <c r="I212" s="1225">
        <f t="shared" si="42"/>
        <v>0.53464083608879154</v>
      </c>
      <c r="J212" s="1225">
        <f t="shared" si="42"/>
        <v>0.48165841089080319</v>
      </c>
      <c r="K212" s="1225">
        <f t="shared" si="42"/>
        <v>0.43392649629802077</v>
      </c>
      <c r="L212" s="1225">
        <f t="shared" si="42"/>
        <v>0.39092477143965831</v>
      </c>
      <c r="M212" s="1225">
        <f t="shared" si="42"/>
        <v>0.3521844787744669</v>
      </c>
    </row>
    <row r="213" spans="1:13" x14ac:dyDescent="0.25">
      <c r="B213" s="1223" t="s">
        <v>1523</v>
      </c>
      <c r="C213" s="1214">
        <f>3986035.88</f>
        <v>3986035.88</v>
      </c>
      <c r="D213" s="1214">
        <f>D211*D212</f>
        <v>145630.63063063062</v>
      </c>
      <c r="E213" s="1214">
        <f t="shared" ref="E213:J213" si="43">E211*E212</f>
        <v>131198.76633390144</v>
      </c>
      <c r="F213" s="1214">
        <f t="shared" si="43"/>
        <v>118197.0867872986</v>
      </c>
      <c r="G213" s="1214">
        <f t="shared" si="43"/>
        <v>106483.86197053928</v>
      </c>
      <c r="H213" s="1214">
        <f t="shared" si="43"/>
        <v>95931.407180665992</v>
      </c>
      <c r="I213" s="1214">
        <f t="shared" si="43"/>
        <v>86424.691153753156</v>
      </c>
      <c r="J213" s="1214">
        <f t="shared" si="43"/>
        <v>77860.082120498337</v>
      </c>
      <c r="K213" s="1214">
        <f>K211*K212</f>
        <v>70144.218126575055</v>
      </c>
      <c r="L213" s="1214">
        <f>L211*L212</f>
        <v>63192.989303220769</v>
      </c>
      <c r="M213" s="1214">
        <f>M211*M212</f>
        <v>56930.620993892575</v>
      </c>
    </row>
    <row r="214" spans="1:13" x14ac:dyDescent="0.25">
      <c r="B214" s="1212"/>
      <c r="C214" s="1212"/>
      <c r="D214" s="1212"/>
      <c r="E214" s="1212"/>
      <c r="F214" s="1212"/>
      <c r="G214" s="1212"/>
      <c r="H214" s="1212"/>
      <c r="I214" s="1212"/>
      <c r="J214" s="1212"/>
      <c r="K214" s="1212"/>
      <c r="L214" s="1212"/>
      <c r="M214" s="1212"/>
    </row>
    <row r="215" spans="1:13" x14ac:dyDescent="0.25">
      <c r="B215" s="1212"/>
      <c r="C215" s="1212"/>
      <c r="D215" s="1212"/>
      <c r="E215" s="1212"/>
      <c r="F215" s="1212"/>
      <c r="G215" s="1212"/>
      <c r="H215" s="1212"/>
      <c r="I215" s="1212"/>
      <c r="J215" s="1212"/>
      <c r="K215" s="1212"/>
      <c r="L215" s="1212"/>
      <c r="M215" s="1212"/>
    </row>
    <row r="216" spans="1:13" x14ac:dyDescent="0.25">
      <c r="B216" s="1226" t="s">
        <v>1524</v>
      </c>
      <c r="C216" s="1213" t="s">
        <v>1525</v>
      </c>
      <c r="D216" s="1212"/>
      <c r="E216" s="1212"/>
      <c r="F216" s="1212"/>
      <c r="G216" s="1212"/>
      <c r="H216" s="1212"/>
      <c r="I216" s="1212"/>
      <c r="J216" s="1212"/>
      <c r="K216" s="1212"/>
      <c r="L216" s="1212"/>
      <c r="M216" s="1212"/>
    </row>
    <row r="217" spans="1:13" x14ac:dyDescent="0.25">
      <c r="B217" s="1215" t="s">
        <v>1526</v>
      </c>
      <c r="C217" s="1227">
        <f>SUM(C213:M213)</f>
        <v>4938030.234600977</v>
      </c>
      <c r="D217" s="1212"/>
      <c r="E217" s="1212"/>
      <c r="F217" s="1212"/>
      <c r="G217" s="1212"/>
      <c r="H217" s="1212"/>
      <c r="I217" s="1212"/>
      <c r="J217" s="1212"/>
      <c r="K217" s="1212"/>
      <c r="L217" s="1212"/>
      <c r="M217" s="1212"/>
    </row>
    <row r="218" spans="1:13" x14ac:dyDescent="0.25">
      <c r="B218" s="1215" t="s">
        <v>1527</v>
      </c>
      <c r="C218" s="1228">
        <v>219969.41265748758</v>
      </c>
      <c r="D218" s="1212"/>
      <c r="E218" s="1212"/>
      <c r="F218" s="1212"/>
      <c r="G218" s="1212"/>
      <c r="H218" s="1212"/>
      <c r="I218" s="1212"/>
      <c r="J218" s="1212"/>
      <c r="K218" s="1212"/>
      <c r="L218" s="1212"/>
      <c r="M218" s="1212"/>
    </row>
    <row r="219" spans="1:13" x14ac:dyDescent="0.25">
      <c r="B219" s="1215" t="s">
        <v>1528</v>
      </c>
      <c r="C219" s="1219">
        <f>C217/C218</f>
        <v>22.448713095806369</v>
      </c>
      <c r="D219" s="1212"/>
      <c r="E219" s="1212"/>
      <c r="F219" s="1212"/>
      <c r="G219" s="1212"/>
      <c r="H219" s="1212"/>
      <c r="I219" s="1212"/>
      <c r="J219" s="1212"/>
      <c r="K219" s="1212"/>
      <c r="L219" s="1212"/>
      <c r="M219" s="1212"/>
    </row>
    <row r="222" spans="1:13" x14ac:dyDescent="0.25">
      <c r="B222" s="1230">
        <v>-0.2</v>
      </c>
    </row>
    <row r="223" spans="1:13" x14ac:dyDescent="0.25">
      <c r="B223" s="1934" t="s">
        <v>1490</v>
      </c>
      <c r="C223" s="1213" t="s">
        <v>1516</v>
      </c>
      <c r="D223" s="1931" t="s">
        <v>1517</v>
      </c>
      <c r="E223" s="1932"/>
      <c r="F223" s="1932"/>
      <c r="G223" s="1932"/>
      <c r="H223" s="1932"/>
      <c r="I223" s="1932"/>
      <c r="J223" s="1932"/>
      <c r="K223" s="1932"/>
      <c r="L223" s="1932"/>
      <c r="M223" s="1933"/>
    </row>
    <row r="224" spans="1:13" x14ac:dyDescent="0.25">
      <c r="A224" s="1229">
        <v>0</v>
      </c>
      <c r="B224" s="1935"/>
      <c r="C224" s="1213">
        <v>0</v>
      </c>
      <c r="D224" s="1213">
        <v>1</v>
      </c>
      <c r="E224" s="1213">
        <v>2</v>
      </c>
      <c r="F224" s="1213">
        <v>3</v>
      </c>
      <c r="G224" s="1213">
        <v>4</v>
      </c>
      <c r="H224" s="1213">
        <v>5</v>
      </c>
      <c r="I224" s="1213">
        <v>6</v>
      </c>
      <c r="J224" s="1213">
        <v>7</v>
      </c>
      <c r="K224" s="1213">
        <v>8</v>
      </c>
      <c r="L224" s="1213">
        <v>9</v>
      </c>
      <c r="M224" s="1213">
        <v>10</v>
      </c>
    </row>
    <row r="225" spans="2:13" ht="39" x14ac:dyDescent="0.25">
      <c r="B225" s="1217" t="s">
        <v>1518</v>
      </c>
      <c r="C225" s="1215"/>
      <c r="D225" s="1218">
        <f>+D226+D227</f>
        <v>232880</v>
      </c>
      <c r="E225" s="1218">
        <f t="shared" ref="E225:M225" si="44">+E226+E227</f>
        <v>232880</v>
      </c>
      <c r="F225" s="1218">
        <f t="shared" si="44"/>
        <v>232880</v>
      </c>
      <c r="G225" s="1218">
        <f t="shared" si="44"/>
        <v>232880</v>
      </c>
      <c r="H225" s="1218">
        <f t="shared" si="44"/>
        <v>232880</v>
      </c>
      <c r="I225" s="1218">
        <f t="shared" si="44"/>
        <v>232880</v>
      </c>
      <c r="J225" s="1218">
        <f t="shared" si="44"/>
        <v>232880</v>
      </c>
      <c r="K225" s="1218">
        <f t="shared" si="44"/>
        <v>232880</v>
      </c>
      <c r="L225" s="1218">
        <f t="shared" si="44"/>
        <v>232880</v>
      </c>
      <c r="M225" s="1218">
        <f t="shared" si="44"/>
        <v>232880</v>
      </c>
    </row>
    <row r="226" spans="2:13" x14ac:dyDescent="0.25">
      <c r="B226" s="1215" t="s">
        <v>1519</v>
      </c>
      <c r="C226" s="1215"/>
      <c r="D226" s="1219">
        <v>185880</v>
      </c>
      <c r="E226" s="1219">
        <v>185880</v>
      </c>
      <c r="F226" s="1219">
        <v>185880</v>
      </c>
      <c r="G226" s="1219">
        <v>185880</v>
      </c>
      <c r="H226" s="1219">
        <v>185880</v>
      </c>
      <c r="I226" s="1219">
        <v>185880</v>
      </c>
      <c r="J226" s="1219">
        <v>185880</v>
      </c>
      <c r="K226" s="1219">
        <v>185880</v>
      </c>
      <c r="L226" s="1219">
        <v>185880</v>
      </c>
      <c r="M226" s="1219">
        <v>185880</v>
      </c>
    </row>
    <row r="227" spans="2:13" x14ac:dyDescent="0.25">
      <c r="B227" s="1215" t="s">
        <v>978</v>
      </c>
      <c r="C227" s="1215"/>
      <c r="D227" s="1219">
        <v>47000</v>
      </c>
      <c r="E227" s="1219">
        <v>47000</v>
      </c>
      <c r="F227" s="1219">
        <v>47000</v>
      </c>
      <c r="G227" s="1219">
        <v>47000</v>
      </c>
      <c r="H227" s="1219">
        <v>47000</v>
      </c>
      <c r="I227" s="1219">
        <v>47000</v>
      </c>
      <c r="J227" s="1219">
        <v>47000</v>
      </c>
      <c r="K227" s="1219">
        <v>47000</v>
      </c>
      <c r="L227" s="1219">
        <v>47000</v>
      </c>
      <c r="M227" s="1219">
        <v>47000</v>
      </c>
    </row>
    <row r="228" spans="2:13" ht="38.25" x14ac:dyDescent="0.25">
      <c r="B228" s="1220" t="s">
        <v>1520</v>
      </c>
      <c r="C228" s="1216"/>
      <c r="D228" s="1221">
        <f>+D229+D230</f>
        <v>71230</v>
      </c>
      <c r="E228" s="1221">
        <f t="shared" ref="E228:M228" si="45">+E229+E230</f>
        <v>71230</v>
      </c>
      <c r="F228" s="1221">
        <f t="shared" si="45"/>
        <v>71230</v>
      </c>
      <c r="G228" s="1221">
        <f t="shared" si="45"/>
        <v>71230</v>
      </c>
      <c r="H228" s="1221">
        <f t="shared" si="45"/>
        <v>71230</v>
      </c>
      <c r="I228" s="1221">
        <f t="shared" si="45"/>
        <v>71230</v>
      </c>
      <c r="J228" s="1221">
        <f t="shared" si="45"/>
        <v>71230</v>
      </c>
      <c r="K228" s="1221">
        <f t="shared" si="45"/>
        <v>71230</v>
      </c>
      <c r="L228" s="1221">
        <f t="shared" si="45"/>
        <v>71230</v>
      </c>
      <c r="M228" s="1221">
        <f t="shared" si="45"/>
        <v>71230</v>
      </c>
    </row>
    <row r="229" spans="2:13" x14ac:dyDescent="0.25">
      <c r="B229" s="1215" t="s">
        <v>1519</v>
      </c>
      <c r="C229" s="1215"/>
      <c r="D229" s="1219">
        <v>70680</v>
      </c>
      <c r="E229" s="1219">
        <v>70680</v>
      </c>
      <c r="F229" s="1219">
        <v>70680</v>
      </c>
      <c r="G229" s="1219">
        <v>70680</v>
      </c>
      <c r="H229" s="1219">
        <v>70680</v>
      </c>
      <c r="I229" s="1219">
        <v>70680</v>
      </c>
      <c r="J229" s="1219">
        <v>70680</v>
      </c>
      <c r="K229" s="1219">
        <v>70680</v>
      </c>
      <c r="L229" s="1219">
        <v>70680</v>
      </c>
      <c r="M229" s="1219">
        <v>70680</v>
      </c>
    </row>
    <row r="230" spans="2:13" x14ac:dyDescent="0.25">
      <c r="B230" s="1215" t="s">
        <v>978</v>
      </c>
      <c r="C230" s="1215"/>
      <c r="D230" s="1219">
        <v>550</v>
      </c>
      <c r="E230" s="1219">
        <v>550</v>
      </c>
      <c r="F230" s="1219">
        <v>550</v>
      </c>
      <c r="G230" s="1219">
        <v>550</v>
      </c>
      <c r="H230" s="1219">
        <v>550</v>
      </c>
      <c r="I230" s="1219">
        <v>550</v>
      </c>
      <c r="J230" s="1219">
        <v>550</v>
      </c>
      <c r="K230" s="1219">
        <v>550</v>
      </c>
      <c r="L230" s="1219">
        <v>550</v>
      </c>
      <c r="M230" s="1219">
        <v>550</v>
      </c>
    </row>
    <row r="231" spans="2:13" x14ac:dyDescent="0.25">
      <c r="B231" s="1223" t="s">
        <v>1521</v>
      </c>
      <c r="C231" s="1215"/>
      <c r="D231" s="1214">
        <f>+D225-D228</f>
        <v>161650</v>
      </c>
      <c r="E231" s="1214">
        <f t="shared" ref="E231:M231" si="46">+E225-E228</f>
        <v>161650</v>
      </c>
      <c r="F231" s="1214">
        <f t="shared" si="46"/>
        <v>161650</v>
      </c>
      <c r="G231" s="1214">
        <f t="shared" si="46"/>
        <v>161650</v>
      </c>
      <c r="H231" s="1214">
        <f t="shared" si="46"/>
        <v>161650</v>
      </c>
      <c r="I231" s="1214">
        <f t="shared" si="46"/>
        <v>161650</v>
      </c>
      <c r="J231" s="1214">
        <f t="shared" si="46"/>
        <v>161650</v>
      </c>
      <c r="K231" s="1214">
        <f t="shared" si="46"/>
        <v>161650</v>
      </c>
      <c r="L231" s="1214">
        <f t="shared" si="46"/>
        <v>161650</v>
      </c>
      <c r="M231" s="1214">
        <f t="shared" si="46"/>
        <v>161650</v>
      </c>
    </row>
    <row r="232" spans="2:13" x14ac:dyDescent="0.25">
      <c r="B232" s="1215" t="s">
        <v>1522</v>
      </c>
      <c r="C232" s="1224">
        <f t="shared" ref="C232:M232" si="47">1/(1+0.11)^C224</f>
        <v>1</v>
      </c>
      <c r="D232" s="1225">
        <f t="shared" si="47"/>
        <v>0.9009009009009008</v>
      </c>
      <c r="E232" s="1225">
        <f t="shared" si="47"/>
        <v>0.8116224332440547</v>
      </c>
      <c r="F232" s="1225">
        <f t="shared" si="47"/>
        <v>0.73119138130095018</v>
      </c>
      <c r="G232" s="1225">
        <f t="shared" si="47"/>
        <v>0.65873097414500015</v>
      </c>
      <c r="H232" s="1225">
        <f t="shared" si="47"/>
        <v>0.5934513280585586</v>
      </c>
      <c r="I232" s="1225">
        <f t="shared" si="47"/>
        <v>0.53464083608879154</v>
      </c>
      <c r="J232" s="1225">
        <f t="shared" si="47"/>
        <v>0.48165841089080319</v>
      </c>
      <c r="K232" s="1225">
        <f t="shared" si="47"/>
        <v>0.43392649629802077</v>
      </c>
      <c r="L232" s="1225">
        <f t="shared" si="47"/>
        <v>0.39092477143965831</v>
      </c>
      <c r="M232" s="1225">
        <f t="shared" si="47"/>
        <v>0.3521844787744669</v>
      </c>
    </row>
    <row r="233" spans="2:13" x14ac:dyDescent="0.25">
      <c r="B233" s="1223" t="s">
        <v>1523</v>
      </c>
      <c r="C233" s="1214">
        <f>3986035.88*-0.2</f>
        <v>-797207.17599999998</v>
      </c>
      <c r="D233" s="1214">
        <f>D231*D232</f>
        <v>145630.63063063062</v>
      </c>
      <c r="E233" s="1214">
        <f t="shared" ref="E233:J233" si="48">E231*E232</f>
        <v>131198.76633390144</v>
      </c>
      <c r="F233" s="1214">
        <f t="shared" si="48"/>
        <v>118197.0867872986</v>
      </c>
      <c r="G233" s="1214">
        <f t="shared" si="48"/>
        <v>106483.86197053928</v>
      </c>
      <c r="H233" s="1214">
        <f t="shared" si="48"/>
        <v>95931.407180665992</v>
      </c>
      <c r="I233" s="1214">
        <f t="shared" si="48"/>
        <v>86424.691153753156</v>
      </c>
      <c r="J233" s="1214">
        <f t="shared" si="48"/>
        <v>77860.082120498337</v>
      </c>
      <c r="K233" s="1214">
        <f>K231*K232</f>
        <v>70144.218126575055</v>
      </c>
      <c r="L233" s="1214">
        <f>L231*L232</f>
        <v>63192.989303220769</v>
      </c>
      <c r="M233" s="1214">
        <f>M231*M232</f>
        <v>56930.620993892575</v>
      </c>
    </row>
    <row r="234" spans="2:13" x14ac:dyDescent="0.25">
      <c r="B234" s="1212"/>
      <c r="C234" s="1212"/>
      <c r="D234" s="1212"/>
      <c r="E234" s="1212"/>
      <c r="F234" s="1212"/>
      <c r="G234" s="1212"/>
      <c r="H234" s="1212"/>
      <c r="I234" s="1212"/>
      <c r="J234" s="1212"/>
      <c r="K234" s="1212"/>
      <c r="L234" s="1212"/>
      <c r="M234" s="1212"/>
    </row>
    <row r="235" spans="2:13" x14ac:dyDescent="0.25">
      <c r="B235" s="1212"/>
      <c r="C235" s="1212"/>
      <c r="D235" s="1212"/>
      <c r="E235" s="1212"/>
      <c r="F235" s="1212"/>
      <c r="G235" s="1212"/>
      <c r="H235" s="1212"/>
      <c r="I235" s="1212"/>
      <c r="J235" s="1212"/>
      <c r="K235" s="1212"/>
      <c r="L235" s="1212"/>
      <c r="M235" s="1212"/>
    </row>
    <row r="236" spans="2:13" x14ac:dyDescent="0.25">
      <c r="B236" s="1226" t="s">
        <v>1524</v>
      </c>
      <c r="C236" s="1213" t="s">
        <v>1525</v>
      </c>
      <c r="D236" s="1212"/>
      <c r="E236" s="1212"/>
      <c r="F236" s="1212"/>
      <c r="G236" s="1212"/>
      <c r="H236" s="1212"/>
      <c r="I236" s="1212"/>
      <c r="J236" s="1212"/>
      <c r="K236" s="1212"/>
      <c r="L236" s="1212"/>
      <c r="M236" s="1212"/>
    </row>
    <row r="237" spans="2:13" x14ac:dyDescent="0.25">
      <c r="B237" s="1215" t="s">
        <v>1526</v>
      </c>
      <c r="C237" s="1227">
        <f>SUM(C233:M233)</f>
        <v>154787.17860097587</v>
      </c>
      <c r="D237" s="1212"/>
      <c r="E237" s="1212"/>
      <c r="F237" s="1212"/>
      <c r="G237" s="1212"/>
      <c r="H237" s="1212"/>
      <c r="I237" s="1212"/>
      <c r="J237" s="1212"/>
      <c r="K237" s="1212"/>
      <c r="L237" s="1212"/>
      <c r="M237" s="1212"/>
    </row>
    <row r="238" spans="2:13" x14ac:dyDescent="0.25">
      <c r="B238" s="1215" t="s">
        <v>1527</v>
      </c>
      <c r="C238" s="1228">
        <v>219969.41265748758</v>
      </c>
      <c r="D238" s="1212"/>
      <c r="E238" s="1212"/>
      <c r="F238" s="1212"/>
      <c r="G238" s="1212"/>
      <c r="H238" s="1212"/>
      <c r="I238" s="1212"/>
      <c r="J238" s="1212"/>
      <c r="K238" s="1212"/>
      <c r="L238" s="1212"/>
      <c r="M238" s="1212"/>
    </row>
    <row r="239" spans="2:13" x14ac:dyDescent="0.25">
      <c r="B239" s="1215" t="s">
        <v>1528</v>
      </c>
      <c r="C239" s="1219">
        <f>C237/C238</f>
        <v>0.70367591898785309</v>
      </c>
      <c r="D239" s="1212"/>
      <c r="E239" s="1212"/>
      <c r="F239" s="1212"/>
      <c r="G239" s="1212"/>
      <c r="H239" s="1212"/>
      <c r="I239" s="1212"/>
      <c r="J239" s="1212"/>
      <c r="K239" s="1212"/>
      <c r="L239" s="1212"/>
      <c r="M239" s="1212"/>
    </row>
    <row r="242" spans="1:13" x14ac:dyDescent="0.25">
      <c r="B242" s="1230">
        <v>-0.5</v>
      </c>
    </row>
    <row r="243" spans="1:13" x14ac:dyDescent="0.25">
      <c r="B243" s="1934" t="s">
        <v>1490</v>
      </c>
      <c r="C243" s="1213" t="s">
        <v>1516</v>
      </c>
      <c r="D243" s="1931" t="s">
        <v>1517</v>
      </c>
      <c r="E243" s="1932"/>
      <c r="F243" s="1932"/>
      <c r="G243" s="1932"/>
      <c r="H243" s="1932"/>
      <c r="I243" s="1932"/>
      <c r="J243" s="1932"/>
      <c r="K243" s="1932"/>
      <c r="L243" s="1932"/>
      <c r="M243" s="1933"/>
    </row>
    <row r="244" spans="1:13" x14ac:dyDescent="0.25">
      <c r="A244" s="1229">
        <v>0</v>
      </c>
      <c r="B244" s="1935"/>
      <c r="C244" s="1213">
        <v>0</v>
      </c>
      <c r="D244" s="1213">
        <v>1</v>
      </c>
      <c r="E244" s="1213">
        <v>2</v>
      </c>
      <c r="F244" s="1213">
        <v>3</v>
      </c>
      <c r="G244" s="1213">
        <v>4</v>
      </c>
      <c r="H244" s="1213">
        <v>5</v>
      </c>
      <c r="I244" s="1213">
        <v>6</v>
      </c>
      <c r="J244" s="1213">
        <v>7</v>
      </c>
      <c r="K244" s="1213">
        <v>8</v>
      </c>
      <c r="L244" s="1213">
        <v>9</v>
      </c>
      <c r="M244" s="1213">
        <v>10</v>
      </c>
    </row>
    <row r="245" spans="1:13" ht="39" x14ac:dyDescent="0.25">
      <c r="B245" s="1217" t="s">
        <v>1518</v>
      </c>
      <c r="C245" s="1215"/>
      <c r="D245" s="1218">
        <f>+D246+D247</f>
        <v>232880</v>
      </c>
      <c r="E245" s="1218">
        <f t="shared" ref="E245:M245" si="49">+E246+E247</f>
        <v>232880</v>
      </c>
      <c r="F245" s="1218">
        <f t="shared" si="49"/>
        <v>232880</v>
      </c>
      <c r="G245" s="1218">
        <f t="shared" si="49"/>
        <v>232880</v>
      </c>
      <c r="H245" s="1218">
        <f t="shared" si="49"/>
        <v>232880</v>
      </c>
      <c r="I245" s="1218">
        <f t="shared" si="49"/>
        <v>232880</v>
      </c>
      <c r="J245" s="1218">
        <f t="shared" si="49"/>
        <v>232880</v>
      </c>
      <c r="K245" s="1218">
        <f t="shared" si="49"/>
        <v>232880</v>
      </c>
      <c r="L245" s="1218">
        <f t="shared" si="49"/>
        <v>232880</v>
      </c>
      <c r="M245" s="1218">
        <f t="shared" si="49"/>
        <v>232880</v>
      </c>
    </row>
    <row r="246" spans="1:13" x14ac:dyDescent="0.25">
      <c r="B246" s="1215" t="s">
        <v>1519</v>
      </c>
      <c r="C246" s="1215"/>
      <c r="D246" s="1219">
        <v>185880</v>
      </c>
      <c r="E246" s="1219">
        <v>185880</v>
      </c>
      <c r="F246" s="1219">
        <v>185880</v>
      </c>
      <c r="G246" s="1219">
        <v>185880</v>
      </c>
      <c r="H246" s="1219">
        <v>185880</v>
      </c>
      <c r="I246" s="1219">
        <v>185880</v>
      </c>
      <c r="J246" s="1219">
        <v>185880</v>
      </c>
      <c r="K246" s="1219">
        <v>185880</v>
      </c>
      <c r="L246" s="1219">
        <v>185880</v>
      </c>
      <c r="M246" s="1219">
        <v>185880</v>
      </c>
    </row>
    <row r="247" spans="1:13" x14ac:dyDescent="0.25">
      <c r="B247" s="1215" t="s">
        <v>978</v>
      </c>
      <c r="C247" s="1215"/>
      <c r="D247" s="1219">
        <v>47000</v>
      </c>
      <c r="E247" s="1219">
        <v>47000</v>
      </c>
      <c r="F247" s="1219">
        <v>47000</v>
      </c>
      <c r="G247" s="1219">
        <v>47000</v>
      </c>
      <c r="H247" s="1219">
        <v>47000</v>
      </c>
      <c r="I247" s="1219">
        <v>47000</v>
      </c>
      <c r="J247" s="1219">
        <v>47000</v>
      </c>
      <c r="K247" s="1219">
        <v>47000</v>
      </c>
      <c r="L247" s="1219">
        <v>47000</v>
      </c>
      <c r="M247" s="1219">
        <v>47000</v>
      </c>
    </row>
    <row r="248" spans="1:13" ht="38.25" x14ac:dyDescent="0.25">
      <c r="B248" s="1220" t="s">
        <v>1520</v>
      </c>
      <c r="C248" s="1216"/>
      <c r="D248" s="1221">
        <f>+D249+D250</f>
        <v>71230</v>
      </c>
      <c r="E248" s="1221">
        <f t="shared" ref="E248:M248" si="50">+E249+E250</f>
        <v>71230</v>
      </c>
      <c r="F248" s="1221">
        <f t="shared" si="50"/>
        <v>71230</v>
      </c>
      <c r="G248" s="1221">
        <f t="shared" si="50"/>
        <v>71230</v>
      </c>
      <c r="H248" s="1221">
        <f t="shared" si="50"/>
        <v>71230</v>
      </c>
      <c r="I248" s="1221">
        <f t="shared" si="50"/>
        <v>71230</v>
      </c>
      <c r="J248" s="1221">
        <f t="shared" si="50"/>
        <v>71230</v>
      </c>
      <c r="K248" s="1221">
        <f t="shared" si="50"/>
        <v>71230</v>
      </c>
      <c r="L248" s="1221">
        <f t="shared" si="50"/>
        <v>71230</v>
      </c>
      <c r="M248" s="1221">
        <f t="shared" si="50"/>
        <v>71230</v>
      </c>
    </row>
    <row r="249" spans="1:13" x14ac:dyDescent="0.25">
      <c r="B249" s="1215" t="s">
        <v>1519</v>
      </c>
      <c r="C249" s="1215"/>
      <c r="D249" s="1219">
        <v>70680</v>
      </c>
      <c r="E249" s="1219">
        <v>70680</v>
      </c>
      <c r="F249" s="1219">
        <v>70680</v>
      </c>
      <c r="G249" s="1219">
        <v>70680</v>
      </c>
      <c r="H249" s="1219">
        <v>70680</v>
      </c>
      <c r="I249" s="1219">
        <v>70680</v>
      </c>
      <c r="J249" s="1219">
        <v>70680</v>
      </c>
      <c r="K249" s="1219">
        <v>70680</v>
      </c>
      <c r="L249" s="1219">
        <v>70680</v>
      </c>
      <c r="M249" s="1219">
        <v>70680</v>
      </c>
    </row>
    <row r="250" spans="1:13" x14ac:dyDescent="0.25">
      <c r="B250" s="1215" t="s">
        <v>978</v>
      </c>
      <c r="C250" s="1215"/>
      <c r="D250" s="1219">
        <v>550</v>
      </c>
      <c r="E250" s="1219">
        <v>550</v>
      </c>
      <c r="F250" s="1219">
        <v>550</v>
      </c>
      <c r="G250" s="1219">
        <v>550</v>
      </c>
      <c r="H250" s="1219">
        <v>550</v>
      </c>
      <c r="I250" s="1219">
        <v>550</v>
      </c>
      <c r="J250" s="1219">
        <v>550</v>
      </c>
      <c r="K250" s="1219">
        <v>550</v>
      </c>
      <c r="L250" s="1219">
        <v>550</v>
      </c>
      <c r="M250" s="1219">
        <v>550</v>
      </c>
    </row>
    <row r="251" spans="1:13" x14ac:dyDescent="0.25">
      <c r="B251" s="1223" t="s">
        <v>1521</v>
      </c>
      <c r="C251" s="1215"/>
      <c r="D251" s="1214">
        <f>+D245-D248</f>
        <v>161650</v>
      </c>
      <c r="E251" s="1214">
        <f t="shared" ref="E251:M251" si="51">+E245-E248</f>
        <v>161650</v>
      </c>
      <c r="F251" s="1214">
        <f t="shared" si="51"/>
        <v>161650</v>
      </c>
      <c r="G251" s="1214">
        <f t="shared" si="51"/>
        <v>161650</v>
      </c>
      <c r="H251" s="1214">
        <f t="shared" si="51"/>
        <v>161650</v>
      </c>
      <c r="I251" s="1214">
        <f t="shared" si="51"/>
        <v>161650</v>
      </c>
      <c r="J251" s="1214">
        <f t="shared" si="51"/>
        <v>161650</v>
      </c>
      <c r="K251" s="1214">
        <f t="shared" si="51"/>
        <v>161650</v>
      </c>
      <c r="L251" s="1214">
        <f t="shared" si="51"/>
        <v>161650</v>
      </c>
      <c r="M251" s="1214">
        <f t="shared" si="51"/>
        <v>161650</v>
      </c>
    </row>
    <row r="252" spans="1:13" x14ac:dyDescent="0.25">
      <c r="B252" s="1215" t="s">
        <v>1522</v>
      </c>
      <c r="C252" s="1224">
        <f t="shared" ref="C252:M252" si="52">1/(1+0.11)^C244</f>
        <v>1</v>
      </c>
      <c r="D252" s="1225">
        <f t="shared" si="52"/>
        <v>0.9009009009009008</v>
      </c>
      <c r="E252" s="1225">
        <f t="shared" si="52"/>
        <v>0.8116224332440547</v>
      </c>
      <c r="F252" s="1225">
        <f t="shared" si="52"/>
        <v>0.73119138130095018</v>
      </c>
      <c r="G252" s="1225">
        <f t="shared" si="52"/>
        <v>0.65873097414500015</v>
      </c>
      <c r="H252" s="1225">
        <f t="shared" si="52"/>
        <v>0.5934513280585586</v>
      </c>
      <c r="I252" s="1225">
        <f t="shared" si="52"/>
        <v>0.53464083608879154</v>
      </c>
      <c r="J252" s="1225">
        <f t="shared" si="52"/>
        <v>0.48165841089080319</v>
      </c>
      <c r="K252" s="1225">
        <f t="shared" si="52"/>
        <v>0.43392649629802077</v>
      </c>
      <c r="L252" s="1225">
        <f t="shared" si="52"/>
        <v>0.39092477143965831</v>
      </c>
      <c r="M252" s="1225">
        <f t="shared" si="52"/>
        <v>0.3521844787744669</v>
      </c>
    </row>
    <row r="253" spans="1:13" x14ac:dyDescent="0.25">
      <c r="B253" s="1223" t="s">
        <v>1523</v>
      </c>
      <c r="C253" s="1214">
        <f>3986035.88*-0.5</f>
        <v>-1993017.94</v>
      </c>
      <c r="D253" s="1214">
        <f>D251*D252</f>
        <v>145630.63063063062</v>
      </c>
      <c r="E253" s="1214">
        <f t="shared" ref="E253:J253" si="53">E251*E252</f>
        <v>131198.76633390144</v>
      </c>
      <c r="F253" s="1214">
        <f t="shared" si="53"/>
        <v>118197.0867872986</v>
      </c>
      <c r="G253" s="1214">
        <f t="shared" si="53"/>
        <v>106483.86197053928</v>
      </c>
      <c r="H253" s="1214">
        <f t="shared" si="53"/>
        <v>95931.407180665992</v>
      </c>
      <c r="I253" s="1214">
        <f t="shared" si="53"/>
        <v>86424.691153753156</v>
      </c>
      <c r="J253" s="1214">
        <f t="shared" si="53"/>
        <v>77860.082120498337</v>
      </c>
      <c r="K253" s="1214">
        <f>K251*K252</f>
        <v>70144.218126575055</v>
      </c>
      <c r="L253" s="1214">
        <f>L251*L252</f>
        <v>63192.989303220769</v>
      </c>
      <c r="M253" s="1214">
        <f>M251*M252</f>
        <v>56930.620993892575</v>
      </c>
    </row>
    <row r="254" spans="1:13" x14ac:dyDescent="0.25">
      <c r="B254" s="1212"/>
      <c r="C254" s="1212"/>
      <c r="D254" s="1212"/>
      <c r="E254" s="1212"/>
      <c r="F254" s="1212"/>
      <c r="G254" s="1212"/>
      <c r="H254" s="1212"/>
      <c r="I254" s="1212"/>
      <c r="J254" s="1212"/>
      <c r="K254" s="1212"/>
      <c r="L254" s="1212"/>
      <c r="M254" s="1212"/>
    </row>
    <row r="255" spans="1:13" x14ac:dyDescent="0.25">
      <c r="B255" s="1212"/>
      <c r="C255" s="1212"/>
      <c r="D255" s="1212"/>
      <c r="E255" s="1212"/>
      <c r="F255" s="1212"/>
      <c r="G255" s="1212"/>
      <c r="H255" s="1212"/>
      <c r="I255" s="1212"/>
      <c r="J255" s="1212"/>
      <c r="K255" s="1212"/>
      <c r="L255" s="1212"/>
      <c r="M255" s="1212"/>
    </row>
    <row r="256" spans="1:13" x14ac:dyDescent="0.25">
      <c r="B256" s="1226" t="s">
        <v>1524</v>
      </c>
      <c r="C256" s="1213" t="s">
        <v>1525</v>
      </c>
      <c r="D256" s="1212"/>
      <c r="E256" s="1212"/>
      <c r="F256" s="1212"/>
      <c r="G256" s="1212"/>
      <c r="H256" s="1212"/>
      <c r="I256" s="1212"/>
      <c r="J256" s="1212"/>
      <c r="K256" s="1212"/>
      <c r="L256" s="1212"/>
      <c r="M256" s="1212"/>
    </row>
    <row r="257" spans="1:13" x14ac:dyDescent="0.25">
      <c r="B257" s="1215" t="s">
        <v>1526</v>
      </c>
      <c r="C257" s="1227">
        <f>SUM(C253:M253)</f>
        <v>-1041023.5853990245</v>
      </c>
      <c r="D257" s="1212"/>
      <c r="E257" s="1212"/>
      <c r="F257" s="1212"/>
      <c r="G257" s="1212"/>
      <c r="H257" s="1212"/>
      <c r="I257" s="1212"/>
      <c r="J257" s="1212"/>
      <c r="K257" s="1212"/>
      <c r="L257" s="1212"/>
      <c r="M257" s="1212"/>
    </row>
    <row r="258" spans="1:13" x14ac:dyDescent="0.25">
      <c r="B258" s="1215" t="s">
        <v>1527</v>
      </c>
      <c r="C258" s="1228">
        <v>219969.41265748758</v>
      </c>
      <c r="D258" s="1212"/>
      <c r="E258" s="1212"/>
      <c r="F258" s="1212"/>
      <c r="G258" s="1212"/>
      <c r="H258" s="1212"/>
      <c r="I258" s="1212"/>
      <c r="J258" s="1212"/>
      <c r="K258" s="1212"/>
      <c r="L258" s="1212"/>
      <c r="M258" s="1212"/>
    </row>
    <row r="259" spans="1:13" x14ac:dyDescent="0.25">
      <c r="B259" s="1215" t="s">
        <v>1528</v>
      </c>
      <c r="C259" s="1219">
        <f>C257/C258</f>
        <v>-4.7325833752167767</v>
      </c>
      <c r="D259" s="1212"/>
      <c r="E259" s="1212"/>
      <c r="F259" s="1212"/>
      <c r="G259" s="1212"/>
      <c r="H259" s="1212"/>
      <c r="I259" s="1212"/>
      <c r="J259" s="1212"/>
      <c r="K259" s="1212"/>
      <c r="L259" s="1212"/>
      <c r="M259" s="1212"/>
    </row>
    <row r="261" spans="1:13" x14ac:dyDescent="0.25">
      <c r="B261" s="1230">
        <v>-0.75</v>
      </c>
    </row>
    <row r="262" spans="1:13" x14ac:dyDescent="0.25">
      <c r="B262" s="1934" t="s">
        <v>1490</v>
      </c>
      <c r="C262" s="1213" t="s">
        <v>1516</v>
      </c>
      <c r="D262" s="1931" t="s">
        <v>1517</v>
      </c>
      <c r="E262" s="1932"/>
      <c r="F262" s="1932"/>
      <c r="G262" s="1932"/>
      <c r="H262" s="1932"/>
      <c r="I262" s="1932"/>
      <c r="J262" s="1932"/>
      <c r="K262" s="1932"/>
      <c r="L262" s="1932"/>
      <c r="M262" s="1933"/>
    </row>
    <row r="263" spans="1:13" x14ac:dyDescent="0.25">
      <c r="A263" s="1229">
        <v>0</v>
      </c>
      <c r="B263" s="1935"/>
      <c r="C263" s="1213">
        <v>0</v>
      </c>
      <c r="D263" s="1213">
        <v>1</v>
      </c>
      <c r="E263" s="1213">
        <v>2</v>
      </c>
      <c r="F263" s="1213">
        <v>3</v>
      </c>
      <c r="G263" s="1213">
        <v>4</v>
      </c>
      <c r="H263" s="1213">
        <v>5</v>
      </c>
      <c r="I263" s="1213">
        <v>6</v>
      </c>
      <c r="J263" s="1213">
        <v>7</v>
      </c>
      <c r="K263" s="1213">
        <v>8</v>
      </c>
      <c r="L263" s="1213">
        <v>9</v>
      </c>
      <c r="M263" s="1213">
        <v>10</v>
      </c>
    </row>
    <row r="264" spans="1:13" ht="39" x14ac:dyDescent="0.25">
      <c r="B264" s="1217" t="s">
        <v>1518</v>
      </c>
      <c r="C264" s="1215"/>
      <c r="D264" s="1218">
        <f>+D265+D266</f>
        <v>232880</v>
      </c>
      <c r="E264" s="1218">
        <f t="shared" ref="E264:M264" si="54">+E265+E266</f>
        <v>232880</v>
      </c>
      <c r="F264" s="1218">
        <f t="shared" si="54"/>
        <v>232880</v>
      </c>
      <c r="G264" s="1218">
        <f t="shared" si="54"/>
        <v>232880</v>
      </c>
      <c r="H264" s="1218">
        <f t="shared" si="54"/>
        <v>232880</v>
      </c>
      <c r="I264" s="1218">
        <f t="shared" si="54"/>
        <v>232880</v>
      </c>
      <c r="J264" s="1218">
        <f t="shared" si="54"/>
        <v>232880</v>
      </c>
      <c r="K264" s="1218">
        <f t="shared" si="54"/>
        <v>232880</v>
      </c>
      <c r="L264" s="1218">
        <f t="shared" si="54"/>
        <v>232880</v>
      </c>
      <c r="M264" s="1218">
        <f t="shared" si="54"/>
        <v>232880</v>
      </c>
    </row>
    <row r="265" spans="1:13" x14ac:dyDescent="0.25">
      <c r="B265" s="1215" t="s">
        <v>1519</v>
      </c>
      <c r="C265" s="1215"/>
      <c r="D265" s="1219">
        <v>185880</v>
      </c>
      <c r="E265" s="1219">
        <v>185880</v>
      </c>
      <c r="F265" s="1219">
        <v>185880</v>
      </c>
      <c r="G265" s="1219">
        <v>185880</v>
      </c>
      <c r="H265" s="1219">
        <v>185880</v>
      </c>
      <c r="I265" s="1219">
        <v>185880</v>
      </c>
      <c r="J265" s="1219">
        <v>185880</v>
      </c>
      <c r="K265" s="1219">
        <v>185880</v>
      </c>
      <c r="L265" s="1219">
        <v>185880</v>
      </c>
      <c r="M265" s="1219">
        <v>185880</v>
      </c>
    </row>
    <row r="266" spans="1:13" x14ac:dyDescent="0.25">
      <c r="B266" s="1215" t="s">
        <v>978</v>
      </c>
      <c r="C266" s="1215"/>
      <c r="D266" s="1219">
        <v>47000</v>
      </c>
      <c r="E266" s="1219">
        <v>47000</v>
      </c>
      <c r="F266" s="1219">
        <v>47000</v>
      </c>
      <c r="G266" s="1219">
        <v>47000</v>
      </c>
      <c r="H266" s="1219">
        <v>47000</v>
      </c>
      <c r="I266" s="1219">
        <v>47000</v>
      </c>
      <c r="J266" s="1219">
        <v>47000</v>
      </c>
      <c r="K266" s="1219">
        <v>47000</v>
      </c>
      <c r="L266" s="1219">
        <v>47000</v>
      </c>
      <c r="M266" s="1219">
        <v>47000</v>
      </c>
    </row>
    <row r="267" spans="1:13" ht="38.25" x14ac:dyDescent="0.25">
      <c r="B267" s="1220" t="s">
        <v>1520</v>
      </c>
      <c r="C267" s="1216"/>
      <c r="D267" s="1221">
        <f>+D268+D269</f>
        <v>71230</v>
      </c>
      <c r="E267" s="1221">
        <f t="shared" ref="E267:M267" si="55">+E268+E269</f>
        <v>71230</v>
      </c>
      <c r="F267" s="1221">
        <f t="shared" si="55"/>
        <v>71230</v>
      </c>
      <c r="G267" s="1221">
        <f t="shared" si="55"/>
        <v>71230</v>
      </c>
      <c r="H267" s="1221">
        <f t="shared" si="55"/>
        <v>71230</v>
      </c>
      <c r="I267" s="1221">
        <f t="shared" si="55"/>
        <v>71230</v>
      </c>
      <c r="J267" s="1221">
        <f t="shared" si="55"/>
        <v>71230</v>
      </c>
      <c r="K267" s="1221">
        <f t="shared" si="55"/>
        <v>71230</v>
      </c>
      <c r="L267" s="1221">
        <f t="shared" si="55"/>
        <v>71230</v>
      </c>
      <c r="M267" s="1221">
        <f t="shared" si="55"/>
        <v>71230</v>
      </c>
    </row>
    <row r="268" spans="1:13" x14ac:dyDescent="0.25">
      <c r="B268" s="1215" t="s">
        <v>1519</v>
      </c>
      <c r="C268" s="1215"/>
      <c r="D268" s="1219">
        <v>70680</v>
      </c>
      <c r="E268" s="1219">
        <v>70680</v>
      </c>
      <c r="F268" s="1219">
        <v>70680</v>
      </c>
      <c r="G268" s="1219">
        <v>70680</v>
      </c>
      <c r="H268" s="1219">
        <v>70680</v>
      </c>
      <c r="I268" s="1219">
        <v>70680</v>
      </c>
      <c r="J268" s="1219">
        <v>70680</v>
      </c>
      <c r="K268" s="1219">
        <v>70680</v>
      </c>
      <c r="L268" s="1219">
        <v>70680</v>
      </c>
      <c r="M268" s="1219">
        <v>70680</v>
      </c>
    </row>
    <row r="269" spans="1:13" x14ac:dyDescent="0.25">
      <c r="B269" s="1215" t="s">
        <v>978</v>
      </c>
      <c r="C269" s="1215"/>
      <c r="D269" s="1219">
        <v>550</v>
      </c>
      <c r="E269" s="1219">
        <v>550</v>
      </c>
      <c r="F269" s="1219">
        <v>550</v>
      </c>
      <c r="G269" s="1219">
        <v>550</v>
      </c>
      <c r="H269" s="1219">
        <v>550</v>
      </c>
      <c r="I269" s="1219">
        <v>550</v>
      </c>
      <c r="J269" s="1219">
        <v>550</v>
      </c>
      <c r="K269" s="1219">
        <v>550</v>
      </c>
      <c r="L269" s="1219">
        <v>550</v>
      </c>
      <c r="M269" s="1219">
        <v>550</v>
      </c>
    </row>
    <row r="270" spans="1:13" x14ac:dyDescent="0.25">
      <c r="B270" s="1223" t="s">
        <v>1521</v>
      </c>
      <c r="C270" s="1215"/>
      <c r="D270" s="1214">
        <f>+D264-D267</f>
        <v>161650</v>
      </c>
      <c r="E270" s="1214">
        <f t="shared" ref="E270:M270" si="56">+E264-E267</f>
        <v>161650</v>
      </c>
      <c r="F270" s="1214">
        <f t="shared" si="56"/>
        <v>161650</v>
      </c>
      <c r="G270" s="1214">
        <f t="shared" si="56"/>
        <v>161650</v>
      </c>
      <c r="H270" s="1214">
        <f t="shared" si="56"/>
        <v>161650</v>
      </c>
      <c r="I270" s="1214">
        <f t="shared" si="56"/>
        <v>161650</v>
      </c>
      <c r="J270" s="1214">
        <f t="shared" si="56"/>
        <v>161650</v>
      </c>
      <c r="K270" s="1214">
        <f t="shared" si="56"/>
        <v>161650</v>
      </c>
      <c r="L270" s="1214">
        <f t="shared" si="56"/>
        <v>161650</v>
      </c>
      <c r="M270" s="1214">
        <f t="shared" si="56"/>
        <v>161650</v>
      </c>
    </row>
    <row r="271" spans="1:13" x14ac:dyDescent="0.25">
      <c r="B271" s="1215" t="s">
        <v>1522</v>
      </c>
      <c r="C271" s="1224">
        <f t="shared" ref="C271:M271" si="57">1/(1+0.11)^C263</f>
        <v>1</v>
      </c>
      <c r="D271" s="1225">
        <f t="shared" si="57"/>
        <v>0.9009009009009008</v>
      </c>
      <c r="E271" s="1225">
        <f t="shared" si="57"/>
        <v>0.8116224332440547</v>
      </c>
      <c r="F271" s="1225">
        <f t="shared" si="57"/>
        <v>0.73119138130095018</v>
      </c>
      <c r="G271" s="1225">
        <f t="shared" si="57"/>
        <v>0.65873097414500015</v>
      </c>
      <c r="H271" s="1225">
        <f t="shared" si="57"/>
        <v>0.5934513280585586</v>
      </c>
      <c r="I271" s="1225">
        <f t="shared" si="57"/>
        <v>0.53464083608879154</v>
      </c>
      <c r="J271" s="1225">
        <f t="shared" si="57"/>
        <v>0.48165841089080319</v>
      </c>
      <c r="K271" s="1225">
        <f t="shared" si="57"/>
        <v>0.43392649629802077</v>
      </c>
      <c r="L271" s="1225">
        <f t="shared" si="57"/>
        <v>0.39092477143965831</v>
      </c>
      <c r="M271" s="1225">
        <f t="shared" si="57"/>
        <v>0.3521844787744669</v>
      </c>
    </row>
    <row r="272" spans="1:13" x14ac:dyDescent="0.25">
      <c r="B272" s="1223" t="s">
        <v>1523</v>
      </c>
      <c r="C272" s="1214">
        <f>3986035.88*-0.75</f>
        <v>-2989526.91</v>
      </c>
      <c r="D272" s="1214">
        <f>D270*D271</f>
        <v>145630.63063063062</v>
      </c>
      <c r="E272" s="1214">
        <f t="shared" ref="E272:J272" si="58">E270*E271</f>
        <v>131198.76633390144</v>
      </c>
      <c r="F272" s="1214">
        <f t="shared" si="58"/>
        <v>118197.0867872986</v>
      </c>
      <c r="G272" s="1214">
        <f t="shared" si="58"/>
        <v>106483.86197053928</v>
      </c>
      <c r="H272" s="1214">
        <f t="shared" si="58"/>
        <v>95931.407180665992</v>
      </c>
      <c r="I272" s="1214">
        <f t="shared" si="58"/>
        <v>86424.691153753156</v>
      </c>
      <c r="J272" s="1214">
        <f t="shared" si="58"/>
        <v>77860.082120498337</v>
      </c>
      <c r="K272" s="1214">
        <f>K270*K271</f>
        <v>70144.218126575055</v>
      </c>
      <c r="L272" s="1214">
        <f>L270*L271</f>
        <v>63192.989303220769</v>
      </c>
      <c r="M272" s="1214">
        <f>M270*M271</f>
        <v>56930.620993892575</v>
      </c>
    </row>
    <row r="273" spans="1:13" x14ac:dyDescent="0.25">
      <c r="B273" s="1212"/>
      <c r="C273" s="1212"/>
      <c r="D273" s="1212"/>
      <c r="E273" s="1212"/>
      <c r="F273" s="1212"/>
      <c r="G273" s="1212"/>
      <c r="H273" s="1212"/>
      <c r="I273" s="1212"/>
      <c r="J273" s="1212"/>
      <c r="K273" s="1212"/>
      <c r="L273" s="1212"/>
      <c r="M273" s="1212"/>
    </row>
    <row r="274" spans="1:13" x14ac:dyDescent="0.25">
      <c r="B274" s="1212"/>
      <c r="C274" s="1212"/>
      <c r="D274" s="1212"/>
      <c r="E274" s="1212"/>
      <c r="F274" s="1212"/>
      <c r="G274" s="1212"/>
      <c r="H274" s="1212"/>
      <c r="I274" s="1212"/>
      <c r="J274" s="1212"/>
      <c r="K274" s="1212"/>
      <c r="L274" s="1212"/>
      <c r="M274" s="1212"/>
    </row>
    <row r="275" spans="1:13" x14ac:dyDescent="0.25">
      <c r="B275" s="1226" t="s">
        <v>1524</v>
      </c>
      <c r="C275" s="1213" t="s">
        <v>1525</v>
      </c>
      <c r="D275" s="1212"/>
      <c r="E275" s="1212"/>
      <c r="F275" s="1212"/>
      <c r="G275" s="1212"/>
      <c r="H275" s="1212"/>
      <c r="I275" s="1212"/>
      <c r="J275" s="1212"/>
      <c r="K275" s="1212"/>
      <c r="L275" s="1212"/>
      <c r="M275" s="1212"/>
    </row>
    <row r="276" spans="1:13" x14ac:dyDescent="0.25">
      <c r="B276" s="1215" t="s">
        <v>1526</v>
      </c>
      <c r="C276" s="1227">
        <f>SUM(C272:M272)</f>
        <v>-2037532.5553990246</v>
      </c>
      <c r="D276" s="1212"/>
      <c r="E276" s="1212"/>
      <c r="F276" s="1212"/>
      <c r="G276" s="1212"/>
      <c r="H276" s="1212"/>
      <c r="I276" s="1212"/>
      <c r="J276" s="1212"/>
      <c r="K276" s="1212"/>
      <c r="L276" s="1212"/>
      <c r="M276" s="1212"/>
    </row>
    <row r="277" spans="1:13" x14ac:dyDescent="0.25">
      <c r="B277" s="1215" t="s">
        <v>1527</v>
      </c>
      <c r="C277" s="1228">
        <v>219969.41265748758</v>
      </c>
      <c r="D277" s="1212"/>
      <c r="E277" s="1212"/>
      <c r="F277" s="1212"/>
      <c r="G277" s="1212"/>
      <c r="H277" s="1212"/>
      <c r="I277" s="1212"/>
      <c r="J277" s="1212"/>
      <c r="K277" s="1212"/>
      <c r="L277" s="1212"/>
      <c r="M277" s="1212"/>
    </row>
    <row r="278" spans="1:13" x14ac:dyDescent="0.25">
      <c r="B278" s="1215" t="s">
        <v>1528</v>
      </c>
      <c r="C278" s="1219">
        <f>C276/C277</f>
        <v>-9.2627994537206337</v>
      </c>
      <c r="D278" s="1212"/>
      <c r="E278" s="1212"/>
      <c r="F278" s="1212"/>
      <c r="G278" s="1212"/>
      <c r="H278" s="1212"/>
      <c r="I278" s="1212"/>
      <c r="J278" s="1212"/>
      <c r="K278" s="1212"/>
      <c r="L278" s="1212"/>
      <c r="M278" s="1212"/>
    </row>
    <row r="280" spans="1:13" x14ac:dyDescent="0.25">
      <c r="B280" s="1230">
        <v>-0.75</v>
      </c>
    </row>
    <row r="281" spans="1:13" x14ac:dyDescent="0.25">
      <c r="B281" s="1934" t="s">
        <v>1490</v>
      </c>
      <c r="C281" s="1213" t="s">
        <v>1516</v>
      </c>
      <c r="D281" s="1931" t="s">
        <v>1517</v>
      </c>
      <c r="E281" s="1932"/>
      <c r="F281" s="1932"/>
      <c r="G281" s="1932"/>
      <c r="H281" s="1932"/>
      <c r="I281" s="1932"/>
      <c r="J281" s="1932"/>
      <c r="K281" s="1932"/>
      <c r="L281" s="1932"/>
      <c r="M281" s="1933"/>
    </row>
    <row r="282" spans="1:13" x14ac:dyDescent="0.25">
      <c r="A282" s="1230">
        <v>0.75</v>
      </c>
      <c r="B282" s="1935"/>
      <c r="C282" s="1213">
        <v>0</v>
      </c>
      <c r="D282" s="1213">
        <v>1</v>
      </c>
      <c r="E282" s="1213">
        <v>2</v>
      </c>
      <c r="F282" s="1213">
        <v>3</v>
      </c>
      <c r="G282" s="1213">
        <v>4</v>
      </c>
      <c r="H282" s="1213">
        <v>5</v>
      </c>
      <c r="I282" s="1213">
        <v>6</v>
      </c>
      <c r="J282" s="1213">
        <v>7</v>
      </c>
      <c r="K282" s="1213">
        <v>8</v>
      </c>
      <c r="L282" s="1213">
        <v>9</v>
      </c>
      <c r="M282" s="1213">
        <v>10</v>
      </c>
    </row>
    <row r="283" spans="1:13" ht="39" x14ac:dyDescent="0.25">
      <c r="B283" s="1217" t="s">
        <v>1518</v>
      </c>
      <c r="C283" s="1215"/>
      <c r="D283" s="1218">
        <f>+D284+D285</f>
        <v>232880</v>
      </c>
      <c r="E283" s="1218">
        <f t="shared" ref="E283:M283" si="59">+E284+E285</f>
        <v>232880</v>
      </c>
      <c r="F283" s="1218">
        <f t="shared" si="59"/>
        <v>232880</v>
      </c>
      <c r="G283" s="1218">
        <f t="shared" si="59"/>
        <v>232880</v>
      </c>
      <c r="H283" s="1218">
        <f t="shared" si="59"/>
        <v>232880</v>
      </c>
      <c r="I283" s="1218">
        <f t="shared" si="59"/>
        <v>232880</v>
      </c>
      <c r="J283" s="1218">
        <f t="shared" si="59"/>
        <v>232880</v>
      </c>
      <c r="K283" s="1218">
        <f t="shared" si="59"/>
        <v>232880</v>
      </c>
      <c r="L283" s="1218">
        <f t="shared" si="59"/>
        <v>232880</v>
      </c>
      <c r="M283" s="1218">
        <f t="shared" si="59"/>
        <v>232880</v>
      </c>
    </row>
    <row r="284" spans="1:13" x14ac:dyDescent="0.25">
      <c r="B284" s="1215" t="s">
        <v>1519</v>
      </c>
      <c r="C284" s="1215"/>
      <c r="D284" s="1219">
        <v>185880</v>
      </c>
      <c r="E284" s="1219">
        <v>185880</v>
      </c>
      <c r="F284" s="1219">
        <v>185880</v>
      </c>
      <c r="G284" s="1219">
        <v>185880</v>
      </c>
      <c r="H284" s="1219">
        <v>185880</v>
      </c>
      <c r="I284" s="1219">
        <v>185880</v>
      </c>
      <c r="J284" s="1219">
        <v>185880</v>
      </c>
      <c r="K284" s="1219">
        <v>185880</v>
      </c>
      <c r="L284" s="1219">
        <v>185880</v>
      </c>
      <c r="M284" s="1219">
        <v>185880</v>
      </c>
    </row>
    <row r="285" spans="1:13" x14ac:dyDescent="0.25">
      <c r="B285" s="1215" t="s">
        <v>978</v>
      </c>
      <c r="C285" s="1215"/>
      <c r="D285" s="1219">
        <v>47000</v>
      </c>
      <c r="E285" s="1219">
        <v>47000</v>
      </c>
      <c r="F285" s="1219">
        <v>47000</v>
      </c>
      <c r="G285" s="1219">
        <v>47000</v>
      </c>
      <c r="H285" s="1219">
        <v>47000</v>
      </c>
      <c r="I285" s="1219">
        <v>47000</v>
      </c>
      <c r="J285" s="1219">
        <v>47000</v>
      </c>
      <c r="K285" s="1219">
        <v>47000</v>
      </c>
      <c r="L285" s="1219">
        <v>47000</v>
      </c>
      <c r="M285" s="1219">
        <v>47000</v>
      </c>
    </row>
    <row r="286" spans="1:13" ht="38.25" x14ac:dyDescent="0.25">
      <c r="B286" s="1220" t="s">
        <v>1520</v>
      </c>
      <c r="C286" s="1216"/>
      <c r="D286" s="1221">
        <f>+D287+D288</f>
        <v>71230</v>
      </c>
      <c r="E286" s="1221">
        <f t="shared" ref="E286:M286" si="60">+E287+E288</f>
        <v>71230</v>
      </c>
      <c r="F286" s="1221">
        <f t="shared" si="60"/>
        <v>71230</v>
      </c>
      <c r="G286" s="1221">
        <f t="shared" si="60"/>
        <v>71230</v>
      </c>
      <c r="H286" s="1221">
        <f t="shared" si="60"/>
        <v>71230</v>
      </c>
      <c r="I286" s="1221">
        <f t="shared" si="60"/>
        <v>71230</v>
      </c>
      <c r="J286" s="1221">
        <f t="shared" si="60"/>
        <v>71230</v>
      </c>
      <c r="K286" s="1221">
        <f t="shared" si="60"/>
        <v>71230</v>
      </c>
      <c r="L286" s="1221">
        <f t="shared" si="60"/>
        <v>71230</v>
      </c>
      <c r="M286" s="1221">
        <f t="shared" si="60"/>
        <v>71230</v>
      </c>
    </row>
    <row r="287" spans="1:13" x14ac:dyDescent="0.25">
      <c r="B287" s="1215" t="s">
        <v>1519</v>
      </c>
      <c r="C287" s="1215"/>
      <c r="D287" s="1219">
        <v>70680</v>
      </c>
      <c r="E287" s="1219">
        <v>70680</v>
      </c>
      <c r="F287" s="1219">
        <v>70680</v>
      </c>
      <c r="G287" s="1219">
        <v>70680</v>
      </c>
      <c r="H287" s="1219">
        <v>70680</v>
      </c>
      <c r="I287" s="1219">
        <v>70680</v>
      </c>
      <c r="J287" s="1219">
        <v>70680</v>
      </c>
      <c r="K287" s="1219">
        <v>70680</v>
      </c>
      <c r="L287" s="1219">
        <v>70680</v>
      </c>
      <c r="M287" s="1219">
        <v>70680</v>
      </c>
    </row>
    <row r="288" spans="1:13" x14ac:dyDescent="0.25">
      <c r="B288" s="1215" t="s">
        <v>978</v>
      </c>
      <c r="C288" s="1215"/>
      <c r="D288" s="1219">
        <v>550</v>
      </c>
      <c r="E288" s="1219">
        <v>550</v>
      </c>
      <c r="F288" s="1219">
        <v>550</v>
      </c>
      <c r="G288" s="1219">
        <v>550</v>
      </c>
      <c r="H288" s="1219">
        <v>550</v>
      </c>
      <c r="I288" s="1219">
        <v>550</v>
      </c>
      <c r="J288" s="1219">
        <v>550</v>
      </c>
      <c r="K288" s="1219">
        <v>550</v>
      </c>
      <c r="L288" s="1219">
        <v>550</v>
      </c>
      <c r="M288" s="1219">
        <v>550</v>
      </c>
    </row>
    <row r="289" spans="1:13" x14ac:dyDescent="0.25">
      <c r="B289" s="1223" t="s">
        <v>1521</v>
      </c>
      <c r="C289" s="1215"/>
      <c r="D289" s="1214">
        <f>+D283-D286</f>
        <v>161650</v>
      </c>
      <c r="E289" s="1214">
        <f t="shared" ref="E289:M289" si="61">+E283-E286</f>
        <v>161650</v>
      </c>
      <c r="F289" s="1214">
        <f t="shared" si="61"/>
        <v>161650</v>
      </c>
      <c r="G289" s="1214">
        <f t="shared" si="61"/>
        <v>161650</v>
      </c>
      <c r="H289" s="1214">
        <f t="shared" si="61"/>
        <v>161650</v>
      </c>
      <c r="I289" s="1214">
        <f t="shared" si="61"/>
        <v>161650</v>
      </c>
      <c r="J289" s="1214">
        <f t="shared" si="61"/>
        <v>161650</v>
      </c>
      <c r="K289" s="1214">
        <f t="shared" si="61"/>
        <v>161650</v>
      </c>
      <c r="L289" s="1214">
        <f t="shared" si="61"/>
        <v>161650</v>
      </c>
      <c r="M289" s="1214">
        <f t="shared" si="61"/>
        <v>161650</v>
      </c>
    </row>
    <row r="290" spans="1:13" x14ac:dyDescent="0.25">
      <c r="B290" s="1215" t="s">
        <v>1522</v>
      </c>
      <c r="C290" s="1224">
        <f t="shared" ref="C290:M290" si="62">1/(1+0.11)^C282</f>
        <v>1</v>
      </c>
      <c r="D290" s="1225">
        <f t="shared" si="62"/>
        <v>0.9009009009009008</v>
      </c>
      <c r="E290" s="1225">
        <f t="shared" si="62"/>
        <v>0.8116224332440547</v>
      </c>
      <c r="F290" s="1225">
        <f t="shared" si="62"/>
        <v>0.73119138130095018</v>
      </c>
      <c r="G290" s="1225">
        <f t="shared" si="62"/>
        <v>0.65873097414500015</v>
      </c>
      <c r="H290" s="1225">
        <f t="shared" si="62"/>
        <v>0.5934513280585586</v>
      </c>
      <c r="I290" s="1225">
        <f t="shared" si="62"/>
        <v>0.53464083608879154</v>
      </c>
      <c r="J290" s="1225">
        <f t="shared" si="62"/>
        <v>0.48165841089080319</v>
      </c>
      <c r="K290" s="1225">
        <f t="shared" si="62"/>
        <v>0.43392649629802077</v>
      </c>
      <c r="L290" s="1225">
        <f t="shared" si="62"/>
        <v>0.39092477143965831</v>
      </c>
      <c r="M290" s="1225">
        <f t="shared" si="62"/>
        <v>0.3521844787744669</v>
      </c>
    </row>
    <row r="291" spans="1:13" x14ac:dyDescent="0.25">
      <c r="B291" s="1223" t="s">
        <v>1523</v>
      </c>
      <c r="C291" s="1214">
        <f>3986035.88*0.75</f>
        <v>2989526.91</v>
      </c>
      <c r="D291" s="1214">
        <f>D289*D290</f>
        <v>145630.63063063062</v>
      </c>
      <c r="E291" s="1214">
        <f t="shared" ref="E291:J291" si="63">E289*E290</f>
        <v>131198.76633390144</v>
      </c>
      <c r="F291" s="1214">
        <f t="shared" si="63"/>
        <v>118197.0867872986</v>
      </c>
      <c r="G291" s="1214">
        <f t="shared" si="63"/>
        <v>106483.86197053928</v>
      </c>
      <c r="H291" s="1214">
        <f t="shared" si="63"/>
        <v>95931.407180665992</v>
      </c>
      <c r="I291" s="1214">
        <f t="shared" si="63"/>
        <v>86424.691153753156</v>
      </c>
      <c r="J291" s="1214">
        <f t="shared" si="63"/>
        <v>77860.082120498337</v>
      </c>
      <c r="K291" s="1214">
        <f>K289*K290</f>
        <v>70144.218126575055</v>
      </c>
      <c r="L291" s="1214">
        <f>L289*L290</f>
        <v>63192.989303220769</v>
      </c>
      <c r="M291" s="1214">
        <f>M289*M290</f>
        <v>56930.620993892575</v>
      </c>
    </row>
    <row r="292" spans="1:13" x14ac:dyDescent="0.25">
      <c r="B292" s="1212"/>
      <c r="C292" s="1212"/>
      <c r="D292" s="1212"/>
      <c r="E292" s="1212"/>
      <c r="F292" s="1212"/>
      <c r="G292" s="1212"/>
      <c r="H292" s="1212"/>
      <c r="I292" s="1212"/>
      <c r="J292" s="1212"/>
      <c r="K292" s="1212"/>
      <c r="L292" s="1212"/>
      <c r="M292" s="1212"/>
    </row>
    <row r="293" spans="1:13" x14ac:dyDescent="0.25">
      <c r="B293" s="1212"/>
      <c r="C293" s="1212"/>
      <c r="D293" s="1212"/>
      <c r="E293" s="1212"/>
      <c r="F293" s="1212"/>
      <c r="G293" s="1212"/>
      <c r="H293" s="1212"/>
      <c r="I293" s="1212"/>
      <c r="J293" s="1212"/>
      <c r="K293" s="1212"/>
      <c r="L293" s="1212"/>
      <c r="M293" s="1212"/>
    </row>
    <row r="294" spans="1:13" x14ac:dyDescent="0.25">
      <c r="B294" s="1226" t="s">
        <v>1524</v>
      </c>
      <c r="C294" s="1213" t="s">
        <v>1525</v>
      </c>
      <c r="D294" s="1212"/>
      <c r="E294" s="1212"/>
      <c r="F294" s="1212"/>
      <c r="G294" s="1212"/>
      <c r="H294" s="1212"/>
      <c r="I294" s="1212"/>
      <c r="J294" s="1212"/>
      <c r="K294" s="1212"/>
      <c r="L294" s="1212"/>
      <c r="M294" s="1212"/>
    </row>
    <row r="295" spans="1:13" x14ac:dyDescent="0.25">
      <c r="B295" s="1215" t="s">
        <v>1526</v>
      </c>
      <c r="C295" s="1227">
        <f>SUM(C291:M291)</f>
        <v>3941521.2646009759</v>
      </c>
      <c r="D295" s="1212"/>
      <c r="E295" s="1212"/>
      <c r="F295" s="1212"/>
      <c r="G295" s="1212"/>
      <c r="H295" s="1212"/>
      <c r="I295" s="1212"/>
      <c r="J295" s="1212"/>
      <c r="K295" s="1212"/>
      <c r="L295" s="1212"/>
      <c r="M295" s="1212"/>
    </row>
    <row r="296" spans="1:13" x14ac:dyDescent="0.25">
      <c r="B296" s="1215" t="s">
        <v>1527</v>
      </c>
      <c r="C296" s="1228">
        <f>219969.412657488*0.75</f>
        <v>164977.05949311599</v>
      </c>
      <c r="D296" s="1212"/>
      <c r="E296" s="1212"/>
      <c r="F296" s="1212"/>
      <c r="G296" s="1212"/>
      <c r="H296" s="1212"/>
      <c r="I296" s="1212"/>
      <c r="J296" s="1212"/>
      <c r="K296" s="1212"/>
      <c r="L296" s="1212"/>
      <c r="M296" s="1212"/>
    </row>
    <row r="297" spans="1:13" x14ac:dyDescent="0.25">
      <c r="B297" s="1215" t="s">
        <v>1528</v>
      </c>
      <c r="C297" s="1219">
        <f>C295/C296</f>
        <v>23.8913293564033</v>
      </c>
      <c r="D297" s="1212"/>
      <c r="E297" s="1212"/>
      <c r="F297" s="1212"/>
      <c r="G297" s="1212"/>
      <c r="H297" s="1212"/>
      <c r="I297" s="1212"/>
      <c r="J297" s="1212"/>
      <c r="K297" s="1212"/>
      <c r="L297" s="1212"/>
      <c r="M297" s="1212"/>
    </row>
    <row r="299" spans="1:13" x14ac:dyDescent="0.25">
      <c r="B299" s="1230">
        <v>-0.75</v>
      </c>
    </row>
    <row r="300" spans="1:13" x14ac:dyDescent="0.25">
      <c r="B300" s="1934" t="s">
        <v>1490</v>
      </c>
      <c r="C300" s="1213" t="s">
        <v>1516</v>
      </c>
      <c r="D300" s="1931" t="s">
        <v>1517</v>
      </c>
      <c r="E300" s="1932"/>
      <c r="F300" s="1932"/>
      <c r="G300" s="1932"/>
      <c r="H300" s="1932"/>
      <c r="I300" s="1932"/>
      <c r="J300" s="1932"/>
      <c r="K300" s="1932"/>
      <c r="L300" s="1932"/>
      <c r="M300" s="1933"/>
    </row>
    <row r="301" spans="1:13" x14ac:dyDescent="0.25">
      <c r="A301" s="1230">
        <v>0.75</v>
      </c>
      <c r="B301" s="1935"/>
      <c r="C301" s="1213">
        <v>0</v>
      </c>
      <c r="D301" s="1213">
        <v>1</v>
      </c>
      <c r="E301" s="1213">
        <v>2</v>
      </c>
      <c r="F301" s="1213">
        <v>3</v>
      </c>
      <c r="G301" s="1213">
        <v>4</v>
      </c>
      <c r="H301" s="1213">
        <v>5</v>
      </c>
      <c r="I301" s="1213">
        <v>6</v>
      </c>
      <c r="J301" s="1213">
        <v>7</v>
      </c>
      <c r="K301" s="1213">
        <v>8</v>
      </c>
      <c r="L301" s="1213">
        <v>9</v>
      </c>
      <c r="M301" s="1213">
        <v>10</v>
      </c>
    </row>
    <row r="302" spans="1:13" ht="39" x14ac:dyDescent="0.25">
      <c r="B302" s="1217" t="s">
        <v>1518</v>
      </c>
      <c r="C302" s="1215"/>
      <c r="D302" s="1218">
        <f>+D303+D304</f>
        <v>232880</v>
      </c>
      <c r="E302" s="1218">
        <f t="shared" ref="E302:M302" si="64">+E303+E304</f>
        <v>232880</v>
      </c>
      <c r="F302" s="1218">
        <f t="shared" si="64"/>
        <v>232880</v>
      </c>
      <c r="G302" s="1218">
        <f t="shared" si="64"/>
        <v>232880</v>
      </c>
      <c r="H302" s="1218">
        <f t="shared" si="64"/>
        <v>232880</v>
      </c>
      <c r="I302" s="1218">
        <f t="shared" si="64"/>
        <v>232880</v>
      </c>
      <c r="J302" s="1218">
        <f t="shared" si="64"/>
        <v>232880</v>
      </c>
      <c r="K302" s="1218">
        <f t="shared" si="64"/>
        <v>232880</v>
      </c>
      <c r="L302" s="1218">
        <f t="shared" si="64"/>
        <v>232880</v>
      </c>
      <c r="M302" s="1218">
        <f t="shared" si="64"/>
        <v>232880</v>
      </c>
    </row>
    <row r="303" spans="1:13" x14ac:dyDescent="0.25">
      <c r="B303" s="1215" t="s">
        <v>1519</v>
      </c>
      <c r="C303" s="1215"/>
      <c r="D303" s="1219">
        <v>185880</v>
      </c>
      <c r="E303" s="1219">
        <v>185880</v>
      </c>
      <c r="F303" s="1219">
        <v>185880</v>
      </c>
      <c r="G303" s="1219">
        <v>185880</v>
      </c>
      <c r="H303" s="1219">
        <v>185880</v>
      </c>
      <c r="I303" s="1219">
        <v>185880</v>
      </c>
      <c r="J303" s="1219">
        <v>185880</v>
      </c>
      <c r="K303" s="1219">
        <v>185880</v>
      </c>
      <c r="L303" s="1219">
        <v>185880</v>
      </c>
      <c r="M303" s="1219">
        <v>185880</v>
      </c>
    </row>
    <row r="304" spans="1:13" x14ac:dyDescent="0.25">
      <c r="B304" s="1215" t="s">
        <v>978</v>
      </c>
      <c r="C304" s="1215"/>
      <c r="D304" s="1219">
        <v>47000</v>
      </c>
      <c r="E304" s="1219">
        <v>47000</v>
      </c>
      <c r="F304" s="1219">
        <v>47000</v>
      </c>
      <c r="G304" s="1219">
        <v>47000</v>
      </c>
      <c r="H304" s="1219">
        <v>47000</v>
      </c>
      <c r="I304" s="1219">
        <v>47000</v>
      </c>
      <c r="J304" s="1219">
        <v>47000</v>
      </c>
      <c r="K304" s="1219">
        <v>47000</v>
      </c>
      <c r="L304" s="1219">
        <v>47000</v>
      </c>
      <c r="M304" s="1219">
        <v>47000</v>
      </c>
    </row>
    <row r="305" spans="1:13" ht="38.25" x14ac:dyDescent="0.25">
      <c r="B305" s="1220" t="s">
        <v>1520</v>
      </c>
      <c r="C305" s="1216"/>
      <c r="D305" s="1221">
        <f>+D306+D307</f>
        <v>71230</v>
      </c>
      <c r="E305" s="1221">
        <f t="shared" ref="E305:M305" si="65">+E306+E307</f>
        <v>71230</v>
      </c>
      <c r="F305" s="1221">
        <f t="shared" si="65"/>
        <v>71230</v>
      </c>
      <c r="G305" s="1221">
        <f t="shared" si="65"/>
        <v>71230</v>
      </c>
      <c r="H305" s="1221">
        <f t="shared" si="65"/>
        <v>71230</v>
      </c>
      <c r="I305" s="1221">
        <f t="shared" si="65"/>
        <v>71230</v>
      </c>
      <c r="J305" s="1221">
        <f t="shared" si="65"/>
        <v>71230</v>
      </c>
      <c r="K305" s="1221">
        <f t="shared" si="65"/>
        <v>71230</v>
      </c>
      <c r="L305" s="1221">
        <f t="shared" si="65"/>
        <v>71230</v>
      </c>
      <c r="M305" s="1221">
        <f t="shared" si="65"/>
        <v>71230</v>
      </c>
    </row>
    <row r="306" spans="1:13" x14ac:dyDescent="0.25">
      <c r="B306" s="1215" t="s">
        <v>1519</v>
      </c>
      <c r="C306" s="1215"/>
      <c r="D306" s="1219">
        <v>70680</v>
      </c>
      <c r="E306" s="1219">
        <v>70680</v>
      </c>
      <c r="F306" s="1219">
        <v>70680</v>
      </c>
      <c r="G306" s="1219">
        <v>70680</v>
      </c>
      <c r="H306" s="1219">
        <v>70680</v>
      </c>
      <c r="I306" s="1219">
        <v>70680</v>
      </c>
      <c r="J306" s="1219">
        <v>70680</v>
      </c>
      <c r="K306" s="1219">
        <v>70680</v>
      </c>
      <c r="L306" s="1219">
        <v>70680</v>
      </c>
      <c r="M306" s="1219">
        <v>70680</v>
      </c>
    </row>
    <row r="307" spans="1:13" x14ac:dyDescent="0.25">
      <c r="B307" s="1215" t="s">
        <v>978</v>
      </c>
      <c r="C307" s="1215"/>
      <c r="D307" s="1219">
        <v>550</v>
      </c>
      <c r="E307" s="1219">
        <v>550</v>
      </c>
      <c r="F307" s="1219">
        <v>550</v>
      </c>
      <c r="G307" s="1219">
        <v>550</v>
      </c>
      <c r="H307" s="1219">
        <v>550</v>
      </c>
      <c r="I307" s="1219">
        <v>550</v>
      </c>
      <c r="J307" s="1219">
        <v>550</v>
      </c>
      <c r="K307" s="1219">
        <v>550</v>
      </c>
      <c r="L307" s="1219">
        <v>550</v>
      </c>
      <c r="M307" s="1219">
        <v>550</v>
      </c>
    </row>
    <row r="308" spans="1:13" x14ac:dyDescent="0.25">
      <c r="B308" s="1223" t="s">
        <v>1521</v>
      </c>
      <c r="C308" s="1215"/>
      <c r="D308" s="1214">
        <f>+D302-D305</f>
        <v>161650</v>
      </c>
      <c r="E308" s="1214">
        <f t="shared" ref="E308:M308" si="66">+E302-E305</f>
        <v>161650</v>
      </c>
      <c r="F308" s="1214">
        <f t="shared" si="66"/>
        <v>161650</v>
      </c>
      <c r="G308" s="1214">
        <f t="shared" si="66"/>
        <v>161650</v>
      </c>
      <c r="H308" s="1214">
        <f t="shared" si="66"/>
        <v>161650</v>
      </c>
      <c r="I308" s="1214">
        <f t="shared" si="66"/>
        <v>161650</v>
      </c>
      <c r="J308" s="1214">
        <f t="shared" si="66"/>
        <v>161650</v>
      </c>
      <c r="K308" s="1214">
        <f t="shared" si="66"/>
        <v>161650</v>
      </c>
      <c r="L308" s="1214">
        <f t="shared" si="66"/>
        <v>161650</v>
      </c>
      <c r="M308" s="1214">
        <f t="shared" si="66"/>
        <v>161650</v>
      </c>
    </row>
    <row r="309" spans="1:13" x14ac:dyDescent="0.25">
      <c r="B309" s="1215" t="s">
        <v>1522</v>
      </c>
      <c r="C309" s="1224">
        <f t="shared" ref="C309:M309" si="67">1/(1+0.11)^C301</f>
        <v>1</v>
      </c>
      <c r="D309" s="1225">
        <f t="shared" si="67"/>
        <v>0.9009009009009008</v>
      </c>
      <c r="E309" s="1225">
        <f t="shared" si="67"/>
        <v>0.8116224332440547</v>
      </c>
      <c r="F309" s="1225">
        <f t="shared" si="67"/>
        <v>0.73119138130095018</v>
      </c>
      <c r="G309" s="1225">
        <f t="shared" si="67"/>
        <v>0.65873097414500015</v>
      </c>
      <c r="H309" s="1225">
        <f t="shared" si="67"/>
        <v>0.5934513280585586</v>
      </c>
      <c r="I309" s="1225">
        <f t="shared" si="67"/>
        <v>0.53464083608879154</v>
      </c>
      <c r="J309" s="1225">
        <f t="shared" si="67"/>
        <v>0.48165841089080319</v>
      </c>
      <c r="K309" s="1225">
        <f t="shared" si="67"/>
        <v>0.43392649629802077</v>
      </c>
      <c r="L309" s="1225">
        <f t="shared" si="67"/>
        <v>0.39092477143965831</v>
      </c>
      <c r="M309" s="1225">
        <f t="shared" si="67"/>
        <v>0.3521844787744669</v>
      </c>
    </row>
    <row r="310" spans="1:13" x14ac:dyDescent="0.25">
      <c r="B310" s="1223" t="s">
        <v>1523</v>
      </c>
      <c r="C310" s="1214">
        <f>3986035.88*0.75</f>
        <v>2989526.91</v>
      </c>
      <c r="D310" s="1214">
        <f>D308*D309</f>
        <v>145630.63063063062</v>
      </c>
      <c r="E310" s="1214">
        <f t="shared" ref="E310:J310" si="68">E308*E309</f>
        <v>131198.76633390144</v>
      </c>
      <c r="F310" s="1214">
        <f t="shared" si="68"/>
        <v>118197.0867872986</v>
      </c>
      <c r="G310" s="1214">
        <f t="shared" si="68"/>
        <v>106483.86197053928</v>
      </c>
      <c r="H310" s="1214">
        <f t="shared" si="68"/>
        <v>95931.407180665992</v>
      </c>
      <c r="I310" s="1214">
        <f t="shared" si="68"/>
        <v>86424.691153753156</v>
      </c>
      <c r="J310" s="1214">
        <f t="shared" si="68"/>
        <v>77860.082120498337</v>
      </c>
      <c r="K310" s="1214">
        <f>K308*K309</f>
        <v>70144.218126575055</v>
      </c>
      <c r="L310" s="1214">
        <f>L308*L309</f>
        <v>63192.989303220769</v>
      </c>
      <c r="M310" s="1214">
        <f>M308*M309</f>
        <v>56930.620993892575</v>
      </c>
    </row>
    <row r="311" spans="1:13" x14ac:dyDescent="0.25">
      <c r="B311" s="1212"/>
      <c r="C311" s="1212"/>
      <c r="D311" s="1212"/>
      <c r="E311" s="1212"/>
      <c r="F311" s="1212"/>
      <c r="G311" s="1212"/>
      <c r="H311" s="1212"/>
      <c r="I311" s="1212"/>
      <c r="J311" s="1212"/>
      <c r="K311" s="1212"/>
      <c r="L311" s="1212"/>
      <c r="M311" s="1212"/>
    </row>
    <row r="312" spans="1:13" x14ac:dyDescent="0.25">
      <c r="B312" s="1212"/>
      <c r="C312" s="1212"/>
      <c r="D312" s="1212"/>
      <c r="E312" s="1212"/>
      <c r="F312" s="1212"/>
      <c r="G312" s="1212"/>
      <c r="H312" s="1212"/>
      <c r="I312" s="1212"/>
      <c r="J312" s="1212"/>
      <c r="K312" s="1212"/>
      <c r="L312" s="1212"/>
      <c r="M312" s="1212"/>
    </row>
    <row r="313" spans="1:13" x14ac:dyDescent="0.25">
      <c r="B313" s="1226" t="s">
        <v>1524</v>
      </c>
      <c r="C313" s="1213" t="s">
        <v>1525</v>
      </c>
      <c r="D313" s="1212"/>
      <c r="E313" s="1212"/>
      <c r="F313" s="1212"/>
      <c r="G313" s="1212"/>
      <c r="H313" s="1212"/>
      <c r="I313" s="1212"/>
      <c r="J313" s="1212"/>
      <c r="K313" s="1212"/>
      <c r="L313" s="1212"/>
      <c r="M313" s="1212"/>
    </row>
    <row r="314" spans="1:13" x14ac:dyDescent="0.25">
      <c r="B314" s="1215" t="s">
        <v>1526</v>
      </c>
      <c r="C314" s="1227">
        <f>SUM(C310:M310)</f>
        <v>3941521.2646009759</v>
      </c>
      <c r="D314" s="1212"/>
      <c r="E314" s="1212"/>
      <c r="F314" s="1212"/>
      <c r="G314" s="1212"/>
      <c r="H314" s="1212"/>
      <c r="I314" s="1212"/>
      <c r="J314" s="1212"/>
      <c r="K314" s="1212"/>
      <c r="L314" s="1212"/>
      <c r="M314" s="1212"/>
    </row>
    <row r="315" spans="1:13" x14ac:dyDescent="0.25">
      <c r="B315" s="1215" t="s">
        <v>1527</v>
      </c>
      <c r="C315" s="1228">
        <f>219969.412657488*0.75</f>
        <v>164977.05949311599</v>
      </c>
      <c r="D315" s="1212"/>
      <c r="E315" s="1212"/>
      <c r="F315" s="1212"/>
      <c r="G315" s="1212"/>
      <c r="H315" s="1212"/>
      <c r="I315" s="1212"/>
      <c r="J315" s="1212"/>
      <c r="K315" s="1212"/>
      <c r="L315" s="1212"/>
      <c r="M315" s="1212"/>
    </row>
    <row r="316" spans="1:13" x14ac:dyDescent="0.25">
      <c r="B316" s="1215" t="s">
        <v>1528</v>
      </c>
      <c r="C316" s="1219">
        <f>C314/C315</f>
        <v>23.8913293564033</v>
      </c>
      <c r="D316" s="1212"/>
      <c r="E316" s="1212"/>
      <c r="F316" s="1212"/>
      <c r="G316" s="1212"/>
      <c r="H316" s="1212"/>
      <c r="I316" s="1212"/>
      <c r="J316" s="1212"/>
      <c r="K316" s="1212"/>
      <c r="L316" s="1212"/>
      <c r="M316" s="1212"/>
    </row>
    <row r="318" spans="1:13" x14ac:dyDescent="0.25">
      <c r="B318" s="1230">
        <v>-0.75</v>
      </c>
    </row>
    <row r="319" spans="1:13" x14ac:dyDescent="0.25">
      <c r="B319" s="1934" t="s">
        <v>1490</v>
      </c>
      <c r="C319" s="1213" t="s">
        <v>1516</v>
      </c>
      <c r="D319" s="1931" t="s">
        <v>1517</v>
      </c>
      <c r="E319" s="1932"/>
      <c r="F319" s="1932"/>
      <c r="G319" s="1932"/>
      <c r="H319" s="1932"/>
      <c r="I319" s="1932"/>
      <c r="J319" s="1932"/>
      <c r="K319" s="1932"/>
      <c r="L319" s="1932"/>
      <c r="M319" s="1933"/>
    </row>
    <row r="320" spans="1:13" x14ac:dyDescent="0.25">
      <c r="A320" s="1230">
        <v>0.75</v>
      </c>
      <c r="B320" s="1935"/>
      <c r="C320" s="1213">
        <v>0</v>
      </c>
      <c r="D320" s="1213">
        <v>1</v>
      </c>
      <c r="E320" s="1213">
        <v>2</v>
      </c>
      <c r="F320" s="1213">
        <v>3</v>
      </c>
      <c r="G320" s="1213">
        <v>4</v>
      </c>
      <c r="H320" s="1213">
        <v>5</v>
      </c>
      <c r="I320" s="1213">
        <v>6</v>
      </c>
      <c r="J320" s="1213">
        <v>7</v>
      </c>
      <c r="K320" s="1213">
        <v>8</v>
      </c>
      <c r="L320" s="1213">
        <v>9</v>
      </c>
      <c r="M320" s="1213">
        <v>10</v>
      </c>
    </row>
    <row r="321" spans="2:13" ht="39" x14ac:dyDescent="0.25">
      <c r="B321" s="1217" t="s">
        <v>1518</v>
      </c>
      <c r="C321" s="1215"/>
      <c r="D321" s="1218">
        <f>+D322+D323</f>
        <v>232880</v>
      </c>
      <c r="E321" s="1218">
        <f t="shared" ref="E321:M321" si="69">+E322+E323</f>
        <v>232880</v>
      </c>
      <c r="F321" s="1218">
        <f t="shared" si="69"/>
        <v>232880</v>
      </c>
      <c r="G321" s="1218">
        <f t="shared" si="69"/>
        <v>232880</v>
      </c>
      <c r="H321" s="1218">
        <f t="shared" si="69"/>
        <v>232880</v>
      </c>
      <c r="I321" s="1218">
        <f t="shared" si="69"/>
        <v>232880</v>
      </c>
      <c r="J321" s="1218">
        <f t="shared" si="69"/>
        <v>232880</v>
      </c>
      <c r="K321" s="1218">
        <f t="shared" si="69"/>
        <v>232880</v>
      </c>
      <c r="L321" s="1218">
        <f t="shared" si="69"/>
        <v>232880</v>
      </c>
      <c r="M321" s="1218">
        <f t="shared" si="69"/>
        <v>232880</v>
      </c>
    </row>
    <row r="322" spans="2:13" x14ac:dyDescent="0.25">
      <c r="B322" s="1215" t="s">
        <v>1519</v>
      </c>
      <c r="C322" s="1215"/>
      <c r="D322" s="1219">
        <v>185880</v>
      </c>
      <c r="E322" s="1219">
        <v>185880</v>
      </c>
      <c r="F322" s="1219">
        <v>185880</v>
      </c>
      <c r="G322" s="1219">
        <v>185880</v>
      </c>
      <c r="H322" s="1219">
        <v>185880</v>
      </c>
      <c r="I322" s="1219">
        <v>185880</v>
      </c>
      <c r="J322" s="1219">
        <v>185880</v>
      </c>
      <c r="K322" s="1219">
        <v>185880</v>
      </c>
      <c r="L322" s="1219">
        <v>185880</v>
      </c>
      <c r="M322" s="1219">
        <v>185880</v>
      </c>
    </row>
    <row r="323" spans="2:13" x14ac:dyDescent="0.25">
      <c r="B323" s="1215" t="s">
        <v>978</v>
      </c>
      <c r="C323" s="1215"/>
      <c r="D323" s="1219">
        <v>47000</v>
      </c>
      <c r="E323" s="1219">
        <v>47000</v>
      </c>
      <c r="F323" s="1219">
        <v>47000</v>
      </c>
      <c r="G323" s="1219">
        <v>47000</v>
      </c>
      <c r="H323" s="1219">
        <v>47000</v>
      </c>
      <c r="I323" s="1219">
        <v>47000</v>
      </c>
      <c r="J323" s="1219">
        <v>47000</v>
      </c>
      <c r="K323" s="1219">
        <v>47000</v>
      </c>
      <c r="L323" s="1219">
        <v>47000</v>
      </c>
      <c r="M323" s="1219">
        <v>47000</v>
      </c>
    </row>
    <row r="324" spans="2:13" ht="38.25" x14ac:dyDescent="0.25">
      <c r="B324" s="1220" t="s">
        <v>1520</v>
      </c>
      <c r="C324" s="1216"/>
      <c r="D324" s="1221">
        <f>+D325+D326</f>
        <v>71230</v>
      </c>
      <c r="E324" s="1221">
        <f t="shared" ref="E324:M324" si="70">+E325+E326</f>
        <v>71230</v>
      </c>
      <c r="F324" s="1221">
        <f t="shared" si="70"/>
        <v>71230</v>
      </c>
      <c r="G324" s="1221">
        <f t="shared" si="70"/>
        <v>71230</v>
      </c>
      <c r="H324" s="1221">
        <f t="shared" si="70"/>
        <v>71230</v>
      </c>
      <c r="I324" s="1221">
        <f t="shared" si="70"/>
        <v>71230</v>
      </c>
      <c r="J324" s="1221">
        <f t="shared" si="70"/>
        <v>71230</v>
      </c>
      <c r="K324" s="1221">
        <f t="shared" si="70"/>
        <v>71230</v>
      </c>
      <c r="L324" s="1221">
        <f t="shared" si="70"/>
        <v>71230</v>
      </c>
      <c r="M324" s="1221">
        <f t="shared" si="70"/>
        <v>71230</v>
      </c>
    </row>
    <row r="325" spans="2:13" x14ac:dyDescent="0.25">
      <c r="B325" s="1215" t="s">
        <v>1519</v>
      </c>
      <c r="C325" s="1215"/>
      <c r="D325" s="1219">
        <v>70680</v>
      </c>
      <c r="E325" s="1219">
        <v>70680</v>
      </c>
      <c r="F325" s="1219">
        <v>70680</v>
      </c>
      <c r="G325" s="1219">
        <v>70680</v>
      </c>
      <c r="H325" s="1219">
        <v>70680</v>
      </c>
      <c r="I325" s="1219">
        <v>70680</v>
      </c>
      <c r="J325" s="1219">
        <v>70680</v>
      </c>
      <c r="K325" s="1219">
        <v>70680</v>
      </c>
      <c r="L325" s="1219">
        <v>70680</v>
      </c>
      <c r="M325" s="1219">
        <v>70680</v>
      </c>
    </row>
    <row r="326" spans="2:13" x14ac:dyDescent="0.25">
      <c r="B326" s="1215" t="s">
        <v>978</v>
      </c>
      <c r="C326" s="1215"/>
      <c r="D326" s="1219">
        <v>550</v>
      </c>
      <c r="E326" s="1219">
        <v>550</v>
      </c>
      <c r="F326" s="1219">
        <v>550</v>
      </c>
      <c r="G326" s="1219">
        <v>550</v>
      </c>
      <c r="H326" s="1219">
        <v>550</v>
      </c>
      <c r="I326" s="1219">
        <v>550</v>
      </c>
      <c r="J326" s="1219">
        <v>550</v>
      </c>
      <c r="K326" s="1219">
        <v>550</v>
      </c>
      <c r="L326" s="1219">
        <v>550</v>
      </c>
      <c r="M326" s="1219">
        <v>550</v>
      </c>
    </row>
    <row r="327" spans="2:13" x14ac:dyDescent="0.25">
      <c r="B327" s="1223" t="s">
        <v>1521</v>
      </c>
      <c r="C327" s="1215"/>
      <c r="D327" s="1214">
        <f>+D321-D324</f>
        <v>161650</v>
      </c>
      <c r="E327" s="1214">
        <f t="shared" ref="E327:M327" si="71">+E321-E324</f>
        <v>161650</v>
      </c>
      <c r="F327" s="1214">
        <f t="shared" si="71"/>
        <v>161650</v>
      </c>
      <c r="G327" s="1214">
        <f t="shared" si="71"/>
        <v>161650</v>
      </c>
      <c r="H327" s="1214">
        <f t="shared" si="71"/>
        <v>161650</v>
      </c>
      <c r="I327" s="1214">
        <f t="shared" si="71"/>
        <v>161650</v>
      </c>
      <c r="J327" s="1214">
        <f t="shared" si="71"/>
        <v>161650</v>
      </c>
      <c r="K327" s="1214">
        <f t="shared" si="71"/>
        <v>161650</v>
      </c>
      <c r="L327" s="1214">
        <f t="shared" si="71"/>
        <v>161650</v>
      </c>
      <c r="M327" s="1214">
        <f t="shared" si="71"/>
        <v>161650</v>
      </c>
    </row>
    <row r="328" spans="2:13" x14ac:dyDescent="0.25">
      <c r="B328" s="1215" t="s">
        <v>1522</v>
      </c>
      <c r="C328" s="1224">
        <f t="shared" ref="C328:M328" si="72">1/(1+0.11)^C320</f>
        <v>1</v>
      </c>
      <c r="D328" s="1225">
        <f t="shared" si="72"/>
        <v>0.9009009009009008</v>
      </c>
      <c r="E328" s="1225">
        <f t="shared" si="72"/>
        <v>0.8116224332440547</v>
      </c>
      <c r="F328" s="1225">
        <f t="shared" si="72"/>
        <v>0.73119138130095018</v>
      </c>
      <c r="G328" s="1225">
        <f t="shared" si="72"/>
        <v>0.65873097414500015</v>
      </c>
      <c r="H328" s="1225">
        <f t="shared" si="72"/>
        <v>0.5934513280585586</v>
      </c>
      <c r="I328" s="1225">
        <f t="shared" si="72"/>
        <v>0.53464083608879154</v>
      </c>
      <c r="J328" s="1225">
        <f t="shared" si="72"/>
        <v>0.48165841089080319</v>
      </c>
      <c r="K328" s="1225">
        <f t="shared" si="72"/>
        <v>0.43392649629802077</v>
      </c>
      <c r="L328" s="1225">
        <f t="shared" si="72"/>
        <v>0.39092477143965831</v>
      </c>
      <c r="M328" s="1225">
        <f t="shared" si="72"/>
        <v>0.3521844787744669</v>
      </c>
    </row>
    <row r="329" spans="2:13" x14ac:dyDescent="0.25">
      <c r="B329" s="1223" t="s">
        <v>1523</v>
      </c>
      <c r="C329" s="1214">
        <f>3986035.88*0.75</f>
        <v>2989526.91</v>
      </c>
      <c r="D329" s="1214">
        <f>D327*D328</f>
        <v>145630.63063063062</v>
      </c>
      <c r="E329" s="1214">
        <f t="shared" ref="E329:J329" si="73">E327*E328</f>
        <v>131198.76633390144</v>
      </c>
      <c r="F329" s="1214">
        <f t="shared" si="73"/>
        <v>118197.0867872986</v>
      </c>
      <c r="G329" s="1214">
        <f t="shared" si="73"/>
        <v>106483.86197053928</v>
      </c>
      <c r="H329" s="1214">
        <f t="shared" si="73"/>
        <v>95931.407180665992</v>
      </c>
      <c r="I329" s="1214">
        <f t="shared" si="73"/>
        <v>86424.691153753156</v>
      </c>
      <c r="J329" s="1214">
        <f t="shared" si="73"/>
        <v>77860.082120498337</v>
      </c>
      <c r="K329" s="1214">
        <f>K327*K328</f>
        <v>70144.218126575055</v>
      </c>
      <c r="L329" s="1214">
        <f>L327*L328</f>
        <v>63192.989303220769</v>
      </c>
      <c r="M329" s="1214">
        <f>M327*M328</f>
        <v>56930.620993892575</v>
      </c>
    </row>
    <row r="330" spans="2:13" x14ac:dyDescent="0.25">
      <c r="B330" s="1212"/>
      <c r="C330" s="1212"/>
      <c r="D330" s="1212"/>
      <c r="E330" s="1212"/>
      <c r="F330" s="1212"/>
      <c r="G330" s="1212"/>
      <c r="H330" s="1212"/>
      <c r="I330" s="1212"/>
      <c r="J330" s="1212"/>
      <c r="K330" s="1212"/>
      <c r="L330" s="1212"/>
      <c r="M330" s="1212"/>
    </row>
    <row r="331" spans="2:13" x14ac:dyDescent="0.25">
      <c r="B331" s="1212"/>
      <c r="C331" s="1212"/>
      <c r="D331" s="1212"/>
      <c r="E331" s="1212"/>
      <c r="F331" s="1212"/>
      <c r="G331" s="1212"/>
      <c r="H331" s="1212"/>
      <c r="I331" s="1212"/>
      <c r="J331" s="1212"/>
      <c r="K331" s="1212"/>
      <c r="L331" s="1212"/>
      <c r="M331" s="1212"/>
    </row>
    <row r="332" spans="2:13" x14ac:dyDescent="0.25">
      <c r="B332" s="1226" t="s">
        <v>1524</v>
      </c>
      <c r="C332" s="1213" t="s">
        <v>1525</v>
      </c>
      <c r="D332" s="1212"/>
      <c r="E332" s="1212"/>
      <c r="F332" s="1212"/>
      <c r="G332" s="1212"/>
      <c r="H332" s="1212"/>
      <c r="I332" s="1212"/>
      <c r="J332" s="1212"/>
      <c r="K332" s="1212"/>
      <c r="L332" s="1212"/>
      <c r="M332" s="1212"/>
    </row>
    <row r="333" spans="2:13" x14ac:dyDescent="0.25">
      <c r="B333" s="1215" t="s">
        <v>1526</v>
      </c>
      <c r="C333" s="1227">
        <f>SUM(C329:M329)</f>
        <v>3941521.2646009759</v>
      </c>
      <c r="D333" s="1212"/>
      <c r="E333" s="1212"/>
      <c r="F333" s="1212"/>
      <c r="G333" s="1212"/>
      <c r="H333" s="1212"/>
      <c r="I333" s="1212"/>
      <c r="J333" s="1212"/>
      <c r="K333" s="1212"/>
      <c r="L333" s="1212"/>
      <c r="M333" s="1212"/>
    </row>
    <row r="334" spans="2:13" x14ac:dyDescent="0.25">
      <c r="B334" s="1215" t="s">
        <v>1527</v>
      </c>
      <c r="C334" s="1228">
        <f>219969.412657488*0.75</f>
        <v>164977.05949311599</v>
      </c>
      <c r="D334" s="1212"/>
      <c r="E334" s="1212"/>
      <c r="F334" s="1212"/>
      <c r="G334" s="1212"/>
      <c r="H334" s="1212"/>
      <c r="I334" s="1212"/>
      <c r="J334" s="1212"/>
      <c r="K334" s="1212"/>
      <c r="L334" s="1212"/>
      <c r="M334" s="1212"/>
    </row>
    <row r="335" spans="2:13" x14ac:dyDescent="0.25">
      <c r="B335" s="1215" t="s">
        <v>1528</v>
      </c>
      <c r="C335" s="1219">
        <f>C333/C334</f>
        <v>23.8913293564033</v>
      </c>
      <c r="D335" s="1212"/>
      <c r="E335" s="1212"/>
      <c r="F335" s="1212"/>
      <c r="G335" s="1212"/>
      <c r="H335" s="1212"/>
      <c r="I335" s="1212"/>
      <c r="J335" s="1212"/>
      <c r="K335" s="1212"/>
      <c r="L335" s="1212"/>
      <c r="M335" s="1212"/>
    </row>
    <row r="337" spans="1:13" x14ac:dyDescent="0.25">
      <c r="B337" s="1230">
        <v>-0.75</v>
      </c>
    </row>
    <row r="338" spans="1:13" x14ac:dyDescent="0.25">
      <c r="B338" s="1934" t="s">
        <v>1490</v>
      </c>
      <c r="C338" s="1213" t="s">
        <v>1516</v>
      </c>
      <c r="D338" s="1931" t="s">
        <v>1517</v>
      </c>
      <c r="E338" s="1932"/>
      <c r="F338" s="1932"/>
      <c r="G338" s="1932"/>
      <c r="H338" s="1932"/>
      <c r="I338" s="1932"/>
      <c r="J338" s="1932"/>
      <c r="K338" s="1932"/>
      <c r="L338" s="1932"/>
      <c r="M338" s="1933"/>
    </row>
    <row r="339" spans="1:13" x14ac:dyDescent="0.25">
      <c r="A339" s="1230">
        <v>0.75</v>
      </c>
      <c r="B339" s="1935"/>
      <c r="C339" s="1213">
        <v>0</v>
      </c>
      <c r="D339" s="1213">
        <v>1</v>
      </c>
      <c r="E339" s="1213">
        <v>2</v>
      </c>
      <c r="F339" s="1213">
        <v>3</v>
      </c>
      <c r="G339" s="1213">
        <v>4</v>
      </c>
      <c r="H339" s="1213">
        <v>5</v>
      </c>
      <c r="I339" s="1213">
        <v>6</v>
      </c>
      <c r="J339" s="1213">
        <v>7</v>
      </c>
      <c r="K339" s="1213">
        <v>8</v>
      </c>
      <c r="L339" s="1213">
        <v>9</v>
      </c>
      <c r="M339" s="1213">
        <v>10</v>
      </c>
    </row>
    <row r="340" spans="1:13" ht="39" x14ac:dyDescent="0.25">
      <c r="B340" s="1217" t="s">
        <v>1518</v>
      </c>
      <c r="C340" s="1215"/>
      <c r="D340" s="1218">
        <f>+D341+D342</f>
        <v>232880</v>
      </c>
      <c r="E340" s="1218">
        <f t="shared" ref="E340:M340" si="74">+E341+E342</f>
        <v>232880</v>
      </c>
      <c r="F340" s="1218">
        <f t="shared" si="74"/>
        <v>232880</v>
      </c>
      <c r="G340" s="1218">
        <f t="shared" si="74"/>
        <v>232880</v>
      </c>
      <c r="H340" s="1218">
        <f t="shared" si="74"/>
        <v>232880</v>
      </c>
      <c r="I340" s="1218">
        <f t="shared" si="74"/>
        <v>232880</v>
      </c>
      <c r="J340" s="1218">
        <f t="shared" si="74"/>
        <v>232880</v>
      </c>
      <c r="K340" s="1218">
        <f t="shared" si="74"/>
        <v>232880</v>
      </c>
      <c r="L340" s="1218">
        <f t="shared" si="74"/>
        <v>232880</v>
      </c>
      <c r="M340" s="1218">
        <f t="shared" si="74"/>
        <v>232880</v>
      </c>
    </row>
    <row r="341" spans="1:13" x14ac:dyDescent="0.25">
      <c r="B341" s="1215" t="s">
        <v>1519</v>
      </c>
      <c r="C341" s="1215"/>
      <c r="D341" s="1219">
        <v>185880</v>
      </c>
      <c r="E341" s="1219">
        <v>185880</v>
      </c>
      <c r="F341" s="1219">
        <v>185880</v>
      </c>
      <c r="G341" s="1219">
        <v>185880</v>
      </c>
      <c r="H341" s="1219">
        <v>185880</v>
      </c>
      <c r="I341" s="1219">
        <v>185880</v>
      </c>
      <c r="J341" s="1219">
        <v>185880</v>
      </c>
      <c r="K341" s="1219">
        <v>185880</v>
      </c>
      <c r="L341" s="1219">
        <v>185880</v>
      </c>
      <c r="M341" s="1219">
        <v>185880</v>
      </c>
    </row>
    <row r="342" spans="1:13" x14ac:dyDescent="0.25">
      <c r="B342" s="1215" t="s">
        <v>978</v>
      </c>
      <c r="C342" s="1215"/>
      <c r="D342" s="1219">
        <v>47000</v>
      </c>
      <c r="E342" s="1219">
        <v>47000</v>
      </c>
      <c r="F342" s="1219">
        <v>47000</v>
      </c>
      <c r="G342" s="1219">
        <v>47000</v>
      </c>
      <c r="H342" s="1219">
        <v>47000</v>
      </c>
      <c r="I342" s="1219">
        <v>47000</v>
      </c>
      <c r="J342" s="1219">
        <v>47000</v>
      </c>
      <c r="K342" s="1219">
        <v>47000</v>
      </c>
      <c r="L342" s="1219">
        <v>47000</v>
      </c>
      <c r="M342" s="1219">
        <v>47000</v>
      </c>
    </row>
    <row r="343" spans="1:13" ht="38.25" x14ac:dyDescent="0.25">
      <c r="B343" s="1220" t="s">
        <v>1520</v>
      </c>
      <c r="C343" s="1216"/>
      <c r="D343" s="1221">
        <f>+D344+D345</f>
        <v>71230</v>
      </c>
      <c r="E343" s="1221">
        <f t="shared" ref="E343:M343" si="75">+E344+E345</f>
        <v>71230</v>
      </c>
      <c r="F343" s="1221">
        <f t="shared" si="75"/>
        <v>71230</v>
      </c>
      <c r="G343" s="1221">
        <f t="shared" si="75"/>
        <v>71230</v>
      </c>
      <c r="H343" s="1221">
        <f t="shared" si="75"/>
        <v>71230</v>
      </c>
      <c r="I343" s="1221">
        <f t="shared" si="75"/>
        <v>71230</v>
      </c>
      <c r="J343" s="1221">
        <f t="shared" si="75"/>
        <v>71230</v>
      </c>
      <c r="K343" s="1221">
        <f t="shared" si="75"/>
        <v>71230</v>
      </c>
      <c r="L343" s="1221">
        <f t="shared" si="75"/>
        <v>71230</v>
      </c>
      <c r="M343" s="1221">
        <f t="shared" si="75"/>
        <v>71230</v>
      </c>
    </row>
    <row r="344" spans="1:13" x14ac:dyDescent="0.25">
      <c r="B344" s="1215" t="s">
        <v>1519</v>
      </c>
      <c r="C344" s="1215"/>
      <c r="D344" s="1219">
        <v>70680</v>
      </c>
      <c r="E344" s="1219">
        <v>70680</v>
      </c>
      <c r="F344" s="1219">
        <v>70680</v>
      </c>
      <c r="G344" s="1219">
        <v>70680</v>
      </c>
      <c r="H344" s="1219">
        <v>70680</v>
      </c>
      <c r="I344" s="1219">
        <v>70680</v>
      </c>
      <c r="J344" s="1219">
        <v>70680</v>
      </c>
      <c r="K344" s="1219">
        <v>70680</v>
      </c>
      <c r="L344" s="1219">
        <v>70680</v>
      </c>
      <c r="M344" s="1219">
        <v>70680</v>
      </c>
    </row>
    <row r="345" spans="1:13" x14ac:dyDescent="0.25">
      <c r="B345" s="1215" t="s">
        <v>978</v>
      </c>
      <c r="C345" s="1215"/>
      <c r="D345" s="1219">
        <v>550</v>
      </c>
      <c r="E345" s="1219">
        <v>550</v>
      </c>
      <c r="F345" s="1219">
        <v>550</v>
      </c>
      <c r="G345" s="1219">
        <v>550</v>
      </c>
      <c r="H345" s="1219">
        <v>550</v>
      </c>
      <c r="I345" s="1219">
        <v>550</v>
      </c>
      <c r="J345" s="1219">
        <v>550</v>
      </c>
      <c r="K345" s="1219">
        <v>550</v>
      </c>
      <c r="L345" s="1219">
        <v>550</v>
      </c>
      <c r="M345" s="1219">
        <v>550</v>
      </c>
    </row>
    <row r="346" spans="1:13" x14ac:dyDescent="0.25">
      <c r="B346" s="1223" t="s">
        <v>1521</v>
      </c>
      <c r="C346" s="1215"/>
      <c r="D346" s="1214">
        <f>+D340-D343</f>
        <v>161650</v>
      </c>
      <c r="E346" s="1214">
        <f t="shared" ref="E346:M346" si="76">+E340-E343</f>
        <v>161650</v>
      </c>
      <c r="F346" s="1214">
        <f t="shared" si="76"/>
        <v>161650</v>
      </c>
      <c r="G346" s="1214">
        <f t="shared" si="76"/>
        <v>161650</v>
      </c>
      <c r="H346" s="1214">
        <f t="shared" si="76"/>
        <v>161650</v>
      </c>
      <c r="I346" s="1214">
        <f t="shared" si="76"/>
        <v>161650</v>
      </c>
      <c r="J346" s="1214">
        <f t="shared" si="76"/>
        <v>161650</v>
      </c>
      <c r="K346" s="1214">
        <f t="shared" si="76"/>
        <v>161650</v>
      </c>
      <c r="L346" s="1214">
        <f t="shared" si="76"/>
        <v>161650</v>
      </c>
      <c r="M346" s="1214">
        <f t="shared" si="76"/>
        <v>161650</v>
      </c>
    </row>
    <row r="347" spans="1:13" x14ac:dyDescent="0.25">
      <c r="B347" s="1215" t="s">
        <v>1522</v>
      </c>
      <c r="C347" s="1224">
        <f t="shared" ref="C347:M347" si="77">1/(1+0.11)^C339</f>
        <v>1</v>
      </c>
      <c r="D347" s="1225">
        <f t="shared" si="77"/>
        <v>0.9009009009009008</v>
      </c>
      <c r="E347" s="1225">
        <f t="shared" si="77"/>
        <v>0.8116224332440547</v>
      </c>
      <c r="F347" s="1225">
        <f t="shared" si="77"/>
        <v>0.73119138130095018</v>
      </c>
      <c r="G347" s="1225">
        <f t="shared" si="77"/>
        <v>0.65873097414500015</v>
      </c>
      <c r="H347" s="1225">
        <f t="shared" si="77"/>
        <v>0.5934513280585586</v>
      </c>
      <c r="I347" s="1225">
        <f t="shared" si="77"/>
        <v>0.53464083608879154</v>
      </c>
      <c r="J347" s="1225">
        <f t="shared" si="77"/>
        <v>0.48165841089080319</v>
      </c>
      <c r="K347" s="1225">
        <f t="shared" si="77"/>
        <v>0.43392649629802077</v>
      </c>
      <c r="L347" s="1225">
        <f t="shared" si="77"/>
        <v>0.39092477143965831</v>
      </c>
      <c r="M347" s="1225">
        <f t="shared" si="77"/>
        <v>0.3521844787744669</v>
      </c>
    </row>
    <row r="348" spans="1:13" x14ac:dyDescent="0.25">
      <c r="B348" s="1223" t="s">
        <v>1523</v>
      </c>
      <c r="C348" s="1214">
        <f>3986035.88*0.75</f>
        <v>2989526.91</v>
      </c>
      <c r="D348" s="1214">
        <f>D346*D347</f>
        <v>145630.63063063062</v>
      </c>
      <c r="E348" s="1214">
        <f t="shared" ref="E348:J348" si="78">E346*E347</f>
        <v>131198.76633390144</v>
      </c>
      <c r="F348" s="1214">
        <f t="shared" si="78"/>
        <v>118197.0867872986</v>
      </c>
      <c r="G348" s="1214">
        <f t="shared" si="78"/>
        <v>106483.86197053928</v>
      </c>
      <c r="H348" s="1214">
        <f t="shared" si="78"/>
        <v>95931.407180665992</v>
      </c>
      <c r="I348" s="1214">
        <f t="shared" si="78"/>
        <v>86424.691153753156</v>
      </c>
      <c r="J348" s="1214">
        <f t="shared" si="78"/>
        <v>77860.082120498337</v>
      </c>
      <c r="K348" s="1214">
        <f>K346*K347</f>
        <v>70144.218126575055</v>
      </c>
      <c r="L348" s="1214">
        <f>L346*L347</f>
        <v>63192.989303220769</v>
      </c>
      <c r="M348" s="1214">
        <f>M346*M347</f>
        <v>56930.620993892575</v>
      </c>
    </row>
    <row r="349" spans="1:13" x14ac:dyDescent="0.25">
      <c r="B349" s="1212"/>
      <c r="C349" s="1212"/>
      <c r="D349" s="1212"/>
      <c r="E349" s="1212"/>
      <c r="F349" s="1212"/>
      <c r="G349" s="1212"/>
      <c r="H349" s="1212"/>
      <c r="I349" s="1212"/>
      <c r="J349" s="1212"/>
      <c r="K349" s="1212"/>
      <c r="L349" s="1212"/>
      <c r="M349" s="1212"/>
    </row>
    <row r="350" spans="1:13" x14ac:dyDescent="0.25">
      <c r="B350" s="1212"/>
      <c r="C350" s="1212"/>
      <c r="D350" s="1212"/>
      <c r="E350" s="1212"/>
      <c r="F350" s="1212"/>
      <c r="G350" s="1212"/>
      <c r="H350" s="1212"/>
      <c r="I350" s="1212"/>
      <c r="J350" s="1212"/>
      <c r="K350" s="1212"/>
      <c r="L350" s="1212"/>
      <c r="M350" s="1212"/>
    </row>
    <row r="351" spans="1:13" x14ac:dyDescent="0.25">
      <c r="B351" s="1226" t="s">
        <v>1524</v>
      </c>
      <c r="C351" s="1213" t="s">
        <v>1525</v>
      </c>
      <c r="D351" s="1212"/>
      <c r="E351" s="1212"/>
      <c r="F351" s="1212"/>
      <c r="G351" s="1212"/>
      <c r="H351" s="1212"/>
      <c r="I351" s="1212"/>
      <c r="J351" s="1212"/>
      <c r="K351" s="1212"/>
      <c r="L351" s="1212"/>
      <c r="M351" s="1212"/>
    </row>
    <row r="352" spans="1:13" x14ac:dyDescent="0.25">
      <c r="B352" s="1215" t="s">
        <v>1526</v>
      </c>
      <c r="C352" s="1227">
        <f>SUM(C348:M348)</f>
        <v>3941521.2646009759</v>
      </c>
      <c r="D352" s="1212"/>
      <c r="E352" s="1212"/>
      <c r="F352" s="1212"/>
      <c r="G352" s="1212"/>
      <c r="H352" s="1212"/>
      <c r="I352" s="1212"/>
      <c r="J352" s="1212"/>
      <c r="K352" s="1212"/>
      <c r="L352" s="1212"/>
      <c r="M352" s="1212"/>
    </row>
    <row r="353" spans="1:13" x14ac:dyDescent="0.25">
      <c r="B353" s="1215" t="s">
        <v>1527</v>
      </c>
      <c r="C353" s="1228">
        <f>219969.412657488*0.75</f>
        <v>164977.05949311599</v>
      </c>
      <c r="D353" s="1212"/>
      <c r="E353" s="1212"/>
      <c r="F353" s="1212"/>
      <c r="G353" s="1212"/>
      <c r="H353" s="1212"/>
      <c r="I353" s="1212"/>
      <c r="J353" s="1212"/>
      <c r="K353" s="1212"/>
      <c r="L353" s="1212"/>
      <c r="M353" s="1212"/>
    </row>
    <row r="354" spans="1:13" x14ac:dyDescent="0.25">
      <c r="B354" s="1215" t="s">
        <v>1528</v>
      </c>
      <c r="C354" s="1219">
        <f>C352/C353</f>
        <v>23.8913293564033</v>
      </c>
      <c r="D354" s="1212"/>
      <c r="E354" s="1212"/>
      <c r="F354" s="1212"/>
      <c r="G354" s="1212"/>
      <c r="H354" s="1212"/>
      <c r="I354" s="1212"/>
      <c r="J354" s="1212"/>
      <c r="K354" s="1212"/>
      <c r="L354" s="1212"/>
      <c r="M354" s="1212"/>
    </row>
    <row r="356" spans="1:13" x14ac:dyDescent="0.25">
      <c r="B356" s="1230">
        <v>-0.75</v>
      </c>
    </row>
    <row r="357" spans="1:13" x14ac:dyDescent="0.25">
      <c r="B357" s="1934" t="s">
        <v>1490</v>
      </c>
      <c r="C357" s="1213" t="s">
        <v>1516</v>
      </c>
      <c r="D357" s="1931" t="s">
        <v>1517</v>
      </c>
      <c r="E357" s="1932"/>
      <c r="F357" s="1932"/>
      <c r="G357" s="1932"/>
      <c r="H357" s="1932"/>
      <c r="I357" s="1932"/>
      <c r="J357" s="1932"/>
      <c r="K357" s="1932"/>
      <c r="L357" s="1932"/>
      <c r="M357" s="1933"/>
    </row>
    <row r="358" spans="1:13" x14ac:dyDescent="0.25">
      <c r="A358" s="1230">
        <v>0.75</v>
      </c>
      <c r="B358" s="1935"/>
      <c r="C358" s="1213">
        <v>0</v>
      </c>
      <c r="D358" s="1213">
        <v>1</v>
      </c>
      <c r="E358" s="1213">
        <v>2</v>
      </c>
      <c r="F358" s="1213">
        <v>3</v>
      </c>
      <c r="G358" s="1213">
        <v>4</v>
      </c>
      <c r="H358" s="1213">
        <v>5</v>
      </c>
      <c r="I358" s="1213">
        <v>6</v>
      </c>
      <c r="J358" s="1213">
        <v>7</v>
      </c>
      <c r="K358" s="1213">
        <v>8</v>
      </c>
      <c r="L358" s="1213">
        <v>9</v>
      </c>
      <c r="M358" s="1213">
        <v>10</v>
      </c>
    </row>
    <row r="359" spans="1:13" ht="39" x14ac:dyDescent="0.25">
      <c r="B359" s="1217" t="s">
        <v>1518</v>
      </c>
      <c r="C359" s="1215"/>
      <c r="D359" s="1218">
        <f>+D360+D361</f>
        <v>232880</v>
      </c>
      <c r="E359" s="1218">
        <f t="shared" ref="E359:M359" si="79">+E360+E361</f>
        <v>232880</v>
      </c>
      <c r="F359" s="1218">
        <f t="shared" si="79"/>
        <v>232880</v>
      </c>
      <c r="G359" s="1218">
        <f t="shared" si="79"/>
        <v>232880</v>
      </c>
      <c r="H359" s="1218">
        <f t="shared" si="79"/>
        <v>232880</v>
      </c>
      <c r="I359" s="1218">
        <f t="shared" si="79"/>
        <v>232880</v>
      </c>
      <c r="J359" s="1218">
        <f t="shared" si="79"/>
        <v>232880</v>
      </c>
      <c r="K359" s="1218">
        <f t="shared" si="79"/>
        <v>232880</v>
      </c>
      <c r="L359" s="1218">
        <f t="shared" si="79"/>
        <v>232880</v>
      </c>
      <c r="M359" s="1218">
        <f t="shared" si="79"/>
        <v>232880</v>
      </c>
    </row>
    <row r="360" spans="1:13" x14ac:dyDescent="0.25">
      <c r="B360" s="1215" t="s">
        <v>1519</v>
      </c>
      <c r="C360" s="1215"/>
      <c r="D360" s="1219">
        <v>185880</v>
      </c>
      <c r="E360" s="1219">
        <v>185880</v>
      </c>
      <c r="F360" s="1219">
        <v>185880</v>
      </c>
      <c r="G360" s="1219">
        <v>185880</v>
      </c>
      <c r="H360" s="1219">
        <v>185880</v>
      </c>
      <c r="I360" s="1219">
        <v>185880</v>
      </c>
      <c r="J360" s="1219">
        <v>185880</v>
      </c>
      <c r="K360" s="1219">
        <v>185880</v>
      </c>
      <c r="L360" s="1219">
        <v>185880</v>
      </c>
      <c r="M360" s="1219">
        <v>185880</v>
      </c>
    </row>
    <row r="361" spans="1:13" x14ac:dyDescent="0.25">
      <c r="B361" s="1215" t="s">
        <v>978</v>
      </c>
      <c r="C361" s="1215"/>
      <c r="D361" s="1219">
        <v>47000</v>
      </c>
      <c r="E361" s="1219">
        <v>47000</v>
      </c>
      <c r="F361" s="1219">
        <v>47000</v>
      </c>
      <c r="G361" s="1219">
        <v>47000</v>
      </c>
      <c r="H361" s="1219">
        <v>47000</v>
      </c>
      <c r="I361" s="1219">
        <v>47000</v>
      </c>
      <c r="J361" s="1219">
        <v>47000</v>
      </c>
      <c r="K361" s="1219">
        <v>47000</v>
      </c>
      <c r="L361" s="1219">
        <v>47000</v>
      </c>
      <c r="M361" s="1219">
        <v>47000</v>
      </c>
    </row>
    <row r="362" spans="1:13" ht="38.25" x14ac:dyDescent="0.25">
      <c r="B362" s="1220" t="s">
        <v>1520</v>
      </c>
      <c r="C362" s="1216"/>
      <c r="D362" s="1221">
        <f>+D363+D364</f>
        <v>71230</v>
      </c>
      <c r="E362" s="1221">
        <f t="shared" ref="E362:M362" si="80">+E363+E364</f>
        <v>71230</v>
      </c>
      <c r="F362" s="1221">
        <f t="shared" si="80"/>
        <v>71230</v>
      </c>
      <c r="G362" s="1221">
        <f t="shared" si="80"/>
        <v>71230</v>
      </c>
      <c r="H362" s="1221">
        <f t="shared" si="80"/>
        <v>71230</v>
      </c>
      <c r="I362" s="1221">
        <f t="shared" si="80"/>
        <v>71230</v>
      </c>
      <c r="J362" s="1221">
        <f t="shared" si="80"/>
        <v>71230</v>
      </c>
      <c r="K362" s="1221">
        <f t="shared" si="80"/>
        <v>71230</v>
      </c>
      <c r="L362" s="1221">
        <f t="shared" si="80"/>
        <v>71230</v>
      </c>
      <c r="M362" s="1221">
        <f t="shared" si="80"/>
        <v>71230</v>
      </c>
    </row>
    <row r="363" spans="1:13" x14ac:dyDescent="0.25">
      <c r="B363" s="1215" t="s">
        <v>1519</v>
      </c>
      <c r="C363" s="1215"/>
      <c r="D363" s="1219">
        <v>70680</v>
      </c>
      <c r="E363" s="1219">
        <v>70680</v>
      </c>
      <c r="F363" s="1219">
        <v>70680</v>
      </c>
      <c r="G363" s="1219">
        <v>70680</v>
      </c>
      <c r="H363" s="1219">
        <v>70680</v>
      </c>
      <c r="I363" s="1219">
        <v>70680</v>
      </c>
      <c r="J363" s="1219">
        <v>70680</v>
      </c>
      <c r="K363" s="1219">
        <v>70680</v>
      </c>
      <c r="L363" s="1219">
        <v>70680</v>
      </c>
      <c r="M363" s="1219">
        <v>70680</v>
      </c>
    </row>
    <row r="364" spans="1:13" x14ac:dyDescent="0.25">
      <c r="B364" s="1215" t="s">
        <v>978</v>
      </c>
      <c r="C364" s="1215"/>
      <c r="D364" s="1219">
        <v>550</v>
      </c>
      <c r="E364" s="1219">
        <v>550</v>
      </c>
      <c r="F364" s="1219">
        <v>550</v>
      </c>
      <c r="G364" s="1219">
        <v>550</v>
      </c>
      <c r="H364" s="1219">
        <v>550</v>
      </c>
      <c r="I364" s="1219">
        <v>550</v>
      </c>
      <c r="J364" s="1219">
        <v>550</v>
      </c>
      <c r="K364" s="1219">
        <v>550</v>
      </c>
      <c r="L364" s="1219">
        <v>550</v>
      </c>
      <c r="M364" s="1219">
        <v>550</v>
      </c>
    </row>
    <row r="365" spans="1:13" x14ac:dyDescent="0.25">
      <c r="B365" s="1223" t="s">
        <v>1521</v>
      </c>
      <c r="C365" s="1215"/>
      <c r="D365" s="1214">
        <f>+D359-D362</f>
        <v>161650</v>
      </c>
      <c r="E365" s="1214">
        <f t="shared" ref="E365:M365" si="81">+E359-E362</f>
        <v>161650</v>
      </c>
      <c r="F365" s="1214">
        <f t="shared" si="81"/>
        <v>161650</v>
      </c>
      <c r="G365" s="1214">
        <f t="shared" si="81"/>
        <v>161650</v>
      </c>
      <c r="H365" s="1214">
        <f t="shared" si="81"/>
        <v>161650</v>
      </c>
      <c r="I365" s="1214">
        <f t="shared" si="81"/>
        <v>161650</v>
      </c>
      <c r="J365" s="1214">
        <f t="shared" si="81"/>
        <v>161650</v>
      </c>
      <c r="K365" s="1214">
        <f t="shared" si="81"/>
        <v>161650</v>
      </c>
      <c r="L365" s="1214">
        <f t="shared" si="81"/>
        <v>161650</v>
      </c>
      <c r="M365" s="1214">
        <f t="shared" si="81"/>
        <v>161650</v>
      </c>
    </row>
    <row r="366" spans="1:13" x14ac:dyDescent="0.25">
      <c r="B366" s="1215" t="s">
        <v>1522</v>
      </c>
      <c r="C366" s="1224">
        <f t="shared" ref="C366:M366" si="82">1/(1+0.11)^C358</f>
        <v>1</v>
      </c>
      <c r="D366" s="1225">
        <f t="shared" si="82"/>
        <v>0.9009009009009008</v>
      </c>
      <c r="E366" s="1225">
        <f t="shared" si="82"/>
        <v>0.8116224332440547</v>
      </c>
      <c r="F366" s="1225">
        <f t="shared" si="82"/>
        <v>0.73119138130095018</v>
      </c>
      <c r="G366" s="1225">
        <f t="shared" si="82"/>
        <v>0.65873097414500015</v>
      </c>
      <c r="H366" s="1225">
        <f t="shared" si="82"/>
        <v>0.5934513280585586</v>
      </c>
      <c r="I366" s="1225">
        <f t="shared" si="82"/>
        <v>0.53464083608879154</v>
      </c>
      <c r="J366" s="1225">
        <f t="shared" si="82"/>
        <v>0.48165841089080319</v>
      </c>
      <c r="K366" s="1225">
        <f t="shared" si="82"/>
        <v>0.43392649629802077</v>
      </c>
      <c r="L366" s="1225">
        <f t="shared" si="82"/>
        <v>0.39092477143965831</v>
      </c>
      <c r="M366" s="1225">
        <f t="shared" si="82"/>
        <v>0.3521844787744669</v>
      </c>
    </row>
    <row r="367" spans="1:13" x14ac:dyDescent="0.25">
      <c r="B367" s="1223" t="s">
        <v>1523</v>
      </c>
      <c r="C367" s="1214">
        <f>3986035.88*0.75</f>
        <v>2989526.91</v>
      </c>
      <c r="D367" s="1214">
        <f>D365*D366</f>
        <v>145630.63063063062</v>
      </c>
      <c r="E367" s="1214">
        <f t="shared" ref="E367:J367" si="83">E365*E366</f>
        <v>131198.76633390144</v>
      </c>
      <c r="F367" s="1214">
        <f t="shared" si="83"/>
        <v>118197.0867872986</v>
      </c>
      <c r="G367" s="1214">
        <f t="shared" si="83"/>
        <v>106483.86197053928</v>
      </c>
      <c r="H367" s="1214">
        <f t="shared" si="83"/>
        <v>95931.407180665992</v>
      </c>
      <c r="I367" s="1214">
        <f t="shared" si="83"/>
        <v>86424.691153753156</v>
      </c>
      <c r="J367" s="1214">
        <f t="shared" si="83"/>
        <v>77860.082120498337</v>
      </c>
      <c r="K367" s="1214">
        <f>K365*K366</f>
        <v>70144.218126575055</v>
      </c>
      <c r="L367" s="1214">
        <f>L365*L366</f>
        <v>63192.989303220769</v>
      </c>
      <c r="M367" s="1214">
        <f>M365*M366</f>
        <v>56930.620993892575</v>
      </c>
    </row>
    <row r="368" spans="1:13" x14ac:dyDescent="0.25">
      <c r="B368" s="1212"/>
      <c r="C368" s="1212"/>
      <c r="D368" s="1212"/>
      <c r="E368" s="1212"/>
      <c r="F368" s="1212"/>
      <c r="G368" s="1212"/>
      <c r="H368" s="1212"/>
      <c r="I368" s="1212"/>
      <c r="J368" s="1212"/>
      <c r="K368" s="1212"/>
      <c r="L368" s="1212"/>
      <c r="M368" s="1212"/>
    </row>
    <row r="369" spans="1:13" x14ac:dyDescent="0.25">
      <c r="B369" s="1212"/>
      <c r="C369" s="1212"/>
      <c r="D369" s="1212"/>
      <c r="E369" s="1212"/>
      <c r="F369" s="1212"/>
      <c r="G369" s="1212"/>
      <c r="H369" s="1212"/>
      <c r="I369" s="1212"/>
      <c r="J369" s="1212"/>
      <c r="K369" s="1212"/>
      <c r="L369" s="1212"/>
      <c r="M369" s="1212"/>
    </row>
    <row r="370" spans="1:13" x14ac:dyDescent="0.25">
      <c r="B370" s="1226" t="s">
        <v>1524</v>
      </c>
      <c r="C370" s="1213" t="s">
        <v>1525</v>
      </c>
      <c r="D370" s="1212"/>
      <c r="E370" s="1212"/>
      <c r="F370" s="1212"/>
      <c r="G370" s="1212"/>
      <c r="H370" s="1212"/>
      <c r="I370" s="1212"/>
      <c r="J370" s="1212"/>
      <c r="K370" s="1212"/>
      <c r="L370" s="1212"/>
      <c r="M370" s="1212"/>
    </row>
    <row r="371" spans="1:13" x14ac:dyDescent="0.25">
      <c r="B371" s="1215" t="s">
        <v>1526</v>
      </c>
      <c r="C371" s="1227">
        <f>SUM(C367:M367)</f>
        <v>3941521.2646009759</v>
      </c>
      <c r="D371" s="1212"/>
      <c r="E371" s="1212"/>
      <c r="F371" s="1212"/>
      <c r="G371" s="1212"/>
      <c r="H371" s="1212"/>
      <c r="I371" s="1212"/>
      <c r="J371" s="1212"/>
      <c r="K371" s="1212"/>
      <c r="L371" s="1212"/>
      <c r="M371" s="1212"/>
    </row>
    <row r="372" spans="1:13" x14ac:dyDescent="0.25">
      <c r="B372" s="1215" t="s">
        <v>1527</v>
      </c>
      <c r="C372" s="1228">
        <f>219969.412657488*0.75</f>
        <v>164977.05949311599</v>
      </c>
      <c r="D372" s="1212"/>
      <c r="E372" s="1212"/>
      <c r="F372" s="1212"/>
      <c r="G372" s="1212"/>
      <c r="H372" s="1212"/>
      <c r="I372" s="1212"/>
      <c r="J372" s="1212"/>
      <c r="K372" s="1212"/>
      <c r="L372" s="1212"/>
      <c r="M372" s="1212"/>
    </row>
    <row r="373" spans="1:13" x14ac:dyDescent="0.25">
      <c r="B373" s="1215" t="s">
        <v>1528</v>
      </c>
      <c r="C373" s="1219">
        <f>C371/C372</f>
        <v>23.8913293564033</v>
      </c>
      <c r="D373" s="1212"/>
      <c r="E373" s="1212"/>
      <c r="F373" s="1212"/>
      <c r="G373" s="1212"/>
      <c r="H373" s="1212"/>
      <c r="I373" s="1212"/>
      <c r="J373" s="1212"/>
      <c r="K373" s="1212"/>
      <c r="L373" s="1212"/>
      <c r="M373" s="1212"/>
    </row>
    <row r="375" spans="1:13" x14ac:dyDescent="0.25">
      <c r="B375" s="1230">
        <v>-0.75</v>
      </c>
    </row>
    <row r="376" spans="1:13" x14ac:dyDescent="0.25">
      <c r="B376" s="1934" t="s">
        <v>1490</v>
      </c>
      <c r="C376" s="1213" t="s">
        <v>1516</v>
      </c>
      <c r="D376" s="1931" t="s">
        <v>1517</v>
      </c>
      <c r="E376" s="1932"/>
      <c r="F376" s="1932"/>
      <c r="G376" s="1932"/>
      <c r="H376" s="1932"/>
      <c r="I376" s="1932"/>
      <c r="J376" s="1932"/>
      <c r="K376" s="1932"/>
      <c r="L376" s="1932"/>
      <c r="M376" s="1933"/>
    </row>
    <row r="377" spans="1:13" x14ac:dyDescent="0.25">
      <c r="A377" s="1230">
        <v>0.75</v>
      </c>
      <c r="B377" s="1935"/>
      <c r="C377" s="1213">
        <v>0</v>
      </c>
      <c r="D377" s="1213">
        <v>1</v>
      </c>
      <c r="E377" s="1213">
        <v>2</v>
      </c>
      <c r="F377" s="1213">
        <v>3</v>
      </c>
      <c r="G377" s="1213">
        <v>4</v>
      </c>
      <c r="H377" s="1213">
        <v>5</v>
      </c>
      <c r="I377" s="1213">
        <v>6</v>
      </c>
      <c r="J377" s="1213">
        <v>7</v>
      </c>
      <c r="K377" s="1213">
        <v>8</v>
      </c>
      <c r="L377" s="1213">
        <v>9</v>
      </c>
      <c r="M377" s="1213">
        <v>10</v>
      </c>
    </row>
    <row r="378" spans="1:13" ht="39" x14ac:dyDescent="0.25">
      <c r="B378" s="1217" t="s">
        <v>1518</v>
      </c>
      <c r="C378" s="1215"/>
      <c r="D378" s="1218">
        <f>+D379+D380</f>
        <v>232880</v>
      </c>
      <c r="E378" s="1218">
        <f t="shared" ref="E378:M378" si="84">+E379+E380</f>
        <v>232880</v>
      </c>
      <c r="F378" s="1218">
        <f t="shared" si="84"/>
        <v>232880</v>
      </c>
      <c r="G378" s="1218">
        <f t="shared" si="84"/>
        <v>232880</v>
      </c>
      <c r="H378" s="1218">
        <f t="shared" si="84"/>
        <v>232880</v>
      </c>
      <c r="I378" s="1218">
        <f t="shared" si="84"/>
        <v>232880</v>
      </c>
      <c r="J378" s="1218">
        <f t="shared" si="84"/>
        <v>232880</v>
      </c>
      <c r="K378" s="1218">
        <f t="shared" si="84"/>
        <v>232880</v>
      </c>
      <c r="L378" s="1218">
        <f t="shared" si="84"/>
        <v>232880</v>
      </c>
      <c r="M378" s="1218">
        <f t="shared" si="84"/>
        <v>232880</v>
      </c>
    </row>
    <row r="379" spans="1:13" x14ac:dyDescent="0.25">
      <c r="B379" s="1215" t="s">
        <v>1519</v>
      </c>
      <c r="C379" s="1215"/>
      <c r="D379" s="1219">
        <v>185880</v>
      </c>
      <c r="E379" s="1219">
        <v>185880</v>
      </c>
      <c r="F379" s="1219">
        <v>185880</v>
      </c>
      <c r="G379" s="1219">
        <v>185880</v>
      </c>
      <c r="H379" s="1219">
        <v>185880</v>
      </c>
      <c r="I379" s="1219">
        <v>185880</v>
      </c>
      <c r="J379" s="1219">
        <v>185880</v>
      </c>
      <c r="K379" s="1219">
        <v>185880</v>
      </c>
      <c r="L379" s="1219">
        <v>185880</v>
      </c>
      <c r="M379" s="1219">
        <v>185880</v>
      </c>
    </row>
    <row r="380" spans="1:13" x14ac:dyDescent="0.25">
      <c r="B380" s="1215" t="s">
        <v>978</v>
      </c>
      <c r="C380" s="1215"/>
      <c r="D380" s="1219">
        <v>47000</v>
      </c>
      <c r="E380" s="1219">
        <v>47000</v>
      </c>
      <c r="F380" s="1219">
        <v>47000</v>
      </c>
      <c r="G380" s="1219">
        <v>47000</v>
      </c>
      <c r="H380" s="1219">
        <v>47000</v>
      </c>
      <c r="I380" s="1219">
        <v>47000</v>
      </c>
      <c r="J380" s="1219">
        <v>47000</v>
      </c>
      <c r="K380" s="1219">
        <v>47000</v>
      </c>
      <c r="L380" s="1219">
        <v>47000</v>
      </c>
      <c r="M380" s="1219">
        <v>47000</v>
      </c>
    </row>
    <row r="381" spans="1:13" ht="38.25" x14ac:dyDescent="0.25">
      <c r="B381" s="1220" t="s">
        <v>1520</v>
      </c>
      <c r="C381" s="1216"/>
      <c r="D381" s="1221">
        <f>+D382+D383</f>
        <v>71230</v>
      </c>
      <c r="E381" s="1221">
        <f t="shared" ref="E381:M381" si="85">+E382+E383</f>
        <v>71230</v>
      </c>
      <c r="F381" s="1221">
        <f t="shared" si="85"/>
        <v>71230</v>
      </c>
      <c r="G381" s="1221">
        <f t="shared" si="85"/>
        <v>71230</v>
      </c>
      <c r="H381" s="1221">
        <f t="shared" si="85"/>
        <v>71230</v>
      </c>
      <c r="I381" s="1221">
        <f t="shared" si="85"/>
        <v>71230</v>
      </c>
      <c r="J381" s="1221">
        <f t="shared" si="85"/>
        <v>71230</v>
      </c>
      <c r="K381" s="1221">
        <f t="shared" si="85"/>
        <v>71230</v>
      </c>
      <c r="L381" s="1221">
        <f t="shared" si="85"/>
        <v>71230</v>
      </c>
      <c r="M381" s="1221">
        <f t="shared" si="85"/>
        <v>71230</v>
      </c>
    </row>
    <row r="382" spans="1:13" x14ac:dyDescent="0.25">
      <c r="B382" s="1215" t="s">
        <v>1519</v>
      </c>
      <c r="C382" s="1215"/>
      <c r="D382" s="1219">
        <v>70680</v>
      </c>
      <c r="E382" s="1219">
        <v>70680</v>
      </c>
      <c r="F382" s="1219">
        <v>70680</v>
      </c>
      <c r="G382" s="1219">
        <v>70680</v>
      </c>
      <c r="H382" s="1219">
        <v>70680</v>
      </c>
      <c r="I382" s="1219">
        <v>70680</v>
      </c>
      <c r="J382" s="1219">
        <v>70680</v>
      </c>
      <c r="K382" s="1219">
        <v>70680</v>
      </c>
      <c r="L382" s="1219">
        <v>70680</v>
      </c>
      <c r="M382" s="1219">
        <v>70680</v>
      </c>
    </row>
    <row r="383" spans="1:13" x14ac:dyDescent="0.25">
      <c r="B383" s="1215" t="s">
        <v>978</v>
      </c>
      <c r="C383" s="1215"/>
      <c r="D383" s="1219">
        <v>550</v>
      </c>
      <c r="E383" s="1219">
        <v>550</v>
      </c>
      <c r="F383" s="1219">
        <v>550</v>
      </c>
      <c r="G383" s="1219">
        <v>550</v>
      </c>
      <c r="H383" s="1219">
        <v>550</v>
      </c>
      <c r="I383" s="1219">
        <v>550</v>
      </c>
      <c r="J383" s="1219">
        <v>550</v>
      </c>
      <c r="K383" s="1219">
        <v>550</v>
      </c>
      <c r="L383" s="1219">
        <v>550</v>
      </c>
      <c r="M383" s="1219">
        <v>550</v>
      </c>
    </row>
    <row r="384" spans="1:13" x14ac:dyDescent="0.25">
      <c r="B384" s="1223" t="s">
        <v>1521</v>
      </c>
      <c r="C384" s="1215"/>
      <c r="D384" s="1214">
        <f>+D378-D381</f>
        <v>161650</v>
      </c>
      <c r="E384" s="1214">
        <f t="shared" ref="E384:M384" si="86">+E378-E381</f>
        <v>161650</v>
      </c>
      <c r="F384" s="1214">
        <f t="shared" si="86"/>
        <v>161650</v>
      </c>
      <c r="G384" s="1214">
        <f t="shared" si="86"/>
        <v>161650</v>
      </c>
      <c r="H384" s="1214">
        <f t="shared" si="86"/>
        <v>161650</v>
      </c>
      <c r="I384" s="1214">
        <f t="shared" si="86"/>
        <v>161650</v>
      </c>
      <c r="J384" s="1214">
        <f t="shared" si="86"/>
        <v>161650</v>
      </c>
      <c r="K384" s="1214">
        <f t="shared" si="86"/>
        <v>161650</v>
      </c>
      <c r="L384" s="1214">
        <f t="shared" si="86"/>
        <v>161650</v>
      </c>
      <c r="M384" s="1214">
        <f t="shared" si="86"/>
        <v>161650</v>
      </c>
    </row>
    <row r="385" spans="1:13" x14ac:dyDescent="0.25">
      <c r="B385" s="1215" t="s">
        <v>1522</v>
      </c>
      <c r="C385" s="1224">
        <f t="shared" ref="C385:M385" si="87">1/(1+0.11)^C377</f>
        <v>1</v>
      </c>
      <c r="D385" s="1225">
        <f t="shared" si="87"/>
        <v>0.9009009009009008</v>
      </c>
      <c r="E385" s="1225">
        <f t="shared" si="87"/>
        <v>0.8116224332440547</v>
      </c>
      <c r="F385" s="1225">
        <f t="shared" si="87"/>
        <v>0.73119138130095018</v>
      </c>
      <c r="G385" s="1225">
        <f t="shared" si="87"/>
        <v>0.65873097414500015</v>
      </c>
      <c r="H385" s="1225">
        <f t="shared" si="87"/>
        <v>0.5934513280585586</v>
      </c>
      <c r="I385" s="1225">
        <f t="shared" si="87"/>
        <v>0.53464083608879154</v>
      </c>
      <c r="J385" s="1225">
        <f t="shared" si="87"/>
        <v>0.48165841089080319</v>
      </c>
      <c r="K385" s="1225">
        <f t="shared" si="87"/>
        <v>0.43392649629802077</v>
      </c>
      <c r="L385" s="1225">
        <f t="shared" si="87"/>
        <v>0.39092477143965831</v>
      </c>
      <c r="M385" s="1225">
        <f t="shared" si="87"/>
        <v>0.3521844787744669</v>
      </c>
    </row>
    <row r="386" spans="1:13" x14ac:dyDescent="0.25">
      <c r="B386" s="1223" t="s">
        <v>1523</v>
      </c>
      <c r="C386" s="1214">
        <f>3986035.88*0.75</f>
        <v>2989526.91</v>
      </c>
      <c r="D386" s="1214">
        <f>D384*D385</f>
        <v>145630.63063063062</v>
      </c>
      <c r="E386" s="1214">
        <f t="shared" ref="E386:J386" si="88">E384*E385</f>
        <v>131198.76633390144</v>
      </c>
      <c r="F386" s="1214">
        <f t="shared" si="88"/>
        <v>118197.0867872986</v>
      </c>
      <c r="G386" s="1214">
        <f t="shared" si="88"/>
        <v>106483.86197053928</v>
      </c>
      <c r="H386" s="1214">
        <f t="shared" si="88"/>
        <v>95931.407180665992</v>
      </c>
      <c r="I386" s="1214">
        <f t="shared" si="88"/>
        <v>86424.691153753156</v>
      </c>
      <c r="J386" s="1214">
        <f t="shared" si="88"/>
        <v>77860.082120498337</v>
      </c>
      <c r="K386" s="1214">
        <f>K384*K385</f>
        <v>70144.218126575055</v>
      </c>
      <c r="L386" s="1214">
        <f>L384*L385</f>
        <v>63192.989303220769</v>
      </c>
      <c r="M386" s="1214">
        <f>M384*M385</f>
        <v>56930.620993892575</v>
      </c>
    </row>
    <row r="387" spans="1:13" x14ac:dyDescent="0.25">
      <c r="B387" s="1212"/>
      <c r="C387" s="1212"/>
      <c r="D387" s="1212"/>
      <c r="E387" s="1212"/>
      <c r="F387" s="1212"/>
      <c r="G387" s="1212"/>
      <c r="H387" s="1212"/>
      <c r="I387" s="1212"/>
      <c r="J387" s="1212"/>
      <c r="K387" s="1212"/>
      <c r="L387" s="1212"/>
      <c r="M387" s="1212"/>
    </row>
    <row r="388" spans="1:13" x14ac:dyDescent="0.25">
      <c r="B388" s="1212"/>
      <c r="C388" s="1212"/>
      <c r="D388" s="1212"/>
      <c r="E388" s="1212"/>
      <c r="F388" s="1212"/>
      <c r="G388" s="1212"/>
      <c r="H388" s="1212"/>
      <c r="I388" s="1212"/>
      <c r="J388" s="1212"/>
      <c r="K388" s="1212"/>
      <c r="L388" s="1212"/>
      <c r="M388" s="1212"/>
    </row>
    <row r="389" spans="1:13" x14ac:dyDescent="0.25">
      <c r="B389" s="1226" t="s">
        <v>1524</v>
      </c>
      <c r="C389" s="1213" t="s">
        <v>1525</v>
      </c>
      <c r="D389" s="1212"/>
      <c r="E389" s="1212"/>
      <c r="F389" s="1212"/>
      <c r="G389" s="1212"/>
      <c r="H389" s="1212"/>
      <c r="I389" s="1212"/>
      <c r="J389" s="1212"/>
      <c r="K389" s="1212"/>
      <c r="L389" s="1212"/>
      <c r="M389" s="1212"/>
    </row>
    <row r="390" spans="1:13" x14ac:dyDescent="0.25">
      <c r="B390" s="1215" t="s">
        <v>1526</v>
      </c>
      <c r="C390" s="1227">
        <f>SUM(C386:M386)</f>
        <v>3941521.2646009759</v>
      </c>
      <c r="D390" s="1212"/>
      <c r="E390" s="1212"/>
      <c r="F390" s="1212"/>
      <c r="G390" s="1212"/>
      <c r="H390" s="1212"/>
      <c r="I390" s="1212"/>
      <c r="J390" s="1212"/>
      <c r="K390" s="1212"/>
      <c r="L390" s="1212"/>
      <c r="M390" s="1212"/>
    </row>
    <row r="391" spans="1:13" x14ac:dyDescent="0.25">
      <c r="B391" s="1215" t="s">
        <v>1527</v>
      </c>
      <c r="C391" s="1228">
        <f>219969.412657488*0.75</f>
        <v>164977.05949311599</v>
      </c>
      <c r="D391" s="1212"/>
      <c r="E391" s="1212"/>
      <c r="F391" s="1212"/>
      <c r="G391" s="1212"/>
      <c r="H391" s="1212"/>
      <c r="I391" s="1212"/>
      <c r="J391" s="1212"/>
      <c r="K391" s="1212"/>
      <c r="L391" s="1212"/>
      <c r="M391" s="1212"/>
    </row>
    <row r="392" spans="1:13" x14ac:dyDescent="0.25">
      <c r="B392" s="1215" t="s">
        <v>1528</v>
      </c>
      <c r="C392" s="1219">
        <f>C390/C391</f>
        <v>23.8913293564033</v>
      </c>
      <c r="D392" s="1212"/>
      <c r="E392" s="1212"/>
      <c r="F392" s="1212"/>
      <c r="G392" s="1212"/>
      <c r="H392" s="1212"/>
      <c r="I392" s="1212"/>
      <c r="J392" s="1212"/>
      <c r="K392" s="1212"/>
      <c r="L392" s="1212"/>
      <c r="M392" s="1212"/>
    </row>
    <row r="394" spans="1:13" x14ac:dyDescent="0.25">
      <c r="B394" s="1230">
        <v>-0.75</v>
      </c>
    </row>
    <row r="395" spans="1:13" x14ac:dyDescent="0.25">
      <c r="B395" s="1934" t="s">
        <v>1490</v>
      </c>
      <c r="C395" s="1213" t="s">
        <v>1516</v>
      </c>
      <c r="D395" s="1931" t="s">
        <v>1517</v>
      </c>
      <c r="E395" s="1932"/>
      <c r="F395" s="1932"/>
      <c r="G395" s="1932"/>
      <c r="H395" s="1932"/>
      <c r="I395" s="1932"/>
      <c r="J395" s="1932"/>
      <c r="K395" s="1932"/>
      <c r="L395" s="1932"/>
      <c r="M395" s="1933"/>
    </row>
    <row r="396" spans="1:13" x14ac:dyDescent="0.25">
      <c r="A396" s="1230">
        <v>0.75</v>
      </c>
      <c r="B396" s="1935"/>
      <c r="C396" s="1213">
        <v>0</v>
      </c>
      <c r="D396" s="1213">
        <v>1</v>
      </c>
      <c r="E396" s="1213">
        <v>2</v>
      </c>
      <c r="F396" s="1213">
        <v>3</v>
      </c>
      <c r="G396" s="1213">
        <v>4</v>
      </c>
      <c r="H396" s="1213">
        <v>5</v>
      </c>
      <c r="I396" s="1213">
        <v>6</v>
      </c>
      <c r="J396" s="1213">
        <v>7</v>
      </c>
      <c r="K396" s="1213">
        <v>8</v>
      </c>
      <c r="L396" s="1213">
        <v>9</v>
      </c>
      <c r="M396" s="1213">
        <v>10</v>
      </c>
    </row>
    <row r="397" spans="1:13" ht="39" x14ac:dyDescent="0.25">
      <c r="B397" s="1217" t="s">
        <v>1518</v>
      </c>
      <c r="C397" s="1215"/>
      <c r="D397" s="1218">
        <f>+D398+D399</f>
        <v>232880</v>
      </c>
      <c r="E397" s="1218">
        <f t="shared" ref="E397:M397" si="89">+E398+E399</f>
        <v>232880</v>
      </c>
      <c r="F397" s="1218">
        <f t="shared" si="89"/>
        <v>232880</v>
      </c>
      <c r="G397" s="1218">
        <f t="shared" si="89"/>
        <v>232880</v>
      </c>
      <c r="H397" s="1218">
        <f t="shared" si="89"/>
        <v>232880</v>
      </c>
      <c r="I397" s="1218">
        <f t="shared" si="89"/>
        <v>232880</v>
      </c>
      <c r="J397" s="1218">
        <f t="shared" si="89"/>
        <v>232880</v>
      </c>
      <c r="K397" s="1218">
        <f t="shared" si="89"/>
        <v>232880</v>
      </c>
      <c r="L397" s="1218">
        <f t="shared" si="89"/>
        <v>232880</v>
      </c>
      <c r="M397" s="1218">
        <f t="shared" si="89"/>
        <v>232880</v>
      </c>
    </row>
    <row r="398" spans="1:13" x14ac:dyDescent="0.25">
      <c r="B398" s="1215" t="s">
        <v>1519</v>
      </c>
      <c r="C398" s="1215"/>
      <c r="D398" s="1219">
        <v>185880</v>
      </c>
      <c r="E398" s="1219">
        <v>185880</v>
      </c>
      <c r="F398" s="1219">
        <v>185880</v>
      </c>
      <c r="G398" s="1219">
        <v>185880</v>
      </c>
      <c r="H398" s="1219">
        <v>185880</v>
      </c>
      <c r="I398" s="1219">
        <v>185880</v>
      </c>
      <c r="J398" s="1219">
        <v>185880</v>
      </c>
      <c r="K398" s="1219">
        <v>185880</v>
      </c>
      <c r="L398" s="1219">
        <v>185880</v>
      </c>
      <c r="M398" s="1219">
        <v>185880</v>
      </c>
    </row>
    <row r="399" spans="1:13" x14ac:dyDescent="0.25">
      <c r="B399" s="1215" t="s">
        <v>978</v>
      </c>
      <c r="C399" s="1215"/>
      <c r="D399" s="1219">
        <v>47000</v>
      </c>
      <c r="E399" s="1219">
        <v>47000</v>
      </c>
      <c r="F399" s="1219">
        <v>47000</v>
      </c>
      <c r="G399" s="1219">
        <v>47000</v>
      </c>
      <c r="H399" s="1219">
        <v>47000</v>
      </c>
      <c r="I399" s="1219">
        <v>47000</v>
      </c>
      <c r="J399" s="1219">
        <v>47000</v>
      </c>
      <c r="K399" s="1219">
        <v>47000</v>
      </c>
      <c r="L399" s="1219">
        <v>47000</v>
      </c>
      <c r="M399" s="1219">
        <v>47000</v>
      </c>
    </row>
    <row r="400" spans="1:13" ht="38.25" x14ac:dyDescent="0.25">
      <c r="B400" s="1220" t="s">
        <v>1520</v>
      </c>
      <c r="C400" s="1216"/>
      <c r="D400" s="1221">
        <f>+D401+D402</f>
        <v>71230</v>
      </c>
      <c r="E400" s="1221">
        <f t="shared" ref="E400:M400" si="90">+E401+E402</f>
        <v>71230</v>
      </c>
      <c r="F400" s="1221">
        <f t="shared" si="90"/>
        <v>71230</v>
      </c>
      <c r="G400" s="1221">
        <f t="shared" si="90"/>
        <v>71230</v>
      </c>
      <c r="H400" s="1221">
        <f t="shared" si="90"/>
        <v>71230</v>
      </c>
      <c r="I400" s="1221">
        <f t="shared" si="90"/>
        <v>71230</v>
      </c>
      <c r="J400" s="1221">
        <f t="shared" si="90"/>
        <v>71230</v>
      </c>
      <c r="K400" s="1221">
        <f t="shared" si="90"/>
        <v>71230</v>
      </c>
      <c r="L400" s="1221">
        <f t="shared" si="90"/>
        <v>71230</v>
      </c>
      <c r="M400" s="1221">
        <f t="shared" si="90"/>
        <v>71230</v>
      </c>
    </row>
    <row r="401" spans="1:13" x14ac:dyDescent="0.25">
      <c r="B401" s="1215" t="s">
        <v>1519</v>
      </c>
      <c r="C401" s="1215"/>
      <c r="D401" s="1219">
        <v>70680</v>
      </c>
      <c r="E401" s="1219">
        <v>70680</v>
      </c>
      <c r="F401" s="1219">
        <v>70680</v>
      </c>
      <c r="G401" s="1219">
        <v>70680</v>
      </c>
      <c r="H401" s="1219">
        <v>70680</v>
      </c>
      <c r="I401" s="1219">
        <v>70680</v>
      </c>
      <c r="J401" s="1219">
        <v>70680</v>
      </c>
      <c r="K401" s="1219">
        <v>70680</v>
      </c>
      <c r="L401" s="1219">
        <v>70680</v>
      </c>
      <c r="M401" s="1219">
        <v>70680</v>
      </c>
    </row>
    <row r="402" spans="1:13" x14ac:dyDescent="0.25">
      <c r="B402" s="1215" t="s">
        <v>978</v>
      </c>
      <c r="C402" s="1215"/>
      <c r="D402" s="1219">
        <v>550</v>
      </c>
      <c r="E402" s="1219">
        <v>550</v>
      </c>
      <c r="F402" s="1219">
        <v>550</v>
      </c>
      <c r="G402" s="1219">
        <v>550</v>
      </c>
      <c r="H402" s="1219">
        <v>550</v>
      </c>
      <c r="I402" s="1219">
        <v>550</v>
      </c>
      <c r="J402" s="1219">
        <v>550</v>
      </c>
      <c r="K402" s="1219">
        <v>550</v>
      </c>
      <c r="L402" s="1219">
        <v>550</v>
      </c>
      <c r="M402" s="1219">
        <v>550</v>
      </c>
    </row>
    <row r="403" spans="1:13" x14ac:dyDescent="0.25">
      <c r="B403" s="1223" t="s">
        <v>1521</v>
      </c>
      <c r="C403" s="1215"/>
      <c r="D403" s="1214">
        <f>+D397-D400</f>
        <v>161650</v>
      </c>
      <c r="E403" s="1214">
        <f t="shared" ref="E403:M403" si="91">+E397-E400</f>
        <v>161650</v>
      </c>
      <c r="F403" s="1214">
        <f t="shared" si="91"/>
        <v>161650</v>
      </c>
      <c r="G403" s="1214">
        <f t="shared" si="91"/>
        <v>161650</v>
      </c>
      <c r="H403" s="1214">
        <f t="shared" si="91"/>
        <v>161650</v>
      </c>
      <c r="I403" s="1214">
        <f t="shared" si="91"/>
        <v>161650</v>
      </c>
      <c r="J403" s="1214">
        <f t="shared" si="91"/>
        <v>161650</v>
      </c>
      <c r="K403" s="1214">
        <f t="shared" si="91"/>
        <v>161650</v>
      </c>
      <c r="L403" s="1214">
        <f t="shared" si="91"/>
        <v>161650</v>
      </c>
      <c r="M403" s="1214">
        <f t="shared" si="91"/>
        <v>161650</v>
      </c>
    </row>
    <row r="404" spans="1:13" x14ac:dyDescent="0.25">
      <c r="B404" s="1215" t="s">
        <v>1522</v>
      </c>
      <c r="C404" s="1224">
        <f t="shared" ref="C404:M404" si="92">1/(1+0.11)^C396</f>
        <v>1</v>
      </c>
      <c r="D404" s="1225">
        <f t="shared" si="92"/>
        <v>0.9009009009009008</v>
      </c>
      <c r="E404" s="1225">
        <f t="shared" si="92"/>
        <v>0.8116224332440547</v>
      </c>
      <c r="F404" s="1225">
        <f t="shared" si="92"/>
        <v>0.73119138130095018</v>
      </c>
      <c r="G404" s="1225">
        <f t="shared" si="92"/>
        <v>0.65873097414500015</v>
      </c>
      <c r="H404" s="1225">
        <f t="shared" si="92"/>
        <v>0.5934513280585586</v>
      </c>
      <c r="I404" s="1225">
        <f t="shared" si="92"/>
        <v>0.53464083608879154</v>
      </c>
      <c r="J404" s="1225">
        <f t="shared" si="92"/>
        <v>0.48165841089080319</v>
      </c>
      <c r="K404" s="1225">
        <f t="shared" si="92"/>
        <v>0.43392649629802077</v>
      </c>
      <c r="L404" s="1225">
        <f t="shared" si="92"/>
        <v>0.39092477143965831</v>
      </c>
      <c r="M404" s="1225">
        <f t="shared" si="92"/>
        <v>0.3521844787744669</v>
      </c>
    </row>
    <row r="405" spans="1:13" x14ac:dyDescent="0.25">
      <c r="B405" s="1223" t="s">
        <v>1523</v>
      </c>
      <c r="C405" s="1214">
        <f>3986035.88*0.75</f>
        <v>2989526.91</v>
      </c>
      <c r="D405" s="1214">
        <f>D403*D404</f>
        <v>145630.63063063062</v>
      </c>
      <c r="E405" s="1214">
        <f t="shared" ref="E405:J405" si="93">E403*E404</f>
        <v>131198.76633390144</v>
      </c>
      <c r="F405" s="1214">
        <f t="shared" si="93"/>
        <v>118197.0867872986</v>
      </c>
      <c r="G405" s="1214">
        <f t="shared" si="93"/>
        <v>106483.86197053928</v>
      </c>
      <c r="H405" s="1214">
        <f t="shared" si="93"/>
        <v>95931.407180665992</v>
      </c>
      <c r="I405" s="1214">
        <f t="shared" si="93"/>
        <v>86424.691153753156</v>
      </c>
      <c r="J405" s="1214">
        <f t="shared" si="93"/>
        <v>77860.082120498337</v>
      </c>
      <c r="K405" s="1214">
        <f>K403*K404</f>
        <v>70144.218126575055</v>
      </c>
      <c r="L405" s="1214">
        <f>L403*L404</f>
        <v>63192.989303220769</v>
      </c>
      <c r="M405" s="1214">
        <f>M403*M404</f>
        <v>56930.620993892575</v>
      </c>
    </row>
    <row r="406" spans="1:13" x14ac:dyDescent="0.25">
      <c r="B406" s="1212"/>
      <c r="C406" s="1212"/>
      <c r="D406" s="1212"/>
      <c r="E406" s="1212"/>
      <c r="F406" s="1212"/>
      <c r="G406" s="1212"/>
      <c r="H406" s="1212"/>
      <c r="I406" s="1212"/>
      <c r="J406" s="1212"/>
      <c r="K406" s="1212"/>
      <c r="L406" s="1212"/>
      <c r="M406" s="1212"/>
    </row>
    <row r="407" spans="1:13" x14ac:dyDescent="0.25">
      <c r="B407" s="1212"/>
      <c r="C407" s="1212"/>
      <c r="D407" s="1212"/>
      <c r="E407" s="1212"/>
      <c r="F407" s="1212"/>
      <c r="G407" s="1212"/>
      <c r="H407" s="1212"/>
      <c r="I407" s="1212"/>
      <c r="J407" s="1212"/>
      <c r="K407" s="1212"/>
      <c r="L407" s="1212"/>
      <c r="M407" s="1212"/>
    </row>
    <row r="408" spans="1:13" x14ac:dyDescent="0.25">
      <c r="B408" s="1226" t="s">
        <v>1524</v>
      </c>
      <c r="C408" s="1213" t="s">
        <v>1525</v>
      </c>
      <c r="D408" s="1212"/>
      <c r="E408" s="1212"/>
      <c r="F408" s="1212"/>
      <c r="G408" s="1212"/>
      <c r="H408" s="1212"/>
      <c r="I408" s="1212"/>
      <c r="J408" s="1212"/>
      <c r="K408" s="1212"/>
      <c r="L408" s="1212"/>
      <c r="M408" s="1212"/>
    </row>
    <row r="409" spans="1:13" x14ac:dyDescent="0.25">
      <c r="B409" s="1215" t="s">
        <v>1526</v>
      </c>
      <c r="C409" s="1227">
        <f>SUM(C405:M405)</f>
        <v>3941521.2646009759</v>
      </c>
      <c r="D409" s="1212"/>
      <c r="E409" s="1212"/>
      <c r="F409" s="1212"/>
      <c r="G409" s="1212"/>
      <c r="H409" s="1212"/>
      <c r="I409" s="1212"/>
      <c r="J409" s="1212"/>
      <c r="K409" s="1212"/>
      <c r="L409" s="1212"/>
      <c r="M409" s="1212"/>
    </row>
    <row r="410" spans="1:13" x14ac:dyDescent="0.25">
      <c r="B410" s="1215" t="s">
        <v>1527</v>
      </c>
      <c r="C410" s="1228">
        <f>219969.412657488*0.75</f>
        <v>164977.05949311599</v>
      </c>
      <c r="D410" s="1212"/>
      <c r="E410" s="1212"/>
      <c r="F410" s="1212"/>
      <c r="G410" s="1212"/>
      <c r="H410" s="1212"/>
      <c r="I410" s="1212"/>
      <c r="J410" s="1212"/>
      <c r="K410" s="1212"/>
      <c r="L410" s="1212"/>
      <c r="M410" s="1212"/>
    </row>
    <row r="411" spans="1:13" x14ac:dyDescent="0.25">
      <c r="B411" s="1215" t="s">
        <v>1528</v>
      </c>
      <c r="C411" s="1219">
        <f>C409/C410</f>
        <v>23.8913293564033</v>
      </c>
      <c r="D411" s="1212"/>
      <c r="E411" s="1212"/>
      <c r="F411" s="1212"/>
      <c r="G411" s="1212"/>
      <c r="H411" s="1212"/>
      <c r="I411" s="1212"/>
      <c r="J411" s="1212"/>
      <c r="K411" s="1212"/>
      <c r="L411" s="1212"/>
      <c r="M411" s="1212"/>
    </row>
    <row r="413" spans="1:13" x14ac:dyDescent="0.25">
      <c r="B413" s="1230">
        <v>-0.75</v>
      </c>
    </row>
    <row r="414" spans="1:13" x14ac:dyDescent="0.25">
      <c r="B414" s="1934" t="s">
        <v>1490</v>
      </c>
      <c r="C414" s="1213" t="s">
        <v>1516</v>
      </c>
      <c r="D414" s="1931" t="s">
        <v>1517</v>
      </c>
      <c r="E414" s="1932"/>
      <c r="F414" s="1932"/>
      <c r="G414" s="1932"/>
      <c r="H414" s="1932"/>
      <c r="I414" s="1932"/>
      <c r="J414" s="1932"/>
      <c r="K414" s="1932"/>
      <c r="L414" s="1932"/>
      <c r="M414" s="1933"/>
    </row>
    <row r="415" spans="1:13" x14ac:dyDescent="0.25">
      <c r="A415" s="1230">
        <v>0.75</v>
      </c>
      <c r="B415" s="1935"/>
      <c r="C415" s="1213">
        <v>0</v>
      </c>
      <c r="D415" s="1213">
        <v>1</v>
      </c>
      <c r="E415" s="1213">
        <v>2</v>
      </c>
      <c r="F415" s="1213">
        <v>3</v>
      </c>
      <c r="G415" s="1213">
        <v>4</v>
      </c>
      <c r="H415" s="1213">
        <v>5</v>
      </c>
      <c r="I415" s="1213">
        <v>6</v>
      </c>
      <c r="J415" s="1213">
        <v>7</v>
      </c>
      <c r="K415" s="1213">
        <v>8</v>
      </c>
      <c r="L415" s="1213">
        <v>9</v>
      </c>
      <c r="M415" s="1213">
        <v>10</v>
      </c>
    </row>
    <row r="416" spans="1:13" ht="39" x14ac:dyDescent="0.25">
      <c r="B416" s="1217" t="s">
        <v>1518</v>
      </c>
      <c r="C416" s="1215"/>
      <c r="D416" s="1218">
        <f>+D417+D418</f>
        <v>232880</v>
      </c>
      <c r="E416" s="1218">
        <f t="shared" ref="E416:M416" si="94">+E417+E418</f>
        <v>232880</v>
      </c>
      <c r="F416" s="1218">
        <f t="shared" si="94"/>
        <v>232880</v>
      </c>
      <c r="G416" s="1218">
        <f t="shared" si="94"/>
        <v>232880</v>
      </c>
      <c r="H416" s="1218">
        <f t="shared" si="94"/>
        <v>232880</v>
      </c>
      <c r="I416" s="1218">
        <f t="shared" si="94"/>
        <v>232880</v>
      </c>
      <c r="J416" s="1218">
        <f t="shared" si="94"/>
        <v>232880</v>
      </c>
      <c r="K416" s="1218">
        <f t="shared" si="94"/>
        <v>232880</v>
      </c>
      <c r="L416" s="1218">
        <f t="shared" si="94"/>
        <v>232880</v>
      </c>
      <c r="M416" s="1218">
        <f t="shared" si="94"/>
        <v>232880</v>
      </c>
    </row>
    <row r="417" spans="2:13" x14ac:dyDescent="0.25">
      <c r="B417" s="1215" t="s">
        <v>1519</v>
      </c>
      <c r="C417" s="1215"/>
      <c r="D417" s="1219">
        <v>185880</v>
      </c>
      <c r="E417" s="1219">
        <v>185880</v>
      </c>
      <c r="F417" s="1219">
        <v>185880</v>
      </c>
      <c r="G417" s="1219">
        <v>185880</v>
      </c>
      <c r="H417" s="1219">
        <v>185880</v>
      </c>
      <c r="I417" s="1219">
        <v>185880</v>
      </c>
      <c r="J417" s="1219">
        <v>185880</v>
      </c>
      <c r="K417" s="1219">
        <v>185880</v>
      </c>
      <c r="L417" s="1219">
        <v>185880</v>
      </c>
      <c r="M417" s="1219">
        <v>185880</v>
      </c>
    </row>
    <row r="418" spans="2:13" x14ac:dyDescent="0.25">
      <c r="B418" s="1215" t="s">
        <v>978</v>
      </c>
      <c r="C418" s="1215"/>
      <c r="D418" s="1219">
        <v>47000</v>
      </c>
      <c r="E418" s="1219">
        <v>47000</v>
      </c>
      <c r="F418" s="1219">
        <v>47000</v>
      </c>
      <c r="G418" s="1219">
        <v>47000</v>
      </c>
      <c r="H418" s="1219">
        <v>47000</v>
      </c>
      <c r="I418" s="1219">
        <v>47000</v>
      </c>
      <c r="J418" s="1219">
        <v>47000</v>
      </c>
      <c r="K418" s="1219">
        <v>47000</v>
      </c>
      <c r="L418" s="1219">
        <v>47000</v>
      </c>
      <c r="M418" s="1219">
        <v>47000</v>
      </c>
    </row>
    <row r="419" spans="2:13" ht="38.25" x14ac:dyDescent="0.25">
      <c r="B419" s="1220" t="s">
        <v>1520</v>
      </c>
      <c r="C419" s="1216"/>
      <c r="D419" s="1221">
        <f>+D420+D421</f>
        <v>71230</v>
      </c>
      <c r="E419" s="1221">
        <f t="shared" ref="E419:M419" si="95">+E420+E421</f>
        <v>71230</v>
      </c>
      <c r="F419" s="1221">
        <f t="shared" si="95"/>
        <v>71230</v>
      </c>
      <c r="G419" s="1221">
        <f t="shared" si="95"/>
        <v>71230</v>
      </c>
      <c r="H419" s="1221">
        <f t="shared" si="95"/>
        <v>71230</v>
      </c>
      <c r="I419" s="1221">
        <f t="shared" si="95"/>
        <v>71230</v>
      </c>
      <c r="J419" s="1221">
        <f t="shared" si="95"/>
        <v>71230</v>
      </c>
      <c r="K419" s="1221">
        <f t="shared" si="95"/>
        <v>71230</v>
      </c>
      <c r="L419" s="1221">
        <f t="shared" si="95"/>
        <v>71230</v>
      </c>
      <c r="M419" s="1221">
        <f t="shared" si="95"/>
        <v>71230</v>
      </c>
    </row>
    <row r="420" spans="2:13" x14ac:dyDescent="0.25">
      <c r="B420" s="1215" t="s">
        <v>1519</v>
      </c>
      <c r="C420" s="1215"/>
      <c r="D420" s="1219">
        <v>70680</v>
      </c>
      <c r="E420" s="1219">
        <v>70680</v>
      </c>
      <c r="F420" s="1219">
        <v>70680</v>
      </c>
      <c r="G420" s="1219">
        <v>70680</v>
      </c>
      <c r="H420" s="1219">
        <v>70680</v>
      </c>
      <c r="I420" s="1219">
        <v>70680</v>
      </c>
      <c r="J420" s="1219">
        <v>70680</v>
      </c>
      <c r="K420" s="1219">
        <v>70680</v>
      </c>
      <c r="L420" s="1219">
        <v>70680</v>
      </c>
      <c r="M420" s="1219">
        <v>70680</v>
      </c>
    </row>
    <row r="421" spans="2:13" x14ac:dyDescent="0.25">
      <c r="B421" s="1215" t="s">
        <v>978</v>
      </c>
      <c r="C421" s="1215"/>
      <c r="D421" s="1219">
        <v>550</v>
      </c>
      <c r="E421" s="1219">
        <v>550</v>
      </c>
      <c r="F421" s="1219">
        <v>550</v>
      </c>
      <c r="G421" s="1219">
        <v>550</v>
      </c>
      <c r="H421" s="1219">
        <v>550</v>
      </c>
      <c r="I421" s="1219">
        <v>550</v>
      </c>
      <c r="J421" s="1219">
        <v>550</v>
      </c>
      <c r="K421" s="1219">
        <v>550</v>
      </c>
      <c r="L421" s="1219">
        <v>550</v>
      </c>
      <c r="M421" s="1219">
        <v>550</v>
      </c>
    </row>
    <row r="422" spans="2:13" x14ac:dyDescent="0.25">
      <c r="B422" s="1223" t="s">
        <v>1521</v>
      </c>
      <c r="C422" s="1215"/>
      <c r="D422" s="1214">
        <f>+D416-D419</f>
        <v>161650</v>
      </c>
      <c r="E422" s="1214">
        <f t="shared" ref="E422:M422" si="96">+E416-E419</f>
        <v>161650</v>
      </c>
      <c r="F422" s="1214">
        <f t="shared" si="96"/>
        <v>161650</v>
      </c>
      <c r="G422" s="1214">
        <f t="shared" si="96"/>
        <v>161650</v>
      </c>
      <c r="H422" s="1214">
        <f t="shared" si="96"/>
        <v>161650</v>
      </c>
      <c r="I422" s="1214">
        <f t="shared" si="96"/>
        <v>161650</v>
      </c>
      <c r="J422" s="1214">
        <f t="shared" si="96"/>
        <v>161650</v>
      </c>
      <c r="K422" s="1214">
        <f t="shared" si="96"/>
        <v>161650</v>
      </c>
      <c r="L422" s="1214">
        <f t="shared" si="96"/>
        <v>161650</v>
      </c>
      <c r="M422" s="1214">
        <f t="shared" si="96"/>
        <v>161650</v>
      </c>
    </row>
    <row r="423" spans="2:13" x14ac:dyDescent="0.25">
      <c r="B423" s="1215" t="s">
        <v>1522</v>
      </c>
      <c r="C423" s="1224">
        <f t="shared" ref="C423:M423" si="97">1/(1+0.11)^C415</f>
        <v>1</v>
      </c>
      <c r="D423" s="1225">
        <f t="shared" si="97"/>
        <v>0.9009009009009008</v>
      </c>
      <c r="E423" s="1225">
        <f t="shared" si="97"/>
        <v>0.8116224332440547</v>
      </c>
      <c r="F423" s="1225">
        <f t="shared" si="97"/>
        <v>0.73119138130095018</v>
      </c>
      <c r="G423" s="1225">
        <f t="shared" si="97"/>
        <v>0.65873097414500015</v>
      </c>
      <c r="H423" s="1225">
        <f t="shared" si="97"/>
        <v>0.5934513280585586</v>
      </c>
      <c r="I423" s="1225">
        <f t="shared" si="97"/>
        <v>0.53464083608879154</v>
      </c>
      <c r="J423" s="1225">
        <f t="shared" si="97"/>
        <v>0.48165841089080319</v>
      </c>
      <c r="K423" s="1225">
        <f t="shared" si="97"/>
        <v>0.43392649629802077</v>
      </c>
      <c r="L423" s="1225">
        <f t="shared" si="97"/>
        <v>0.39092477143965831</v>
      </c>
      <c r="M423" s="1225">
        <f t="shared" si="97"/>
        <v>0.3521844787744669</v>
      </c>
    </row>
    <row r="424" spans="2:13" x14ac:dyDescent="0.25">
      <c r="B424" s="1223" t="s">
        <v>1523</v>
      </c>
      <c r="C424" s="1214">
        <f>3986035.88*0.75</f>
        <v>2989526.91</v>
      </c>
      <c r="D424" s="1214">
        <f>D422*D423</f>
        <v>145630.63063063062</v>
      </c>
      <c r="E424" s="1214">
        <f t="shared" ref="E424:J424" si="98">E422*E423</f>
        <v>131198.76633390144</v>
      </c>
      <c r="F424" s="1214">
        <f t="shared" si="98"/>
        <v>118197.0867872986</v>
      </c>
      <c r="G424" s="1214">
        <f t="shared" si="98"/>
        <v>106483.86197053928</v>
      </c>
      <c r="H424" s="1214">
        <f t="shared" si="98"/>
        <v>95931.407180665992</v>
      </c>
      <c r="I424" s="1214">
        <f t="shared" si="98"/>
        <v>86424.691153753156</v>
      </c>
      <c r="J424" s="1214">
        <f t="shared" si="98"/>
        <v>77860.082120498337</v>
      </c>
      <c r="K424" s="1214">
        <f>K422*K423</f>
        <v>70144.218126575055</v>
      </c>
      <c r="L424" s="1214">
        <f>L422*L423</f>
        <v>63192.989303220769</v>
      </c>
      <c r="M424" s="1214">
        <f>M422*M423</f>
        <v>56930.620993892575</v>
      </c>
    </row>
    <row r="425" spans="2:13" x14ac:dyDescent="0.25">
      <c r="B425" s="1212"/>
      <c r="C425" s="1212"/>
      <c r="D425" s="1212"/>
      <c r="E425" s="1212"/>
      <c r="F425" s="1212"/>
      <c r="G425" s="1212"/>
      <c r="H425" s="1212"/>
      <c r="I425" s="1212"/>
      <c r="J425" s="1212"/>
      <c r="K425" s="1212"/>
      <c r="L425" s="1212"/>
      <c r="M425" s="1212"/>
    </row>
    <row r="426" spans="2:13" x14ac:dyDescent="0.25">
      <c r="B426" s="1212"/>
      <c r="C426" s="1212"/>
      <c r="D426" s="1212"/>
      <c r="E426" s="1212"/>
      <c r="F426" s="1212"/>
      <c r="G426" s="1212"/>
      <c r="H426" s="1212"/>
      <c r="I426" s="1212"/>
      <c r="J426" s="1212"/>
      <c r="K426" s="1212"/>
      <c r="L426" s="1212"/>
      <c r="M426" s="1212"/>
    </row>
    <row r="427" spans="2:13" x14ac:dyDescent="0.25">
      <c r="B427" s="1226" t="s">
        <v>1524</v>
      </c>
      <c r="C427" s="1213" t="s">
        <v>1525</v>
      </c>
      <c r="D427" s="1212"/>
      <c r="E427" s="1212"/>
      <c r="F427" s="1212"/>
      <c r="G427" s="1212"/>
      <c r="H427" s="1212"/>
      <c r="I427" s="1212"/>
      <c r="J427" s="1212"/>
      <c r="K427" s="1212"/>
      <c r="L427" s="1212"/>
      <c r="M427" s="1212"/>
    </row>
    <row r="428" spans="2:13" x14ac:dyDescent="0.25">
      <c r="B428" s="1215" t="s">
        <v>1526</v>
      </c>
      <c r="C428" s="1227">
        <f>SUM(C424:M424)</f>
        <v>3941521.2646009759</v>
      </c>
      <c r="D428" s="1212"/>
      <c r="E428" s="1212"/>
      <c r="F428" s="1212"/>
      <c r="G428" s="1212"/>
      <c r="H428" s="1212"/>
      <c r="I428" s="1212"/>
      <c r="J428" s="1212"/>
      <c r="K428" s="1212"/>
      <c r="L428" s="1212"/>
      <c r="M428" s="1212"/>
    </row>
    <row r="429" spans="2:13" x14ac:dyDescent="0.25">
      <c r="B429" s="1215" t="s">
        <v>1527</v>
      </c>
      <c r="C429" s="1228">
        <f>219969.412657488*0.75</f>
        <v>164977.05949311599</v>
      </c>
      <c r="D429" s="1212"/>
      <c r="E429" s="1212"/>
      <c r="F429" s="1212"/>
      <c r="G429" s="1212"/>
      <c r="H429" s="1212"/>
      <c r="I429" s="1212"/>
      <c r="J429" s="1212"/>
      <c r="K429" s="1212"/>
      <c r="L429" s="1212"/>
      <c r="M429" s="1212"/>
    </row>
    <row r="430" spans="2:13" x14ac:dyDescent="0.25">
      <c r="B430" s="1215" t="s">
        <v>1528</v>
      </c>
      <c r="C430" s="1219">
        <f>C428/C429</f>
        <v>23.8913293564033</v>
      </c>
      <c r="D430" s="1212"/>
      <c r="E430" s="1212"/>
      <c r="F430" s="1212"/>
      <c r="G430" s="1212"/>
      <c r="H430" s="1212"/>
      <c r="I430" s="1212"/>
      <c r="J430" s="1212"/>
      <c r="K430" s="1212"/>
      <c r="L430" s="1212"/>
      <c r="M430" s="1212"/>
    </row>
    <row r="433" spans="1:13" x14ac:dyDescent="0.25">
      <c r="B433" s="1230">
        <v>-0.75</v>
      </c>
    </row>
    <row r="434" spans="1:13" x14ac:dyDescent="0.25">
      <c r="B434" s="1934" t="s">
        <v>1490</v>
      </c>
      <c r="C434" s="1213" t="s">
        <v>1516</v>
      </c>
      <c r="D434" s="1931" t="s">
        <v>1517</v>
      </c>
      <c r="E434" s="1932"/>
      <c r="F434" s="1932"/>
      <c r="G434" s="1932"/>
      <c r="H434" s="1932"/>
      <c r="I434" s="1932"/>
      <c r="J434" s="1932"/>
      <c r="K434" s="1932"/>
      <c r="L434" s="1932"/>
      <c r="M434" s="1933"/>
    </row>
    <row r="435" spans="1:13" x14ac:dyDescent="0.25">
      <c r="A435" s="1230">
        <v>0.75</v>
      </c>
      <c r="B435" s="1935"/>
      <c r="C435" s="1213">
        <v>0</v>
      </c>
      <c r="D435" s="1213">
        <v>1</v>
      </c>
      <c r="E435" s="1213">
        <v>2</v>
      </c>
      <c r="F435" s="1213">
        <v>3</v>
      </c>
      <c r="G435" s="1213">
        <v>4</v>
      </c>
      <c r="H435" s="1213">
        <v>5</v>
      </c>
      <c r="I435" s="1213">
        <v>6</v>
      </c>
      <c r="J435" s="1213">
        <v>7</v>
      </c>
      <c r="K435" s="1213">
        <v>8</v>
      </c>
      <c r="L435" s="1213">
        <v>9</v>
      </c>
      <c r="M435" s="1213">
        <v>10</v>
      </c>
    </row>
    <row r="436" spans="1:13" ht="39" x14ac:dyDescent="0.25">
      <c r="B436" s="1217" t="s">
        <v>1518</v>
      </c>
      <c r="C436" s="1215"/>
      <c r="D436" s="1218">
        <f>+D437+D438</f>
        <v>232880</v>
      </c>
      <c r="E436" s="1218">
        <f t="shared" ref="E436:M436" si="99">+E437+E438</f>
        <v>232880</v>
      </c>
      <c r="F436" s="1218">
        <f t="shared" si="99"/>
        <v>232880</v>
      </c>
      <c r="G436" s="1218">
        <f t="shared" si="99"/>
        <v>232880</v>
      </c>
      <c r="H436" s="1218">
        <f t="shared" si="99"/>
        <v>232880</v>
      </c>
      <c r="I436" s="1218">
        <f t="shared" si="99"/>
        <v>232880</v>
      </c>
      <c r="J436" s="1218">
        <f t="shared" si="99"/>
        <v>232880</v>
      </c>
      <c r="K436" s="1218">
        <f t="shared" si="99"/>
        <v>232880</v>
      </c>
      <c r="L436" s="1218">
        <f t="shared" si="99"/>
        <v>232880</v>
      </c>
      <c r="M436" s="1218">
        <f t="shared" si="99"/>
        <v>232880</v>
      </c>
    </row>
    <row r="437" spans="1:13" x14ac:dyDescent="0.25">
      <c r="B437" s="1215" t="s">
        <v>1519</v>
      </c>
      <c r="C437" s="1215"/>
      <c r="D437" s="1219">
        <v>185880</v>
      </c>
      <c r="E437" s="1219">
        <v>185880</v>
      </c>
      <c r="F437" s="1219">
        <v>185880</v>
      </c>
      <c r="G437" s="1219">
        <v>185880</v>
      </c>
      <c r="H437" s="1219">
        <v>185880</v>
      </c>
      <c r="I437" s="1219">
        <v>185880</v>
      </c>
      <c r="J437" s="1219">
        <v>185880</v>
      </c>
      <c r="K437" s="1219">
        <v>185880</v>
      </c>
      <c r="L437" s="1219">
        <v>185880</v>
      </c>
      <c r="M437" s="1219">
        <v>185880</v>
      </c>
    </row>
    <row r="438" spans="1:13" x14ac:dyDescent="0.25">
      <c r="B438" s="1215" t="s">
        <v>978</v>
      </c>
      <c r="C438" s="1215"/>
      <c r="D438" s="1219">
        <v>47000</v>
      </c>
      <c r="E438" s="1219">
        <v>47000</v>
      </c>
      <c r="F438" s="1219">
        <v>47000</v>
      </c>
      <c r="G438" s="1219">
        <v>47000</v>
      </c>
      <c r="H438" s="1219">
        <v>47000</v>
      </c>
      <c r="I438" s="1219">
        <v>47000</v>
      </c>
      <c r="J438" s="1219">
        <v>47000</v>
      </c>
      <c r="K438" s="1219">
        <v>47000</v>
      </c>
      <c r="L438" s="1219">
        <v>47000</v>
      </c>
      <c r="M438" s="1219">
        <v>47000</v>
      </c>
    </row>
    <row r="439" spans="1:13" ht="38.25" x14ac:dyDescent="0.25">
      <c r="B439" s="1220" t="s">
        <v>1520</v>
      </c>
      <c r="C439" s="1216"/>
      <c r="D439" s="1221">
        <f>+D440+D441</f>
        <v>71230</v>
      </c>
      <c r="E439" s="1221">
        <f t="shared" ref="E439:M439" si="100">+E440+E441</f>
        <v>71230</v>
      </c>
      <c r="F439" s="1221">
        <f t="shared" si="100"/>
        <v>71230</v>
      </c>
      <c r="G439" s="1221">
        <f t="shared" si="100"/>
        <v>71230</v>
      </c>
      <c r="H439" s="1221">
        <f t="shared" si="100"/>
        <v>71230</v>
      </c>
      <c r="I439" s="1221">
        <f t="shared" si="100"/>
        <v>71230</v>
      </c>
      <c r="J439" s="1221">
        <f t="shared" si="100"/>
        <v>71230</v>
      </c>
      <c r="K439" s="1221">
        <f t="shared" si="100"/>
        <v>71230</v>
      </c>
      <c r="L439" s="1221">
        <f t="shared" si="100"/>
        <v>71230</v>
      </c>
      <c r="M439" s="1221">
        <f t="shared" si="100"/>
        <v>71230</v>
      </c>
    </row>
    <row r="440" spans="1:13" x14ac:dyDescent="0.25">
      <c r="B440" s="1215" t="s">
        <v>1519</v>
      </c>
      <c r="C440" s="1215"/>
      <c r="D440" s="1219">
        <v>70680</v>
      </c>
      <c r="E440" s="1219">
        <v>70680</v>
      </c>
      <c r="F440" s="1219">
        <v>70680</v>
      </c>
      <c r="G440" s="1219">
        <v>70680</v>
      </c>
      <c r="H440" s="1219">
        <v>70680</v>
      </c>
      <c r="I440" s="1219">
        <v>70680</v>
      </c>
      <c r="J440" s="1219">
        <v>70680</v>
      </c>
      <c r="K440" s="1219">
        <v>70680</v>
      </c>
      <c r="L440" s="1219">
        <v>70680</v>
      </c>
      <c r="M440" s="1219">
        <v>70680</v>
      </c>
    </row>
    <row r="441" spans="1:13" x14ac:dyDescent="0.25">
      <c r="B441" s="1215" t="s">
        <v>978</v>
      </c>
      <c r="C441" s="1215"/>
      <c r="D441" s="1219">
        <v>550</v>
      </c>
      <c r="E441" s="1219">
        <v>550</v>
      </c>
      <c r="F441" s="1219">
        <v>550</v>
      </c>
      <c r="G441" s="1219">
        <v>550</v>
      </c>
      <c r="H441" s="1219">
        <v>550</v>
      </c>
      <c r="I441" s="1219">
        <v>550</v>
      </c>
      <c r="J441" s="1219">
        <v>550</v>
      </c>
      <c r="K441" s="1219">
        <v>550</v>
      </c>
      <c r="L441" s="1219">
        <v>550</v>
      </c>
      <c r="M441" s="1219">
        <v>550</v>
      </c>
    </row>
    <row r="442" spans="1:13" x14ac:dyDescent="0.25">
      <c r="B442" s="1223" t="s">
        <v>1521</v>
      </c>
      <c r="C442" s="1215"/>
      <c r="D442" s="1214">
        <f>+D436-D439</f>
        <v>161650</v>
      </c>
      <c r="E442" s="1214">
        <f t="shared" ref="E442:M442" si="101">+E436-E439</f>
        <v>161650</v>
      </c>
      <c r="F442" s="1214">
        <f t="shared" si="101"/>
        <v>161650</v>
      </c>
      <c r="G442" s="1214">
        <f t="shared" si="101"/>
        <v>161650</v>
      </c>
      <c r="H442" s="1214">
        <f t="shared" si="101"/>
        <v>161650</v>
      </c>
      <c r="I442" s="1214">
        <f t="shared" si="101"/>
        <v>161650</v>
      </c>
      <c r="J442" s="1214">
        <f t="shared" si="101"/>
        <v>161650</v>
      </c>
      <c r="K442" s="1214">
        <f t="shared" si="101"/>
        <v>161650</v>
      </c>
      <c r="L442" s="1214">
        <f t="shared" si="101"/>
        <v>161650</v>
      </c>
      <c r="M442" s="1214">
        <f t="shared" si="101"/>
        <v>161650</v>
      </c>
    </row>
    <row r="443" spans="1:13" x14ac:dyDescent="0.25">
      <c r="B443" s="1215" t="s">
        <v>1522</v>
      </c>
      <c r="C443" s="1224">
        <f t="shared" ref="C443:M443" si="102">1/(1+0.11)^C435</f>
        <v>1</v>
      </c>
      <c r="D443" s="1225">
        <f t="shared" si="102"/>
        <v>0.9009009009009008</v>
      </c>
      <c r="E443" s="1225">
        <f t="shared" si="102"/>
        <v>0.8116224332440547</v>
      </c>
      <c r="F443" s="1225">
        <f t="shared" si="102"/>
        <v>0.73119138130095018</v>
      </c>
      <c r="G443" s="1225">
        <f t="shared" si="102"/>
        <v>0.65873097414500015</v>
      </c>
      <c r="H443" s="1225">
        <f t="shared" si="102"/>
        <v>0.5934513280585586</v>
      </c>
      <c r="I443" s="1225">
        <f t="shared" si="102"/>
        <v>0.53464083608879154</v>
      </c>
      <c r="J443" s="1225">
        <f t="shared" si="102"/>
        <v>0.48165841089080319</v>
      </c>
      <c r="K443" s="1225">
        <f t="shared" si="102"/>
        <v>0.43392649629802077</v>
      </c>
      <c r="L443" s="1225">
        <f t="shared" si="102"/>
        <v>0.39092477143965831</v>
      </c>
      <c r="M443" s="1225">
        <f t="shared" si="102"/>
        <v>0.3521844787744669</v>
      </c>
    </row>
    <row r="444" spans="1:13" x14ac:dyDescent="0.25">
      <c r="B444" s="1223" t="s">
        <v>1523</v>
      </c>
      <c r="C444" s="1214">
        <f>3986035.88*0.75</f>
        <v>2989526.91</v>
      </c>
      <c r="D444" s="1214">
        <f>D442*D443</f>
        <v>145630.63063063062</v>
      </c>
      <c r="E444" s="1214">
        <f t="shared" ref="E444:J444" si="103">E442*E443</f>
        <v>131198.76633390144</v>
      </c>
      <c r="F444" s="1214">
        <f t="shared" si="103"/>
        <v>118197.0867872986</v>
      </c>
      <c r="G444" s="1214">
        <f t="shared" si="103"/>
        <v>106483.86197053928</v>
      </c>
      <c r="H444" s="1214">
        <f t="shared" si="103"/>
        <v>95931.407180665992</v>
      </c>
      <c r="I444" s="1214">
        <f t="shared" si="103"/>
        <v>86424.691153753156</v>
      </c>
      <c r="J444" s="1214">
        <f t="shared" si="103"/>
        <v>77860.082120498337</v>
      </c>
      <c r="K444" s="1214">
        <f>K442*K443</f>
        <v>70144.218126575055</v>
      </c>
      <c r="L444" s="1214">
        <f>L442*L443</f>
        <v>63192.989303220769</v>
      </c>
      <c r="M444" s="1214">
        <f>M442*M443</f>
        <v>56930.620993892575</v>
      </c>
    </row>
    <row r="445" spans="1:13" x14ac:dyDescent="0.25">
      <c r="B445" s="1212"/>
      <c r="C445" s="1212"/>
      <c r="D445" s="1212"/>
      <c r="E445" s="1212"/>
      <c r="F445" s="1212"/>
      <c r="G445" s="1212"/>
      <c r="H445" s="1212"/>
      <c r="I445" s="1212"/>
      <c r="J445" s="1212"/>
      <c r="K445" s="1212"/>
      <c r="L445" s="1212"/>
      <c r="M445" s="1212"/>
    </row>
    <row r="446" spans="1:13" x14ac:dyDescent="0.25">
      <c r="B446" s="1212"/>
      <c r="C446" s="1212"/>
      <c r="D446" s="1212"/>
      <c r="E446" s="1212"/>
      <c r="F446" s="1212"/>
      <c r="G446" s="1212"/>
      <c r="H446" s="1212"/>
      <c r="I446" s="1212"/>
      <c r="J446" s="1212"/>
      <c r="K446" s="1212"/>
      <c r="L446" s="1212"/>
      <c r="M446" s="1212"/>
    </row>
    <row r="447" spans="1:13" x14ac:dyDescent="0.25">
      <c r="B447" s="1226" t="s">
        <v>1524</v>
      </c>
      <c r="C447" s="1213" t="s">
        <v>1525</v>
      </c>
      <c r="D447" s="1212"/>
      <c r="E447" s="1212"/>
      <c r="F447" s="1212"/>
      <c r="G447" s="1212"/>
      <c r="H447" s="1212"/>
      <c r="I447" s="1212"/>
      <c r="J447" s="1212"/>
      <c r="K447" s="1212"/>
      <c r="L447" s="1212"/>
      <c r="M447" s="1212"/>
    </row>
    <row r="448" spans="1:13" x14ac:dyDescent="0.25">
      <c r="B448" s="1215" t="s">
        <v>1526</v>
      </c>
      <c r="C448" s="1227">
        <f>SUM(C444:M444)</f>
        <v>3941521.2646009759</v>
      </c>
      <c r="D448" s="1212"/>
      <c r="E448" s="1212"/>
      <c r="F448" s="1212"/>
      <c r="G448" s="1212"/>
      <c r="H448" s="1212"/>
      <c r="I448" s="1212"/>
      <c r="J448" s="1212"/>
      <c r="K448" s="1212"/>
      <c r="L448" s="1212"/>
      <c r="M448" s="1212"/>
    </row>
    <row r="449" spans="2:13" x14ac:dyDescent="0.25">
      <c r="B449" s="1215" t="s">
        <v>1527</v>
      </c>
      <c r="C449" s="1228">
        <f>219969.412657488*0.75</f>
        <v>164977.05949311599</v>
      </c>
      <c r="D449" s="1212"/>
      <c r="E449" s="1212"/>
      <c r="F449" s="1212"/>
      <c r="G449" s="1212"/>
      <c r="H449" s="1212"/>
      <c r="I449" s="1212"/>
      <c r="J449" s="1212"/>
      <c r="K449" s="1212"/>
      <c r="L449" s="1212"/>
      <c r="M449" s="1212"/>
    </row>
    <row r="450" spans="2:13" x14ac:dyDescent="0.25">
      <c r="B450" s="1215" t="s">
        <v>1528</v>
      </c>
      <c r="C450" s="1219">
        <f>C448/C449</f>
        <v>23.8913293564033</v>
      </c>
      <c r="D450" s="1212"/>
      <c r="E450" s="1212"/>
      <c r="F450" s="1212"/>
      <c r="G450" s="1212"/>
      <c r="H450" s="1212"/>
      <c r="I450" s="1212"/>
      <c r="J450" s="1212"/>
      <c r="K450" s="1212"/>
      <c r="L450" s="1212"/>
      <c r="M450" s="1212"/>
    </row>
  </sheetData>
  <mergeCells count="57">
    <mergeCell ref="C119:E119"/>
    <mergeCell ref="C120:E120"/>
    <mergeCell ref="C121:E121"/>
    <mergeCell ref="R61:AC61"/>
    <mergeCell ref="R66:AC66"/>
    <mergeCell ref="R67:AC67"/>
    <mergeCell ref="B338:B339"/>
    <mergeCell ref="D338:M338"/>
    <mergeCell ref="B414:B415"/>
    <mergeCell ref="D414:M414"/>
    <mergeCell ref="B434:B435"/>
    <mergeCell ref="D434:M434"/>
    <mergeCell ref="B357:B358"/>
    <mergeCell ref="D357:M357"/>
    <mergeCell ref="B376:B377"/>
    <mergeCell ref="D376:M376"/>
    <mergeCell ref="B395:B396"/>
    <mergeCell ref="D395:M395"/>
    <mergeCell ref="B281:B282"/>
    <mergeCell ref="D281:M281"/>
    <mergeCell ref="B300:B301"/>
    <mergeCell ref="D300:M300"/>
    <mergeCell ref="B319:B320"/>
    <mergeCell ref="D319:M319"/>
    <mergeCell ref="B223:B224"/>
    <mergeCell ref="D223:M223"/>
    <mergeCell ref="B243:B244"/>
    <mergeCell ref="D243:M243"/>
    <mergeCell ref="B262:B263"/>
    <mergeCell ref="D262:M262"/>
    <mergeCell ref="B164:B165"/>
    <mergeCell ref="D164:M164"/>
    <mergeCell ref="B183:B184"/>
    <mergeCell ref="D183:M183"/>
    <mergeCell ref="B203:B204"/>
    <mergeCell ref="D203:M203"/>
    <mergeCell ref="F6:F11"/>
    <mergeCell ref="D125:M125"/>
    <mergeCell ref="B125:B126"/>
    <mergeCell ref="B144:B145"/>
    <mergeCell ref="D144:M144"/>
    <mergeCell ref="B61:M61"/>
    <mergeCell ref="B66:M66"/>
    <mergeCell ref="B67:M67"/>
    <mergeCell ref="B74:M74"/>
    <mergeCell ref="C113:E113"/>
    <mergeCell ref="B115:B117"/>
    <mergeCell ref="C115:E115"/>
    <mergeCell ref="C116:E116"/>
    <mergeCell ref="C117:E117"/>
    <mergeCell ref="B118:B121"/>
    <mergeCell ref="C118:E118"/>
    <mergeCell ref="D26:D28"/>
    <mergeCell ref="D30:D35"/>
    <mergeCell ref="D37:D42"/>
    <mergeCell ref="D52:D57"/>
    <mergeCell ref="D6:D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5:AG27"/>
  <sheetViews>
    <sheetView workbookViewId="0">
      <selection activeCell="I36" sqref="I36"/>
    </sheetView>
  </sheetViews>
  <sheetFormatPr baseColWidth="10" defaultRowHeight="15" x14ac:dyDescent="0.25"/>
  <cols>
    <col min="2" max="2" width="27" customWidth="1"/>
    <col min="3" max="3" width="20" customWidth="1"/>
    <col min="18" max="18" width="27.85546875" customWidth="1"/>
    <col min="19" max="19" width="18.28515625" customWidth="1"/>
  </cols>
  <sheetData>
    <row r="5" spans="2:33" ht="23.25" x14ac:dyDescent="0.25">
      <c r="B5" s="1956" t="s">
        <v>1854</v>
      </c>
      <c r="C5" s="1956"/>
      <c r="D5" s="1956"/>
      <c r="E5" s="1956"/>
      <c r="F5" s="1956"/>
      <c r="G5" s="1956"/>
      <c r="H5" s="1956"/>
      <c r="I5" s="1956"/>
      <c r="J5" s="1956"/>
      <c r="K5" s="1956"/>
      <c r="L5" s="1956"/>
      <c r="M5" s="1956"/>
      <c r="N5" s="1956"/>
      <c r="O5" s="1956"/>
      <c r="P5" s="1956"/>
      <c r="Q5" s="1956"/>
      <c r="R5" s="1956" t="s">
        <v>1854</v>
      </c>
      <c r="S5" s="1956"/>
      <c r="T5" s="1956"/>
      <c r="U5" s="1956"/>
      <c r="V5" s="1956"/>
      <c r="W5" s="1956"/>
      <c r="X5" s="1956"/>
      <c r="Y5" s="1956"/>
      <c r="Z5" s="1956"/>
      <c r="AA5" s="1956"/>
      <c r="AB5" s="1956"/>
      <c r="AC5" s="1956"/>
      <c r="AD5" s="1956"/>
      <c r="AE5" s="1956"/>
      <c r="AF5" s="1956"/>
      <c r="AG5" s="1956"/>
    </row>
    <row r="6" spans="2:33" x14ac:dyDescent="0.25">
      <c r="B6" s="1499"/>
      <c r="C6" s="1500"/>
      <c r="D6" s="1501"/>
      <c r="E6" s="1501"/>
      <c r="F6" s="1501"/>
      <c r="G6" s="1501"/>
      <c r="H6" s="1501"/>
      <c r="I6" s="1501"/>
      <c r="J6" s="1501"/>
      <c r="K6" s="1501"/>
      <c r="L6" s="1501"/>
      <c r="M6" s="1501"/>
      <c r="N6" s="1501"/>
      <c r="O6" s="1501"/>
      <c r="P6" s="1501"/>
      <c r="Q6" s="1501"/>
      <c r="R6" s="1499"/>
      <c r="S6" s="1500"/>
      <c r="T6" s="1501"/>
      <c r="U6" s="1501"/>
      <c r="V6" s="1501"/>
      <c r="W6" s="1501"/>
      <c r="X6" s="1501"/>
      <c r="Y6" s="1501"/>
      <c r="Z6" s="1501"/>
      <c r="AA6" s="1501"/>
      <c r="AB6" s="1501"/>
      <c r="AC6" s="1501"/>
      <c r="AD6" s="1501"/>
      <c r="AE6" s="1501"/>
      <c r="AF6" s="1501"/>
      <c r="AG6" s="1501"/>
    </row>
    <row r="7" spans="2:33" x14ac:dyDescent="0.25">
      <c r="B7" s="1957" t="s">
        <v>1855</v>
      </c>
      <c r="C7" s="1960" t="s">
        <v>1856</v>
      </c>
      <c r="D7" s="1960"/>
      <c r="E7" s="1960"/>
      <c r="F7" s="1960"/>
      <c r="G7" s="1960"/>
      <c r="H7" s="1960"/>
      <c r="I7" s="1960"/>
      <c r="J7" s="1960"/>
      <c r="K7" s="1960"/>
      <c r="L7" s="1960"/>
      <c r="M7" s="1960"/>
      <c r="N7" s="1501"/>
      <c r="O7" s="1501"/>
      <c r="P7" s="1501"/>
      <c r="Q7" s="1501"/>
      <c r="R7" s="1957" t="s">
        <v>1855</v>
      </c>
      <c r="S7" s="1960" t="s">
        <v>1856</v>
      </c>
      <c r="T7" s="1960"/>
      <c r="U7" s="1960"/>
      <c r="V7" s="1960"/>
      <c r="W7" s="1960"/>
      <c r="X7" s="1960"/>
      <c r="Y7" s="1960"/>
      <c r="Z7" s="1960"/>
      <c r="AA7" s="1960"/>
      <c r="AB7" s="1960"/>
      <c r="AC7" s="1960"/>
      <c r="AD7" s="1501"/>
      <c r="AE7" s="1501"/>
      <c r="AF7" s="1501"/>
      <c r="AG7" s="1501"/>
    </row>
    <row r="8" spans="2:33" x14ac:dyDescent="0.25">
      <c r="B8" s="1958"/>
      <c r="C8" s="1961" t="s">
        <v>1857</v>
      </c>
      <c r="D8" s="1954" t="s">
        <v>1858</v>
      </c>
      <c r="E8" s="1954" t="s">
        <v>1859</v>
      </c>
      <c r="F8" s="1954" t="s">
        <v>1860</v>
      </c>
      <c r="G8" s="1954" t="s">
        <v>1861</v>
      </c>
      <c r="H8" s="1954" t="s">
        <v>1862</v>
      </c>
      <c r="I8" s="1954" t="s">
        <v>1863</v>
      </c>
      <c r="J8" s="1954" t="s">
        <v>1864</v>
      </c>
      <c r="K8" s="1954" t="s">
        <v>1865</v>
      </c>
      <c r="L8" s="1954" t="s">
        <v>1866</v>
      </c>
      <c r="M8" s="1954" t="s">
        <v>1867</v>
      </c>
      <c r="N8" s="1501"/>
      <c r="O8" s="1501"/>
      <c r="P8" s="1501"/>
      <c r="Q8" s="1501"/>
      <c r="R8" s="1958"/>
      <c r="S8" s="1961" t="s">
        <v>1857</v>
      </c>
      <c r="T8" s="1954" t="s">
        <v>1858</v>
      </c>
      <c r="U8" s="1954" t="s">
        <v>1859</v>
      </c>
      <c r="V8" s="1954" t="s">
        <v>1860</v>
      </c>
      <c r="W8" s="1954" t="s">
        <v>1861</v>
      </c>
      <c r="X8" s="1954" t="s">
        <v>1862</v>
      </c>
      <c r="Y8" s="1954" t="s">
        <v>1863</v>
      </c>
      <c r="Z8" s="1954" t="s">
        <v>1864</v>
      </c>
      <c r="AA8" s="1954" t="s">
        <v>1865</v>
      </c>
      <c r="AB8" s="1954" t="s">
        <v>1866</v>
      </c>
      <c r="AC8" s="1954" t="s">
        <v>1867</v>
      </c>
      <c r="AD8" s="1501"/>
      <c r="AE8" s="1501"/>
      <c r="AF8" s="1501"/>
      <c r="AG8" s="1501"/>
    </row>
    <row r="9" spans="2:33" x14ac:dyDescent="0.25">
      <c r="B9" s="1959"/>
      <c r="C9" s="1962"/>
      <c r="D9" s="1955"/>
      <c r="E9" s="1955"/>
      <c r="F9" s="1955"/>
      <c r="G9" s="1955"/>
      <c r="H9" s="1955"/>
      <c r="I9" s="1955"/>
      <c r="J9" s="1955"/>
      <c r="K9" s="1955"/>
      <c r="L9" s="1955"/>
      <c r="M9" s="1955"/>
      <c r="N9" s="1501"/>
      <c r="O9" s="1501"/>
      <c r="P9" s="1501"/>
      <c r="Q9" s="1501"/>
      <c r="R9" s="1959"/>
      <c r="S9" s="1962"/>
      <c r="T9" s="1955"/>
      <c r="U9" s="1955"/>
      <c r="V9" s="1955"/>
      <c r="W9" s="1955"/>
      <c r="X9" s="1955"/>
      <c r="Y9" s="1955"/>
      <c r="Z9" s="1955"/>
      <c r="AA9" s="1955"/>
      <c r="AB9" s="1955"/>
      <c r="AC9" s="1955"/>
      <c r="AD9" s="1501"/>
      <c r="AE9" s="1501"/>
      <c r="AF9" s="1501"/>
      <c r="AG9" s="1501"/>
    </row>
    <row r="10" spans="2:33" ht="25.5" x14ac:dyDescent="0.25">
      <c r="B10" s="1502" t="s">
        <v>1868</v>
      </c>
      <c r="C10" s="1503">
        <f>C11</f>
        <v>3433062.38</v>
      </c>
      <c r="D10" s="1503">
        <f t="shared" ref="D10:M10" si="0">SUM(D11:D13)</f>
        <v>232880</v>
      </c>
      <c r="E10" s="1503">
        <f t="shared" si="0"/>
        <v>232880</v>
      </c>
      <c r="F10" s="1503">
        <f t="shared" si="0"/>
        <v>846775.28</v>
      </c>
      <c r="G10" s="1503">
        <f t="shared" si="0"/>
        <v>232880</v>
      </c>
      <c r="H10" s="1503">
        <f t="shared" si="0"/>
        <v>232880</v>
      </c>
      <c r="I10" s="1503">
        <f t="shared" si="0"/>
        <v>232880</v>
      </c>
      <c r="J10" s="1503">
        <f t="shared" si="0"/>
        <v>232880</v>
      </c>
      <c r="K10" s="1503">
        <f t="shared" si="0"/>
        <v>846775.28</v>
      </c>
      <c r="L10" s="1503">
        <f t="shared" si="0"/>
        <v>232880</v>
      </c>
      <c r="M10" s="1503">
        <f t="shared" si="0"/>
        <v>232880</v>
      </c>
      <c r="N10" s="1501"/>
      <c r="O10" s="1501"/>
      <c r="P10" s="1501"/>
      <c r="Q10" s="1501"/>
      <c r="R10" s="1502" t="s">
        <v>1868</v>
      </c>
      <c r="S10" s="1503">
        <f>S11</f>
        <v>2909374.8983050846</v>
      </c>
      <c r="T10" s="1503">
        <f t="shared" ref="T10:AC10" si="1">SUM(T11:T13)</f>
        <v>207871.16</v>
      </c>
      <c r="U10" s="1503">
        <f t="shared" si="1"/>
        <v>207871.16</v>
      </c>
      <c r="V10" s="1503">
        <f t="shared" si="1"/>
        <v>727840.46216</v>
      </c>
      <c r="W10" s="1503">
        <f t="shared" si="1"/>
        <v>207871.16</v>
      </c>
      <c r="X10" s="1503">
        <f t="shared" si="1"/>
        <v>207871.16</v>
      </c>
      <c r="Y10" s="1503">
        <f t="shared" si="1"/>
        <v>207871.16</v>
      </c>
      <c r="Z10" s="1503">
        <f t="shared" si="1"/>
        <v>207871.16</v>
      </c>
      <c r="AA10" s="1503">
        <f t="shared" si="1"/>
        <v>727840.46216</v>
      </c>
      <c r="AB10" s="1503">
        <f t="shared" si="1"/>
        <v>207871.16</v>
      </c>
      <c r="AC10" s="1503">
        <f t="shared" si="1"/>
        <v>207871.16</v>
      </c>
      <c r="AD10" s="1501"/>
      <c r="AE10" s="1501"/>
      <c r="AF10" s="1501"/>
      <c r="AG10" s="1501"/>
    </row>
    <row r="11" spans="2:33" x14ac:dyDescent="0.25">
      <c r="B11" s="1504" t="s">
        <v>1585</v>
      </c>
      <c r="C11" s="1505">
        <f>'Evaluacion social'!D19</f>
        <v>3433062.38</v>
      </c>
      <c r="D11" s="1504"/>
      <c r="E11" s="1504"/>
      <c r="F11" s="1504"/>
      <c r="G11" s="1504"/>
      <c r="H11" s="1504"/>
      <c r="I11" s="1504"/>
      <c r="J11" s="1504"/>
      <c r="K11" s="1504"/>
      <c r="L11" s="1506"/>
      <c r="M11" s="1506"/>
      <c r="N11" s="1501"/>
      <c r="O11" s="1501"/>
      <c r="P11" s="1501"/>
      <c r="Q11" s="1501"/>
      <c r="R11" s="1504" t="s">
        <v>1585</v>
      </c>
      <c r="S11" s="1505">
        <f>'Evaluacion social'!F19</f>
        <v>2909374.8983050846</v>
      </c>
      <c r="T11" s="1504"/>
      <c r="U11" s="1504"/>
      <c r="V11" s="1504"/>
      <c r="W11" s="1504"/>
      <c r="X11" s="1504"/>
      <c r="Y11" s="1504"/>
      <c r="Z11" s="1504"/>
      <c r="AA11" s="1504"/>
      <c r="AB11" s="1506"/>
      <c r="AC11" s="1506"/>
      <c r="AD11" s="1501"/>
      <c r="AE11" s="1501"/>
      <c r="AF11" s="1501"/>
      <c r="AG11" s="1501"/>
    </row>
    <row r="12" spans="2:33" x14ac:dyDescent="0.25">
      <c r="B12" s="1504" t="s">
        <v>1875</v>
      </c>
      <c r="C12" s="1504"/>
      <c r="D12" s="1505">
        <f>'O &amp; M'!D32+'O &amp; M'!D27</f>
        <v>232880</v>
      </c>
      <c r="E12" s="1505">
        <f>'O &amp; M'!E32+'O &amp; M'!E27</f>
        <v>232880</v>
      </c>
      <c r="F12" s="1505">
        <f>'O &amp; M'!F32+'O &amp; M'!F27</f>
        <v>232880</v>
      </c>
      <c r="G12" s="1505">
        <f>'O &amp; M'!G32+'O &amp; M'!G27</f>
        <v>232880</v>
      </c>
      <c r="H12" s="1505">
        <f>'O &amp; M'!H32+'O &amp; M'!H27</f>
        <v>232880</v>
      </c>
      <c r="I12" s="1505">
        <f>'O &amp; M'!I32+'O &amp; M'!I27</f>
        <v>232880</v>
      </c>
      <c r="J12" s="1505">
        <f>'O &amp; M'!J32+'O &amp; M'!J27</f>
        <v>232880</v>
      </c>
      <c r="K12" s="1505">
        <f>'O &amp; M'!K32+'O &amp; M'!K27</f>
        <v>232880</v>
      </c>
      <c r="L12" s="1505">
        <f>'O &amp; M'!L32+'O &amp; M'!L27</f>
        <v>232880</v>
      </c>
      <c r="M12" s="1505">
        <f>'O &amp; M'!M32+'O &amp; M'!M27</f>
        <v>232880</v>
      </c>
      <c r="N12" s="1501"/>
      <c r="O12" s="1501"/>
      <c r="P12" s="1501"/>
      <c r="Q12" s="1501"/>
      <c r="R12" s="1504" t="s">
        <v>1875</v>
      </c>
      <c r="S12" s="1504"/>
      <c r="T12" s="1505">
        <f>'O &amp; M'!R28+'O &amp; M'!R33</f>
        <v>207871.16</v>
      </c>
      <c r="U12" s="1505">
        <f>'O &amp; M'!S28+'O &amp; M'!S33</f>
        <v>207871.16</v>
      </c>
      <c r="V12" s="1505">
        <f>'O &amp; M'!T28+'O &amp; M'!T33</f>
        <v>207871.16</v>
      </c>
      <c r="W12" s="1505">
        <f>'O &amp; M'!U28+'O &amp; M'!U33</f>
        <v>207871.16</v>
      </c>
      <c r="X12" s="1505">
        <f>'O &amp; M'!V28+'O &amp; M'!V33</f>
        <v>207871.16</v>
      </c>
      <c r="Y12" s="1505">
        <f>'O &amp; M'!W28+'O &amp; M'!W33</f>
        <v>207871.16</v>
      </c>
      <c r="Z12" s="1505">
        <f>'O &amp; M'!X28+'O &amp; M'!X33</f>
        <v>207871.16</v>
      </c>
      <c r="AA12" s="1505">
        <f>'O &amp; M'!Y28+'O &amp; M'!Y33</f>
        <v>207871.16</v>
      </c>
      <c r="AB12" s="1505">
        <f>'O &amp; M'!Z28+'O &amp; M'!Z33</f>
        <v>207871.16</v>
      </c>
      <c r="AC12" s="1505">
        <f>'O &amp; M'!AA28+'O &amp; M'!AA33</f>
        <v>207871.16</v>
      </c>
      <c r="AD12" s="1501"/>
      <c r="AE12" s="1501"/>
      <c r="AF12" s="1501"/>
      <c r="AG12" s="1501"/>
    </row>
    <row r="13" spans="2:33" x14ac:dyDescent="0.25">
      <c r="B13" s="1504" t="s">
        <v>1874</v>
      </c>
      <c r="C13" s="1505"/>
      <c r="D13" s="1505"/>
      <c r="E13" s="1505"/>
      <c r="F13" s="1505">
        <f>'O &amp; M'!H76</f>
        <v>613895.28</v>
      </c>
      <c r="G13" s="1505"/>
      <c r="H13" s="1505"/>
      <c r="I13" s="1505"/>
      <c r="J13" s="1505"/>
      <c r="K13" s="1505">
        <f>'O &amp; M'!M76</f>
        <v>613895.28</v>
      </c>
      <c r="L13" s="1505"/>
      <c r="M13" s="1507"/>
      <c r="N13" s="1501"/>
      <c r="O13" s="1501"/>
      <c r="P13" s="1501"/>
      <c r="Q13" s="1501"/>
      <c r="R13" s="1504" t="s">
        <v>1874</v>
      </c>
      <c r="S13" s="1505"/>
      <c r="T13" s="1505"/>
      <c r="U13" s="1505"/>
      <c r="V13" s="1505">
        <f>'O &amp; M'!H76*0.847</f>
        <v>519969.30216000002</v>
      </c>
      <c r="W13" s="1505"/>
      <c r="X13" s="1505"/>
      <c r="Y13" s="1505"/>
      <c r="Z13" s="1505"/>
      <c r="AA13" s="1505">
        <f>'O &amp; M'!M76*0.847</f>
        <v>519969.30216000002</v>
      </c>
      <c r="AB13" s="1505"/>
      <c r="AC13" s="1507"/>
      <c r="AD13" s="1501"/>
      <c r="AE13" s="1501"/>
      <c r="AF13" s="1501"/>
      <c r="AG13" s="1501"/>
    </row>
    <row r="14" spans="2:33" ht="25.5" x14ac:dyDescent="0.25">
      <c r="B14" s="1508" t="s">
        <v>1869</v>
      </c>
      <c r="C14" s="1509"/>
      <c r="D14" s="1510">
        <f>SUM(D15)</f>
        <v>71230</v>
      </c>
      <c r="E14" s="1510">
        <f t="shared" ref="E14:M14" si="2">SUM(E15)</f>
        <v>71230</v>
      </c>
      <c r="F14" s="1510">
        <f t="shared" si="2"/>
        <v>71230</v>
      </c>
      <c r="G14" s="1510">
        <f t="shared" si="2"/>
        <v>71230</v>
      </c>
      <c r="H14" s="1510">
        <f t="shared" si="2"/>
        <v>71230</v>
      </c>
      <c r="I14" s="1510">
        <f t="shared" si="2"/>
        <v>71230</v>
      </c>
      <c r="J14" s="1510">
        <f t="shared" si="2"/>
        <v>71230</v>
      </c>
      <c r="K14" s="1510">
        <f t="shared" si="2"/>
        <v>71230</v>
      </c>
      <c r="L14" s="1510">
        <f t="shared" si="2"/>
        <v>71230</v>
      </c>
      <c r="M14" s="1510">
        <f t="shared" si="2"/>
        <v>71230</v>
      </c>
      <c r="N14" s="1501"/>
      <c r="O14" s="1501"/>
      <c r="P14" s="1501"/>
      <c r="Q14" s="1501"/>
      <c r="R14" s="1508" t="s">
        <v>1869</v>
      </c>
      <c r="S14" s="1509"/>
      <c r="T14" s="1510">
        <f>SUM(T15)</f>
        <v>64754.409999999996</v>
      </c>
      <c r="U14" s="1510">
        <f t="shared" ref="U14:AC14" si="3">SUM(U15)</f>
        <v>64754.409999999996</v>
      </c>
      <c r="V14" s="1510">
        <f t="shared" si="3"/>
        <v>64754.409999999996</v>
      </c>
      <c r="W14" s="1510">
        <f t="shared" si="3"/>
        <v>64754.409999999996</v>
      </c>
      <c r="X14" s="1510">
        <f t="shared" si="3"/>
        <v>64754.409999999996</v>
      </c>
      <c r="Y14" s="1510">
        <f t="shared" si="3"/>
        <v>64754.409999999996</v>
      </c>
      <c r="Z14" s="1510">
        <f t="shared" si="3"/>
        <v>64754.409999999996</v>
      </c>
      <c r="AA14" s="1510">
        <f t="shared" si="3"/>
        <v>64754.409999999996</v>
      </c>
      <c r="AB14" s="1510">
        <f t="shared" si="3"/>
        <v>64754.409999999996</v>
      </c>
      <c r="AC14" s="1510">
        <f t="shared" si="3"/>
        <v>64754.409999999996</v>
      </c>
      <c r="AD14" s="1501"/>
      <c r="AE14" s="1501"/>
      <c r="AF14" s="1501"/>
      <c r="AG14" s="1501"/>
    </row>
    <row r="15" spans="2:33" x14ac:dyDescent="0.25">
      <c r="B15" s="1504" t="s">
        <v>1876</v>
      </c>
      <c r="C15" s="1511"/>
      <c r="D15" s="1505">
        <f>'O &amp; M'!D25+'O &amp; M'!D20</f>
        <v>71230</v>
      </c>
      <c r="E15" s="1505">
        <f>'O &amp; M'!E25+'O &amp; M'!E20</f>
        <v>71230</v>
      </c>
      <c r="F15" s="1505">
        <f>'O &amp; M'!F25+'O &amp; M'!F20</f>
        <v>71230</v>
      </c>
      <c r="G15" s="1505">
        <f>'O &amp; M'!G25+'O &amp; M'!G20</f>
        <v>71230</v>
      </c>
      <c r="H15" s="1505">
        <f>'O &amp; M'!H25+'O &amp; M'!H20</f>
        <v>71230</v>
      </c>
      <c r="I15" s="1505">
        <f>'O &amp; M'!I25+'O &amp; M'!I20</f>
        <v>71230</v>
      </c>
      <c r="J15" s="1505">
        <f>'O &amp; M'!J25+'O &amp; M'!J20</f>
        <v>71230</v>
      </c>
      <c r="K15" s="1505">
        <f>'O &amp; M'!K25+'O &amp; M'!K20</f>
        <v>71230</v>
      </c>
      <c r="L15" s="1505">
        <f>'O &amp; M'!L25+'O &amp; M'!L20</f>
        <v>71230</v>
      </c>
      <c r="M15" s="1505">
        <f>'O &amp; M'!M25+'O &amp; M'!M20</f>
        <v>71230</v>
      </c>
      <c r="N15" s="1501"/>
      <c r="O15" s="1501"/>
      <c r="P15" s="1501"/>
      <c r="Q15" s="1501"/>
      <c r="R15" s="1504" t="s">
        <v>1876</v>
      </c>
      <c r="S15" s="1511"/>
      <c r="T15" s="1505">
        <f>'O &amp; M'!R21+'O &amp; M'!R26</f>
        <v>64754.409999999996</v>
      </c>
      <c r="U15" s="1505">
        <f>'O &amp; M'!S21+'O &amp; M'!S26</f>
        <v>64754.409999999996</v>
      </c>
      <c r="V15" s="1505">
        <f>'O &amp; M'!T21+'O &amp; M'!T26</f>
        <v>64754.409999999996</v>
      </c>
      <c r="W15" s="1505">
        <f>'O &amp; M'!U21+'O &amp; M'!U26</f>
        <v>64754.409999999996</v>
      </c>
      <c r="X15" s="1505">
        <f>'O &amp; M'!V21+'O &amp; M'!V26</f>
        <v>64754.409999999996</v>
      </c>
      <c r="Y15" s="1505">
        <f>'O &amp; M'!W21+'O &amp; M'!W26</f>
        <v>64754.409999999996</v>
      </c>
      <c r="Z15" s="1505">
        <f>'O &amp; M'!X21+'O &amp; M'!X26</f>
        <v>64754.409999999996</v>
      </c>
      <c r="AA15" s="1505">
        <f>'O &amp; M'!Y21+'O &amp; M'!Y26</f>
        <v>64754.409999999996</v>
      </c>
      <c r="AB15" s="1505">
        <f>'O &amp; M'!Z21+'O &amp; M'!Z26</f>
        <v>64754.409999999996</v>
      </c>
      <c r="AC15" s="1505">
        <f>'O &amp; M'!AA21+'O &amp; M'!AA26</f>
        <v>64754.409999999996</v>
      </c>
      <c r="AD15" s="1501"/>
      <c r="AE15" s="1501"/>
      <c r="AF15" s="1501"/>
      <c r="AG15" s="1501"/>
    </row>
    <row r="16" spans="2:33" x14ac:dyDescent="0.25">
      <c r="B16" s="1512" t="s">
        <v>1877</v>
      </c>
      <c r="C16" s="1513">
        <f>C10-C14</f>
        <v>3433062.38</v>
      </c>
      <c r="D16" s="1513">
        <f>D10-D14</f>
        <v>161650</v>
      </c>
      <c r="E16" s="1513">
        <f t="shared" ref="E16:M16" si="4">E10-E14</f>
        <v>161650</v>
      </c>
      <c r="F16" s="1513">
        <f t="shared" si="4"/>
        <v>775545.28</v>
      </c>
      <c r="G16" s="1513">
        <f t="shared" si="4"/>
        <v>161650</v>
      </c>
      <c r="H16" s="1513">
        <f t="shared" si="4"/>
        <v>161650</v>
      </c>
      <c r="I16" s="1513">
        <f t="shared" si="4"/>
        <v>161650</v>
      </c>
      <c r="J16" s="1513">
        <f t="shared" si="4"/>
        <v>161650</v>
      </c>
      <c r="K16" s="1513">
        <f t="shared" si="4"/>
        <v>775545.28</v>
      </c>
      <c r="L16" s="1513">
        <f t="shared" si="4"/>
        <v>161650</v>
      </c>
      <c r="M16" s="1513">
        <f t="shared" si="4"/>
        <v>161650</v>
      </c>
      <c r="N16" s="1501"/>
      <c r="O16" s="1501"/>
      <c r="P16" s="1501"/>
      <c r="Q16" s="1501"/>
      <c r="R16" s="1512" t="s">
        <v>1877</v>
      </c>
      <c r="S16" s="1513">
        <f>S10-S14</f>
        <v>2909374.8983050846</v>
      </c>
      <c r="T16" s="1513">
        <f>T10-T14</f>
        <v>143116.75</v>
      </c>
      <c r="U16" s="1513">
        <f t="shared" ref="U16:AC16" si="5">U10-U14</f>
        <v>143116.75</v>
      </c>
      <c r="V16" s="1513">
        <f t="shared" si="5"/>
        <v>663086.05215999996</v>
      </c>
      <c r="W16" s="1513">
        <f t="shared" si="5"/>
        <v>143116.75</v>
      </c>
      <c r="X16" s="1513">
        <f t="shared" si="5"/>
        <v>143116.75</v>
      </c>
      <c r="Y16" s="1513">
        <f t="shared" si="5"/>
        <v>143116.75</v>
      </c>
      <c r="Z16" s="1513">
        <f t="shared" si="5"/>
        <v>143116.75</v>
      </c>
      <c r="AA16" s="1513">
        <f t="shared" si="5"/>
        <v>663086.05215999996</v>
      </c>
      <c r="AB16" s="1513">
        <f t="shared" si="5"/>
        <v>143116.75</v>
      </c>
      <c r="AC16" s="1513">
        <f t="shared" si="5"/>
        <v>143116.75</v>
      </c>
      <c r="AD16" s="1501"/>
      <c r="AE16" s="1501"/>
      <c r="AF16" s="1501"/>
      <c r="AG16" s="1501"/>
    </row>
    <row r="17" spans="2:33" x14ac:dyDescent="0.25">
      <c r="B17" s="1514" t="s">
        <v>1870</v>
      </c>
      <c r="C17" s="1515">
        <v>0.08</v>
      </c>
      <c r="D17" s="1516"/>
      <c r="E17" s="1516"/>
      <c r="F17" s="1516"/>
      <c r="G17" s="1516"/>
      <c r="H17" s="1516"/>
      <c r="I17" s="1516"/>
      <c r="J17" s="1516"/>
      <c r="K17" s="1516"/>
      <c r="L17" s="1516"/>
      <c r="M17" s="1517"/>
      <c r="N17" s="1501"/>
      <c r="O17" s="1501"/>
      <c r="P17" s="1501"/>
      <c r="Q17" s="1501"/>
      <c r="R17" s="1514" t="s">
        <v>1870</v>
      </c>
      <c r="S17" s="1515">
        <v>0.08</v>
      </c>
      <c r="T17" s="1516"/>
      <c r="U17" s="1516"/>
      <c r="V17" s="1516"/>
      <c r="W17" s="1516"/>
      <c r="X17" s="1516"/>
      <c r="Y17" s="1516"/>
      <c r="Z17" s="1516"/>
      <c r="AA17" s="1516"/>
      <c r="AB17" s="1516"/>
      <c r="AC17" s="1517"/>
      <c r="AD17" s="1501"/>
      <c r="AE17" s="1501"/>
      <c r="AF17" s="1501"/>
      <c r="AG17" s="1501"/>
    </row>
    <row r="18" spans="2:33" x14ac:dyDescent="0.25">
      <c r="B18" s="1518" t="s">
        <v>1526</v>
      </c>
      <c r="C18" s="1519">
        <f>C16+NPV(C17,D16:M16)</f>
        <v>5336745.4221396167</v>
      </c>
      <c r="D18" s="1501"/>
      <c r="E18" s="1501"/>
      <c r="F18" s="1501"/>
      <c r="G18" s="1501"/>
      <c r="H18" s="1501"/>
      <c r="I18" s="1501"/>
      <c r="J18" s="1501"/>
      <c r="K18" s="1501"/>
      <c r="L18" s="1501"/>
      <c r="M18" s="1501"/>
      <c r="N18" s="1501"/>
      <c r="O18" s="1501"/>
      <c r="P18" s="1501"/>
      <c r="Q18" s="1501"/>
      <c r="R18" s="1518" t="s">
        <v>1526</v>
      </c>
      <c r="S18" s="1519">
        <f>S16+NPV(S17,T16:AC16)</f>
        <v>4563391.5716056572</v>
      </c>
      <c r="T18" s="1501"/>
      <c r="U18" s="1501"/>
      <c r="V18" s="1501"/>
      <c r="W18" s="1501"/>
      <c r="X18" s="1501"/>
      <c r="Y18" s="1501"/>
      <c r="Z18" s="1501"/>
      <c r="AA18" s="1501"/>
      <c r="AB18" s="1501"/>
      <c r="AC18" s="1501"/>
      <c r="AD18" s="1501"/>
      <c r="AE18" s="1501"/>
      <c r="AF18" s="1501"/>
      <c r="AG18" s="1501"/>
    </row>
    <row r="19" spans="2:33" x14ac:dyDescent="0.25">
      <c r="B19" s="1514" t="s">
        <v>1882</v>
      </c>
      <c r="C19" s="1520">
        <v>2173</v>
      </c>
      <c r="D19" s="1501"/>
      <c r="E19" s="1501"/>
      <c r="F19" s="1501"/>
      <c r="G19" s="1501"/>
      <c r="H19" s="1501"/>
      <c r="I19" s="1501"/>
      <c r="J19" s="1501"/>
      <c r="K19" s="1501"/>
      <c r="L19" s="1501"/>
      <c r="M19" s="1501"/>
      <c r="N19" s="1501"/>
      <c r="O19" s="1501"/>
      <c r="P19" s="1501"/>
      <c r="Q19" s="1501"/>
      <c r="R19" s="1514" t="s">
        <v>1882</v>
      </c>
      <c r="S19" s="1520">
        <v>2173</v>
      </c>
      <c r="T19" s="1501"/>
      <c r="U19" s="1501"/>
      <c r="V19" s="1501"/>
      <c r="W19" s="1501"/>
      <c r="X19" s="1501"/>
      <c r="Y19" s="1501"/>
      <c r="Z19" s="1501"/>
      <c r="AA19" s="1501"/>
      <c r="AB19" s="1501"/>
      <c r="AC19" s="1501"/>
      <c r="AD19" s="1501"/>
      <c r="AE19" s="1501"/>
      <c r="AF19" s="1501"/>
      <c r="AG19" s="1501"/>
    </row>
    <row r="20" spans="2:33" x14ac:dyDescent="0.25">
      <c r="B20" s="1512" t="s">
        <v>1871</v>
      </c>
      <c r="C20" s="1521">
        <f>C18/C19</f>
        <v>2455.9343866266067</v>
      </c>
      <c r="D20" s="1522"/>
      <c r="E20" s="1501"/>
      <c r="F20" s="1501"/>
      <c r="G20" s="1501"/>
      <c r="H20" s="1501"/>
      <c r="I20" s="1501"/>
      <c r="J20" s="1501"/>
      <c r="K20" s="1501"/>
      <c r="L20" s="1501"/>
      <c r="M20" s="1501"/>
      <c r="N20" s="1501"/>
      <c r="O20" s="1501"/>
      <c r="P20" s="1501"/>
      <c r="Q20" s="1501"/>
      <c r="R20" s="1512" t="s">
        <v>1871</v>
      </c>
      <c r="S20" s="1521">
        <f>S18/S19</f>
        <v>2100.0421406376699</v>
      </c>
      <c r="T20" s="1522"/>
      <c r="U20" s="1501"/>
      <c r="V20" s="1501"/>
      <c r="W20" s="1501"/>
      <c r="X20" s="1501"/>
      <c r="Y20" s="1501"/>
      <c r="Z20" s="1501"/>
      <c r="AA20" s="1501"/>
      <c r="AB20" s="1501"/>
      <c r="AC20" s="1501"/>
      <c r="AD20" s="1501"/>
      <c r="AE20" s="1501"/>
      <c r="AF20" s="1501"/>
      <c r="AG20" s="1501"/>
    </row>
    <row r="21" spans="2:33" x14ac:dyDescent="0.25">
      <c r="B21" s="1499"/>
      <c r="C21" s="1500"/>
      <c r="D21" s="1523"/>
      <c r="E21" s="1501"/>
      <c r="F21" s="1501"/>
      <c r="G21" s="1501"/>
      <c r="H21" s="1501"/>
      <c r="I21" s="1501"/>
      <c r="J21" s="1501"/>
      <c r="K21" s="1501"/>
      <c r="L21" s="1501"/>
      <c r="M21" s="1501"/>
      <c r="N21" s="1501"/>
      <c r="O21" s="1501"/>
      <c r="P21" s="1501"/>
      <c r="Q21" s="1501"/>
      <c r="R21" s="1499"/>
      <c r="S21" s="1500"/>
      <c r="T21" s="1523"/>
      <c r="U21" s="1501"/>
      <c r="V21" s="1501"/>
      <c r="W21" s="1501"/>
      <c r="X21" s="1501"/>
      <c r="Y21" s="1501"/>
      <c r="Z21" s="1501"/>
      <c r="AA21" s="1501"/>
      <c r="AB21" s="1501"/>
      <c r="AC21" s="1501"/>
      <c r="AD21" s="1501"/>
      <c r="AE21" s="1501"/>
      <c r="AF21" s="1501"/>
      <c r="AG21" s="1501"/>
    </row>
    <row r="22" spans="2:33" x14ac:dyDescent="0.25">
      <c r="B22" s="1524"/>
      <c r="C22" s="1524"/>
      <c r="D22" s="1524"/>
      <c r="E22" s="1524"/>
      <c r="F22" s="1524"/>
      <c r="G22" s="1524"/>
      <c r="H22" s="1524"/>
      <c r="I22" s="1524"/>
      <c r="J22" s="1524"/>
      <c r="K22" s="1524"/>
      <c r="L22" s="1524"/>
      <c r="M22" s="1524"/>
      <c r="N22" s="1524"/>
      <c r="O22" s="1524"/>
      <c r="P22" s="1524"/>
      <c r="Q22" s="1524"/>
      <c r="R22" s="1524"/>
      <c r="S22" s="1524"/>
      <c r="T22" s="1524"/>
      <c r="U22" s="1524"/>
      <c r="V22" s="1524"/>
      <c r="W22" s="1524"/>
      <c r="X22" s="1524"/>
      <c r="Y22" s="1524"/>
      <c r="Z22" s="1524"/>
      <c r="AA22" s="1524"/>
      <c r="AB22" s="1524"/>
      <c r="AC22" s="1524"/>
      <c r="AD22" s="1524"/>
      <c r="AE22" s="1524"/>
      <c r="AF22" s="1524"/>
      <c r="AG22" s="1524"/>
    </row>
    <row r="23" spans="2:33" ht="23.25" x14ac:dyDescent="0.25">
      <c r="B23" s="1524" t="s">
        <v>1872</v>
      </c>
      <c r="C23" s="1525"/>
      <c r="D23" s="1526">
        <f>'O &amp; M'!D34</f>
        <v>115200</v>
      </c>
      <c r="E23" s="1526">
        <f>'O &amp; M'!E34</f>
        <v>115200</v>
      </c>
      <c r="F23" s="1526">
        <f>'O &amp; M'!F34</f>
        <v>115200</v>
      </c>
      <c r="G23" s="1526">
        <f>'O &amp; M'!G34</f>
        <v>115200</v>
      </c>
      <c r="H23" s="1526">
        <f>'O &amp; M'!H34</f>
        <v>115200</v>
      </c>
      <c r="I23" s="1526">
        <f>'O &amp; M'!I34</f>
        <v>115200</v>
      </c>
      <c r="J23" s="1526">
        <f>'O &amp; M'!J34</f>
        <v>115200</v>
      </c>
      <c r="K23" s="1526">
        <f>'O &amp; M'!K34</f>
        <v>115200</v>
      </c>
      <c r="L23" s="1526">
        <f>'O &amp; M'!L34</f>
        <v>115200</v>
      </c>
      <c r="M23" s="1526">
        <f>'O &amp; M'!M34</f>
        <v>115200</v>
      </c>
      <c r="N23" s="1524"/>
      <c r="O23" s="1524"/>
      <c r="P23" s="1524"/>
      <c r="Q23" s="1524"/>
      <c r="R23" s="1524" t="s">
        <v>1872</v>
      </c>
      <c r="S23" s="1525"/>
      <c r="T23" s="1526">
        <f>'O &amp; M'!R35</f>
        <v>103773.6</v>
      </c>
      <c r="U23" s="1526">
        <f>'O &amp; M'!S35</f>
        <v>103773.6</v>
      </c>
      <c r="V23" s="1526">
        <f>'O &amp; M'!T35</f>
        <v>103773.6</v>
      </c>
      <c r="W23" s="1526">
        <f>'O &amp; M'!U35</f>
        <v>103773.6</v>
      </c>
      <c r="X23" s="1526">
        <f>'O &amp; M'!V35</f>
        <v>103773.6</v>
      </c>
      <c r="Y23" s="1526">
        <f>'O &amp; M'!W35</f>
        <v>103773.6</v>
      </c>
      <c r="Z23" s="1526">
        <f>'O &amp; M'!X35</f>
        <v>103773.6</v>
      </c>
      <c r="AA23" s="1526">
        <f>'O &amp; M'!Y35</f>
        <v>103773.6</v>
      </c>
      <c r="AB23" s="1526">
        <f>'O &amp; M'!Z35</f>
        <v>103773.6</v>
      </c>
      <c r="AC23" s="1526">
        <f>'O &amp; M'!AA35</f>
        <v>103773.6</v>
      </c>
      <c r="AD23" s="1524"/>
      <c r="AE23" s="1524"/>
      <c r="AF23" s="1524"/>
      <c r="AG23" s="1524"/>
    </row>
    <row r="24" spans="2:33" x14ac:dyDescent="0.25">
      <c r="B24" s="1524" t="s">
        <v>1873</v>
      </c>
      <c r="C24" s="1524"/>
      <c r="D24" s="1526">
        <f>'O &amp; M'!D35</f>
        <v>46450</v>
      </c>
      <c r="E24" s="1526">
        <f>'O &amp; M'!E35</f>
        <v>46450</v>
      </c>
      <c r="F24" s="1526">
        <f>'O &amp; M'!F35</f>
        <v>46450</v>
      </c>
      <c r="G24" s="1526">
        <f>'O &amp; M'!G35</f>
        <v>46450</v>
      </c>
      <c r="H24" s="1526">
        <f>'O &amp; M'!H35</f>
        <v>46450</v>
      </c>
      <c r="I24" s="1526">
        <f>'O &amp; M'!I35</f>
        <v>46450</v>
      </c>
      <c r="J24" s="1526">
        <f>'O &amp; M'!J35</f>
        <v>46450</v>
      </c>
      <c r="K24" s="1526">
        <f>'O &amp; M'!K35</f>
        <v>46450</v>
      </c>
      <c r="L24" s="1526">
        <f>'O &amp; M'!L35</f>
        <v>46450</v>
      </c>
      <c r="M24" s="1526">
        <f>'O &amp; M'!M35</f>
        <v>46450</v>
      </c>
      <c r="N24" s="1524"/>
      <c r="O24" s="1524"/>
      <c r="P24" s="1524"/>
      <c r="Q24" s="1524"/>
      <c r="R24" s="1524" t="s">
        <v>1873</v>
      </c>
      <c r="S24" s="1524"/>
      <c r="T24" s="1526">
        <f>'O &amp; M'!R36</f>
        <v>39343.15</v>
      </c>
      <c r="U24" s="1526">
        <f>'O &amp; M'!S36</f>
        <v>39343.15</v>
      </c>
      <c r="V24" s="1526">
        <f>'O &amp; M'!T36</f>
        <v>39343.15</v>
      </c>
      <c r="W24" s="1526">
        <f>'O &amp; M'!U36</f>
        <v>39343.15</v>
      </c>
      <c r="X24" s="1526">
        <f>'O &amp; M'!V36</f>
        <v>39343.15</v>
      </c>
      <c r="Y24" s="1526">
        <f>'O &amp; M'!W36</f>
        <v>39343.15</v>
      </c>
      <c r="Z24" s="1526">
        <f>'O &amp; M'!X36</f>
        <v>39343.15</v>
      </c>
      <c r="AA24" s="1526">
        <f>'O &amp; M'!Y36</f>
        <v>39343.15</v>
      </c>
      <c r="AB24" s="1526">
        <f>'O &amp; M'!Z36</f>
        <v>39343.15</v>
      </c>
      <c r="AC24" s="1526">
        <f>'O &amp; M'!AA36</f>
        <v>39343.15</v>
      </c>
      <c r="AD24" s="1524"/>
      <c r="AE24" s="1524"/>
      <c r="AF24" s="1524"/>
      <c r="AG24" s="1524"/>
    </row>
    <row r="25" spans="2:33" x14ac:dyDescent="0.25">
      <c r="B25" s="1527" t="s">
        <v>1874</v>
      </c>
      <c r="C25" s="1527"/>
      <c r="D25" s="1528">
        <f>D13</f>
        <v>0</v>
      </c>
      <c r="E25" s="1528">
        <f t="shared" ref="E25:M25" si="6">E13</f>
        <v>0</v>
      </c>
      <c r="F25" s="1528">
        <f t="shared" si="6"/>
        <v>613895.28</v>
      </c>
      <c r="G25" s="1528">
        <f t="shared" si="6"/>
        <v>0</v>
      </c>
      <c r="H25" s="1528">
        <f t="shared" si="6"/>
        <v>0</v>
      </c>
      <c r="I25" s="1528">
        <f t="shared" si="6"/>
        <v>0</v>
      </c>
      <c r="J25" s="1528">
        <f t="shared" si="6"/>
        <v>0</v>
      </c>
      <c r="K25" s="1528">
        <f t="shared" si="6"/>
        <v>613895.28</v>
      </c>
      <c r="L25" s="1528">
        <f t="shared" si="6"/>
        <v>0</v>
      </c>
      <c r="M25" s="1528">
        <f t="shared" si="6"/>
        <v>0</v>
      </c>
      <c r="N25" s="1524"/>
      <c r="O25" s="1526" t="e">
        <f>#REF!+M25</f>
        <v>#REF!</v>
      </c>
      <c r="P25" s="1524"/>
      <c r="Q25" s="1524"/>
      <c r="R25" s="1527" t="s">
        <v>1874</v>
      </c>
      <c r="S25" s="1527"/>
      <c r="T25" s="1528">
        <f>T13</f>
        <v>0</v>
      </c>
      <c r="U25" s="1528">
        <f t="shared" ref="U25:AC25" si="7">U13</f>
        <v>0</v>
      </c>
      <c r="V25" s="1528">
        <f t="shared" si="7"/>
        <v>519969.30216000002</v>
      </c>
      <c r="W25" s="1528">
        <f t="shared" si="7"/>
        <v>0</v>
      </c>
      <c r="X25" s="1528">
        <f t="shared" si="7"/>
        <v>0</v>
      </c>
      <c r="Y25" s="1528">
        <f t="shared" si="7"/>
        <v>0</v>
      </c>
      <c r="Z25" s="1528">
        <f t="shared" si="7"/>
        <v>0</v>
      </c>
      <c r="AA25" s="1528">
        <f t="shared" si="7"/>
        <v>519969.30216000002</v>
      </c>
      <c r="AB25" s="1528">
        <f t="shared" si="7"/>
        <v>0</v>
      </c>
      <c r="AC25" s="1528">
        <f t="shared" si="7"/>
        <v>0</v>
      </c>
      <c r="AD25" s="1524"/>
      <c r="AE25" s="1526" t="e">
        <f>#REF!+AC25</f>
        <v>#REF!</v>
      </c>
      <c r="AF25" s="1524"/>
      <c r="AG25" s="1524"/>
    </row>
    <row r="26" spans="2:33" ht="15.75" thickBot="1" x14ac:dyDescent="0.3">
      <c r="B26" s="1529" t="s">
        <v>239</v>
      </c>
      <c r="C26" s="1530"/>
      <c r="D26" s="1531">
        <f t="shared" ref="D26:M26" si="8">SUM(D23:D25)</f>
        <v>161650</v>
      </c>
      <c r="E26" s="1531">
        <f t="shared" si="8"/>
        <v>161650</v>
      </c>
      <c r="F26" s="1531">
        <f t="shared" si="8"/>
        <v>775545.28</v>
      </c>
      <c r="G26" s="1531">
        <f t="shared" si="8"/>
        <v>161650</v>
      </c>
      <c r="H26" s="1531">
        <f t="shared" si="8"/>
        <v>161650</v>
      </c>
      <c r="I26" s="1531">
        <f t="shared" si="8"/>
        <v>161650</v>
      </c>
      <c r="J26" s="1531">
        <f t="shared" si="8"/>
        <v>161650</v>
      </c>
      <c r="K26" s="1531">
        <f t="shared" si="8"/>
        <v>775545.28</v>
      </c>
      <c r="L26" s="1531">
        <f t="shared" si="8"/>
        <v>161650</v>
      </c>
      <c r="M26" s="1531">
        <f t="shared" si="8"/>
        <v>161650</v>
      </c>
      <c r="N26" s="1524"/>
      <c r="O26" s="1524"/>
      <c r="P26" s="1524"/>
      <c r="Q26" s="1524"/>
      <c r="R26" s="1529" t="s">
        <v>239</v>
      </c>
      <c r="S26" s="1530"/>
      <c r="T26" s="1531">
        <f t="shared" ref="T26:AC26" si="9">SUM(T23:T25)</f>
        <v>143116.75</v>
      </c>
      <c r="U26" s="1531">
        <f t="shared" si="9"/>
        <v>143116.75</v>
      </c>
      <c r="V26" s="1531">
        <f t="shared" si="9"/>
        <v>663086.05215999996</v>
      </c>
      <c r="W26" s="1531">
        <f t="shared" si="9"/>
        <v>143116.75</v>
      </c>
      <c r="X26" s="1531">
        <f t="shared" si="9"/>
        <v>143116.75</v>
      </c>
      <c r="Y26" s="1531">
        <f t="shared" si="9"/>
        <v>143116.75</v>
      </c>
      <c r="Z26" s="1531">
        <f t="shared" si="9"/>
        <v>143116.75</v>
      </c>
      <c r="AA26" s="1531">
        <f t="shared" si="9"/>
        <v>663086.05215999996</v>
      </c>
      <c r="AB26" s="1531">
        <f t="shared" si="9"/>
        <v>143116.75</v>
      </c>
      <c r="AC26" s="1531">
        <f t="shared" si="9"/>
        <v>143116.75</v>
      </c>
      <c r="AD26" s="1524"/>
      <c r="AE26" s="1524"/>
      <c r="AF26" s="1524"/>
      <c r="AG26" s="1524"/>
    </row>
    <row r="27" spans="2:33" x14ac:dyDescent="0.25">
      <c r="B27" s="1524" t="s">
        <v>1526</v>
      </c>
      <c r="C27" s="1526">
        <f>C16+NPV(C17,D26:M26)</f>
        <v>5336745.4221396167</v>
      </c>
      <c r="D27" s="1524"/>
      <c r="E27" s="1524"/>
      <c r="F27" s="1524"/>
      <c r="G27" s="1524"/>
      <c r="H27" s="1524"/>
      <c r="I27" s="1524"/>
      <c r="J27" s="1524"/>
      <c r="K27" s="1524"/>
      <c r="L27" s="1524"/>
      <c r="M27" s="1524"/>
      <c r="N27" s="1524"/>
      <c r="O27" s="1524"/>
      <c r="P27" s="1524"/>
      <c r="Q27" s="1524"/>
      <c r="R27" s="1524" t="s">
        <v>1526</v>
      </c>
      <c r="S27" s="1526">
        <f>S16+NPV(S17,T26:AC26)</f>
        <v>4563391.5716056572</v>
      </c>
      <c r="T27" s="1524"/>
      <c r="U27" s="1524"/>
      <c r="V27" s="1524"/>
      <c r="W27" s="1524"/>
      <c r="X27" s="1524"/>
      <c r="Y27" s="1524"/>
      <c r="Z27" s="1524"/>
      <c r="AA27" s="1524"/>
      <c r="AB27" s="1524"/>
      <c r="AC27" s="1524"/>
      <c r="AD27" s="1524"/>
      <c r="AE27" s="1524"/>
      <c r="AF27" s="1524"/>
      <c r="AG27" s="1524"/>
    </row>
  </sheetData>
  <mergeCells count="28">
    <mergeCell ref="AC8:AC9"/>
    <mergeCell ref="V8:V9"/>
    <mergeCell ref="W8:W9"/>
    <mergeCell ref="X8:X9"/>
    <mergeCell ref="Y8:Y9"/>
    <mergeCell ref="Z8:Z9"/>
    <mergeCell ref="AA8:AA9"/>
    <mergeCell ref="K8:K9"/>
    <mergeCell ref="L8:L9"/>
    <mergeCell ref="M8:M9"/>
    <mergeCell ref="R5:AG5"/>
    <mergeCell ref="R7:R9"/>
    <mergeCell ref="S7:AC7"/>
    <mergeCell ref="S8:S9"/>
    <mergeCell ref="T8:T9"/>
    <mergeCell ref="U8:U9"/>
    <mergeCell ref="B5:Q5"/>
    <mergeCell ref="B7:B9"/>
    <mergeCell ref="C7:M7"/>
    <mergeCell ref="C8:C9"/>
    <mergeCell ref="D8:D9"/>
    <mergeCell ref="E8:E9"/>
    <mergeCell ref="AB8:AB9"/>
    <mergeCell ref="F8:F9"/>
    <mergeCell ref="G8:G9"/>
    <mergeCell ref="H8:H9"/>
    <mergeCell ref="I8:I9"/>
    <mergeCell ref="J8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29"/>
  <sheetViews>
    <sheetView zoomScale="115" zoomScaleNormal="115" workbookViewId="0">
      <selection activeCell="J20" sqref="J20"/>
    </sheetView>
  </sheetViews>
  <sheetFormatPr baseColWidth="10" defaultRowHeight="15" x14ac:dyDescent="0.25"/>
  <cols>
    <col min="1" max="1" width="18.7109375" customWidth="1"/>
    <col min="11" max="11" width="10.85546875" customWidth="1"/>
    <col min="12" max="12" width="12" customWidth="1"/>
    <col min="13" max="13" width="9" customWidth="1"/>
    <col min="14" max="14" width="7.140625" customWidth="1"/>
    <col min="15" max="15" width="17.85546875" customWidth="1"/>
    <col min="16" max="16" width="22.42578125" customWidth="1"/>
    <col min="17" max="17" width="11.7109375" customWidth="1"/>
    <col min="18" max="18" width="9.28515625" customWidth="1"/>
    <col min="19" max="19" width="11.42578125" customWidth="1"/>
    <col min="20" max="20" width="12" customWidth="1"/>
  </cols>
  <sheetData>
    <row r="3" spans="2:22" ht="15.75" thickBot="1" x14ac:dyDescent="0.3"/>
    <row r="4" spans="2:22" ht="15.75" thickBot="1" x14ac:dyDescent="0.3">
      <c r="B4" s="1628" t="s">
        <v>291</v>
      </c>
      <c r="C4" s="1630" t="s">
        <v>292</v>
      </c>
      <c r="D4" s="1631"/>
      <c r="E4" s="1631"/>
      <c r="F4" s="1631"/>
      <c r="G4" s="1631"/>
      <c r="H4" s="1632"/>
    </row>
    <row r="5" spans="2:22" ht="15.75" thickBot="1" x14ac:dyDescent="0.3">
      <c r="B5" s="1629"/>
      <c r="C5" s="68" t="s">
        <v>293</v>
      </c>
      <c r="D5" s="68" t="s">
        <v>294</v>
      </c>
      <c r="E5" s="68" t="s">
        <v>295</v>
      </c>
      <c r="F5" s="68" t="s">
        <v>296</v>
      </c>
      <c r="G5" s="68" t="s">
        <v>297</v>
      </c>
      <c r="H5" s="68" t="s">
        <v>299</v>
      </c>
    </row>
    <row r="6" spans="2:22" ht="15.75" thickBot="1" x14ac:dyDescent="0.3">
      <c r="B6" s="69" t="s">
        <v>298</v>
      </c>
      <c r="C6" s="70">
        <v>0.5</v>
      </c>
      <c r="D6" s="70">
        <v>0.6</v>
      </c>
      <c r="E6" s="70">
        <v>0.5</v>
      </c>
      <c r="F6" s="70">
        <v>1.4</v>
      </c>
      <c r="G6" s="70">
        <v>0.4</v>
      </c>
      <c r="H6" s="71">
        <v>0.04</v>
      </c>
    </row>
    <row r="7" spans="2:22" x14ac:dyDescent="0.25">
      <c r="B7" t="s">
        <v>300</v>
      </c>
    </row>
    <row r="10" spans="2:22" x14ac:dyDescent="0.25"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</row>
    <row r="11" spans="2:22" x14ac:dyDescent="0.25"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</row>
    <row r="12" spans="2:22" x14ac:dyDescent="0.25"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</row>
    <row r="13" spans="2:22" ht="16.5" x14ac:dyDescent="0.25">
      <c r="K13" s="103"/>
      <c r="L13" s="105"/>
      <c r="M13" s="105"/>
      <c r="N13" s="105"/>
      <c r="O13" s="106"/>
      <c r="P13" s="107"/>
      <c r="Q13" s="107"/>
      <c r="R13" s="107"/>
      <c r="S13" s="105"/>
      <c r="T13" s="105"/>
      <c r="U13" s="103"/>
      <c r="V13" s="103"/>
    </row>
    <row r="14" spans="2:22" x14ac:dyDescent="0.25">
      <c r="K14" s="103"/>
      <c r="L14" s="105"/>
      <c r="M14" s="105"/>
      <c r="N14" s="105"/>
      <c r="O14" s="1635"/>
      <c r="P14" s="1636"/>
      <c r="Q14" s="1636"/>
      <c r="R14" s="1636"/>
      <c r="S14" s="105"/>
      <c r="T14" s="105"/>
      <c r="U14" s="103"/>
      <c r="V14" s="103"/>
    </row>
    <row r="15" spans="2:22" x14ac:dyDescent="0.25">
      <c r="K15" s="103"/>
      <c r="L15" s="105"/>
      <c r="M15" s="105"/>
      <c r="N15" s="105"/>
      <c r="O15" s="1635"/>
      <c r="P15" s="1636"/>
      <c r="Q15" s="1636"/>
      <c r="R15" s="1636"/>
      <c r="S15" s="105"/>
      <c r="T15" s="105"/>
      <c r="U15" s="103"/>
      <c r="V15" s="103"/>
    </row>
    <row r="16" spans="2:22" x14ac:dyDescent="0.25">
      <c r="K16" s="103"/>
      <c r="L16" s="105"/>
      <c r="M16" s="105"/>
      <c r="N16" s="105"/>
      <c r="O16" s="106"/>
      <c r="P16" s="105"/>
      <c r="Q16" s="105"/>
      <c r="R16" s="105"/>
      <c r="S16" s="105"/>
      <c r="T16" s="105"/>
      <c r="U16" s="103"/>
      <c r="V16" s="103"/>
    </row>
    <row r="17" spans="1:22" x14ac:dyDescent="0.25">
      <c r="K17" s="103"/>
      <c r="L17" s="1633"/>
      <c r="M17" s="217"/>
      <c r="N17" s="1633"/>
      <c r="O17" s="1633"/>
      <c r="P17" s="1633"/>
      <c r="Q17" s="1633"/>
      <c r="R17" s="1633"/>
      <c r="S17" s="1633"/>
      <c r="T17" s="1633"/>
      <c r="U17" s="103"/>
      <c r="V17" s="103"/>
    </row>
    <row r="18" spans="1:22" x14ac:dyDescent="0.25">
      <c r="K18" s="103"/>
      <c r="L18" s="1633"/>
      <c r="M18" s="217"/>
      <c r="N18" s="108"/>
      <c r="O18" s="108"/>
      <c r="P18" s="108"/>
      <c r="Q18" s="108"/>
      <c r="R18" s="108"/>
      <c r="S18" s="108"/>
      <c r="T18" s="108"/>
      <c r="U18" s="103"/>
      <c r="V18" s="103"/>
    </row>
    <row r="19" spans="1:22" x14ac:dyDescent="0.25">
      <c r="K19" s="103"/>
      <c r="L19" s="105"/>
      <c r="M19" s="105"/>
      <c r="N19" s="105"/>
      <c r="O19" s="109"/>
      <c r="P19" s="109"/>
      <c r="Q19" s="109"/>
      <c r="R19" s="109"/>
      <c r="S19" s="109"/>
      <c r="T19" s="109"/>
      <c r="U19" s="103"/>
      <c r="V19" s="103"/>
    </row>
    <row r="20" spans="1:22" x14ac:dyDescent="0.25">
      <c r="K20" s="103"/>
      <c r="L20" s="105"/>
      <c r="M20" s="105"/>
      <c r="N20" s="105"/>
      <c r="O20" s="109"/>
      <c r="P20" s="109"/>
      <c r="Q20" s="109"/>
      <c r="R20" s="109"/>
      <c r="S20" s="109"/>
      <c r="T20" s="109"/>
      <c r="U20" s="110"/>
      <c r="V20" s="103"/>
    </row>
    <row r="21" spans="1:22" x14ac:dyDescent="0.25">
      <c r="K21" s="103"/>
      <c r="L21" s="105"/>
      <c r="M21" s="105"/>
      <c r="N21" s="105"/>
      <c r="O21" s="109"/>
      <c r="P21" s="109"/>
      <c r="Q21" s="109"/>
      <c r="R21" s="109"/>
      <c r="S21" s="109"/>
      <c r="T21" s="109"/>
      <c r="U21" s="110"/>
      <c r="V21" s="103"/>
    </row>
    <row r="22" spans="1:22" x14ac:dyDescent="0.25">
      <c r="K22" s="103"/>
      <c r="L22" s="105"/>
      <c r="M22" s="105"/>
      <c r="N22" s="105"/>
      <c r="O22" s="109"/>
      <c r="P22" s="109"/>
      <c r="Q22" s="109"/>
      <c r="R22" s="109"/>
      <c r="S22" s="109"/>
      <c r="T22" s="109"/>
      <c r="U22" s="110"/>
      <c r="V22" s="103"/>
    </row>
    <row r="23" spans="1:22" x14ac:dyDescent="0.25"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</row>
    <row r="24" spans="1:22" x14ac:dyDescent="0.25"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</row>
    <row r="26" spans="1:22" ht="15" customHeight="1" x14ac:dyDescent="0.25">
      <c r="D26" s="78">
        <f>+C28-B28</f>
        <v>10</v>
      </c>
    </row>
    <row r="27" spans="1:22" x14ac:dyDescent="0.25">
      <c r="A27" s="1627" t="s">
        <v>301</v>
      </c>
      <c r="B27" s="1627" t="s">
        <v>302</v>
      </c>
      <c r="C27" s="1627"/>
      <c r="D27" s="1627" t="s">
        <v>303</v>
      </c>
      <c r="E27" s="1627" t="s">
        <v>278</v>
      </c>
      <c r="F27" s="1627"/>
      <c r="G27" s="1627"/>
      <c r="H27" s="1627"/>
      <c r="I27" s="1627"/>
      <c r="J27" s="113"/>
      <c r="L27" s="1627" t="s">
        <v>331</v>
      </c>
      <c r="M27" s="1627"/>
      <c r="N27" s="1627"/>
      <c r="O27" s="1627"/>
      <c r="P27" s="1627"/>
    </row>
    <row r="28" spans="1:22" x14ac:dyDescent="0.25">
      <c r="A28" s="1627"/>
      <c r="B28" s="72">
        <v>2007</v>
      </c>
      <c r="C28" s="72">
        <v>2017</v>
      </c>
      <c r="D28" s="1627"/>
      <c r="E28" s="72">
        <v>2018</v>
      </c>
      <c r="F28" s="72">
        <v>2019</v>
      </c>
      <c r="G28" s="72">
        <v>2020</v>
      </c>
      <c r="H28" s="72">
        <v>2021</v>
      </c>
      <c r="I28" s="72">
        <v>2022</v>
      </c>
      <c r="J28" s="113"/>
      <c r="L28" s="72">
        <v>2019</v>
      </c>
      <c r="M28" s="218"/>
      <c r="N28" s="72">
        <v>2020</v>
      </c>
      <c r="O28" s="72">
        <v>2021</v>
      </c>
      <c r="P28" s="72">
        <v>2022</v>
      </c>
    </row>
    <row r="29" spans="1:22" x14ac:dyDescent="0.25">
      <c r="A29" s="73" t="s">
        <v>298</v>
      </c>
      <c r="B29" s="84">
        <v>404190</v>
      </c>
      <c r="C29" s="84">
        <v>405759</v>
      </c>
      <c r="D29" s="95">
        <f>+(((C29/B29)^(1/$D$26))-1)</f>
        <v>3.8750734746773041E-4</v>
      </c>
      <c r="E29" s="84">
        <f>+(C29*D29)+C29</f>
        <v>405916.23459380114</v>
      </c>
      <c r="F29" s="84">
        <f>+(E29*D29)+E29</f>
        <v>406073.53011716268</v>
      </c>
      <c r="G29" s="84">
        <f>+(F29*D29)+F29</f>
        <v>406230.88659369526</v>
      </c>
      <c r="H29" s="84">
        <f>+(G29*$D$29)+G29</f>
        <v>406388.30404701864</v>
      </c>
      <c r="I29" s="84">
        <f>+(H29*$D29)+H29</f>
        <v>406545.78250076179</v>
      </c>
      <c r="J29" s="101"/>
      <c r="L29" s="94">
        <f>+F29/D57</f>
        <v>3.3659538109300859</v>
      </c>
      <c r="M29" s="94"/>
      <c r="N29" s="94">
        <f t="shared" ref="N29:P30" si="0">+G29/E57</f>
        <v>3.3659538109300864</v>
      </c>
      <c r="O29" s="94">
        <f t="shared" si="0"/>
        <v>3.3659538109300864</v>
      </c>
      <c r="P29" s="94">
        <f t="shared" si="0"/>
        <v>3.3659538109300859</v>
      </c>
    </row>
    <row r="30" spans="1:22" x14ac:dyDescent="0.25">
      <c r="A30" s="74" t="s">
        <v>304</v>
      </c>
      <c r="B30" s="75">
        <v>51225</v>
      </c>
      <c r="C30" s="75">
        <v>69028</v>
      </c>
      <c r="D30" s="95">
        <f t="shared" ref="D30:D52" si="1">+(((C30/B30)^(1/$D$26))-1)</f>
        <v>3.027777724270031E-2</v>
      </c>
      <c r="E30" s="75">
        <f t="shared" ref="E30:E52" si="2">+(C30*D30)+C30</f>
        <v>71118.014407509123</v>
      </c>
      <c r="F30" s="75">
        <f>+(E30*$D30)+E30</f>
        <v>73271.309805682831</v>
      </c>
      <c r="G30" s="75">
        <f t="shared" ref="G30:I30" si="3">+(F30*$D30)+F30</f>
        <v>75489.80220226018</v>
      </c>
      <c r="H30" s="75">
        <f t="shared" si="3"/>
        <v>77775.465617435722</v>
      </c>
      <c r="I30" s="75">
        <f t="shared" si="3"/>
        <v>80130.333840347739</v>
      </c>
      <c r="J30" s="102"/>
      <c r="L30" s="93">
        <f t="shared" ref="L30:L52" si="4">+F30/D58</f>
        <v>3.3659059879071584</v>
      </c>
      <c r="M30" s="93"/>
      <c r="N30" s="93">
        <f t="shared" si="0"/>
        <v>3.3659059879071584</v>
      </c>
      <c r="O30" s="93">
        <f t="shared" si="0"/>
        <v>3.3659059879071584</v>
      </c>
      <c r="P30" s="93">
        <f t="shared" si="0"/>
        <v>3.3659059879071589</v>
      </c>
    </row>
    <row r="31" spans="1:22" x14ac:dyDescent="0.25">
      <c r="A31" s="74" t="s">
        <v>305</v>
      </c>
      <c r="B31" s="75">
        <v>16532</v>
      </c>
      <c r="C31" s="75">
        <v>16223</v>
      </c>
      <c r="D31" s="95">
        <f t="shared" si="1"/>
        <v>-1.8850119512807684E-3</v>
      </c>
      <c r="E31" s="75">
        <f t="shared" si="2"/>
        <v>16192.419451114372</v>
      </c>
      <c r="F31" s="75">
        <f t="shared" ref="F31:I31" si="5">+(E31*$D31)+E31</f>
        <v>16161.896546928871</v>
      </c>
      <c r="G31" s="75">
        <f t="shared" si="5"/>
        <v>16131.431178782546</v>
      </c>
      <c r="H31" s="75">
        <f t="shared" si="5"/>
        <v>16101.023238219277</v>
      </c>
      <c r="I31" s="75">
        <f t="shared" si="5"/>
        <v>16070.672616987384</v>
      </c>
      <c r="J31" s="102"/>
      <c r="L31" s="93">
        <f t="shared" si="4"/>
        <v>3.2394169329073486</v>
      </c>
      <c r="M31" s="93"/>
      <c r="N31" s="93">
        <f t="shared" ref="N31" si="6">+G31/E59</f>
        <v>3.2394169329073486</v>
      </c>
      <c r="O31" s="93">
        <f t="shared" ref="O31:O52" si="7">+H31/F59</f>
        <v>3.2394169329073481</v>
      </c>
      <c r="P31" s="93">
        <f t="shared" ref="P31:P52" si="8">+I31/G59</f>
        <v>3.2394169329073481</v>
      </c>
    </row>
    <row r="32" spans="1:22" x14ac:dyDescent="0.25">
      <c r="A32" s="74" t="s">
        <v>306</v>
      </c>
      <c r="B32" s="75">
        <v>4515</v>
      </c>
      <c r="C32" s="75">
        <v>2886</v>
      </c>
      <c r="D32" s="95">
        <f t="shared" si="1"/>
        <v>-4.376671396631282E-2</v>
      </c>
      <c r="E32" s="75">
        <f t="shared" si="2"/>
        <v>2759.689263493221</v>
      </c>
      <c r="F32" s="75">
        <f t="shared" ref="F32:I32" si="9">+(E32*$D32)+E32</f>
        <v>2638.9067328620085</v>
      </c>
      <c r="G32" s="75">
        <f t="shared" si="9"/>
        <v>2523.41045670106</v>
      </c>
      <c r="H32" s="75">
        <f t="shared" si="9"/>
        <v>2412.9690730230218</v>
      </c>
      <c r="I32" s="75">
        <f t="shared" si="9"/>
        <v>2307.3613457944643</v>
      </c>
      <c r="J32" s="102"/>
      <c r="L32" s="93">
        <f t="shared" si="4"/>
        <v>2.6599078341013822</v>
      </c>
      <c r="M32" s="93"/>
      <c r="N32" s="93">
        <f t="shared" ref="N32:N44" si="10">+G32/E60</f>
        <v>2.6599078341013822</v>
      </c>
      <c r="O32" s="93">
        <f t="shared" si="7"/>
        <v>2.6599078341013818</v>
      </c>
      <c r="P32" s="93">
        <f t="shared" si="8"/>
        <v>2.6599078341013818</v>
      </c>
    </row>
    <row r="33" spans="1:16" x14ac:dyDescent="0.25">
      <c r="A33" s="74" t="s">
        <v>307</v>
      </c>
      <c r="B33" s="75">
        <v>3531</v>
      </c>
      <c r="C33" s="75">
        <v>2541</v>
      </c>
      <c r="D33" s="95">
        <f t="shared" si="1"/>
        <v>-3.2366947201163843E-2</v>
      </c>
      <c r="E33" s="75">
        <f t="shared" si="2"/>
        <v>2458.7555871618429</v>
      </c>
      <c r="F33" s="75">
        <f t="shared" ref="F33:I33" si="11">+(E33*$D33)+E33</f>
        <v>2379.1731748916091</v>
      </c>
      <c r="G33" s="75">
        <f t="shared" si="11"/>
        <v>2302.1666023574671</v>
      </c>
      <c r="H33" s="75">
        <f t="shared" si="11"/>
        <v>2227.6524974906802</v>
      </c>
      <c r="I33" s="75">
        <f t="shared" si="11"/>
        <v>2155.5501867218586</v>
      </c>
      <c r="J33" s="102"/>
      <c r="L33" s="93">
        <f t="shared" si="4"/>
        <v>3.0142348754448403</v>
      </c>
      <c r="M33" s="93"/>
      <c r="N33" s="93">
        <f t="shared" si="10"/>
        <v>3.0142348754448407</v>
      </c>
      <c r="O33" s="93">
        <f t="shared" si="7"/>
        <v>3.0142348754448403</v>
      </c>
      <c r="P33" s="93">
        <f t="shared" si="8"/>
        <v>3.0142348754448407</v>
      </c>
    </row>
    <row r="34" spans="1:16" x14ac:dyDescent="0.25">
      <c r="A34" s="74" t="s">
        <v>308</v>
      </c>
      <c r="B34" s="75">
        <v>7353</v>
      </c>
      <c r="C34" s="75">
        <v>10861</v>
      </c>
      <c r="D34" s="95">
        <f t="shared" si="1"/>
        <v>3.9777761869776995E-2</v>
      </c>
      <c r="E34" s="75">
        <f t="shared" si="2"/>
        <v>11293.026271667648</v>
      </c>
      <c r="F34" s="75">
        <f t="shared" ref="F34:I34" si="12">+(E34*$D34)+E34</f>
        <v>11742.237581491179</v>
      </c>
      <c r="G34" s="75">
        <f t="shared" si="12"/>
        <v>12209.317511826082</v>
      </c>
      <c r="H34" s="75">
        <f t="shared" si="12"/>
        <v>12694.976836403999</v>
      </c>
      <c r="I34" s="75">
        <f t="shared" si="12"/>
        <v>13199.954601944812</v>
      </c>
      <c r="J34" s="102"/>
      <c r="L34" s="93">
        <f t="shared" si="4"/>
        <v>3.2962063732928684</v>
      </c>
      <c r="M34" s="93"/>
      <c r="N34" s="93">
        <f t="shared" si="10"/>
        <v>3.2962063732928684</v>
      </c>
      <c r="O34" s="93">
        <f t="shared" si="7"/>
        <v>3.2962063732928688</v>
      </c>
      <c r="P34" s="93">
        <f t="shared" si="8"/>
        <v>3.2962063732928688</v>
      </c>
    </row>
    <row r="35" spans="1:16" x14ac:dyDescent="0.25">
      <c r="A35" s="74" t="s">
        <v>309</v>
      </c>
      <c r="B35" s="75">
        <v>37260</v>
      </c>
      <c r="C35" s="75">
        <v>42268</v>
      </c>
      <c r="D35" s="95">
        <f t="shared" si="1"/>
        <v>1.2690847242995629E-2</v>
      </c>
      <c r="E35" s="75">
        <f t="shared" si="2"/>
        <v>42804.416731266938</v>
      </c>
      <c r="F35" s="75">
        <f t="shared" ref="F35:I35" si="13">+(E35*$D35)+E35</f>
        <v>43347.641045328972</v>
      </c>
      <c r="G35" s="75">
        <f t="shared" si="13"/>
        <v>43897.75933617945</v>
      </c>
      <c r="H35" s="75">
        <f t="shared" si="13"/>
        <v>44454.859094224688</v>
      </c>
      <c r="I35" s="75">
        <f t="shared" si="13"/>
        <v>45019.028920198391</v>
      </c>
      <c r="J35" s="102"/>
      <c r="L35" s="93">
        <f t="shared" si="4"/>
        <v>3.4617526617526617</v>
      </c>
      <c r="M35" s="93"/>
      <c r="N35" s="93">
        <f t="shared" si="10"/>
        <v>3.4617526617526617</v>
      </c>
      <c r="O35" s="93">
        <f t="shared" si="7"/>
        <v>3.4617526617526617</v>
      </c>
      <c r="P35" s="93">
        <f t="shared" si="8"/>
        <v>3.4617526617526617</v>
      </c>
    </row>
    <row r="36" spans="1:16" x14ac:dyDescent="0.25">
      <c r="A36" s="76" t="s">
        <v>310</v>
      </c>
      <c r="B36" s="75">
        <v>7078</v>
      </c>
      <c r="C36" s="75">
        <v>5210</v>
      </c>
      <c r="D36" s="95">
        <f t="shared" si="1"/>
        <v>-3.0176470722677151E-2</v>
      </c>
      <c r="E36" s="75">
        <f t="shared" si="2"/>
        <v>5052.7805875348522</v>
      </c>
      <c r="F36" s="75">
        <f t="shared" ref="F36:I36" si="14">+(E36*$D36)+E36</f>
        <v>4900.3055020669954</v>
      </c>
      <c r="G36" s="75">
        <f t="shared" si="14"/>
        <v>4752.4315765516967</v>
      </c>
      <c r="H36" s="75">
        <f t="shared" si="14"/>
        <v>4609.0199642203579</v>
      </c>
      <c r="I36" s="75">
        <f t="shared" si="14"/>
        <v>4469.9360082098274</v>
      </c>
      <c r="J36" s="102"/>
      <c r="L36" s="93">
        <f t="shared" si="4"/>
        <v>3.2101047443006778</v>
      </c>
      <c r="M36" s="93"/>
      <c r="N36" s="93">
        <f t="shared" si="10"/>
        <v>3.2101047443006778</v>
      </c>
      <c r="O36" s="93">
        <f t="shared" si="7"/>
        <v>3.2101047443006778</v>
      </c>
      <c r="P36" s="93">
        <f t="shared" si="8"/>
        <v>3.2101047443006778</v>
      </c>
    </row>
    <row r="37" spans="1:16" x14ac:dyDescent="0.25">
      <c r="A37" s="74" t="s">
        <v>311</v>
      </c>
      <c r="B37" s="75">
        <v>20357</v>
      </c>
      <c r="C37" s="75">
        <v>20738</v>
      </c>
      <c r="D37" s="95">
        <f t="shared" si="1"/>
        <v>1.8560135700760316E-3</v>
      </c>
      <c r="E37" s="75">
        <f t="shared" si="2"/>
        <v>20776.490009416237</v>
      </c>
      <c r="F37" s="75">
        <f t="shared" ref="F37:I37" si="15">+(E37*$D37)+E37</f>
        <v>20815.051456812263</v>
      </c>
      <c r="G37" s="75">
        <f t="shared" si="15"/>
        <v>20853.68447477794</v>
      </c>
      <c r="H37" s="75">
        <f t="shared" si="15"/>
        <v>20892.389196149212</v>
      </c>
      <c r="I37" s="75">
        <f t="shared" si="15"/>
        <v>20931.165754008576</v>
      </c>
      <c r="J37" s="102"/>
      <c r="L37" s="93">
        <f t="shared" si="4"/>
        <v>3.6639575971731451</v>
      </c>
      <c r="M37" s="93"/>
      <c r="N37" s="93">
        <f t="shared" si="10"/>
        <v>3.6639575971731455</v>
      </c>
      <c r="O37" s="93">
        <f t="shared" si="7"/>
        <v>3.663957597173146</v>
      </c>
      <c r="P37" s="93">
        <f t="shared" si="8"/>
        <v>3.663957597173146</v>
      </c>
    </row>
    <row r="38" spans="1:16" x14ac:dyDescent="0.25">
      <c r="A38" s="74" t="s">
        <v>312</v>
      </c>
      <c r="B38" s="75">
        <v>9430</v>
      </c>
      <c r="C38" s="75">
        <v>8152</v>
      </c>
      <c r="D38" s="95">
        <f t="shared" si="1"/>
        <v>-1.4457748426021655E-2</v>
      </c>
      <c r="E38" s="75">
        <f t="shared" si="2"/>
        <v>8034.1404348310716</v>
      </c>
      <c r="F38" s="75">
        <f t="shared" ref="F38:I38" si="16">+(E38*$D38)+E38</f>
        <v>7917.9848536049558</v>
      </c>
      <c r="G38" s="75">
        <f t="shared" si="16"/>
        <v>7803.5086205504858</v>
      </c>
      <c r="H38" s="75">
        <f t="shared" si="16"/>
        <v>7690.6874560742754</v>
      </c>
      <c r="I38" s="75">
        <f t="shared" si="16"/>
        <v>7579.497431611193</v>
      </c>
      <c r="J38" s="102"/>
      <c r="L38" s="93">
        <f t="shared" si="4"/>
        <v>3.2990692027519217</v>
      </c>
      <c r="M38" s="93"/>
      <c r="N38" s="93">
        <f t="shared" si="10"/>
        <v>3.2990692027519222</v>
      </c>
      <c r="O38" s="93">
        <f t="shared" si="7"/>
        <v>3.2990692027519222</v>
      </c>
      <c r="P38" s="93">
        <f t="shared" si="8"/>
        <v>3.2990692027519226</v>
      </c>
    </row>
    <row r="39" spans="1:16" x14ac:dyDescent="0.25">
      <c r="A39" s="74" t="s">
        <v>313</v>
      </c>
      <c r="B39" s="75">
        <v>16649</v>
      </c>
      <c r="C39" s="75">
        <v>18509</v>
      </c>
      <c r="D39" s="95">
        <f t="shared" si="1"/>
        <v>1.0646974482582561E-2</v>
      </c>
      <c r="E39" s="75">
        <f t="shared" si="2"/>
        <v>18706.06485069812</v>
      </c>
      <c r="F39" s="75">
        <f t="shared" ref="F39:I39" si="17">+(E39*$D39)+E39</f>
        <v>18905.227845833037</v>
      </c>
      <c r="G39" s="75">
        <f t="shared" si="17"/>
        <v>19106.511324295032</v>
      </c>
      <c r="H39" s="75">
        <f t="shared" si="17"/>
        <v>19309.937862815976</v>
      </c>
      <c r="I39" s="75">
        <f t="shared" si="17"/>
        <v>19515.530278501632</v>
      </c>
      <c r="J39" s="102"/>
      <c r="L39" s="93">
        <f t="shared" si="4"/>
        <v>3.452527513523596</v>
      </c>
      <c r="M39" s="93"/>
      <c r="N39" s="93">
        <f t="shared" si="10"/>
        <v>3.4525275135235964</v>
      </c>
      <c r="O39" s="93">
        <f t="shared" si="7"/>
        <v>3.4525275135235964</v>
      </c>
      <c r="P39" s="93">
        <f t="shared" si="8"/>
        <v>3.452527513523596</v>
      </c>
    </row>
    <row r="40" spans="1:16" x14ac:dyDescent="0.25">
      <c r="A40" s="74" t="s">
        <v>314</v>
      </c>
      <c r="B40" s="75">
        <v>3166</v>
      </c>
      <c r="C40" s="75">
        <v>2776</v>
      </c>
      <c r="D40" s="95">
        <f t="shared" si="1"/>
        <v>-1.3059763343021613E-2</v>
      </c>
      <c r="E40" s="75">
        <f t="shared" si="2"/>
        <v>2739.7460969597719</v>
      </c>
      <c r="F40" s="75">
        <f t="shared" ref="F40:I40" si="18">+(E40*$D40)+E40</f>
        <v>2703.9656613135103</v>
      </c>
      <c r="G40" s="75">
        <f t="shared" si="18"/>
        <v>2668.6525096890991</v>
      </c>
      <c r="H40" s="75">
        <f t="shared" si="18"/>
        <v>2633.8005394677989</v>
      </c>
      <c r="I40" s="75">
        <f t="shared" si="18"/>
        <v>2599.403727729627</v>
      </c>
      <c r="J40" s="102"/>
      <c r="L40" s="93">
        <f t="shared" si="4"/>
        <v>2.6438095238095238</v>
      </c>
      <c r="M40" s="93"/>
      <c r="N40" s="93">
        <f t="shared" si="10"/>
        <v>2.6438095238095238</v>
      </c>
      <c r="O40" s="93">
        <f t="shared" si="7"/>
        <v>2.6438095238095238</v>
      </c>
      <c r="P40" s="93">
        <f t="shared" si="8"/>
        <v>2.6438095238095243</v>
      </c>
    </row>
    <row r="41" spans="1:16" x14ac:dyDescent="0.25">
      <c r="A41" s="74" t="s">
        <v>315</v>
      </c>
      <c r="B41" s="75">
        <v>1174</v>
      </c>
      <c r="C41" s="75">
        <v>2268</v>
      </c>
      <c r="D41" s="95">
        <f t="shared" si="1"/>
        <v>6.8064536819526289E-2</v>
      </c>
      <c r="E41" s="75">
        <f t="shared" si="2"/>
        <v>2422.3703695066856</v>
      </c>
      <c r="F41" s="75">
        <f t="shared" ref="F41:I41" si="19">+(E41*$D41)+E41</f>
        <v>2587.2478867125028</v>
      </c>
      <c r="G41" s="75">
        <f t="shared" si="19"/>
        <v>2763.3477157588877</v>
      </c>
      <c r="H41" s="75">
        <f t="shared" si="19"/>
        <v>2951.4336981033125</v>
      </c>
      <c r="I41" s="75">
        <f t="shared" si="19"/>
        <v>3152.3216657182561</v>
      </c>
      <c r="J41" s="102"/>
      <c r="L41" s="93">
        <f t="shared" si="4"/>
        <v>5.8153846153846152</v>
      </c>
      <c r="M41" s="93"/>
      <c r="N41" s="93">
        <f t="shared" si="10"/>
        <v>5.815384615384616</v>
      </c>
      <c r="O41" s="93">
        <f t="shared" si="7"/>
        <v>5.815384615384616</v>
      </c>
      <c r="P41" s="93">
        <f t="shared" si="8"/>
        <v>5.815384615384616</v>
      </c>
    </row>
    <row r="42" spans="1:16" x14ac:dyDescent="0.25">
      <c r="A42" s="74" t="s">
        <v>316</v>
      </c>
      <c r="B42" s="75">
        <v>4558</v>
      </c>
      <c r="C42" s="75">
        <v>4928</v>
      </c>
      <c r="D42" s="95">
        <f t="shared" si="1"/>
        <v>7.8354674002536484E-3</v>
      </c>
      <c r="E42" s="75">
        <f t="shared" si="2"/>
        <v>4966.6131833484496</v>
      </c>
      <c r="F42" s="75">
        <f t="shared" ref="F42:I42" si="20">+(E42*$D42)+E42</f>
        <v>5005.5289190362464</v>
      </c>
      <c r="G42" s="75">
        <f t="shared" si="20"/>
        <v>5044.7495777023814</v>
      </c>
      <c r="H42" s="75">
        <f t="shared" si="20"/>
        <v>5084.2775485609118</v>
      </c>
      <c r="I42" s="75">
        <f t="shared" si="20"/>
        <v>5124.1152395465024</v>
      </c>
      <c r="J42" s="102"/>
      <c r="L42" s="93">
        <f t="shared" si="4"/>
        <v>3.3342354533152903</v>
      </c>
      <c r="M42" s="93"/>
      <c r="N42" s="93">
        <f t="shared" si="10"/>
        <v>3.3342354533152903</v>
      </c>
      <c r="O42" s="93">
        <f t="shared" si="7"/>
        <v>3.3342354533152903</v>
      </c>
      <c r="P42" s="93">
        <f t="shared" si="8"/>
        <v>3.3342354533152903</v>
      </c>
    </row>
    <row r="43" spans="1:16" x14ac:dyDescent="0.25">
      <c r="A43" s="74" t="s">
        <v>317</v>
      </c>
      <c r="B43" s="75">
        <v>4049</v>
      </c>
      <c r="C43" s="75">
        <v>2570</v>
      </c>
      <c r="D43" s="95">
        <f t="shared" si="1"/>
        <v>-4.4438739509945258E-2</v>
      </c>
      <c r="E43" s="75">
        <f t="shared" si="2"/>
        <v>2455.7924394594406</v>
      </c>
      <c r="F43" s="75">
        <f t="shared" ref="F43:I43" si="21">+(E43*$D43)+E43</f>
        <v>2346.6601189518096</v>
      </c>
      <c r="G43" s="75">
        <f t="shared" si="21"/>
        <v>2242.3775012073329</v>
      </c>
      <c r="H43" s="75">
        <f t="shared" si="21"/>
        <v>2142.7290715482181</v>
      </c>
      <c r="I43" s="75">
        <f t="shared" si="21"/>
        <v>2047.5088924972999</v>
      </c>
      <c r="J43" s="102"/>
      <c r="L43" s="93">
        <f t="shared" si="4"/>
        <v>3.1418092909535451</v>
      </c>
      <c r="M43" s="93"/>
      <c r="N43" s="93">
        <f t="shared" si="10"/>
        <v>3.1418092909535447</v>
      </c>
      <c r="O43" s="93">
        <f t="shared" si="7"/>
        <v>3.1418092909535442</v>
      </c>
      <c r="P43" s="93">
        <f t="shared" si="8"/>
        <v>3.1418092909535442</v>
      </c>
    </row>
    <row r="44" spans="1:16" x14ac:dyDescent="0.25">
      <c r="A44" s="74" t="s">
        <v>318</v>
      </c>
      <c r="B44" s="75">
        <v>10212</v>
      </c>
      <c r="C44" s="75">
        <v>10381</v>
      </c>
      <c r="D44" s="95">
        <f t="shared" si="1"/>
        <v>1.6427190703371952E-3</v>
      </c>
      <c r="E44" s="75">
        <f t="shared" si="2"/>
        <v>10398.05306666917</v>
      </c>
      <c r="F44" s="75">
        <f t="shared" ref="F44:I44" si="22">+(E44*$D44)+E44</f>
        <v>10415.134146736165</v>
      </c>
      <c r="G44" s="75">
        <f t="shared" si="22"/>
        <v>10432.243286219129</v>
      </c>
      <c r="H44" s="75">
        <f t="shared" si="22"/>
        <v>10449.380531211798</v>
      </c>
      <c r="I44" s="75">
        <f t="shared" si="22"/>
        <v>10466.54592788363</v>
      </c>
      <c r="J44" s="102"/>
      <c r="L44" s="93">
        <f t="shared" si="4"/>
        <v>3.2089644513137556</v>
      </c>
      <c r="M44" s="93"/>
      <c r="N44" s="93">
        <f t="shared" si="10"/>
        <v>3.2089644513137561</v>
      </c>
      <c r="O44" s="93">
        <f t="shared" si="7"/>
        <v>3.2089644513137561</v>
      </c>
      <c r="P44" s="93">
        <f t="shared" si="8"/>
        <v>3.2089644513137556</v>
      </c>
    </row>
    <row r="45" spans="1:16" x14ac:dyDescent="0.25">
      <c r="A45" s="74" t="s">
        <v>319</v>
      </c>
      <c r="B45" s="75">
        <v>7321</v>
      </c>
      <c r="C45" s="75">
        <v>14525</v>
      </c>
      <c r="D45" s="95">
        <f t="shared" si="1"/>
        <v>7.091394404692597E-2</v>
      </c>
      <c r="E45" s="75">
        <f t="shared" si="2"/>
        <v>15555.025037281599</v>
      </c>
      <c r="F45" s="75">
        <f t="shared" ref="F45:I45" si="23">+(E45*$D45)+E45</f>
        <v>16658.093212423919</v>
      </c>
      <c r="G45" s="75">
        <f t="shared" si="23"/>
        <v>17839.384302418224</v>
      </c>
      <c r="H45" s="75">
        <f t="shared" si="23"/>
        <v>19104.445402671521</v>
      </c>
      <c r="I45" s="75">
        <f t="shared" si="23"/>
        <v>20459.216975004121</v>
      </c>
      <c r="J45" s="102"/>
      <c r="L45" s="93">
        <f t="shared" si="4"/>
        <v>4.1182307910405447</v>
      </c>
      <c r="M45" s="93"/>
      <c r="N45" s="93">
        <f t="shared" ref="N45:N52" si="24">+G45/E73</f>
        <v>4.1182307910405438</v>
      </c>
      <c r="O45" s="93">
        <f t="shared" si="7"/>
        <v>4.1182307910405447</v>
      </c>
      <c r="P45" s="93">
        <f t="shared" si="8"/>
        <v>4.1182307910405447</v>
      </c>
    </row>
    <row r="46" spans="1:16" x14ac:dyDescent="0.25">
      <c r="A46" s="74" t="s">
        <v>320</v>
      </c>
      <c r="B46" s="75">
        <v>5706</v>
      </c>
      <c r="C46" s="75">
        <v>5293</v>
      </c>
      <c r="D46" s="95">
        <f t="shared" si="1"/>
        <v>-7.4851516629050874E-3</v>
      </c>
      <c r="E46" s="75">
        <f t="shared" si="2"/>
        <v>5253.3810922482435</v>
      </c>
      <c r="F46" s="75">
        <f t="shared" ref="F46:I46" si="25">+(E46*$D46)+E46</f>
        <v>5214.0587380297275</v>
      </c>
      <c r="G46" s="75">
        <f t="shared" si="25"/>
        <v>5175.0307175962798</v>
      </c>
      <c r="H46" s="75">
        <f t="shared" si="25"/>
        <v>5136.2948278148788</v>
      </c>
      <c r="I46" s="75">
        <f t="shared" si="25"/>
        <v>5097.8488820432894</v>
      </c>
      <c r="J46" s="102"/>
      <c r="L46" s="93">
        <f t="shared" si="4"/>
        <v>3.273345701917131</v>
      </c>
      <c r="M46" s="93"/>
      <c r="N46" s="93">
        <f t="shared" si="24"/>
        <v>3.273345701917131</v>
      </c>
      <c r="O46" s="93">
        <f t="shared" si="7"/>
        <v>3.273345701917131</v>
      </c>
      <c r="P46" s="93">
        <f t="shared" si="8"/>
        <v>3.2733457019171315</v>
      </c>
    </row>
    <row r="47" spans="1:16" x14ac:dyDescent="0.25">
      <c r="A47" s="74" t="s">
        <v>321</v>
      </c>
      <c r="B47" s="75">
        <v>10898</v>
      </c>
      <c r="C47" s="75">
        <v>10388</v>
      </c>
      <c r="D47" s="95">
        <f t="shared" si="1"/>
        <v>-4.7813321009886334E-3</v>
      </c>
      <c r="E47" s="75">
        <f t="shared" si="2"/>
        <v>10338.331522134929</v>
      </c>
      <c r="F47" s="75">
        <f t="shared" ref="F47:I47" si="26">+(E47*$D47)+E47</f>
        <v>10288.900525757483</v>
      </c>
      <c r="G47" s="75">
        <f t="shared" si="26"/>
        <v>10239.7058753898</v>
      </c>
      <c r="H47" s="75">
        <f t="shared" si="26"/>
        <v>10190.746440983117</v>
      </c>
      <c r="I47" s="75">
        <f t="shared" si="26"/>
        <v>10142.021097891809</v>
      </c>
      <c r="J47" s="102"/>
      <c r="L47" s="93">
        <f t="shared" si="4"/>
        <v>3.3019707565162109</v>
      </c>
      <c r="M47" s="93"/>
      <c r="N47" s="93">
        <f t="shared" si="24"/>
        <v>3.3019707565162109</v>
      </c>
      <c r="O47" s="93">
        <f t="shared" si="7"/>
        <v>3.3019707565162109</v>
      </c>
      <c r="P47" s="93">
        <f t="shared" si="8"/>
        <v>3.3019707565162109</v>
      </c>
    </row>
    <row r="48" spans="1:16" x14ac:dyDescent="0.25">
      <c r="A48" s="74" t="s">
        <v>322</v>
      </c>
      <c r="B48" s="75">
        <v>4642</v>
      </c>
      <c r="C48" s="75">
        <v>4046</v>
      </c>
      <c r="D48" s="95">
        <f t="shared" si="1"/>
        <v>-1.3647671341694756E-2</v>
      </c>
      <c r="E48" s="75">
        <f t="shared" si="2"/>
        <v>3990.7815217515031</v>
      </c>
      <c r="F48" s="75">
        <f t="shared" ref="F48:I48" si="27">+(E48*$D48)+E48</f>
        <v>3936.31664714613</v>
      </c>
      <c r="G48" s="75">
        <f t="shared" si="27"/>
        <v>3882.595091249038</v>
      </c>
      <c r="H48" s="75">
        <f t="shared" si="27"/>
        <v>3829.6067094907939</v>
      </c>
      <c r="I48" s="75">
        <f t="shared" si="27"/>
        <v>3777.3414957517143</v>
      </c>
      <c r="J48" s="102"/>
      <c r="L48" s="93">
        <f t="shared" si="4"/>
        <v>3.606060606060606</v>
      </c>
      <c r="M48" s="93"/>
      <c r="N48" s="93">
        <f t="shared" si="24"/>
        <v>3.606060606060606</v>
      </c>
      <c r="O48" s="93">
        <f t="shared" si="7"/>
        <v>3.606060606060606</v>
      </c>
      <c r="P48" s="93">
        <f t="shared" si="8"/>
        <v>3.606060606060606</v>
      </c>
    </row>
    <row r="49" spans="1:20" x14ac:dyDescent="0.25">
      <c r="A49" s="74" t="s">
        <v>323</v>
      </c>
      <c r="B49" s="75">
        <v>5490</v>
      </c>
      <c r="C49" s="75">
        <v>5023</v>
      </c>
      <c r="D49" s="95">
        <f t="shared" si="1"/>
        <v>-8.8506890764160628E-3</v>
      </c>
      <c r="E49" s="75">
        <f t="shared" si="2"/>
        <v>4978.5429887691625</v>
      </c>
      <c r="F49" s="75">
        <f t="shared" ref="F49:I49" si="28">+(E49*$D49)+E49</f>
        <v>4934.4794527219956</v>
      </c>
      <c r="G49" s="75">
        <f t="shared" si="28"/>
        <v>4890.8059093319898</v>
      </c>
      <c r="H49" s="75">
        <f t="shared" si="28"/>
        <v>4847.5189068953941</v>
      </c>
      <c r="I49" s="75">
        <f t="shared" si="28"/>
        <v>4804.6150242584145</v>
      </c>
      <c r="J49" s="102"/>
      <c r="L49" s="93">
        <f t="shared" si="4"/>
        <v>3.1276463262764631</v>
      </c>
      <c r="M49" s="93"/>
      <c r="N49" s="93">
        <f t="shared" si="24"/>
        <v>3.1276463262764636</v>
      </c>
      <c r="O49" s="93">
        <f t="shared" si="7"/>
        <v>3.1276463262764636</v>
      </c>
      <c r="P49" s="93">
        <f t="shared" si="8"/>
        <v>3.1276463262764636</v>
      </c>
    </row>
    <row r="50" spans="1:20" x14ac:dyDescent="0.25">
      <c r="A50" s="74" t="s">
        <v>324</v>
      </c>
      <c r="B50" s="75">
        <v>2723</v>
      </c>
      <c r="C50" s="75">
        <v>2945</v>
      </c>
      <c r="D50" s="95">
        <f t="shared" si="1"/>
        <v>7.8682536279781612E-3</v>
      </c>
      <c r="E50" s="75">
        <f t="shared" si="2"/>
        <v>2968.1720069343955</v>
      </c>
      <c r="F50" s="75">
        <f t="shared" ref="F50:I50" si="29">+(E50*$D50)+E50</f>
        <v>2991.5263370964203</v>
      </c>
      <c r="G50" s="75">
        <f t="shared" si="29"/>
        <v>3015.0644250514715</v>
      </c>
      <c r="H50" s="75">
        <f t="shared" si="29"/>
        <v>3038.7877166524709</v>
      </c>
      <c r="I50" s="75">
        <f t="shared" si="29"/>
        <v>3062.6976691286773</v>
      </c>
      <c r="J50" s="102"/>
      <c r="L50" s="93">
        <f t="shared" si="4"/>
        <v>3.222100656455142</v>
      </c>
      <c r="M50" s="93"/>
      <c r="N50" s="93">
        <f t="shared" si="24"/>
        <v>3.222100656455142</v>
      </c>
      <c r="O50" s="93">
        <f t="shared" si="7"/>
        <v>3.222100656455142</v>
      </c>
      <c r="P50" s="93">
        <f t="shared" si="8"/>
        <v>3.2221006564551424</v>
      </c>
    </row>
    <row r="51" spans="1:20" x14ac:dyDescent="0.25">
      <c r="A51" s="74" t="s">
        <v>325</v>
      </c>
      <c r="B51" s="75">
        <v>1213</v>
      </c>
      <c r="C51" s="75">
        <v>1233</v>
      </c>
      <c r="D51" s="95">
        <f t="shared" si="1"/>
        <v>1.6366973514814198E-3</v>
      </c>
      <c r="E51" s="75">
        <f t="shared" si="2"/>
        <v>1235.0180478343766</v>
      </c>
      <c r="F51" s="75">
        <f t="shared" ref="F51:I51" si="30">+(E51*$D51)+E51</f>
        <v>1237.0393986022989</v>
      </c>
      <c r="G51" s="75">
        <f t="shared" si="30"/>
        <v>1239.0640577096694</v>
      </c>
      <c r="H51" s="75">
        <f t="shared" si="30"/>
        <v>1241.0920305712386</v>
      </c>
      <c r="I51" s="75">
        <f t="shared" si="30"/>
        <v>1243.1233226106192</v>
      </c>
      <c r="J51" s="102"/>
      <c r="L51" s="93">
        <f t="shared" si="4"/>
        <v>2.5475206611570251</v>
      </c>
      <c r="M51" s="93"/>
      <c r="N51" s="93">
        <f t="shared" si="24"/>
        <v>2.5475206611570251</v>
      </c>
      <c r="O51" s="93">
        <f t="shared" si="7"/>
        <v>2.5475206611570247</v>
      </c>
      <c r="P51" s="93">
        <f t="shared" si="8"/>
        <v>2.5475206611570247</v>
      </c>
    </row>
    <row r="52" spans="1:20" x14ac:dyDescent="0.25">
      <c r="A52" s="77" t="s">
        <v>326</v>
      </c>
      <c r="B52" s="96">
        <f>SUM(B30:B51)</f>
        <v>235082</v>
      </c>
      <c r="C52" s="96">
        <f>SUM(C30:C51)</f>
        <v>262792</v>
      </c>
      <c r="D52" s="97">
        <f t="shared" si="1"/>
        <v>1.1205158264885329E-2</v>
      </c>
      <c r="E52" s="98">
        <f t="shared" si="2"/>
        <v>265736.62595074577</v>
      </c>
      <c r="F52" s="98">
        <f t="shared" ref="F52" si="31">+(E52*D52)+E52</f>
        <v>268714.2469013005</v>
      </c>
      <c r="G52" s="98">
        <f t="shared" ref="G52" si="32">+(F52*D52)+F52</f>
        <v>271725.23256585904</v>
      </c>
      <c r="H52" s="207">
        <f t="shared" ref="H52" si="33">+(G52*D52)+G52</f>
        <v>274769.95680132229</v>
      </c>
      <c r="I52" s="207">
        <f t="shared" ref="I52" si="34">+(H52*$D52)+H52</f>
        <v>277848.79765371681</v>
      </c>
      <c r="J52" s="101"/>
      <c r="L52" s="94">
        <f t="shared" si="4"/>
        <v>3.3798223534326448</v>
      </c>
      <c r="M52" s="94"/>
      <c r="N52" s="94">
        <f t="shared" si="24"/>
        <v>3.3706554716563755</v>
      </c>
      <c r="O52" s="94">
        <f t="shared" si="7"/>
        <v>3.3597829195201183</v>
      </c>
      <c r="P52" s="94">
        <f t="shared" si="8"/>
        <v>3.3472145978311474</v>
      </c>
    </row>
    <row r="54" spans="1:20" x14ac:dyDescent="0.25">
      <c r="I54" s="86"/>
      <c r="J54" s="86"/>
      <c r="K54" s="86"/>
      <c r="L54" s="86"/>
      <c r="M54" s="86"/>
      <c r="N54" s="86"/>
      <c r="O54" s="86"/>
      <c r="P54" s="86"/>
      <c r="Q54" s="86"/>
      <c r="R54" s="86"/>
    </row>
    <row r="55" spans="1:20" ht="16.5" x14ac:dyDescent="0.25">
      <c r="A55" s="1627" t="s">
        <v>301</v>
      </c>
      <c r="B55" s="1627" t="s">
        <v>278</v>
      </c>
      <c r="C55" s="1627"/>
      <c r="D55" s="1627"/>
      <c r="E55" s="1627"/>
      <c r="F55" s="1627"/>
      <c r="G55" s="1627"/>
      <c r="H55" s="103"/>
      <c r="I55" s="85" t="s">
        <v>327</v>
      </c>
      <c r="J55" s="85">
        <v>381</v>
      </c>
      <c r="K55" s="86"/>
      <c r="L55" s="87">
        <v>2019</v>
      </c>
      <c r="M55" s="87"/>
      <c r="N55" s="87">
        <v>2020</v>
      </c>
      <c r="O55" s="87">
        <v>2021</v>
      </c>
      <c r="P55" s="87">
        <v>2022</v>
      </c>
      <c r="Q55" s="85"/>
      <c r="R55" s="85"/>
      <c r="S55" s="104"/>
    </row>
    <row r="56" spans="1:20" ht="16.5" x14ac:dyDescent="0.25">
      <c r="A56" s="1627"/>
      <c r="B56" s="72">
        <v>2017</v>
      </c>
      <c r="C56" s="72">
        <v>2018</v>
      </c>
      <c r="D56" s="72">
        <v>2019</v>
      </c>
      <c r="E56" s="72">
        <v>2020</v>
      </c>
      <c r="F56" s="72">
        <v>2021</v>
      </c>
      <c r="G56" s="72">
        <v>2022</v>
      </c>
      <c r="H56" s="103"/>
      <c r="I56" s="85" t="s">
        <v>328</v>
      </c>
      <c r="J56" s="85">
        <v>381</v>
      </c>
      <c r="K56" s="1637" t="s">
        <v>332</v>
      </c>
      <c r="L56" s="1639">
        <f>L52</f>
        <v>3.3798223534326448</v>
      </c>
      <c r="M56" s="216"/>
      <c r="N56" s="1639">
        <f>N52</f>
        <v>3.3706554716563755</v>
      </c>
      <c r="O56" s="1639">
        <f>O52</f>
        <v>3.3597829195201183</v>
      </c>
      <c r="P56" s="1634">
        <f>P52</f>
        <v>3.3472145978311474</v>
      </c>
      <c r="Q56" s="85"/>
      <c r="R56" s="85"/>
      <c r="S56" s="105"/>
    </row>
    <row r="57" spans="1:20" ht="15" customHeight="1" x14ac:dyDescent="0.25">
      <c r="A57" s="73" t="s">
        <v>298</v>
      </c>
      <c r="B57" s="84">
        <v>120548</v>
      </c>
      <c r="C57" s="84">
        <f>+(B57*$D29)+B57</f>
        <v>120594.71323572253</v>
      </c>
      <c r="D57" s="84">
        <f t="shared" ref="D57:G57" si="35">+(C57*$D29)+C57</f>
        <v>120641.44457316714</v>
      </c>
      <c r="E57" s="84">
        <f t="shared" si="35"/>
        <v>120688.19401934836</v>
      </c>
      <c r="F57" s="84">
        <f t="shared" si="35"/>
        <v>120734.96158128347</v>
      </c>
      <c r="G57" s="84">
        <f t="shared" si="35"/>
        <v>120781.74726599245</v>
      </c>
      <c r="H57" s="103"/>
      <c r="I57" s="85" t="s">
        <v>329</v>
      </c>
      <c r="J57" s="85">
        <v>371</v>
      </c>
      <c r="K57" s="1638"/>
      <c r="L57" s="1639"/>
      <c r="M57" s="216"/>
      <c r="N57" s="1639"/>
      <c r="O57" s="1639"/>
      <c r="P57" s="1634"/>
      <c r="Q57" s="85"/>
      <c r="R57" s="85"/>
      <c r="S57" s="105"/>
    </row>
    <row r="58" spans="1:20" ht="15" customHeight="1" x14ac:dyDescent="0.25">
      <c r="A58" s="74" t="s">
        <v>304</v>
      </c>
      <c r="B58" s="100">
        <v>20508</v>
      </c>
      <c r="C58" s="75">
        <f>+(B58*$D30)+B58</f>
        <v>21128.936655693298</v>
      </c>
      <c r="D58" s="75">
        <f t="shared" ref="D58:G58" si="36">+(C58*$D30)+C58</f>
        <v>21768.673893129504</v>
      </c>
      <c r="E58" s="75">
        <f t="shared" si="36"/>
        <v>22427.780952134664</v>
      </c>
      <c r="F58" s="75">
        <f t="shared" si="36"/>
        <v>23106.844307851476</v>
      </c>
      <c r="G58" s="75">
        <f t="shared" si="36"/>
        <v>23806.468192586359</v>
      </c>
      <c r="H58" s="103"/>
      <c r="I58" s="85"/>
      <c r="J58" s="85"/>
      <c r="K58" s="86"/>
      <c r="L58" s="85"/>
      <c r="M58" s="85"/>
      <c r="N58" s="85"/>
      <c r="O58" s="85"/>
      <c r="P58" s="85"/>
      <c r="Q58" s="85"/>
      <c r="R58" s="85"/>
      <c r="S58" s="105"/>
    </row>
    <row r="59" spans="1:20" x14ac:dyDescent="0.25">
      <c r="A59" s="74" t="s">
        <v>305</v>
      </c>
      <c r="B59" s="100">
        <v>5008</v>
      </c>
      <c r="C59" s="75">
        <f t="shared" ref="C59:G79" si="37">+(B59*$D31)+B59</f>
        <v>4998.559860147986</v>
      </c>
      <c r="D59" s="75">
        <f t="shared" si="37"/>
        <v>4989.1375150724143</v>
      </c>
      <c r="E59" s="75">
        <f t="shared" si="37"/>
        <v>4979.7329312299198</v>
      </c>
      <c r="F59" s="75">
        <f t="shared" si="37"/>
        <v>4970.3460751403654</v>
      </c>
      <c r="G59" s="75">
        <f t="shared" si="37"/>
        <v>4960.9769133867239</v>
      </c>
      <c r="H59" s="103"/>
      <c r="I59" s="1640" t="s">
        <v>333</v>
      </c>
      <c r="J59" s="1642" t="s">
        <v>334</v>
      </c>
      <c r="K59" s="1642"/>
      <c r="L59" s="1642"/>
      <c r="M59" s="215"/>
      <c r="N59" s="1642" t="s">
        <v>335</v>
      </c>
      <c r="O59" s="1642"/>
      <c r="P59" s="1642" t="s">
        <v>336</v>
      </c>
      <c r="Q59" s="1642"/>
      <c r="R59" s="1642" t="s">
        <v>343</v>
      </c>
      <c r="S59" s="1642"/>
    </row>
    <row r="60" spans="1:20" ht="25.5" x14ac:dyDescent="0.25">
      <c r="A60" s="74" t="s">
        <v>306</v>
      </c>
      <c r="B60" s="100">
        <v>1085</v>
      </c>
      <c r="C60" s="75">
        <f t="shared" si="37"/>
        <v>1037.5131153465506</v>
      </c>
      <c r="D60" s="75">
        <f t="shared" si="37"/>
        <v>992.10457559088002</v>
      </c>
      <c r="E60" s="75">
        <f t="shared" si="37"/>
        <v>948.68341840632377</v>
      </c>
      <c r="F60" s="75">
        <f t="shared" si="37"/>
        <v>907.16266258835037</v>
      </c>
      <c r="G60" s="75">
        <f t="shared" si="37"/>
        <v>867.45913381392734</v>
      </c>
      <c r="H60" s="103"/>
      <c r="I60" s="1641"/>
      <c r="J60" s="88" t="s">
        <v>337</v>
      </c>
      <c r="K60" s="88" t="s">
        <v>338</v>
      </c>
      <c r="L60" s="88" t="s">
        <v>339</v>
      </c>
      <c r="M60" s="88"/>
      <c r="N60" s="88" t="s">
        <v>338</v>
      </c>
      <c r="O60" s="88" t="s">
        <v>339</v>
      </c>
      <c r="P60" s="88" t="s">
        <v>338</v>
      </c>
      <c r="Q60" s="88" t="s">
        <v>339</v>
      </c>
      <c r="R60" s="88" t="s">
        <v>338</v>
      </c>
      <c r="S60" s="88" t="s">
        <v>339</v>
      </c>
    </row>
    <row r="61" spans="1:20" x14ac:dyDescent="0.25">
      <c r="A61" s="74" t="s">
        <v>307</v>
      </c>
      <c r="B61" s="100">
        <v>843</v>
      </c>
      <c r="C61" s="75">
        <f t="shared" si="37"/>
        <v>815.71466350941887</v>
      </c>
      <c r="D61" s="75">
        <f t="shared" si="37"/>
        <v>789.31247006439435</v>
      </c>
      <c r="E61" s="75">
        <f t="shared" si="37"/>
        <v>763.76483502059989</v>
      </c>
      <c r="F61" s="75">
        <f t="shared" si="37"/>
        <v>739.04409893138256</v>
      </c>
      <c r="G61" s="75">
        <f t="shared" si="37"/>
        <v>715.12349760193877</v>
      </c>
      <c r="H61" s="103"/>
      <c r="I61" s="89" t="s">
        <v>285</v>
      </c>
      <c r="J61" s="89">
        <f>SUM(J55:J57)</f>
        <v>1133</v>
      </c>
      <c r="K61" s="90">
        <v>79454.484468421899</v>
      </c>
      <c r="L61" s="90">
        <f>+K61*$L$56</f>
        <v>268542.04268683924</v>
      </c>
      <c r="M61" s="90"/>
      <c r="N61" s="90">
        <f>E80</f>
        <v>80614.953041264234</v>
      </c>
      <c r="O61" s="90">
        <f>N61*$N$56</f>
        <v>271725.23256585904</v>
      </c>
      <c r="P61" s="90">
        <f>F80</f>
        <v>81782.056574228904</v>
      </c>
      <c r="Q61" s="90">
        <f>P61*$O$56</f>
        <v>274769.95680132229</v>
      </c>
      <c r="R61" s="90">
        <f>G80</f>
        <v>83008.958503512447</v>
      </c>
      <c r="S61" s="90">
        <f>R61*$P$56</f>
        <v>277848.79765371681</v>
      </c>
    </row>
    <row r="62" spans="1:20" x14ac:dyDescent="0.25">
      <c r="A62" s="74" t="s">
        <v>308</v>
      </c>
      <c r="B62" s="100">
        <v>3295</v>
      </c>
      <c r="C62" s="75">
        <f t="shared" si="37"/>
        <v>3426.0677253609151</v>
      </c>
      <c r="D62" s="75">
        <f t="shared" si="37"/>
        <v>3562.34903149005</v>
      </c>
      <c r="E62" s="75">
        <f t="shared" si="37"/>
        <v>3704.0513029616918</v>
      </c>
      <c r="F62" s="75">
        <f t="shared" si="37"/>
        <v>3851.390173644339</v>
      </c>
      <c r="G62" s="75">
        <f t="shared" si="37"/>
        <v>4004.5898548391624</v>
      </c>
      <c r="H62" s="103"/>
      <c r="I62" s="89" t="s">
        <v>340</v>
      </c>
      <c r="J62" s="89">
        <v>90</v>
      </c>
      <c r="K62" s="90">
        <f>+K61*T62</f>
        <v>6311.4771422400445</v>
      </c>
      <c r="L62" s="90">
        <f t="shared" ref="L62:L64" si="38">+K62*$L$56</f>
        <v>21331.671528522089</v>
      </c>
      <c r="M62" s="90"/>
      <c r="N62" s="90">
        <f t="shared" ref="N62:R63" si="39">N61*$T62</f>
        <v>6403.6591118391716</v>
      </c>
      <c r="O62" s="90">
        <f t="shared" ref="O62:O64" si="40">N62*$N$56</f>
        <v>21584.528623942908</v>
      </c>
      <c r="P62" s="90">
        <f t="shared" si="39"/>
        <v>6496.3681303447493</v>
      </c>
      <c r="Q62" s="90">
        <f t="shared" ref="Q62:Q64" si="41">P62*$O$56</f>
        <v>21826.386683247136</v>
      </c>
      <c r="R62" s="90">
        <f t="shared" si="39"/>
        <v>6593.8272421148458</v>
      </c>
      <c r="S62" s="90">
        <f t="shared" ref="S62:S64" si="42">R62*$P$56</f>
        <v>22070.954800383508</v>
      </c>
      <c r="T62" s="92">
        <f>+J62/J61</f>
        <v>7.9435127978817299E-2</v>
      </c>
    </row>
    <row r="63" spans="1:20" x14ac:dyDescent="0.25">
      <c r="A63" s="74" t="s">
        <v>309</v>
      </c>
      <c r="B63" s="100">
        <v>12210</v>
      </c>
      <c r="C63" s="75">
        <f t="shared" si="37"/>
        <v>12364.955244836976</v>
      </c>
      <c r="D63" s="75">
        <f t="shared" si="37"/>
        <v>12521.877003015679</v>
      </c>
      <c r="E63" s="75">
        <f t="shared" si="37"/>
        <v>12680.790231256531</v>
      </c>
      <c r="F63" s="75">
        <f t="shared" si="37"/>
        <v>12841.72020300188</v>
      </c>
      <c r="G63" s="75">
        <f t="shared" si="37"/>
        <v>13004.692512435468</v>
      </c>
      <c r="H63" s="103"/>
      <c r="I63" s="89" t="s">
        <v>341</v>
      </c>
      <c r="J63" s="89">
        <v>40</v>
      </c>
      <c r="K63" s="90">
        <f>+K62*T63</f>
        <v>222.82355312409686</v>
      </c>
      <c r="L63" s="90">
        <f t="shared" si="38"/>
        <v>753.10402572010901</v>
      </c>
      <c r="M63" s="90"/>
      <c r="N63" s="90">
        <f t="shared" si="39"/>
        <v>226.07799159185069</v>
      </c>
      <c r="O63" s="90">
        <f t="shared" si="40"/>
        <v>762.03101938015561</v>
      </c>
      <c r="P63" s="90">
        <f t="shared" si="39"/>
        <v>229.35103725842006</v>
      </c>
      <c r="Q63" s="90">
        <f t="shared" si="41"/>
        <v>770.56969755506202</v>
      </c>
      <c r="R63" s="90">
        <f t="shared" si="39"/>
        <v>232.79178259893541</v>
      </c>
      <c r="S63" s="90">
        <f t="shared" si="42"/>
        <v>779.20405297029151</v>
      </c>
      <c r="T63" s="92">
        <f>+J63/J61</f>
        <v>3.5304501323918797E-2</v>
      </c>
    </row>
    <row r="64" spans="1:20" x14ac:dyDescent="0.25">
      <c r="A64" s="76" t="s">
        <v>310</v>
      </c>
      <c r="B64" s="100">
        <v>1623</v>
      </c>
      <c r="C64" s="75">
        <f t="shared" si="37"/>
        <v>1574.0235880170949</v>
      </c>
      <c r="D64" s="75">
        <f t="shared" si="37"/>
        <v>1526.5251112964938</v>
      </c>
      <c r="E64" s="75">
        <f t="shared" si="37"/>
        <v>1480.4599709680238</v>
      </c>
      <c r="F64" s="75">
        <f t="shared" si="37"/>
        <v>1435.7849139980117</v>
      </c>
      <c r="G64" s="75">
        <f t="shared" si="37"/>
        <v>1392.4579925766891</v>
      </c>
      <c r="H64" s="103"/>
      <c r="I64" s="89" t="s">
        <v>342</v>
      </c>
      <c r="J64" s="89">
        <f>+J61-J62-J63</f>
        <v>1003</v>
      </c>
      <c r="K64" s="90">
        <f>+K61*T64</f>
        <v>70337.906374075174</v>
      </c>
      <c r="L64" s="90">
        <f t="shared" si="38"/>
        <v>237729.62825675178</v>
      </c>
      <c r="M64" s="90"/>
      <c r="N64" s="90">
        <f t="shared" ref="N64:R64" si="43">N61*$T64</f>
        <v>71365.223213052101</v>
      </c>
      <c r="O64" s="90">
        <f t="shared" si="40"/>
        <v>240547.58010905265</v>
      </c>
      <c r="P64" s="90">
        <f t="shared" si="43"/>
        <v>72398.413719286487</v>
      </c>
      <c r="Q64" s="90">
        <f t="shared" si="41"/>
        <v>243242.95381440973</v>
      </c>
      <c r="R64" s="90">
        <f t="shared" si="43"/>
        <v>73484.541376013221</v>
      </c>
      <c r="S64" s="90">
        <f t="shared" si="42"/>
        <v>245968.52960871841</v>
      </c>
      <c r="T64" s="92">
        <f>+J64/J61</f>
        <v>0.88526037069726393</v>
      </c>
    </row>
    <row r="65" spans="1:19" x14ac:dyDescent="0.25">
      <c r="A65" s="74" t="s">
        <v>311</v>
      </c>
      <c r="B65" s="100">
        <v>5660</v>
      </c>
      <c r="C65" s="75">
        <f t="shared" si="37"/>
        <v>5670.5050368066304</v>
      </c>
      <c r="D65" s="75">
        <f t="shared" si="37"/>
        <v>5681.0295711041281</v>
      </c>
      <c r="E65" s="75">
        <f t="shared" si="37"/>
        <v>5691.5736390801003</v>
      </c>
      <c r="F65" s="75">
        <f t="shared" si="37"/>
        <v>5702.1372769893196</v>
      </c>
      <c r="G65" s="75">
        <f t="shared" si="37"/>
        <v>5712.7205211538485</v>
      </c>
      <c r="H65" s="103"/>
      <c r="I65" s="105"/>
      <c r="J65" s="105"/>
      <c r="K65" s="105"/>
      <c r="L65" s="109"/>
      <c r="M65" s="109"/>
      <c r="N65" s="109"/>
      <c r="O65" s="109"/>
      <c r="P65" s="109"/>
      <c r="Q65" s="109"/>
      <c r="R65" s="109"/>
      <c r="S65" s="110"/>
    </row>
    <row r="66" spans="1:19" x14ac:dyDescent="0.25">
      <c r="A66" s="74" t="s">
        <v>312</v>
      </c>
      <c r="B66" s="100">
        <v>2471</v>
      </c>
      <c r="C66" s="75">
        <f t="shared" si="37"/>
        <v>2435.2749036393006</v>
      </c>
      <c r="D66" s="75">
        <f t="shared" si="37"/>
        <v>2400.0663117342797</v>
      </c>
      <c r="E66" s="75">
        <f t="shared" si="37"/>
        <v>2365.3667567934558</v>
      </c>
      <c r="F66" s="75">
        <f t="shared" si="37"/>
        <v>2331.1688792884611</v>
      </c>
      <c r="G66" s="75">
        <f t="shared" si="37"/>
        <v>2297.4654260931375</v>
      </c>
      <c r="H66" s="103"/>
      <c r="I66" s="111"/>
      <c r="J66" s="111"/>
      <c r="K66" s="111"/>
      <c r="L66" s="111"/>
      <c r="M66" s="111"/>
      <c r="N66" s="103"/>
      <c r="O66" s="103"/>
      <c r="P66" s="103"/>
      <c r="Q66" s="103"/>
      <c r="R66" s="103"/>
      <c r="S66" s="103"/>
    </row>
    <row r="67" spans="1:19" x14ac:dyDescent="0.25">
      <c r="A67" s="74" t="s">
        <v>313</v>
      </c>
      <c r="B67" s="100">
        <v>5361</v>
      </c>
      <c r="C67" s="75">
        <f t="shared" si="37"/>
        <v>5418.0784302011252</v>
      </c>
      <c r="D67" s="75">
        <f t="shared" si="37"/>
        <v>5475.7645729921078</v>
      </c>
      <c r="E67" s="75">
        <f t="shared" si="37"/>
        <v>5534.0648986733841</v>
      </c>
      <c r="F67" s="75">
        <f t="shared" si="37"/>
        <v>5592.9859464345154</v>
      </c>
      <c r="G67" s="75">
        <f t="shared" si="37"/>
        <v>5652.5343250876467</v>
      </c>
      <c r="H67" s="103"/>
      <c r="I67" s="111"/>
      <c r="J67" s="111"/>
      <c r="K67" s="111"/>
      <c r="L67" s="111"/>
      <c r="M67" s="111"/>
      <c r="N67" s="103"/>
      <c r="O67" s="103"/>
      <c r="P67" s="112"/>
      <c r="Q67" s="112"/>
      <c r="R67" s="112"/>
      <c r="S67" s="112"/>
    </row>
    <row r="68" spans="1:19" x14ac:dyDescent="0.25">
      <c r="A68" s="74" t="s">
        <v>314</v>
      </c>
      <c r="B68" s="100">
        <v>1050</v>
      </c>
      <c r="C68" s="75">
        <f t="shared" si="37"/>
        <v>1036.2872484898273</v>
      </c>
      <c r="D68" s="75">
        <f t="shared" si="37"/>
        <v>1022.7535822691592</v>
      </c>
      <c r="E68" s="75">
        <f t="shared" si="37"/>
        <v>1009.3966625264964</v>
      </c>
      <c r="F68" s="75">
        <f t="shared" si="37"/>
        <v>996.2141809946645</v>
      </c>
      <c r="G68" s="75">
        <f t="shared" si="37"/>
        <v>983.20385955191205</v>
      </c>
      <c r="H68" s="103"/>
      <c r="I68" s="111"/>
      <c r="J68" s="111"/>
      <c r="K68" s="111"/>
      <c r="L68" s="111"/>
      <c r="M68" s="111"/>
      <c r="N68" s="103"/>
      <c r="O68" s="103"/>
      <c r="P68" s="112"/>
      <c r="Q68" s="112"/>
      <c r="R68" s="112"/>
      <c r="S68" s="112"/>
    </row>
    <row r="69" spans="1:19" x14ac:dyDescent="0.25">
      <c r="A69" s="74" t="s">
        <v>315</v>
      </c>
      <c r="B69" s="100">
        <v>390</v>
      </c>
      <c r="C69" s="75">
        <f t="shared" si="37"/>
        <v>416.54516935961527</v>
      </c>
      <c r="D69" s="75">
        <f t="shared" si="37"/>
        <v>444.89712337648859</v>
      </c>
      <c r="E69" s="75">
        <f t="shared" si="37"/>
        <v>475.17884001144893</v>
      </c>
      <c r="F69" s="75">
        <f t="shared" si="37"/>
        <v>507.52166766326798</v>
      </c>
      <c r="G69" s="75">
        <f t="shared" si="37"/>
        <v>542.06589489864189</v>
      </c>
      <c r="H69" s="99"/>
      <c r="I69" s="83"/>
      <c r="J69" s="83"/>
      <c r="K69" s="83"/>
      <c r="L69" s="83"/>
      <c r="M69" s="83"/>
      <c r="N69" s="99"/>
      <c r="O69" s="99"/>
    </row>
    <row r="70" spans="1:19" x14ac:dyDescent="0.25">
      <c r="A70" s="74" t="s">
        <v>316</v>
      </c>
      <c r="B70" s="100">
        <v>1478</v>
      </c>
      <c r="C70" s="75">
        <f t="shared" si="37"/>
        <v>1489.5808208175749</v>
      </c>
      <c r="D70" s="75">
        <f t="shared" si="37"/>
        <v>1501.2523827791342</v>
      </c>
      <c r="E70" s="75">
        <f t="shared" si="37"/>
        <v>1513.0153968839531</v>
      </c>
      <c r="F70" s="75">
        <f t="shared" si="37"/>
        <v>1524.8705797023192</v>
      </c>
      <c r="G70" s="75">
        <f t="shared" si="37"/>
        <v>1536.8186534191827</v>
      </c>
      <c r="H70" s="99"/>
      <c r="I70" s="83"/>
      <c r="J70" s="83"/>
      <c r="K70" s="83"/>
      <c r="L70" s="83"/>
      <c r="M70" s="83"/>
      <c r="N70" s="99"/>
      <c r="O70" s="99"/>
    </row>
    <row r="71" spans="1:19" x14ac:dyDescent="0.25">
      <c r="A71" s="74" t="s">
        <v>317</v>
      </c>
      <c r="B71" s="100">
        <v>818</v>
      </c>
      <c r="C71" s="75">
        <f t="shared" si="37"/>
        <v>781.64911108086483</v>
      </c>
      <c r="D71" s="75">
        <f t="shared" si="37"/>
        <v>746.91360984536198</v>
      </c>
      <c r="E71" s="75">
        <f t="shared" si="37"/>
        <v>713.7217105010111</v>
      </c>
      <c r="F71" s="75">
        <f t="shared" si="37"/>
        <v>682.00481732546416</v>
      </c>
      <c r="G71" s="75">
        <f t="shared" si="37"/>
        <v>651.69738290381008</v>
      </c>
      <c r="H71" s="99"/>
      <c r="I71" s="83"/>
      <c r="J71" s="83"/>
      <c r="K71" s="83"/>
      <c r="L71" s="83"/>
      <c r="M71" s="83"/>
      <c r="N71" s="99"/>
      <c r="O71" s="99"/>
    </row>
    <row r="72" spans="1:19" x14ac:dyDescent="0.25">
      <c r="A72" s="74" t="s">
        <v>318</v>
      </c>
      <c r="B72" s="100">
        <v>3235</v>
      </c>
      <c r="C72" s="75">
        <f t="shared" si="37"/>
        <v>3240.3141961925407</v>
      </c>
      <c r="D72" s="75">
        <f t="shared" si="37"/>
        <v>3245.6371221165105</v>
      </c>
      <c r="E72" s="75">
        <f t="shared" si="37"/>
        <v>3250.9687921124055</v>
      </c>
      <c r="F72" s="75">
        <f t="shared" si="37"/>
        <v>3256.3092205442795</v>
      </c>
      <c r="G72" s="75">
        <f t="shared" si="37"/>
        <v>3261.6584217997824</v>
      </c>
      <c r="H72" s="99"/>
      <c r="I72" s="83"/>
      <c r="J72" s="83"/>
      <c r="K72" s="83"/>
      <c r="L72" s="83"/>
      <c r="M72" s="83"/>
      <c r="N72" s="99"/>
      <c r="O72" s="99"/>
    </row>
    <row r="73" spans="1:19" x14ac:dyDescent="0.25">
      <c r="A73" s="74" t="s">
        <v>319</v>
      </c>
      <c r="B73" s="100">
        <v>3527</v>
      </c>
      <c r="C73" s="75">
        <f t="shared" si="37"/>
        <v>3777.1134806535078</v>
      </c>
      <c r="D73" s="75">
        <f t="shared" si="37"/>
        <v>4044.9634946794604</v>
      </c>
      <c r="E73" s="75">
        <f t="shared" si="37"/>
        <v>4331.8078096130175</v>
      </c>
      <c r="F73" s="75">
        <f t="shared" si="37"/>
        <v>4638.993386245952</v>
      </c>
      <c r="G73" s="75">
        <f t="shared" si="37"/>
        <v>4967.9627036722568</v>
      </c>
      <c r="H73" s="99"/>
      <c r="I73" s="83"/>
      <c r="J73" s="83"/>
      <c r="K73" s="83"/>
      <c r="L73" s="83"/>
      <c r="M73" s="83"/>
      <c r="N73" s="99"/>
      <c r="O73" s="99"/>
    </row>
    <row r="74" spans="1:19" x14ac:dyDescent="0.25">
      <c r="A74" s="74" t="s">
        <v>320</v>
      </c>
      <c r="B74" s="100">
        <v>1617</v>
      </c>
      <c r="C74" s="75">
        <f t="shared" si="37"/>
        <v>1604.8965097610824</v>
      </c>
      <c r="D74" s="75">
        <f t="shared" si="37"/>
        <v>1592.8836159822536</v>
      </c>
      <c r="E74" s="75">
        <f t="shared" si="37"/>
        <v>1580.9606405352697</v>
      </c>
      <c r="F74" s="75">
        <f t="shared" si="37"/>
        <v>1569.1269103677796</v>
      </c>
      <c r="G74" s="75">
        <f t="shared" si="37"/>
        <v>1557.381757465331</v>
      </c>
      <c r="H74" s="99"/>
      <c r="I74" s="83"/>
      <c r="J74" s="83"/>
      <c r="K74" s="83"/>
      <c r="L74" s="83"/>
      <c r="M74" s="83"/>
      <c r="N74" s="99"/>
      <c r="O74" s="99"/>
    </row>
    <row r="75" spans="1:19" x14ac:dyDescent="0.25">
      <c r="A75" s="74" t="s">
        <v>321</v>
      </c>
      <c r="B75" s="100">
        <v>3146</v>
      </c>
      <c r="C75" s="75">
        <f t="shared" si="37"/>
        <v>3130.9579292102899</v>
      </c>
      <c r="D75" s="75">
        <f t="shared" si="37"/>
        <v>3115.9877795565117</v>
      </c>
      <c r="E75" s="75">
        <f t="shared" si="37"/>
        <v>3101.08920715983</v>
      </c>
      <c r="F75" s="75">
        <f t="shared" si="37"/>
        <v>3086.2618697856074</v>
      </c>
      <c r="G75" s="75">
        <f t="shared" si="37"/>
        <v>3071.5054268355443</v>
      </c>
      <c r="H75" s="99"/>
      <c r="I75" s="83"/>
      <c r="J75" s="83"/>
      <c r="K75" s="83"/>
      <c r="L75" s="83"/>
      <c r="M75" s="83"/>
      <c r="N75" s="99"/>
      <c r="O75" s="99"/>
    </row>
    <row r="76" spans="1:19" x14ac:dyDescent="0.25">
      <c r="A76" s="74" t="s">
        <v>322</v>
      </c>
      <c r="B76" s="100">
        <v>1122</v>
      </c>
      <c r="C76" s="75">
        <f t="shared" si="37"/>
        <v>1106.6873127546185</v>
      </c>
      <c r="D76" s="75">
        <f t="shared" si="37"/>
        <v>1091.5836080321201</v>
      </c>
      <c r="E76" s="75">
        <f t="shared" si="37"/>
        <v>1076.6860337077164</v>
      </c>
      <c r="F76" s="75">
        <f t="shared" si="37"/>
        <v>1061.9917765814807</v>
      </c>
      <c r="G76" s="75">
        <f t="shared" si="37"/>
        <v>1047.4980618471141</v>
      </c>
      <c r="H76" s="99"/>
      <c r="I76" s="83"/>
      <c r="J76" s="83"/>
      <c r="K76" s="83"/>
      <c r="L76" s="83"/>
      <c r="M76" s="83"/>
      <c r="N76" s="99"/>
      <c r="O76" s="99"/>
    </row>
    <row r="77" spans="1:19" x14ac:dyDescent="0.25">
      <c r="A77" s="74" t="s">
        <v>323</v>
      </c>
      <c r="B77" s="81">
        <v>1606</v>
      </c>
      <c r="C77" s="75">
        <f t="shared" si="37"/>
        <v>1591.7857933432758</v>
      </c>
      <c r="D77" s="75">
        <f t="shared" si="37"/>
        <v>1577.6973922101383</v>
      </c>
      <c r="E77" s="75">
        <f t="shared" si="37"/>
        <v>1563.733683135014</v>
      </c>
      <c r="F77" s="75">
        <f t="shared" si="37"/>
        <v>1549.893562507267</v>
      </c>
      <c r="G77" s="75">
        <f t="shared" si="37"/>
        <v>1536.1759364839763</v>
      </c>
      <c r="H77" s="99"/>
      <c r="I77" s="83"/>
      <c r="J77" s="83"/>
      <c r="K77" s="83"/>
      <c r="L77" s="83"/>
      <c r="M77" s="83"/>
      <c r="N77" s="99"/>
      <c r="O77" s="99"/>
    </row>
    <row r="78" spans="1:19" x14ac:dyDescent="0.25">
      <c r="A78" s="74" t="s">
        <v>324</v>
      </c>
      <c r="B78" s="81">
        <v>914</v>
      </c>
      <c r="C78" s="75">
        <f t="shared" si="37"/>
        <v>921.19158381597208</v>
      </c>
      <c r="D78" s="75">
        <f t="shared" si="37"/>
        <v>928.43975283739508</v>
      </c>
      <c r="E78" s="75">
        <f t="shared" si="37"/>
        <v>935.74495229101706</v>
      </c>
      <c r="F78" s="75">
        <f t="shared" si="37"/>
        <v>943.10763090674311</v>
      </c>
      <c r="G78" s="75">
        <f t="shared" si="37"/>
        <v>950.52824094519895</v>
      </c>
      <c r="H78" s="99"/>
      <c r="I78" s="83"/>
      <c r="J78" s="83"/>
      <c r="K78" s="83"/>
      <c r="L78" s="83"/>
      <c r="M78" s="83"/>
      <c r="N78" s="99"/>
      <c r="O78" s="99"/>
    </row>
    <row r="79" spans="1:19" x14ac:dyDescent="0.25">
      <c r="A79" s="74" t="s">
        <v>325</v>
      </c>
      <c r="B79" s="81">
        <v>484</v>
      </c>
      <c r="C79" s="75">
        <f t="shared" si="37"/>
        <v>484.79216151811698</v>
      </c>
      <c r="D79" s="75">
        <f t="shared" si="37"/>
        <v>485.58561956489262</v>
      </c>
      <c r="E79" s="75">
        <f t="shared" si="37"/>
        <v>486.38037626235194</v>
      </c>
      <c r="F79" s="75">
        <f t="shared" si="37"/>
        <v>487.1764337359931</v>
      </c>
      <c r="G79" s="75">
        <f t="shared" si="37"/>
        <v>487.97379411479295</v>
      </c>
      <c r="H79" s="99"/>
      <c r="I79" s="83"/>
      <c r="J79" s="83"/>
      <c r="K79" s="83"/>
      <c r="L79" s="83"/>
      <c r="M79" s="83"/>
      <c r="N79" s="99"/>
      <c r="O79" s="99"/>
    </row>
    <row r="80" spans="1:19" x14ac:dyDescent="0.25">
      <c r="A80" s="79" t="s">
        <v>326</v>
      </c>
      <c r="B80" s="80">
        <f>SUM(B58:B79)</f>
        <v>77451</v>
      </c>
      <c r="C80" s="80">
        <f t="shared" ref="C80:G80" si="44">SUM(C58:C79)</f>
        <v>78451.430540556568</v>
      </c>
      <c r="D80" s="80">
        <f t="shared" si="44"/>
        <v>79505.43513873934</v>
      </c>
      <c r="E80" s="80">
        <f t="shared" si="44"/>
        <v>80614.953041264234</v>
      </c>
      <c r="F80" s="80">
        <f t="shared" si="44"/>
        <v>81782.056574228904</v>
      </c>
      <c r="G80" s="80">
        <f t="shared" si="44"/>
        <v>83008.958503512447</v>
      </c>
      <c r="H80" s="99"/>
      <c r="I80" s="83"/>
      <c r="J80" s="83"/>
      <c r="K80" s="83"/>
      <c r="L80" s="83"/>
      <c r="M80" s="83"/>
      <c r="N80" s="99"/>
      <c r="O80" s="99"/>
    </row>
    <row r="81" spans="1:15" x14ac:dyDescent="0.25">
      <c r="A81" s="76" t="s">
        <v>327</v>
      </c>
      <c r="B81" s="81">
        <f t="shared" ref="B81:G81" si="45">+B58+B59+B60+B61+B62+B64+B68+B69+B70+B71</f>
        <v>36098</v>
      </c>
      <c r="C81" s="81">
        <f t="shared" si="45"/>
        <v>36704.877957823148</v>
      </c>
      <c r="D81" s="81">
        <f t="shared" si="45"/>
        <v>37343.919294913874</v>
      </c>
      <c r="E81" s="81">
        <f t="shared" si="45"/>
        <v>38015.786020644126</v>
      </c>
      <c r="F81" s="81">
        <f t="shared" si="45"/>
        <v>38721.183477839637</v>
      </c>
      <c r="G81" s="81">
        <f t="shared" si="45"/>
        <v>39460.861375578344</v>
      </c>
      <c r="H81" s="99"/>
      <c r="I81" s="82"/>
      <c r="J81" s="82"/>
      <c r="K81" s="82"/>
      <c r="L81" s="82"/>
      <c r="M81" s="82"/>
      <c r="N81" s="99"/>
      <c r="O81" s="99"/>
    </row>
    <row r="82" spans="1:15" x14ac:dyDescent="0.25">
      <c r="A82" s="76" t="s">
        <v>328</v>
      </c>
      <c r="B82" s="81">
        <f t="shared" ref="B82:G82" si="46">+B63+B65+B66+B67+B74+B75+B76</f>
        <v>31587</v>
      </c>
      <c r="C82" s="81">
        <f t="shared" si="46"/>
        <v>31731.355367210021</v>
      </c>
      <c r="D82" s="81">
        <f t="shared" si="46"/>
        <v>31879.192462417082</v>
      </c>
      <c r="E82" s="81">
        <f t="shared" si="46"/>
        <v>32030.531407206283</v>
      </c>
      <c r="F82" s="81">
        <f t="shared" si="46"/>
        <v>32185.392862449044</v>
      </c>
      <c r="G82" s="81">
        <f t="shared" si="46"/>
        <v>32343.798030918089</v>
      </c>
      <c r="H82" s="99"/>
      <c r="I82" s="99"/>
      <c r="J82" s="99"/>
      <c r="K82" s="99"/>
      <c r="L82" s="99"/>
      <c r="M82" s="99"/>
      <c r="N82" s="99"/>
      <c r="O82" s="99"/>
    </row>
    <row r="83" spans="1:15" x14ac:dyDescent="0.25">
      <c r="A83" s="76" t="s">
        <v>329</v>
      </c>
      <c r="B83" s="81">
        <f t="shared" ref="B83:G83" si="47">+B72+B73+B77+B78+B79</f>
        <v>9766</v>
      </c>
      <c r="C83" s="81">
        <f t="shared" si="47"/>
        <v>10015.197215523413</v>
      </c>
      <c r="D83" s="81">
        <f t="shared" si="47"/>
        <v>10282.323381408398</v>
      </c>
      <c r="E83" s="81">
        <f t="shared" si="47"/>
        <v>10568.635613413806</v>
      </c>
      <c r="F83" s="81">
        <f t="shared" si="47"/>
        <v>10875.480233940234</v>
      </c>
      <c r="G83" s="81">
        <f t="shared" si="47"/>
        <v>11204.299097016008</v>
      </c>
      <c r="H83" s="99"/>
      <c r="I83" s="99"/>
      <c r="J83" s="99"/>
      <c r="K83" s="99"/>
      <c r="L83" s="99"/>
      <c r="M83" s="99"/>
      <c r="N83" s="99"/>
      <c r="O83" s="99"/>
    </row>
    <row r="84" spans="1:15" x14ac:dyDescent="0.25">
      <c r="A84" s="79" t="s">
        <v>330</v>
      </c>
      <c r="B84" s="80">
        <f>SUM(B81:B83)</f>
        <v>77451</v>
      </c>
      <c r="C84" s="80">
        <f t="shared" ref="C84" si="48">SUM(C81:C83)</f>
        <v>78451.430540556583</v>
      </c>
      <c r="D84" s="80">
        <f>SUM(D81:D83)</f>
        <v>79505.435138739354</v>
      </c>
      <c r="E84" s="80">
        <f t="shared" ref="E84:G84" si="49">SUM(E81:E83)</f>
        <v>80614.95304126422</v>
      </c>
      <c r="F84" s="80">
        <f t="shared" si="49"/>
        <v>81782.056574228918</v>
      </c>
      <c r="G84" s="80">
        <f t="shared" si="49"/>
        <v>83008.958503512433</v>
      </c>
    </row>
    <row r="87" spans="1:15" x14ac:dyDescent="0.25">
      <c r="A87" s="1649" t="s">
        <v>344</v>
      </c>
      <c r="B87" s="1649"/>
      <c r="C87" s="1649"/>
      <c r="D87" s="1649"/>
      <c r="E87" s="1649"/>
      <c r="F87" s="1649"/>
      <c r="G87" s="1649"/>
      <c r="H87" s="1649"/>
      <c r="I87" s="1649"/>
      <c r="J87" s="1649"/>
      <c r="K87" s="1649"/>
      <c r="L87" s="1649"/>
      <c r="M87" s="1649"/>
      <c r="N87" s="1649"/>
      <c r="O87" s="1649"/>
    </row>
    <row r="88" spans="1:15" ht="50.25" x14ac:dyDescent="0.25">
      <c r="A88" s="72" t="s">
        <v>333</v>
      </c>
      <c r="B88" s="114" t="s">
        <v>345</v>
      </c>
      <c r="C88" s="114" t="s">
        <v>346</v>
      </c>
      <c r="D88" s="114" t="s">
        <v>347</v>
      </c>
      <c r="E88" s="114" t="s">
        <v>348</v>
      </c>
      <c r="F88" s="114" t="s">
        <v>349</v>
      </c>
      <c r="G88" s="114" t="s">
        <v>350</v>
      </c>
      <c r="H88" s="114" t="s">
        <v>351</v>
      </c>
      <c r="I88" s="114" t="s">
        <v>352</v>
      </c>
      <c r="J88" s="114" t="s">
        <v>353</v>
      </c>
      <c r="K88" s="114" t="s">
        <v>354</v>
      </c>
      <c r="L88" s="114" t="s">
        <v>355</v>
      </c>
      <c r="M88" s="114" t="s">
        <v>356</v>
      </c>
      <c r="N88" s="114" t="s">
        <v>357</v>
      </c>
    </row>
    <row r="89" spans="1:15" ht="56.25" customHeight="1" x14ac:dyDescent="0.25">
      <c r="A89" s="115" t="s">
        <v>358</v>
      </c>
      <c r="B89" s="116">
        <v>1</v>
      </c>
      <c r="C89" s="116">
        <v>0.6642752756742395</v>
      </c>
      <c r="D89" s="116">
        <v>5.3142022053939156E-2</v>
      </c>
      <c r="E89" s="116">
        <v>0.16939019529693106</v>
      </c>
      <c r="F89" s="116">
        <v>4.1517204729639968E-2</v>
      </c>
      <c r="G89" s="116">
        <v>1.6606881891855985E-2</v>
      </c>
      <c r="H89" s="116">
        <v>2.4910322837783976E-2</v>
      </c>
      <c r="I89" s="116">
        <v>0</v>
      </c>
      <c r="J89" s="116">
        <v>5.3142022053939156E-2</v>
      </c>
      <c r="K89" s="116">
        <v>0</v>
      </c>
      <c r="L89" s="116">
        <v>0.6642752756742395</v>
      </c>
      <c r="M89" s="116">
        <v>0.73070280324166337</v>
      </c>
      <c r="N89" s="76"/>
    </row>
    <row r="90" spans="1:15" ht="30" customHeight="1" x14ac:dyDescent="0.25">
      <c r="A90" s="115" t="s">
        <v>359</v>
      </c>
      <c r="B90" s="117">
        <f>D98</f>
        <v>9.5782499499294804</v>
      </c>
      <c r="C90" s="117">
        <f>$B$90*C89</f>
        <v>6.3625946259661763</v>
      </c>
      <c r="D90" s="117">
        <f t="shared" ref="D90:L90" si="50">$B$90*D89</f>
        <v>0.50900757007729402</v>
      </c>
      <c r="E90" s="117">
        <f t="shared" si="50"/>
        <v>1.6224616296213747</v>
      </c>
      <c r="F90" s="117">
        <f t="shared" si="50"/>
        <v>0.39766216412288602</v>
      </c>
      <c r="G90" s="117">
        <f t="shared" si="50"/>
        <v>0.1590648656491544</v>
      </c>
      <c r="H90" s="117">
        <f t="shared" si="50"/>
        <v>0.23859729847373157</v>
      </c>
      <c r="I90" s="117">
        <f t="shared" si="50"/>
        <v>0</v>
      </c>
      <c r="J90" s="117">
        <f t="shared" si="50"/>
        <v>0.50900757007729402</v>
      </c>
      <c r="K90" s="117">
        <f t="shared" si="50"/>
        <v>0</v>
      </c>
      <c r="L90" s="117">
        <f t="shared" si="50"/>
        <v>6.3625946259661763</v>
      </c>
      <c r="M90" s="117">
        <f>$B$90*M89</f>
        <v>6.9988540885627932</v>
      </c>
      <c r="N90" s="118">
        <f>SUM(B90:M90)/12</f>
        <v>2.7281745323705295</v>
      </c>
    </row>
    <row r="91" spans="1:15" ht="28.5" customHeight="1" x14ac:dyDescent="0.25">
      <c r="A91" s="115" t="s">
        <v>360</v>
      </c>
      <c r="B91" s="117">
        <f t="shared" ref="B91:B92" si="51">D99</f>
        <v>6.0909090909090917</v>
      </c>
      <c r="C91" s="117">
        <f>$B$91*C89</f>
        <v>4.0460403154703686</v>
      </c>
      <c r="D91" s="117">
        <f t="shared" ref="D91:L91" si="52">$B$91*D89</f>
        <v>0.32368322523762943</v>
      </c>
      <c r="E91" s="117">
        <f t="shared" si="52"/>
        <v>1.0317402804449438</v>
      </c>
      <c r="F91" s="117">
        <f t="shared" si="52"/>
        <v>0.25287751971689804</v>
      </c>
      <c r="G91" s="117">
        <f t="shared" si="52"/>
        <v>0.10115100788675919</v>
      </c>
      <c r="H91" s="117">
        <f t="shared" si="52"/>
        <v>0.15172651183013877</v>
      </c>
      <c r="I91" s="117">
        <f t="shared" si="52"/>
        <v>0</v>
      </c>
      <c r="J91" s="117">
        <f t="shared" si="52"/>
        <v>0.32368322523762943</v>
      </c>
      <c r="K91" s="117">
        <f t="shared" si="52"/>
        <v>0</v>
      </c>
      <c r="L91" s="117">
        <f t="shared" si="52"/>
        <v>4.0460403154703686</v>
      </c>
      <c r="M91" s="117">
        <f>$B$91*M89</f>
        <v>4.4506443470174046</v>
      </c>
      <c r="N91" s="118">
        <f>SUM(B91:M91)/12</f>
        <v>1.7348746532684363</v>
      </c>
    </row>
    <row r="92" spans="1:15" ht="30" customHeight="1" x14ac:dyDescent="0.25">
      <c r="A92" s="115" t="s">
        <v>361</v>
      </c>
      <c r="B92" s="117">
        <f t="shared" si="51"/>
        <v>4.7962962962962958</v>
      </c>
      <c r="C92" s="117">
        <f>$B92*C89</f>
        <v>3.1860610444375559</v>
      </c>
      <c r="D92" s="117">
        <f t="shared" ref="D92:L92" si="53">$B92*D89</f>
        <v>0.25488488355500444</v>
      </c>
      <c r="E92" s="117">
        <f t="shared" si="53"/>
        <v>0.81244556633157661</v>
      </c>
      <c r="F92" s="117">
        <f t="shared" si="53"/>
        <v>0.19912881527734724</v>
      </c>
      <c r="G92" s="117">
        <f t="shared" si="53"/>
        <v>7.9651526110938883E-2</v>
      </c>
      <c r="H92" s="117">
        <f t="shared" si="53"/>
        <v>0.11947728916640832</v>
      </c>
      <c r="I92" s="117">
        <f t="shared" si="53"/>
        <v>0</v>
      </c>
      <c r="J92" s="117">
        <f t="shared" si="53"/>
        <v>0.25488488355500444</v>
      </c>
      <c r="K92" s="117">
        <f t="shared" si="53"/>
        <v>0</v>
      </c>
      <c r="L92" s="117">
        <f t="shared" si="53"/>
        <v>3.1860610444375559</v>
      </c>
      <c r="M92" s="117">
        <f>$B92*M89</f>
        <v>3.5046671488813108</v>
      </c>
      <c r="N92" s="118">
        <f>SUM(B92:M92)/12</f>
        <v>1.3661298748374164</v>
      </c>
    </row>
    <row r="93" spans="1:15" x14ac:dyDescent="0.25">
      <c r="A93" s="1648" t="s">
        <v>362</v>
      </c>
      <c r="B93" s="1648"/>
      <c r="C93" s="1648"/>
      <c r="D93" s="1648"/>
      <c r="E93" s="1648"/>
      <c r="F93" s="1648"/>
      <c r="G93" s="1648"/>
      <c r="H93" s="1648"/>
      <c r="I93" s="1648"/>
      <c r="J93" s="1648"/>
      <c r="K93" s="1648"/>
      <c r="L93" s="1648"/>
      <c r="M93" s="1648"/>
      <c r="N93" s="1648"/>
      <c r="O93" s="86"/>
    </row>
    <row r="96" spans="1:15" x14ac:dyDescent="0.25">
      <c r="A96" s="1650" t="s">
        <v>363</v>
      </c>
      <c r="B96" s="1650"/>
      <c r="C96" s="1650"/>
      <c r="D96" s="1650"/>
      <c r="E96" s="1650"/>
      <c r="F96" s="1650"/>
      <c r="G96" s="1650"/>
      <c r="H96" s="1650"/>
    </row>
    <row r="97" spans="1:21" ht="51" x14ac:dyDescent="0.25">
      <c r="A97" s="91" t="s">
        <v>333</v>
      </c>
      <c r="B97" s="88" t="s">
        <v>364</v>
      </c>
      <c r="C97" s="88" t="s">
        <v>365</v>
      </c>
      <c r="D97" s="88" t="s">
        <v>366</v>
      </c>
      <c r="E97" s="88" t="s">
        <v>367</v>
      </c>
      <c r="F97" s="88" t="s">
        <v>368</v>
      </c>
      <c r="G97" s="88" t="s">
        <v>369</v>
      </c>
      <c r="H97" s="88" t="s">
        <v>370</v>
      </c>
    </row>
    <row r="98" spans="1:21" x14ac:dyDescent="0.25">
      <c r="A98" s="89" t="s">
        <v>371</v>
      </c>
      <c r="B98" s="117">
        <v>7.5680237823258851</v>
      </c>
      <c r="C98" s="117">
        <v>2.0102261676035957</v>
      </c>
      <c r="D98" s="117">
        <f>SUM(B98:C98)</f>
        <v>9.5782499499294804</v>
      </c>
      <c r="E98" s="117">
        <f>N90</f>
        <v>2.7281745323705295</v>
      </c>
      <c r="F98" s="117">
        <f>+E98*12</f>
        <v>32.738094388446356</v>
      </c>
      <c r="G98" s="117">
        <v>4.1153577661431067</v>
      </c>
      <c r="H98" s="117">
        <f>+F98/G98</f>
        <v>7.9551028728975703</v>
      </c>
    </row>
    <row r="99" spans="1:21" x14ac:dyDescent="0.25">
      <c r="A99" s="89" t="s">
        <v>372</v>
      </c>
      <c r="B99" s="117">
        <v>5.4242424242424248</v>
      </c>
      <c r="C99" s="117">
        <v>0.66666666666666663</v>
      </c>
      <c r="D99" s="117">
        <f t="shared" ref="D99:D100" si="54">SUM(B99:C99)</f>
        <v>6.0909090909090917</v>
      </c>
      <c r="E99" s="117">
        <f>N91</f>
        <v>1.7348746532684363</v>
      </c>
      <c r="F99" s="117">
        <f t="shared" ref="F99:F100" si="55">+E99*12</f>
        <v>20.818495839221235</v>
      </c>
      <c r="G99" s="117">
        <v>4.1153577661431067</v>
      </c>
      <c r="H99" s="117">
        <f t="shared" ref="H99:H101" si="56">+F99/G99</f>
        <v>5.0587329273032386</v>
      </c>
    </row>
    <row r="100" spans="1:21" x14ac:dyDescent="0.25">
      <c r="A100" s="89" t="s">
        <v>373</v>
      </c>
      <c r="B100" s="117">
        <v>3.6296296296296293</v>
      </c>
      <c r="C100" s="117">
        <v>1.1666666666666667</v>
      </c>
      <c r="D100" s="117">
        <f t="shared" si="54"/>
        <v>4.7962962962962958</v>
      </c>
      <c r="E100" s="117">
        <f>N92</f>
        <v>1.3661298748374164</v>
      </c>
      <c r="F100" s="117">
        <f t="shared" si="55"/>
        <v>16.393558498048996</v>
      </c>
      <c r="G100" s="117">
        <v>4.1153577661431067</v>
      </c>
      <c r="H100" s="117">
        <f t="shared" si="56"/>
        <v>3.9835074930588501</v>
      </c>
    </row>
    <row r="101" spans="1:21" x14ac:dyDescent="0.25">
      <c r="A101" s="119" t="s">
        <v>374</v>
      </c>
      <c r="B101" s="89"/>
      <c r="C101" s="89"/>
      <c r="D101" s="117">
        <f>SUM(D98:D100)</f>
        <v>20.46545533713487</v>
      </c>
      <c r="E101" s="117">
        <f>SUM(E98:E100)</f>
        <v>5.829179060476382</v>
      </c>
      <c r="F101" s="117">
        <f>+E101*12</f>
        <v>69.950148725716588</v>
      </c>
      <c r="G101" s="117">
        <v>4.1153577661431067</v>
      </c>
      <c r="H101" s="120">
        <f t="shared" si="56"/>
        <v>16.997343293259661</v>
      </c>
    </row>
    <row r="103" spans="1:21" ht="15.75" thickBot="1" x14ac:dyDescent="0.3"/>
    <row r="104" spans="1:21" x14ac:dyDescent="0.25">
      <c r="O104" s="410" t="s">
        <v>623</v>
      </c>
      <c r="P104" s="411" t="s">
        <v>452</v>
      </c>
      <c r="Q104" s="413" t="s">
        <v>628</v>
      </c>
      <c r="R104" s="411" t="s">
        <v>624</v>
      </c>
      <c r="S104" s="412" t="s">
        <v>625</v>
      </c>
      <c r="T104" s="413" t="s">
        <v>627</v>
      </c>
    </row>
    <row r="105" spans="1:21" x14ac:dyDescent="0.25">
      <c r="O105" s="1643">
        <v>17</v>
      </c>
      <c r="P105" s="414" t="s">
        <v>11</v>
      </c>
      <c r="Q105" s="423">
        <f>U105/T105*100</f>
        <v>17</v>
      </c>
      <c r="R105" s="415">
        <v>56093</v>
      </c>
      <c r="S105" s="417">
        <f t="shared" ref="S105:S126" si="57">R105/$Q$127</f>
        <v>0.20341164994324795</v>
      </c>
      <c r="T105" s="214">
        <f t="shared" ref="T105:T126" si="58">R105*($O$105)</f>
        <v>953581</v>
      </c>
      <c r="U105" s="424">
        <f t="shared" ref="U105:U126" si="59">T105*$S$129</f>
        <v>162108.77000000002</v>
      </c>
    </row>
    <row r="106" spans="1:21" x14ac:dyDescent="0.25">
      <c r="O106" s="1643"/>
      <c r="P106" s="414" t="s">
        <v>17</v>
      </c>
      <c r="Q106" s="423">
        <f>U106/T106*101</f>
        <v>17.170000000000002</v>
      </c>
      <c r="R106" s="415">
        <v>18328</v>
      </c>
      <c r="S106" s="417">
        <f t="shared" si="57"/>
        <v>6.6463350510043123E-2</v>
      </c>
      <c r="T106" s="214">
        <f t="shared" si="58"/>
        <v>311576</v>
      </c>
      <c r="U106" s="424">
        <f t="shared" si="59"/>
        <v>52967.920000000006</v>
      </c>
    </row>
    <row r="107" spans="1:21" x14ac:dyDescent="0.25">
      <c r="O107" s="1643"/>
      <c r="P107" s="414" t="s">
        <v>19</v>
      </c>
      <c r="Q107" s="423">
        <f>U107/T107*102</f>
        <v>17.34</v>
      </c>
      <c r="R107" s="415">
        <v>4749</v>
      </c>
      <c r="S107" s="417">
        <f t="shared" si="57"/>
        <v>1.7221434503066062E-2</v>
      </c>
      <c r="T107" s="214">
        <f t="shared" si="58"/>
        <v>80733</v>
      </c>
      <c r="U107" s="424">
        <f t="shared" si="59"/>
        <v>13724.61</v>
      </c>
    </row>
    <row r="108" spans="1:21" x14ac:dyDescent="0.25">
      <c r="O108" s="1643"/>
      <c r="P108" s="414" t="s">
        <v>26</v>
      </c>
      <c r="Q108" s="423">
        <f>U108/T108*101</f>
        <v>17.170000000000002</v>
      </c>
      <c r="R108" s="415">
        <v>3838</v>
      </c>
      <c r="S108" s="417">
        <f t="shared" si="57"/>
        <v>1.3917849151983058E-2</v>
      </c>
      <c r="T108" s="214">
        <f t="shared" si="58"/>
        <v>65246</v>
      </c>
      <c r="U108" s="424">
        <f t="shared" si="59"/>
        <v>11091.820000000002</v>
      </c>
    </row>
    <row r="109" spans="1:21" x14ac:dyDescent="0.25">
      <c r="O109" s="1643"/>
      <c r="P109" s="414" t="s">
        <v>28</v>
      </c>
      <c r="Q109" s="423">
        <f>U109/T109*103</f>
        <v>17.510000000000002</v>
      </c>
      <c r="R109" s="415">
        <v>9884</v>
      </c>
      <c r="S109" s="417">
        <f t="shared" si="57"/>
        <v>3.5842631844241933E-2</v>
      </c>
      <c r="T109" s="214">
        <f t="shared" si="58"/>
        <v>168028</v>
      </c>
      <c r="U109" s="424">
        <f t="shared" si="59"/>
        <v>28564.760000000002</v>
      </c>
    </row>
    <row r="110" spans="1:21" x14ac:dyDescent="0.25">
      <c r="O110" s="1643"/>
      <c r="P110" s="414" t="s">
        <v>30</v>
      </c>
      <c r="Q110" s="423">
        <f>U110/T110*98</f>
        <v>16.66</v>
      </c>
      <c r="R110" s="415">
        <v>48547</v>
      </c>
      <c r="S110" s="417">
        <f t="shared" si="57"/>
        <v>0.17604737435677997</v>
      </c>
      <c r="T110" s="214">
        <f t="shared" si="58"/>
        <v>825299</v>
      </c>
      <c r="U110" s="424">
        <f t="shared" si="59"/>
        <v>140300.83000000002</v>
      </c>
    </row>
    <row r="111" spans="1:21" x14ac:dyDescent="0.25">
      <c r="O111" s="1643"/>
      <c r="P111" s="414" t="s">
        <v>36</v>
      </c>
      <c r="Q111" s="423">
        <f>U111/T111*96</f>
        <v>16.32</v>
      </c>
      <c r="R111" s="415">
        <v>7441</v>
      </c>
      <c r="S111" s="417">
        <f t="shared" si="57"/>
        <v>2.6983511083873354E-2</v>
      </c>
      <c r="T111" s="214">
        <f t="shared" si="58"/>
        <v>126497</v>
      </c>
      <c r="U111" s="424">
        <f t="shared" si="59"/>
        <v>21504.49</v>
      </c>
    </row>
    <row r="112" spans="1:21" x14ac:dyDescent="0.25">
      <c r="O112" s="1643"/>
      <c r="P112" s="414" t="s">
        <v>54</v>
      </c>
      <c r="Q112" s="423">
        <f>U112/T112*96</f>
        <v>16.32</v>
      </c>
      <c r="R112" s="415">
        <v>27665</v>
      </c>
      <c r="S112" s="417">
        <f t="shared" si="57"/>
        <v>0.1003223806121968</v>
      </c>
      <c r="T112" s="214">
        <f t="shared" si="58"/>
        <v>470305</v>
      </c>
      <c r="U112" s="424">
        <f t="shared" si="59"/>
        <v>79951.850000000006</v>
      </c>
    </row>
    <row r="113" spans="13:21" x14ac:dyDescent="0.25">
      <c r="O113" s="1643"/>
      <c r="P113" s="414" t="s">
        <v>59</v>
      </c>
      <c r="Q113" s="423">
        <f>U113/T113*95</f>
        <v>16.150000000000002</v>
      </c>
      <c r="R113" s="415">
        <v>9910</v>
      </c>
      <c r="S113" s="417">
        <f t="shared" si="57"/>
        <v>3.593691638774156E-2</v>
      </c>
      <c r="T113" s="214">
        <f t="shared" si="58"/>
        <v>168470</v>
      </c>
      <c r="U113" s="424">
        <f t="shared" si="59"/>
        <v>28639.9</v>
      </c>
    </row>
    <row r="114" spans="13:21" x14ac:dyDescent="0.25">
      <c r="O114" s="1643"/>
      <c r="P114" s="414" t="s">
        <v>61</v>
      </c>
      <c r="Q114" s="423">
        <f>U114/T114*95</f>
        <v>16.150000000000002</v>
      </c>
      <c r="R114" s="415">
        <v>18313</v>
      </c>
      <c r="S114" s="417">
        <f t="shared" si="57"/>
        <v>6.640895558110102E-2</v>
      </c>
      <c r="T114" s="214">
        <f t="shared" si="58"/>
        <v>311321</v>
      </c>
      <c r="U114" s="424">
        <f t="shared" si="59"/>
        <v>52924.570000000007</v>
      </c>
    </row>
    <row r="115" spans="13:21" x14ac:dyDescent="0.25">
      <c r="O115" s="1643"/>
      <c r="P115" s="414" t="s">
        <v>73</v>
      </c>
      <c r="Q115" s="423">
        <f>U115/T115*93</f>
        <v>15.81</v>
      </c>
      <c r="R115" s="415">
        <v>3164</v>
      </c>
      <c r="S115" s="417">
        <f t="shared" si="57"/>
        <v>1.1473703678185095E-2</v>
      </c>
      <c r="T115" s="214">
        <f t="shared" si="58"/>
        <v>53788</v>
      </c>
      <c r="U115" s="424">
        <f t="shared" si="59"/>
        <v>9143.9600000000009</v>
      </c>
    </row>
    <row r="116" spans="13:21" x14ac:dyDescent="0.25">
      <c r="O116" s="1643"/>
      <c r="P116" s="414" t="s">
        <v>85</v>
      </c>
      <c r="Q116" s="423">
        <f>U116/T116*91</f>
        <v>15.47</v>
      </c>
      <c r="R116" s="415">
        <v>1286</v>
      </c>
      <c r="S116" s="417">
        <f t="shared" si="57"/>
        <v>4.6634585746352817E-3</v>
      </c>
      <c r="T116" s="214">
        <f t="shared" si="58"/>
        <v>21862</v>
      </c>
      <c r="U116" s="424">
        <f t="shared" si="59"/>
        <v>3716.5400000000004</v>
      </c>
    </row>
    <row r="117" spans="13:21" x14ac:dyDescent="0.25">
      <c r="O117" s="1643"/>
      <c r="P117" s="414" t="s">
        <v>90</v>
      </c>
      <c r="Q117" s="423">
        <f>U117/T117*90.5</f>
        <v>15.385000000000002</v>
      </c>
      <c r="R117" s="415">
        <v>5015</v>
      </c>
      <c r="S117" s="417">
        <f t="shared" si="57"/>
        <v>1.8186037909639144E-2</v>
      </c>
      <c r="T117" s="214">
        <f t="shared" si="58"/>
        <v>85255</v>
      </c>
      <c r="U117" s="424">
        <f t="shared" si="59"/>
        <v>14493.35</v>
      </c>
    </row>
    <row r="118" spans="13:21" x14ac:dyDescent="0.25">
      <c r="O118" s="1643"/>
      <c r="P118" s="414" t="s">
        <v>100</v>
      </c>
      <c r="Q118" s="423">
        <f>U118/T118*100</f>
        <v>17</v>
      </c>
      <c r="R118" s="415">
        <v>5326</v>
      </c>
      <c r="S118" s="417">
        <f t="shared" si="57"/>
        <v>1.9313826103038501E-2</v>
      </c>
      <c r="T118" s="214">
        <f t="shared" si="58"/>
        <v>90542</v>
      </c>
      <c r="U118" s="424">
        <f t="shared" si="59"/>
        <v>15392.140000000001</v>
      </c>
    </row>
    <row r="119" spans="13:21" x14ac:dyDescent="0.25">
      <c r="O119" s="1643"/>
      <c r="P119" s="414" t="s">
        <v>125</v>
      </c>
      <c r="Q119" s="423">
        <f>U119/T119*98</f>
        <v>16.66</v>
      </c>
      <c r="R119" s="415">
        <v>11582</v>
      </c>
      <c r="S119" s="417">
        <f t="shared" si="57"/>
        <v>4.2000137800486656E-2</v>
      </c>
      <c r="T119" s="214">
        <f t="shared" si="58"/>
        <v>196894</v>
      </c>
      <c r="U119" s="424">
        <f t="shared" si="59"/>
        <v>33471.980000000003</v>
      </c>
    </row>
    <row r="120" spans="13:21" x14ac:dyDescent="0.25">
      <c r="O120" s="1643"/>
      <c r="P120" s="414" t="s">
        <v>128</v>
      </c>
      <c r="Q120" s="423">
        <f>U120/T120*103</f>
        <v>17.510000000000002</v>
      </c>
      <c r="R120" s="415">
        <v>9908</v>
      </c>
      <c r="S120" s="417">
        <f t="shared" si="57"/>
        <v>3.5929663730549281E-2</v>
      </c>
      <c r="T120" s="214">
        <f t="shared" si="58"/>
        <v>168436</v>
      </c>
      <c r="U120" s="424">
        <f t="shared" si="59"/>
        <v>28634.120000000003</v>
      </c>
    </row>
    <row r="121" spans="13:21" x14ac:dyDescent="0.25">
      <c r="O121" s="1643"/>
      <c r="P121" s="414" t="s">
        <v>140</v>
      </c>
      <c r="Q121" s="423">
        <f>U121/T121*99</f>
        <v>16.830000000000002</v>
      </c>
      <c r="R121" s="415">
        <v>6809</v>
      </c>
      <c r="S121" s="417">
        <f t="shared" si="57"/>
        <v>2.4691671411113246E-2</v>
      </c>
      <c r="T121" s="214">
        <f t="shared" si="58"/>
        <v>115753</v>
      </c>
      <c r="U121" s="424">
        <f t="shared" si="59"/>
        <v>19678.010000000002</v>
      </c>
    </row>
    <row r="122" spans="13:21" x14ac:dyDescent="0.25">
      <c r="O122" s="1643"/>
      <c r="P122" s="414" t="s">
        <v>151</v>
      </c>
      <c r="Q122" s="423">
        <f>U122/T122*112</f>
        <v>19.040000000000006</v>
      </c>
      <c r="R122" s="415">
        <v>12477</v>
      </c>
      <c r="S122" s="417">
        <f t="shared" si="57"/>
        <v>4.5245701894031425E-2</v>
      </c>
      <c r="T122" s="214">
        <f t="shared" si="58"/>
        <v>212109</v>
      </c>
      <c r="U122" s="424">
        <f t="shared" si="59"/>
        <v>36058.530000000006</v>
      </c>
    </row>
    <row r="123" spans="13:21" x14ac:dyDescent="0.25">
      <c r="O123" s="1643"/>
      <c r="P123" s="414" t="s">
        <v>160</v>
      </c>
      <c r="Q123" s="423">
        <f>U123/T123*115</f>
        <v>19.55</v>
      </c>
      <c r="R123" s="415">
        <v>5298</v>
      </c>
      <c r="S123" s="417">
        <f t="shared" si="57"/>
        <v>1.9212288902346598E-2</v>
      </c>
      <c r="T123" s="214">
        <f t="shared" si="58"/>
        <v>90066</v>
      </c>
      <c r="U123" s="424">
        <f t="shared" si="59"/>
        <v>15311.220000000001</v>
      </c>
    </row>
    <row r="124" spans="13:21" x14ac:dyDescent="0.25">
      <c r="O124" s="1643"/>
      <c r="P124" s="414" t="s">
        <v>163</v>
      </c>
      <c r="Q124" s="423">
        <f>U124/T124*106</f>
        <v>18.02</v>
      </c>
      <c r="R124" s="415">
        <v>5402</v>
      </c>
      <c r="S124" s="417">
        <f t="shared" si="57"/>
        <v>1.9589427076345096E-2</v>
      </c>
      <c r="T124" s="214">
        <f t="shared" si="58"/>
        <v>91834</v>
      </c>
      <c r="U124" s="424">
        <f t="shared" si="59"/>
        <v>15611.78</v>
      </c>
    </row>
    <row r="125" spans="13:21" x14ac:dyDescent="0.25">
      <c r="O125" s="1643"/>
      <c r="P125" s="414" t="s">
        <v>179</v>
      </c>
      <c r="Q125" s="423">
        <f>U125/T125*102</f>
        <v>17.34</v>
      </c>
      <c r="R125" s="415">
        <v>3325</v>
      </c>
      <c r="S125" s="417">
        <f t="shared" si="57"/>
        <v>1.2057542582163541E-2</v>
      </c>
      <c r="T125" s="214">
        <f t="shared" si="58"/>
        <v>56525</v>
      </c>
      <c r="U125" s="424">
        <f t="shared" si="59"/>
        <v>9609.25</v>
      </c>
    </row>
    <row r="126" spans="13:21" ht="15.75" thickBot="1" x14ac:dyDescent="0.3">
      <c r="O126" s="1644"/>
      <c r="P126" s="418" t="s">
        <v>187</v>
      </c>
      <c r="Q126" s="423">
        <f>U126/T126*104</f>
        <v>17.68</v>
      </c>
      <c r="R126" s="419">
        <v>1401</v>
      </c>
      <c r="S126" s="416">
        <f t="shared" si="57"/>
        <v>5.0804863631913142E-3</v>
      </c>
      <c r="T126" s="214">
        <f t="shared" si="58"/>
        <v>23817</v>
      </c>
      <c r="U126" s="424">
        <f t="shared" si="59"/>
        <v>4048.8900000000003</v>
      </c>
    </row>
    <row r="127" spans="13:21" x14ac:dyDescent="0.25">
      <c r="O127" s="418" t="s">
        <v>285</v>
      </c>
      <c r="P127" s="426">
        <f>AVERAGE(Q105:Q126)</f>
        <v>17.003863636363636</v>
      </c>
      <c r="Q127" s="420">
        <f>SUM(R105:R126)</f>
        <v>275761</v>
      </c>
      <c r="R127" s="421">
        <f>SUM(S105:S126)</f>
        <v>1</v>
      </c>
      <c r="S127" s="427">
        <f>SUM(T105:T126)</f>
        <v>4687937</v>
      </c>
    </row>
    <row r="128" spans="13:21" x14ac:dyDescent="0.25">
      <c r="M128" s="425"/>
      <c r="N128" s="425"/>
      <c r="O128" s="1645" t="s">
        <v>626</v>
      </c>
      <c r="P128" s="1646"/>
      <c r="Q128" s="1646"/>
      <c r="R128" s="1646"/>
      <c r="S128" s="1647"/>
    </row>
    <row r="129" spans="19:19" x14ac:dyDescent="0.25">
      <c r="S129" s="422">
        <v>0.17</v>
      </c>
    </row>
  </sheetData>
  <mergeCells count="32">
    <mergeCell ref="O105:O126"/>
    <mergeCell ref="O128:S128"/>
    <mergeCell ref="R59:S59"/>
    <mergeCell ref="A93:N93"/>
    <mergeCell ref="A87:O87"/>
    <mergeCell ref="A96:H96"/>
    <mergeCell ref="P59:Q59"/>
    <mergeCell ref="K56:K57"/>
    <mergeCell ref="L56:L57"/>
    <mergeCell ref="N56:N57"/>
    <mergeCell ref="O56:O57"/>
    <mergeCell ref="I59:I60"/>
    <mergeCell ref="J59:L59"/>
    <mergeCell ref="N59:O59"/>
    <mergeCell ref="P56:P57"/>
    <mergeCell ref="O14:O15"/>
    <mergeCell ref="P14:P15"/>
    <mergeCell ref="Q14:Q15"/>
    <mergeCell ref="R14:R15"/>
    <mergeCell ref="L17:L18"/>
    <mergeCell ref="N17:P17"/>
    <mergeCell ref="Q17:R17"/>
    <mergeCell ref="S17:T17"/>
    <mergeCell ref="L27:P27"/>
    <mergeCell ref="A55:A56"/>
    <mergeCell ref="E27:I27"/>
    <mergeCell ref="B55:G55"/>
    <mergeCell ref="B4:B5"/>
    <mergeCell ref="C4:H4"/>
    <mergeCell ref="A27:A28"/>
    <mergeCell ref="B27:C27"/>
    <mergeCell ref="D27:D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workbookViewId="0">
      <selection activeCell="AA27" sqref="AA27"/>
    </sheetView>
  </sheetViews>
  <sheetFormatPr baseColWidth="10" defaultRowHeight="15" x14ac:dyDescent="0.25"/>
  <cols>
    <col min="1" max="1" width="5" customWidth="1"/>
    <col min="4" max="27" width="2.7109375" customWidth="1"/>
    <col min="28" max="28" width="7.7109375" customWidth="1"/>
    <col min="29" max="29" width="6.85546875" customWidth="1"/>
    <col min="30" max="30" width="8.140625" customWidth="1"/>
    <col min="31" max="31" width="8" customWidth="1"/>
  </cols>
  <sheetData>
    <row r="1" spans="1:31" x14ac:dyDescent="0.25">
      <c r="A1" s="1323"/>
      <c r="B1" s="1323"/>
      <c r="C1" s="1323"/>
      <c r="D1" s="1323"/>
      <c r="E1" s="1323"/>
      <c r="F1" s="1323"/>
      <c r="G1" s="1323"/>
      <c r="H1" s="1323"/>
      <c r="I1" s="1323"/>
      <c r="J1" s="1323"/>
      <c r="K1" s="1323"/>
      <c r="L1" s="1323"/>
      <c r="M1" s="1323"/>
      <c r="N1" s="1323"/>
      <c r="O1" s="1323"/>
      <c r="P1" s="1323"/>
      <c r="Q1" s="1323"/>
      <c r="R1" s="1323"/>
      <c r="S1" s="1323"/>
      <c r="T1" s="1323"/>
      <c r="U1" s="1323"/>
      <c r="V1" s="1323"/>
      <c r="W1" s="1323"/>
      <c r="X1" s="1323"/>
      <c r="Y1" s="1323"/>
      <c r="Z1" s="1323"/>
      <c r="AA1" s="1323"/>
      <c r="AB1" s="1323"/>
      <c r="AC1" s="1323"/>
      <c r="AD1" s="1323"/>
      <c r="AE1" s="1323"/>
    </row>
    <row r="2" spans="1:31" x14ac:dyDescent="0.25">
      <c r="A2" s="1323"/>
      <c r="B2" s="1323"/>
      <c r="C2" s="1323"/>
      <c r="D2" s="1323"/>
      <c r="E2" s="1323"/>
      <c r="F2" s="1323"/>
      <c r="G2" s="1323"/>
      <c r="H2" s="1323"/>
      <c r="I2" s="1323"/>
      <c r="J2" s="1323"/>
      <c r="K2" s="1323"/>
      <c r="L2" s="1323"/>
      <c r="M2" s="1323"/>
      <c r="N2" s="1323"/>
      <c r="O2" s="1323"/>
      <c r="P2" s="1323"/>
      <c r="Q2" s="1323"/>
      <c r="R2" s="1323"/>
      <c r="S2" s="1323"/>
      <c r="T2" s="1323"/>
      <c r="U2" s="1323"/>
      <c r="V2" s="1323"/>
      <c r="W2" s="1323"/>
      <c r="X2" s="1323"/>
      <c r="Y2" s="1323"/>
      <c r="Z2" s="1323"/>
      <c r="AA2" s="1323"/>
      <c r="AB2" s="1323"/>
      <c r="AC2" s="1323"/>
      <c r="AD2" s="1323"/>
      <c r="AE2" s="1323"/>
    </row>
    <row r="3" spans="1:31" x14ac:dyDescent="0.25">
      <c r="A3" s="1323"/>
      <c r="B3" s="1323"/>
      <c r="C3" s="1323"/>
      <c r="D3" s="1323"/>
      <c r="E3" s="1323"/>
      <c r="F3" s="1323"/>
      <c r="G3" s="1323"/>
      <c r="H3" s="1323"/>
      <c r="I3" s="1323"/>
      <c r="J3" s="1323"/>
      <c r="K3" s="1323"/>
      <c r="L3" s="1323"/>
      <c r="M3" s="1323"/>
      <c r="N3" s="1323"/>
      <c r="O3" s="1323"/>
      <c r="P3" s="1323"/>
      <c r="Q3" s="1323"/>
      <c r="R3" s="1323"/>
      <c r="S3" s="1323"/>
      <c r="T3" s="1323"/>
      <c r="U3" s="1323"/>
      <c r="V3" s="1323"/>
      <c r="W3" s="1323"/>
      <c r="X3" s="1323"/>
      <c r="Y3" s="1323"/>
      <c r="Z3" s="1323"/>
      <c r="AA3" s="1323"/>
      <c r="AB3" s="1323"/>
      <c r="AC3" s="1323"/>
      <c r="AD3" s="1323"/>
      <c r="AE3" s="1323"/>
    </row>
    <row r="4" spans="1:31" x14ac:dyDescent="0.25">
      <c r="A4" s="1323"/>
      <c r="B4" s="1323"/>
      <c r="C4" s="1323"/>
      <c r="D4" s="1323"/>
      <c r="E4" s="1323"/>
      <c r="F4" s="1323"/>
      <c r="G4" s="1323"/>
      <c r="H4" s="1323"/>
      <c r="I4" s="1323"/>
      <c r="J4" s="1323"/>
      <c r="K4" s="1323"/>
      <c r="L4" s="1323"/>
      <c r="M4" s="1323"/>
      <c r="N4" s="1323"/>
      <c r="O4" s="1323"/>
      <c r="P4" s="1323"/>
      <c r="Q4" s="1323"/>
      <c r="R4" s="1323"/>
      <c r="S4" s="1323"/>
      <c r="T4" s="1323"/>
      <c r="U4" s="1323"/>
      <c r="V4" s="1323"/>
      <c r="W4" s="1323"/>
      <c r="X4" s="1323"/>
      <c r="Y4" s="1323"/>
      <c r="Z4" s="1323"/>
      <c r="AA4" s="1323"/>
      <c r="AB4" s="1323"/>
      <c r="AC4" s="1323"/>
      <c r="AD4" s="1323"/>
      <c r="AE4" s="1323"/>
    </row>
    <row r="5" spans="1:31" x14ac:dyDescent="0.25">
      <c r="A5" s="1323"/>
      <c r="B5" s="1323"/>
      <c r="C5" s="1323"/>
      <c r="D5" s="1323"/>
      <c r="E5" s="1323"/>
      <c r="F5" s="1323"/>
      <c r="G5" s="1323"/>
      <c r="H5" s="1323"/>
      <c r="I5" s="1323"/>
      <c r="J5" s="1323"/>
      <c r="K5" s="1323"/>
      <c r="L5" s="1323"/>
      <c r="M5" s="1323"/>
      <c r="N5" s="1323"/>
      <c r="O5" s="1323"/>
      <c r="P5" s="1323"/>
      <c r="Q5" s="1323"/>
      <c r="R5" s="1323"/>
      <c r="S5" s="1323"/>
      <c r="T5" s="1323"/>
      <c r="U5" s="1323"/>
      <c r="V5" s="1323"/>
      <c r="W5" s="1323"/>
      <c r="X5" s="1323"/>
      <c r="Y5" s="1323"/>
      <c r="Z5" s="1323"/>
      <c r="AA5" s="1323"/>
      <c r="AB5" s="1323"/>
      <c r="AC5" s="1323"/>
      <c r="AD5" s="1323"/>
      <c r="AE5" s="1323"/>
    </row>
    <row r="6" spans="1:31" x14ac:dyDescent="0.25">
      <c r="A6" s="1323"/>
      <c r="B6" s="1323"/>
      <c r="C6" s="1323"/>
      <c r="D6" s="1323"/>
      <c r="E6" s="1323"/>
      <c r="F6" s="1323"/>
      <c r="G6" s="1323"/>
      <c r="H6" s="1323"/>
      <c r="I6" s="1323"/>
      <c r="J6" s="1323"/>
      <c r="K6" s="1323"/>
      <c r="L6" s="1323"/>
      <c r="M6" s="1323"/>
      <c r="N6" s="1323"/>
      <c r="O6" s="1323"/>
      <c r="P6" s="1323"/>
      <c r="Q6" s="1323"/>
      <c r="R6" s="1323"/>
      <c r="S6" s="1323"/>
      <c r="T6" s="1323"/>
      <c r="U6" s="1323"/>
      <c r="V6" s="1323"/>
      <c r="W6" s="1323"/>
      <c r="X6" s="1323"/>
      <c r="Y6" s="1323"/>
      <c r="Z6" s="1323"/>
      <c r="AA6" s="1323"/>
      <c r="AB6" s="1323"/>
      <c r="AC6" s="1323"/>
      <c r="AD6" s="1323"/>
      <c r="AE6" s="1323"/>
    </row>
    <row r="7" spans="1:31" x14ac:dyDescent="0.25">
      <c r="A7" s="1323"/>
      <c r="B7" s="1653" t="s">
        <v>1606</v>
      </c>
      <c r="C7" s="1654" t="s">
        <v>1607</v>
      </c>
      <c r="D7" s="1655" t="s">
        <v>1608</v>
      </c>
      <c r="E7" s="1655"/>
      <c r="F7" s="1655"/>
      <c r="G7" s="1655"/>
      <c r="H7" s="1655"/>
      <c r="I7" s="1655"/>
      <c r="J7" s="1655"/>
      <c r="K7" s="1655"/>
      <c r="L7" s="1655"/>
      <c r="M7" s="1655"/>
      <c r="N7" s="1655"/>
      <c r="O7" s="1655"/>
      <c r="P7" s="1655"/>
      <c r="Q7" s="1655"/>
      <c r="R7" s="1655"/>
      <c r="S7" s="1655"/>
      <c r="T7" s="1655"/>
      <c r="U7" s="1655"/>
      <c r="V7" s="1655"/>
      <c r="W7" s="1655"/>
      <c r="X7" s="1655"/>
      <c r="Y7" s="1655"/>
      <c r="Z7" s="1655"/>
      <c r="AA7" s="1655"/>
      <c r="AB7" s="1655" t="s">
        <v>1609</v>
      </c>
      <c r="AC7" s="1655"/>
      <c r="AD7" s="1655"/>
      <c r="AE7" s="1655"/>
    </row>
    <row r="8" spans="1:31" x14ac:dyDescent="0.25">
      <c r="A8" s="1323"/>
      <c r="B8" s="1653"/>
      <c r="C8" s="1654"/>
      <c r="D8" s="1656" t="s">
        <v>1610</v>
      </c>
      <c r="E8" s="1657"/>
      <c r="F8" s="1657"/>
      <c r="G8" s="1657"/>
      <c r="H8" s="1657"/>
      <c r="I8" s="1657"/>
      <c r="J8" s="1657"/>
      <c r="K8" s="1657"/>
      <c r="L8" s="1657"/>
      <c r="M8" s="1657"/>
      <c r="N8" s="1657"/>
      <c r="O8" s="1657"/>
      <c r="P8" s="1657"/>
      <c r="Q8" s="1657"/>
      <c r="R8" s="1657"/>
      <c r="S8" s="1657"/>
      <c r="T8" s="1657"/>
      <c r="U8" s="1657"/>
      <c r="V8" s="1657"/>
      <c r="W8" s="1657"/>
      <c r="X8" s="1657"/>
      <c r="Y8" s="1657"/>
      <c r="Z8" s="1657"/>
      <c r="AA8" s="1657"/>
      <c r="AB8" s="1658" t="s">
        <v>439</v>
      </c>
      <c r="AC8" s="1658" t="s">
        <v>440</v>
      </c>
      <c r="AD8" s="1658" t="s">
        <v>1611</v>
      </c>
      <c r="AE8" s="1658" t="s">
        <v>448</v>
      </c>
    </row>
    <row r="9" spans="1:31" x14ac:dyDescent="0.25">
      <c r="A9" s="1323"/>
      <c r="B9" s="1653"/>
      <c r="C9" s="1654"/>
      <c r="D9" s="1651">
        <v>1</v>
      </c>
      <c r="E9" s="1651"/>
      <c r="F9" s="1651"/>
      <c r="G9" s="1651"/>
      <c r="H9" s="1651"/>
      <c r="I9" s="1651"/>
      <c r="J9" s="1651"/>
      <c r="K9" s="1651"/>
      <c r="L9" s="1651"/>
      <c r="M9" s="1651"/>
      <c r="N9" s="1651"/>
      <c r="O9" s="1651"/>
      <c r="P9" s="1651">
        <v>2</v>
      </c>
      <c r="Q9" s="1651"/>
      <c r="R9" s="1651"/>
      <c r="S9" s="1651"/>
      <c r="T9" s="1651"/>
      <c r="U9" s="1651"/>
      <c r="V9" s="1651"/>
      <c r="W9" s="1651"/>
      <c r="X9" s="1651"/>
      <c r="Y9" s="1651"/>
      <c r="Z9" s="1651"/>
      <c r="AA9" s="1651"/>
      <c r="AB9" s="1658"/>
      <c r="AC9" s="1658"/>
      <c r="AD9" s="1658"/>
      <c r="AE9" s="1658"/>
    </row>
    <row r="10" spans="1:31" x14ac:dyDescent="0.25">
      <c r="A10" s="1323"/>
      <c r="B10" s="1653"/>
      <c r="C10" s="1654"/>
      <c r="D10" s="1324">
        <v>1</v>
      </c>
      <c r="E10" s="1324">
        <v>2</v>
      </c>
      <c r="F10" s="1324">
        <v>3</v>
      </c>
      <c r="G10" s="1324">
        <v>4</v>
      </c>
      <c r="H10" s="1324">
        <v>5</v>
      </c>
      <c r="I10" s="1324">
        <v>6</v>
      </c>
      <c r="J10" s="1324">
        <v>7</v>
      </c>
      <c r="K10" s="1324">
        <v>8</v>
      </c>
      <c r="L10" s="1324">
        <v>9</v>
      </c>
      <c r="M10" s="1324">
        <v>10</v>
      </c>
      <c r="N10" s="1324">
        <v>11</v>
      </c>
      <c r="O10" s="1324">
        <v>12</v>
      </c>
      <c r="P10" s="1324">
        <v>1</v>
      </c>
      <c r="Q10" s="1324">
        <v>2</v>
      </c>
      <c r="R10" s="1324">
        <v>3</v>
      </c>
      <c r="S10" s="1324">
        <v>4</v>
      </c>
      <c r="T10" s="1324">
        <v>5</v>
      </c>
      <c r="U10" s="1324">
        <v>6</v>
      </c>
      <c r="V10" s="1324">
        <v>7</v>
      </c>
      <c r="W10" s="1324">
        <v>8</v>
      </c>
      <c r="X10" s="1324">
        <v>9</v>
      </c>
      <c r="Y10" s="1324">
        <v>10</v>
      </c>
      <c r="Z10" s="1324">
        <v>11</v>
      </c>
      <c r="AA10" s="1324">
        <v>12</v>
      </c>
      <c r="AB10" s="1658"/>
      <c r="AC10" s="1658"/>
      <c r="AD10" s="1658"/>
      <c r="AE10" s="1658"/>
    </row>
    <row r="11" spans="1:31" x14ac:dyDescent="0.25">
      <c r="A11" s="1323"/>
      <c r="B11" s="1325" t="s">
        <v>1612</v>
      </c>
      <c r="C11" s="1654"/>
      <c r="D11" s="1326"/>
      <c r="E11" s="1326"/>
      <c r="F11" s="1327"/>
      <c r="G11" s="1328"/>
      <c r="H11" s="1328"/>
      <c r="I11" s="1328"/>
      <c r="J11" s="1328"/>
      <c r="K11" s="1328"/>
      <c r="L11" s="1328"/>
      <c r="M11" s="1328"/>
      <c r="N11" s="1328"/>
      <c r="O11" s="1328"/>
      <c r="P11" s="1328"/>
      <c r="Q11" s="1328"/>
      <c r="R11" s="1328"/>
      <c r="S11" s="1328"/>
      <c r="T11" s="1328"/>
      <c r="U11" s="1328"/>
      <c r="V11" s="1328"/>
      <c r="W11" s="1328"/>
      <c r="X11" s="1328"/>
      <c r="Y11" s="1328"/>
      <c r="Z11" s="1328"/>
      <c r="AA11" s="1328"/>
      <c r="AB11" s="1652" t="s">
        <v>1613</v>
      </c>
      <c r="AC11" s="1652"/>
      <c r="AD11" s="1652"/>
      <c r="AE11" s="1652"/>
    </row>
    <row r="12" spans="1:31" x14ac:dyDescent="0.25">
      <c r="A12" s="1323"/>
      <c r="B12" s="1325" t="s">
        <v>1614</v>
      </c>
      <c r="C12" s="1654"/>
      <c r="D12" s="1326"/>
      <c r="E12" s="1326"/>
      <c r="F12" s="1327"/>
      <c r="G12" s="1328"/>
      <c r="H12" s="1328"/>
      <c r="I12" s="1328"/>
      <c r="J12" s="1328"/>
      <c r="K12" s="1328"/>
      <c r="L12" s="1328"/>
      <c r="M12" s="1328"/>
      <c r="N12" s="1328"/>
      <c r="O12" s="1328"/>
      <c r="P12" s="1328"/>
      <c r="Q12" s="1328"/>
      <c r="R12" s="1328"/>
      <c r="S12" s="1328"/>
      <c r="T12" s="1328"/>
      <c r="U12" s="1328"/>
      <c r="V12" s="1328"/>
      <c r="W12" s="1328"/>
      <c r="X12" s="1328"/>
      <c r="Y12" s="1328"/>
      <c r="Z12" s="1328"/>
      <c r="AA12" s="1328"/>
      <c r="AB12" s="1652"/>
      <c r="AC12" s="1652"/>
      <c r="AD12" s="1652"/>
      <c r="AE12" s="1652"/>
    </row>
    <row r="13" spans="1:31" x14ac:dyDescent="0.25">
      <c r="A13" s="1323"/>
      <c r="B13" s="1325" t="s">
        <v>1615</v>
      </c>
      <c r="C13" s="1654"/>
      <c r="D13" s="1326"/>
      <c r="E13" s="1326"/>
      <c r="F13" s="1327"/>
      <c r="G13" s="1328"/>
      <c r="H13" s="1328"/>
      <c r="I13" s="1328"/>
      <c r="J13" s="1328"/>
      <c r="K13" s="1328"/>
      <c r="L13" s="1328"/>
      <c r="M13" s="1328"/>
      <c r="N13" s="1328"/>
      <c r="O13" s="1328"/>
      <c r="P13" s="1328"/>
      <c r="Q13" s="1328"/>
      <c r="R13" s="1328"/>
      <c r="S13" s="1328"/>
      <c r="T13" s="1328"/>
      <c r="U13" s="1328"/>
      <c r="V13" s="1328"/>
      <c r="W13" s="1328"/>
      <c r="X13" s="1328"/>
      <c r="Y13" s="1328"/>
      <c r="Z13" s="1328"/>
      <c r="AA13" s="1328"/>
      <c r="AB13" s="1652"/>
      <c r="AC13" s="1652"/>
      <c r="AD13" s="1652"/>
      <c r="AE13" s="1652"/>
    </row>
    <row r="14" spans="1:31" x14ac:dyDescent="0.25">
      <c r="A14" s="1323"/>
      <c r="B14" s="1325" t="s">
        <v>1616</v>
      </c>
      <c r="C14" s="1654"/>
      <c r="D14" s="1326"/>
      <c r="E14" s="1326"/>
      <c r="F14" s="1326"/>
      <c r="G14" s="1327"/>
      <c r="H14" s="1327"/>
      <c r="I14" s="1327"/>
      <c r="J14" s="1327"/>
      <c r="K14" s="1327"/>
      <c r="L14" s="1327"/>
      <c r="M14" s="1327"/>
      <c r="N14" s="1327"/>
      <c r="O14" s="1327"/>
      <c r="P14" s="1327"/>
      <c r="Q14" s="1327"/>
      <c r="R14" s="1327"/>
      <c r="S14" s="1327"/>
      <c r="T14" s="1327"/>
      <c r="U14" s="1327"/>
      <c r="V14" s="1327"/>
      <c r="W14" s="1327"/>
      <c r="X14" s="1327"/>
      <c r="Y14" s="1327"/>
      <c r="Z14" s="1328"/>
      <c r="AA14" s="1328"/>
      <c r="AB14" s="1652"/>
      <c r="AC14" s="1652"/>
      <c r="AD14" s="1652"/>
      <c r="AE14" s="1652"/>
    </row>
    <row r="15" spans="1:31" x14ac:dyDescent="0.25">
      <c r="A15" s="1323"/>
      <c r="B15" s="1323"/>
      <c r="C15" s="1323"/>
      <c r="D15" s="1323"/>
      <c r="E15" s="1323"/>
      <c r="F15" s="1323"/>
      <c r="G15" s="1323"/>
      <c r="H15" s="1323"/>
      <c r="I15" s="1323"/>
      <c r="J15" s="1323"/>
      <c r="K15" s="1323"/>
      <c r="L15" s="1323"/>
      <c r="M15" s="1323"/>
      <c r="N15" s="1323"/>
      <c r="O15" s="1323"/>
      <c r="P15" s="1323"/>
      <c r="Q15" s="1323"/>
      <c r="R15" s="1323"/>
      <c r="S15" s="1323"/>
      <c r="T15" s="1323"/>
      <c r="U15" s="1323"/>
      <c r="V15" s="1323"/>
      <c r="W15" s="1323"/>
      <c r="X15" s="1323"/>
      <c r="Y15" s="1323"/>
      <c r="Z15" s="1323"/>
      <c r="AA15" s="1323"/>
      <c r="AB15" s="1323"/>
      <c r="AC15" s="1323"/>
      <c r="AD15" s="1323"/>
      <c r="AE15" s="1323"/>
    </row>
    <row r="16" spans="1:31" x14ac:dyDescent="0.25">
      <c r="A16" s="1323"/>
      <c r="B16" s="1323"/>
      <c r="C16" s="1323"/>
      <c r="D16" s="1323"/>
      <c r="E16" s="1323"/>
      <c r="F16" s="1323"/>
      <c r="G16" s="1323"/>
      <c r="H16" s="1323"/>
      <c r="I16" s="1323"/>
      <c r="J16" s="1323"/>
      <c r="K16" s="1323"/>
      <c r="L16" s="1323"/>
      <c r="M16" s="1323"/>
      <c r="N16" s="1323"/>
      <c r="O16" s="1323"/>
      <c r="P16" s="1323"/>
      <c r="Q16" s="1323"/>
      <c r="R16" s="1323"/>
      <c r="S16" s="1323"/>
      <c r="T16" s="1323"/>
      <c r="U16" s="1323"/>
      <c r="V16" s="1323"/>
      <c r="W16" s="1323"/>
      <c r="X16" s="1323"/>
      <c r="Y16" s="1323"/>
      <c r="Z16" s="1323"/>
      <c r="AA16" s="1323"/>
      <c r="AB16" s="1323"/>
      <c r="AC16" s="1323"/>
      <c r="AD16" s="1323"/>
      <c r="AE16" s="1323"/>
    </row>
    <row r="17" spans="1:31" x14ac:dyDescent="0.25">
      <c r="A17" s="1323"/>
      <c r="B17" s="1323"/>
      <c r="C17" s="1323"/>
      <c r="D17" s="1323"/>
      <c r="E17" s="1323"/>
      <c r="F17" s="1323"/>
      <c r="G17" s="1323"/>
      <c r="H17" s="1323"/>
      <c r="I17" s="1323"/>
      <c r="J17" s="1323"/>
      <c r="K17" s="1323"/>
      <c r="L17" s="1323"/>
      <c r="M17" s="1323"/>
      <c r="N17" s="1323"/>
      <c r="O17" s="1323"/>
      <c r="P17" s="1323"/>
      <c r="Q17" s="1323"/>
      <c r="R17" s="1323"/>
      <c r="S17" s="1323"/>
      <c r="T17" s="1323"/>
      <c r="U17" s="1323"/>
      <c r="V17" s="1323"/>
      <c r="W17" s="1323"/>
      <c r="X17" s="1323"/>
      <c r="Y17" s="1323"/>
      <c r="Z17" s="1323"/>
      <c r="AA17" s="1323"/>
      <c r="AB17" s="1323"/>
      <c r="AC17" s="1323"/>
      <c r="AD17" s="1323"/>
      <c r="AE17" s="1323"/>
    </row>
    <row r="18" spans="1:31" x14ac:dyDescent="0.25">
      <c r="A18" s="1323"/>
      <c r="B18" s="1323"/>
      <c r="C18" s="1323"/>
      <c r="D18" s="1323"/>
      <c r="E18" s="1323"/>
      <c r="F18" s="1323"/>
      <c r="G18" s="1323"/>
      <c r="H18" s="1323"/>
      <c r="I18" s="1323"/>
      <c r="J18" s="1323"/>
      <c r="K18" s="1323"/>
      <c r="L18" s="1323"/>
      <c r="M18" s="1323"/>
      <c r="N18" s="1323"/>
      <c r="O18" s="1323"/>
      <c r="P18" s="1323"/>
      <c r="Q18" s="1323"/>
      <c r="R18" s="1323"/>
      <c r="S18" s="1323"/>
      <c r="T18" s="1323"/>
      <c r="U18" s="1323"/>
      <c r="V18" s="1323"/>
      <c r="W18" s="1323"/>
      <c r="X18" s="1323"/>
      <c r="Y18" s="1323"/>
      <c r="Z18" s="1323"/>
      <c r="AA18" s="1323"/>
      <c r="AB18" s="1323"/>
      <c r="AC18" s="1323"/>
      <c r="AD18" s="1323"/>
      <c r="AE18" s="1323"/>
    </row>
    <row r="19" spans="1:31" x14ac:dyDescent="0.25">
      <c r="A19" s="1323"/>
      <c r="B19" s="1323"/>
      <c r="C19" s="1323"/>
      <c r="D19" s="1323"/>
      <c r="E19" s="1323"/>
      <c r="F19" s="1323"/>
      <c r="G19" s="1323"/>
      <c r="H19" s="1323"/>
      <c r="I19" s="1323"/>
      <c r="J19" s="1323"/>
      <c r="K19" s="1323"/>
      <c r="L19" s="1323"/>
      <c r="M19" s="1323"/>
      <c r="N19" s="1323"/>
      <c r="O19" s="1323"/>
      <c r="P19" s="1323"/>
      <c r="Q19" s="1323"/>
      <c r="R19" s="1323"/>
      <c r="S19" s="1323"/>
      <c r="T19" s="1323"/>
      <c r="U19" s="1323"/>
      <c r="V19" s="1323"/>
      <c r="W19" s="1323"/>
      <c r="X19" s="1323"/>
      <c r="Y19" s="1323"/>
      <c r="Z19" s="1323"/>
      <c r="AA19" s="1323"/>
      <c r="AB19" s="1323"/>
      <c r="AC19" s="1323"/>
      <c r="AD19" s="1323"/>
      <c r="AE19" s="1323"/>
    </row>
    <row r="20" spans="1:31" x14ac:dyDescent="0.25">
      <c r="A20" s="1323"/>
      <c r="B20" s="1323"/>
      <c r="C20" s="1323"/>
      <c r="D20" s="1323"/>
      <c r="E20" s="1323"/>
      <c r="F20" s="1323"/>
      <c r="G20" s="1323"/>
      <c r="H20" s="1323"/>
      <c r="I20" s="1323"/>
      <c r="J20" s="1323"/>
      <c r="K20" s="1323"/>
      <c r="L20" s="1323"/>
      <c r="M20" s="1323"/>
      <c r="N20" s="1323"/>
      <c r="O20" s="1323"/>
      <c r="P20" s="1323"/>
      <c r="Q20" s="1323"/>
      <c r="R20" s="1323"/>
      <c r="S20" s="1323"/>
      <c r="T20" s="1323"/>
      <c r="U20" s="1323"/>
      <c r="V20" s="1323"/>
      <c r="W20" s="1323"/>
      <c r="X20" s="1323"/>
      <c r="Y20" s="1323"/>
      <c r="Z20" s="1323"/>
      <c r="AA20" s="1323"/>
      <c r="AB20" s="1323"/>
      <c r="AC20" s="1323"/>
      <c r="AD20" s="1323"/>
      <c r="AE20" s="1323"/>
    </row>
    <row r="21" spans="1:31" x14ac:dyDescent="0.25">
      <c r="A21" s="1323"/>
      <c r="B21" s="1323"/>
      <c r="C21" s="1323"/>
      <c r="D21" s="1323"/>
      <c r="E21" s="1323"/>
      <c r="F21" s="1323"/>
      <c r="G21" s="1323"/>
      <c r="H21" s="1323"/>
      <c r="I21" s="1323"/>
      <c r="J21" s="1323"/>
      <c r="K21" s="1323"/>
      <c r="L21" s="1323"/>
      <c r="M21" s="1323"/>
      <c r="N21" s="1323"/>
      <c r="O21" s="1323"/>
      <c r="P21" s="1323"/>
      <c r="Q21" s="1323"/>
      <c r="R21" s="1323"/>
      <c r="S21" s="1323"/>
      <c r="T21" s="1323"/>
      <c r="U21" s="1323"/>
      <c r="V21" s="1323"/>
      <c r="W21" s="1323"/>
      <c r="X21" s="1323"/>
      <c r="Y21" s="1323"/>
      <c r="Z21" s="1323"/>
      <c r="AA21" s="1323"/>
      <c r="AB21" s="1323"/>
      <c r="AC21" s="1323"/>
      <c r="AD21" s="1323"/>
      <c r="AE21" s="1323"/>
    </row>
    <row r="22" spans="1:31" x14ac:dyDescent="0.25">
      <c r="A22" s="1323"/>
      <c r="B22" s="1323"/>
      <c r="C22" s="1323"/>
      <c r="D22" s="1323"/>
      <c r="E22" s="1323"/>
      <c r="F22" s="1323"/>
      <c r="G22" s="1323"/>
      <c r="H22" s="1323"/>
      <c r="I22" s="1323"/>
      <c r="J22" s="1323"/>
      <c r="K22" s="1323"/>
      <c r="L22" s="1323"/>
      <c r="M22" s="1323"/>
      <c r="N22" s="1323"/>
      <c r="O22" s="1323"/>
      <c r="P22" s="1323"/>
      <c r="Q22" s="1323"/>
      <c r="R22" s="1323"/>
      <c r="S22" s="1323"/>
      <c r="T22" s="1323"/>
      <c r="U22" s="1323"/>
      <c r="V22" s="1323"/>
      <c r="W22" s="1323"/>
      <c r="X22" s="1323"/>
      <c r="Y22" s="1323"/>
      <c r="Z22" s="1323"/>
      <c r="AA22" s="1323"/>
      <c r="AB22" s="1323"/>
      <c r="AC22" s="1323"/>
      <c r="AD22" s="1323"/>
      <c r="AE22" s="1323"/>
    </row>
    <row r="23" spans="1:31" x14ac:dyDescent="0.25">
      <c r="A23" s="1323"/>
      <c r="B23" s="1323"/>
      <c r="C23" s="1323"/>
      <c r="D23" s="1323"/>
      <c r="E23" s="1323"/>
      <c r="F23" s="1323"/>
      <c r="G23" s="1323"/>
      <c r="H23" s="1323"/>
      <c r="I23" s="1323"/>
      <c r="J23" s="1323"/>
      <c r="K23" s="1323"/>
      <c r="L23" s="1323"/>
      <c r="M23" s="1323"/>
      <c r="N23" s="1323"/>
      <c r="O23" s="1323"/>
      <c r="P23" s="1323"/>
      <c r="Q23" s="1323"/>
      <c r="R23" s="1323"/>
      <c r="S23" s="1323"/>
      <c r="T23" s="1323"/>
      <c r="U23" s="1323"/>
      <c r="V23" s="1323"/>
      <c r="W23" s="1323"/>
      <c r="X23" s="1323"/>
      <c r="Y23" s="1323"/>
      <c r="Z23" s="1323"/>
      <c r="AA23" s="1323"/>
      <c r="AB23" s="1323"/>
      <c r="AC23" s="1323"/>
      <c r="AD23" s="1323"/>
      <c r="AE23" s="1323"/>
    </row>
    <row r="24" spans="1:31" x14ac:dyDescent="0.25">
      <c r="A24" s="1323"/>
      <c r="B24" s="1323"/>
      <c r="C24" s="1323"/>
      <c r="D24" s="1323"/>
      <c r="E24" s="1323"/>
      <c r="F24" s="1323"/>
      <c r="G24" s="1323"/>
      <c r="H24" s="1323"/>
      <c r="I24" s="1323"/>
      <c r="J24" s="1323"/>
      <c r="K24" s="1323"/>
      <c r="L24" s="1323"/>
      <c r="M24" s="1323"/>
      <c r="N24" s="1323"/>
      <c r="O24" s="1323"/>
      <c r="P24" s="1323"/>
      <c r="Q24" s="1323"/>
      <c r="R24" s="1323"/>
      <c r="S24" s="1323"/>
      <c r="T24" s="1323"/>
      <c r="U24" s="1323"/>
      <c r="V24" s="1323"/>
      <c r="W24" s="1323"/>
      <c r="X24" s="1323"/>
      <c r="Y24" s="1323"/>
      <c r="Z24" s="1323"/>
      <c r="AA24" s="1323"/>
      <c r="AB24" s="1323"/>
      <c r="AC24" s="1323"/>
      <c r="AD24" s="1323"/>
      <c r="AE24" s="1323"/>
    </row>
    <row r="25" spans="1:31" x14ac:dyDescent="0.25">
      <c r="A25" s="1323"/>
      <c r="B25" s="1323"/>
      <c r="C25" s="1323"/>
      <c r="D25" s="1323"/>
      <c r="E25" s="1323"/>
      <c r="F25" s="1323"/>
      <c r="G25" s="1323"/>
      <c r="H25" s="1323"/>
      <c r="I25" s="1323"/>
      <c r="J25" s="1323"/>
      <c r="K25" s="1323"/>
      <c r="L25" s="1323"/>
      <c r="M25" s="1323"/>
      <c r="N25" s="1323"/>
      <c r="O25" s="1323"/>
      <c r="P25" s="1323"/>
      <c r="Q25" s="1323"/>
      <c r="R25" s="1323"/>
      <c r="S25" s="1323"/>
      <c r="T25" s="1323"/>
      <c r="U25" s="1323"/>
      <c r="V25" s="1323"/>
      <c r="W25" s="1323"/>
      <c r="X25" s="1323"/>
      <c r="Y25" s="1323"/>
      <c r="Z25" s="1323"/>
      <c r="AA25" s="1323"/>
      <c r="AB25" s="1323"/>
      <c r="AC25" s="1323"/>
      <c r="AD25" s="1323"/>
      <c r="AE25" s="1323"/>
    </row>
    <row r="26" spans="1:31" x14ac:dyDescent="0.25">
      <c r="A26" s="1323"/>
      <c r="B26" s="1323"/>
      <c r="C26" s="1323"/>
      <c r="D26" s="1323"/>
      <c r="E26" s="1323"/>
      <c r="F26" s="1323"/>
      <c r="G26" s="1323"/>
      <c r="H26" s="1323"/>
      <c r="I26" s="1323"/>
      <c r="J26" s="1323"/>
      <c r="K26" s="1323"/>
      <c r="L26" s="1323"/>
      <c r="M26" s="1323"/>
      <c r="N26" s="1323"/>
      <c r="O26" s="1323"/>
      <c r="P26" s="1323"/>
      <c r="Q26" s="1323"/>
      <c r="R26" s="1323"/>
      <c r="S26" s="1323"/>
      <c r="T26" s="1323"/>
      <c r="U26" s="1323"/>
      <c r="V26" s="1323"/>
      <c r="W26" s="1323"/>
      <c r="X26" s="1323"/>
      <c r="Y26" s="1323"/>
      <c r="Z26" s="1323"/>
      <c r="AA26" s="1323"/>
      <c r="AB26" s="1323"/>
      <c r="AC26" s="1323"/>
      <c r="AD26" s="1323"/>
      <c r="AE26" s="1323"/>
    </row>
    <row r="27" spans="1:31" x14ac:dyDescent="0.25">
      <c r="A27" s="1323"/>
      <c r="B27" s="1323"/>
      <c r="C27" s="1323"/>
      <c r="D27" s="1323"/>
      <c r="E27" s="1323"/>
      <c r="F27" s="1323"/>
      <c r="G27" s="1323"/>
      <c r="H27" s="1323"/>
      <c r="I27" s="1323"/>
      <c r="J27" s="1323"/>
      <c r="K27" s="1323"/>
      <c r="L27" s="1323"/>
      <c r="M27" s="1323"/>
      <c r="N27" s="1323"/>
      <c r="O27" s="1323"/>
      <c r="P27" s="1323"/>
      <c r="Q27" s="1323"/>
      <c r="R27" s="1323"/>
      <c r="S27" s="1323"/>
      <c r="T27" s="1323"/>
      <c r="U27" s="1323"/>
      <c r="V27" s="1323"/>
      <c r="W27" s="1323"/>
      <c r="X27" s="1323"/>
      <c r="Y27" s="1323"/>
      <c r="Z27" s="1323"/>
      <c r="AA27" s="1323"/>
      <c r="AB27" s="1323"/>
      <c r="AC27" s="1323"/>
      <c r="AD27" s="1323"/>
      <c r="AE27" s="1323"/>
    </row>
    <row r="28" spans="1:31" x14ac:dyDescent="0.25">
      <c r="A28" s="1323"/>
      <c r="B28" s="1323"/>
      <c r="C28" s="1323"/>
      <c r="D28" s="1323"/>
      <c r="E28" s="1323"/>
      <c r="F28" s="1323"/>
      <c r="G28" s="1323"/>
      <c r="H28" s="1323"/>
      <c r="I28" s="1323"/>
      <c r="J28" s="1323"/>
      <c r="K28" s="1323"/>
      <c r="L28" s="1323"/>
      <c r="M28" s="1323"/>
      <c r="N28" s="1323"/>
      <c r="O28" s="1323"/>
      <c r="P28" s="1323"/>
      <c r="Q28" s="1323"/>
      <c r="R28" s="1323"/>
      <c r="S28" s="1323"/>
      <c r="T28" s="1323"/>
      <c r="U28" s="1323"/>
      <c r="V28" s="1323"/>
      <c r="W28" s="1323"/>
      <c r="X28" s="1323"/>
      <c r="Y28" s="1323"/>
      <c r="Z28" s="1323"/>
      <c r="AA28" s="1323"/>
      <c r="AB28" s="1323"/>
      <c r="AC28" s="1323"/>
      <c r="AD28" s="1323"/>
      <c r="AE28" s="1323"/>
    </row>
    <row r="29" spans="1:31" x14ac:dyDescent="0.25">
      <c r="A29" s="1323"/>
      <c r="B29" s="1323"/>
      <c r="C29" s="1323"/>
      <c r="D29" s="1323"/>
      <c r="E29" s="1323"/>
      <c r="F29" s="1323"/>
      <c r="G29" s="1323"/>
      <c r="H29" s="1323"/>
      <c r="I29" s="1323"/>
      <c r="J29" s="1323"/>
      <c r="K29" s="1323"/>
      <c r="L29" s="1323"/>
      <c r="M29" s="1323"/>
      <c r="N29" s="1323"/>
      <c r="O29" s="1323"/>
      <c r="P29" s="1323"/>
      <c r="Q29" s="1323"/>
      <c r="R29" s="1323"/>
      <c r="S29" s="1323"/>
      <c r="T29" s="1323"/>
      <c r="U29" s="1323"/>
      <c r="V29" s="1323"/>
      <c r="W29" s="1323"/>
      <c r="X29" s="1323"/>
      <c r="Y29" s="1323"/>
      <c r="Z29" s="1323"/>
      <c r="AA29" s="1323"/>
      <c r="AB29" s="1323"/>
      <c r="AC29" s="1323"/>
      <c r="AD29" s="1323"/>
      <c r="AE29" s="1323"/>
    </row>
    <row r="30" spans="1:31" x14ac:dyDescent="0.25">
      <c r="A30" s="1323"/>
      <c r="B30" s="1323"/>
      <c r="C30" s="1323"/>
      <c r="D30" s="1323"/>
      <c r="E30" s="1323"/>
      <c r="F30" s="1323"/>
      <c r="G30" s="1323"/>
      <c r="H30" s="1323"/>
      <c r="I30" s="1323"/>
      <c r="J30" s="1323"/>
      <c r="K30" s="1323"/>
      <c r="L30" s="1323"/>
      <c r="M30" s="1323"/>
      <c r="N30" s="1323"/>
      <c r="O30" s="1323"/>
      <c r="P30" s="1323"/>
      <c r="Q30" s="1323"/>
      <c r="R30" s="1323"/>
      <c r="S30" s="1323"/>
      <c r="T30" s="1323"/>
      <c r="U30" s="1323"/>
      <c r="V30" s="1323"/>
      <c r="W30" s="1323"/>
      <c r="X30" s="1323"/>
      <c r="Y30" s="1323"/>
      <c r="Z30" s="1323"/>
      <c r="AA30" s="1323"/>
      <c r="AB30" s="1323"/>
      <c r="AC30" s="1323"/>
      <c r="AD30" s="1323"/>
      <c r="AE30" s="1323"/>
    </row>
    <row r="31" spans="1:31" x14ac:dyDescent="0.25">
      <c r="A31" s="1323"/>
      <c r="B31" s="1323"/>
      <c r="C31" s="1323"/>
      <c r="D31" s="1323"/>
      <c r="E31" s="1323"/>
      <c r="F31" s="1323"/>
      <c r="G31" s="1323"/>
      <c r="H31" s="1323"/>
      <c r="I31" s="1323"/>
      <c r="J31" s="1323"/>
      <c r="K31" s="1323"/>
      <c r="L31" s="1323"/>
      <c r="M31" s="1323"/>
      <c r="N31" s="1323"/>
      <c r="O31" s="1323"/>
      <c r="P31" s="1323"/>
      <c r="Q31" s="1323"/>
      <c r="R31" s="1323"/>
      <c r="S31" s="1323"/>
      <c r="T31" s="1323"/>
      <c r="U31" s="1323"/>
      <c r="V31" s="1323"/>
      <c r="W31" s="1323"/>
      <c r="X31" s="1323"/>
      <c r="Y31" s="1323"/>
      <c r="Z31" s="1323"/>
      <c r="AA31" s="1323"/>
      <c r="AB31" s="1323"/>
      <c r="AC31" s="1323"/>
      <c r="AD31" s="1323"/>
      <c r="AE31" s="1323"/>
    </row>
    <row r="32" spans="1:31" x14ac:dyDescent="0.25">
      <c r="A32" s="1323"/>
      <c r="B32" s="1323"/>
      <c r="C32" s="1323"/>
      <c r="D32" s="1323"/>
      <c r="E32" s="1323"/>
      <c r="F32" s="1323"/>
      <c r="G32" s="1323"/>
      <c r="H32" s="1323"/>
      <c r="I32" s="1323"/>
      <c r="J32" s="1323"/>
      <c r="K32" s="1323"/>
      <c r="L32" s="1323"/>
      <c r="M32" s="1323"/>
      <c r="N32" s="1323"/>
      <c r="O32" s="1323"/>
      <c r="P32" s="1323"/>
      <c r="Q32" s="1323"/>
      <c r="R32" s="1323"/>
      <c r="S32" s="1323"/>
      <c r="T32" s="1323"/>
      <c r="U32" s="1323"/>
      <c r="V32" s="1323"/>
      <c r="W32" s="1323"/>
      <c r="X32" s="1323"/>
      <c r="Y32" s="1323"/>
      <c r="Z32" s="1323"/>
      <c r="AA32" s="1323"/>
      <c r="AB32" s="1323"/>
      <c r="AC32" s="1323"/>
      <c r="AD32" s="1323"/>
      <c r="AE32" s="1323"/>
    </row>
    <row r="33" spans="1:31" x14ac:dyDescent="0.25">
      <c r="A33" s="1323"/>
      <c r="B33" s="1323"/>
      <c r="C33" s="1323"/>
      <c r="D33" s="1323"/>
      <c r="E33" s="1323"/>
      <c r="F33" s="1323"/>
      <c r="G33" s="1323"/>
      <c r="H33" s="1323"/>
      <c r="I33" s="1323"/>
      <c r="J33" s="1323"/>
      <c r="K33" s="1323"/>
      <c r="L33" s="1323"/>
      <c r="M33" s="1323"/>
      <c r="N33" s="1323"/>
      <c r="O33" s="1323"/>
      <c r="P33" s="1323"/>
      <c r="Q33" s="1323"/>
      <c r="R33" s="1323"/>
      <c r="S33" s="1323"/>
      <c r="T33" s="1323"/>
      <c r="U33" s="1323"/>
      <c r="V33" s="1323"/>
      <c r="W33" s="1323"/>
      <c r="X33" s="1323"/>
      <c r="Y33" s="1323"/>
      <c r="Z33" s="1323"/>
      <c r="AA33" s="1323"/>
      <c r="AB33" s="1323"/>
      <c r="AC33" s="1323"/>
      <c r="AD33" s="1323"/>
      <c r="AE33" s="1323"/>
    </row>
    <row r="34" spans="1:31" x14ac:dyDescent="0.25">
      <c r="A34" s="1323"/>
      <c r="B34" s="1323"/>
      <c r="C34" s="1323"/>
      <c r="D34" s="1323"/>
      <c r="E34" s="1323"/>
      <c r="F34" s="1323"/>
      <c r="G34" s="1323"/>
      <c r="H34" s="1323"/>
      <c r="I34" s="1323"/>
      <c r="J34" s="1323"/>
      <c r="K34" s="1323"/>
      <c r="L34" s="1323"/>
      <c r="M34" s="1323"/>
      <c r="N34" s="1323"/>
      <c r="O34" s="1323"/>
      <c r="P34" s="1323"/>
      <c r="Q34" s="1323"/>
      <c r="R34" s="1323"/>
      <c r="S34" s="1323"/>
      <c r="T34" s="1323"/>
      <c r="U34" s="1323"/>
      <c r="V34" s="1323"/>
      <c r="W34" s="1323"/>
      <c r="X34" s="1323"/>
      <c r="Y34" s="1323"/>
      <c r="Z34" s="1323"/>
      <c r="AA34" s="1323"/>
      <c r="AB34" s="1323"/>
      <c r="AC34" s="1323"/>
      <c r="AD34" s="1323"/>
      <c r="AE34" s="1323"/>
    </row>
    <row r="35" spans="1:31" x14ac:dyDescent="0.25">
      <c r="A35" s="1323"/>
      <c r="B35" s="1323"/>
      <c r="C35" s="1323"/>
      <c r="D35" s="1323"/>
      <c r="E35" s="1323"/>
      <c r="F35" s="1323"/>
      <c r="G35" s="1323"/>
      <c r="H35" s="1323"/>
      <c r="I35" s="1323"/>
      <c r="J35" s="1323"/>
      <c r="K35" s="1323"/>
      <c r="L35" s="1323"/>
      <c r="M35" s="1323"/>
      <c r="N35" s="1323"/>
      <c r="O35" s="1323"/>
      <c r="P35" s="1323"/>
      <c r="Q35" s="1323"/>
      <c r="R35" s="1323"/>
      <c r="S35" s="1323"/>
      <c r="T35" s="1323"/>
      <c r="U35" s="1323"/>
      <c r="V35" s="1323"/>
      <c r="W35" s="1323"/>
      <c r="X35" s="1323"/>
      <c r="Y35" s="1323"/>
      <c r="Z35" s="1323"/>
      <c r="AA35" s="1323"/>
      <c r="AB35" s="1323"/>
      <c r="AC35" s="1323"/>
      <c r="AD35" s="1323"/>
      <c r="AE35" s="1323"/>
    </row>
    <row r="36" spans="1:31" x14ac:dyDescent="0.25">
      <c r="A36" s="1323"/>
      <c r="B36" s="1323"/>
      <c r="C36" s="1323"/>
      <c r="D36" s="1323"/>
      <c r="E36" s="1323"/>
      <c r="F36" s="1323"/>
      <c r="G36" s="1323"/>
      <c r="H36" s="1323"/>
      <c r="I36" s="1323"/>
      <c r="J36" s="1323"/>
      <c r="K36" s="1323"/>
      <c r="L36" s="1323"/>
      <c r="M36" s="1323"/>
      <c r="N36" s="1323"/>
      <c r="O36" s="1323"/>
      <c r="P36" s="1323"/>
      <c r="Q36" s="1323"/>
      <c r="R36" s="1323"/>
      <c r="S36" s="1323"/>
      <c r="T36" s="1323"/>
      <c r="U36" s="1323"/>
      <c r="V36" s="1323"/>
      <c r="W36" s="1323"/>
      <c r="X36" s="1323"/>
      <c r="Y36" s="1323"/>
      <c r="Z36" s="1323"/>
      <c r="AA36" s="1323"/>
      <c r="AB36" s="1323"/>
      <c r="AC36" s="1323"/>
      <c r="AD36" s="1323"/>
      <c r="AE36" s="1323"/>
    </row>
    <row r="37" spans="1:31" x14ac:dyDescent="0.25">
      <c r="A37" s="1323"/>
      <c r="B37" s="1323"/>
      <c r="C37" s="1323"/>
      <c r="D37" s="1323"/>
      <c r="E37" s="1323"/>
      <c r="F37" s="1323"/>
      <c r="G37" s="1323"/>
      <c r="H37" s="1323"/>
      <c r="I37" s="1323"/>
      <c r="J37" s="1323"/>
      <c r="K37" s="1323"/>
      <c r="L37" s="1323"/>
      <c r="M37" s="1323"/>
      <c r="N37" s="1323"/>
      <c r="O37" s="1323"/>
      <c r="P37" s="1323"/>
      <c r="Q37" s="1323"/>
      <c r="R37" s="1323"/>
      <c r="S37" s="1323"/>
      <c r="T37" s="1323"/>
      <c r="U37" s="1323"/>
      <c r="V37" s="1323"/>
      <c r="W37" s="1323"/>
      <c r="X37" s="1323"/>
      <c r="Y37" s="1323"/>
      <c r="Z37" s="1323"/>
      <c r="AA37" s="1323"/>
      <c r="AB37" s="1323"/>
      <c r="AC37" s="1323"/>
      <c r="AD37" s="1323"/>
      <c r="AE37" s="1323"/>
    </row>
  </sheetData>
  <mergeCells count="12">
    <mergeCell ref="P9:AA9"/>
    <mergeCell ref="AB11:AE14"/>
    <mergeCell ref="B7:B10"/>
    <mergeCell ref="C7:C14"/>
    <mergeCell ref="D7:AA7"/>
    <mergeCell ref="AB7:AE7"/>
    <mergeCell ref="D8:AA8"/>
    <mergeCell ref="AB8:AB10"/>
    <mergeCell ref="AC8:AC10"/>
    <mergeCell ref="AD8:AD10"/>
    <mergeCell ref="AE8:AE10"/>
    <mergeCell ref="D9:O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topLeftCell="A122" zoomScale="70" zoomScaleNormal="70" workbookViewId="0">
      <selection activeCell="O119" sqref="O119"/>
    </sheetView>
  </sheetViews>
  <sheetFormatPr baseColWidth="10" defaultRowHeight="15" x14ac:dyDescent="0.25"/>
  <cols>
    <col min="1" max="1" width="28.5703125" customWidth="1"/>
    <col min="7" max="7" width="15.28515625" customWidth="1"/>
    <col min="9" max="9" width="9.140625" customWidth="1"/>
    <col min="10" max="10" width="9.28515625" customWidth="1"/>
    <col min="11" max="11" width="9.42578125" customWidth="1"/>
    <col min="12" max="12" width="11.140625" customWidth="1"/>
    <col min="13" max="14" width="8.7109375" customWidth="1"/>
    <col min="15" max="15" width="10.42578125" customWidth="1"/>
    <col min="16" max="16" width="13" customWidth="1"/>
    <col min="17" max="17" width="20.140625" customWidth="1"/>
    <col min="18" max="18" width="13.5703125" customWidth="1"/>
    <col min="19" max="19" width="13" customWidth="1"/>
    <col min="20" max="20" width="12.140625" customWidth="1"/>
    <col min="21" max="21" width="13.140625" customWidth="1"/>
  </cols>
  <sheetData>
    <row r="1" spans="1:21" ht="17.25" thickBot="1" x14ac:dyDescent="0.35">
      <c r="A1" s="121"/>
      <c r="B1" s="122"/>
      <c r="C1" s="123"/>
      <c r="D1" s="122"/>
      <c r="E1" s="122"/>
    </row>
    <row r="2" spans="1:21" ht="15.75" customHeight="1" thickBot="1" x14ac:dyDescent="0.3">
      <c r="A2" s="1677" t="s">
        <v>375</v>
      </c>
      <c r="B2" s="1678"/>
      <c r="C2" s="1678"/>
      <c r="D2" s="1678"/>
      <c r="E2" s="1679"/>
      <c r="G2" s="1669" t="s">
        <v>434</v>
      </c>
      <c r="H2" s="1669"/>
      <c r="I2" s="1669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</row>
    <row r="3" spans="1:21" ht="15.75" customHeight="1" thickBot="1" x14ac:dyDescent="0.3">
      <c r="A3" s="121"/>
      <c r="B3" s="124"/>
      <c r="C3" s="125"/>
      <c r="D3" s="124"/>
      <c r="E3" s="124"/>
      <c r="G3" s="1670" t="s">
        <v>435</v>
      </c>
      <c r="H3" s="1670" t="s">
        <v>379</v>
      </c>
      <c r="I3" s="1670" t="s">
        <v>436</v>
      </c>
      <c r="J3" s="1670" t="s">
        <v>437</v>
      </c>
      <c r="K3" s="1670" t="s">
        <v>343</v>
      </c>
      <c r="L3" s="1686" t="s">
        <v>438</v>
      </c>
      <c r="M3" s="1686"/>
      <c r="N3" s="1686"/>
      <c r="O3" s="1686"/>
      <c r="P3" s="1686"/>
      <c r="Q3" s="1686"/>
      <c r="R3" s="1686"/>
      <c r="S3" s="1686"/>
      <c r="T3" s="1686"/>
      <c r="U3" s="1686"/>
    </row>
    <row r="4" spans="1:21" ht="15.75" thickBot="1" x14ac:dyDescent="0.3">
      <c r="A4" s="1680" t="s">
        <v>376</v>
      </c>
      <c r="B4" s="1681"/>
      <c r="C4" s="1681"/>
      <c r="D4" s="1681"/>
      <c r="E4" s="1682"/>
      <c r="G4" s="1670"/>
      <c r="H4" s="1670"/>
      <c r="I4" s="1670"/>
      <c r="J4" s="1670"/>
      <c r="K4" s="1670"/>
      <c r="L4" s="171" t="s">
        <v>439</v>
      </c>
      <c r="M4" s="171" t="s">
        <v>440</v>
      </c>
      <c r="N4" s="171" t="s">
        <v>441</v>
      </c>
      <c r="O4" s="171" t="s">
        <v>442</v>
      </c>
      <c r="P4" s="171" t="s">
        <v>443</v>
      </c>
      <c r="Q4" s="171" t="s">
        <v>444</v>
      </c>
      <c r="R4" s="171" t="s">
        <v>445</v>
      </c>
      <c r="S4" s="171" t="s">
        <v>446</v>
      </c>
      <c r="T4" s="171" t="s">
        <v>447</v>
      </c>
      <c r="U4" s="171" t="s">
        <v>448</v>
      </c>
    </row>
    <row r="5" spans="1:21" ht="17.25" thickBot="1" x14ac:dyDescent="0.35">
      <c r="A5" s="126"/>
      <c r="B5" s="127"/>
      <c r="C5" s="128">
        <v>2007</v>
      </c>
      <c r="D5" s="129">
        <v>2017</v>
      </c>
      <c r="E5" s="130" t="s">
        <v>377</v>
      </c>
      <c r="G5" s="1687" t="s">
        <v>10</v>
      </c>
      <c r="H5" s="172" t="str">
        <f>B7</f>
        <v>ABANCAY</v>
      </c>
      <c r="I5" s="173">
        <f>D7</f>
        <v>110520</v>
      </c>
      <c r="J5" s="174">
        <v>1.4116901910895319E-2</v>
      </c>
      <c r="K5" s="175">
        <f>I5*(1+J5)^5</f>
        <v>118544.38318260337</v>
      </c>
      <c r="L5" s="175">
        <f>K5*(1+$J5)</f>
        <v>120217.86261207977</v>
      </c>
      <c r="M5" s="175">
        <f t="shared" ref="M5:U5" si="0">L5*(1+$J5)</f>
        <v>121914.96638651199</v>
      </c>
      <c r="N5" s="175">
        <f t="shared" si="0"/>
        <v>123636.02800846049</v>
      </c>
      <c r="O5" s="175">
        <f t="shared" si="0"/>
        <v>125381.38568850863</v>
      </c>
      <c r="P5" s="175">
        <f t="shared" si="0"/>
        <v>127151.38241172544</v>
      </c>
      <c r="Q5" s="175">
        <f t="shared" si="0"/>
        <v>128946.36600506651</v>
      </c>
      <c r="R5" s="175">
        <f t="shared" si="0"/>
        <v>130766.68920572643</v>
      </c>
      <c r="S5" s="175">
        <f t="shared" si="0"/>
        <v>132612.7097304562</v>
      </c>
      <c r="T5" s="175">
        <f t="shared" si="0"/>
        <v>134484.7903458591</v>
      </c>
      <c r="U5" s="175">
        <f t="shared" si="0"/>
        <v>136383.29893967891</v>
      </c>
    </row>
    <row r="6" spans="1:21" ht="15.75" thickBot="1" x14ac:dyDescent="0.3">
      <c r="A6" s="131" t="s">
        <v>378</v>
      </c>
      <c r="B6" s="131" t="s">
        <v>10</v>
      </c>
      <c r="C6" s="132">
        <f>+SUM(C7:C13)</f>
        <v>404190</v>
      </c>
      <c r="D6" s="132">
        <f>+SUM(D7:D13)</f>
        <v>405759</v>
      </c>
      <c r="E6" s="133">
        <f>+((((D6/C6)^(1/10))-1))</f>
        <v>3.8750734746773041E-4</v>
      </c>
      <c r="G6" s="1687"/>
      <c r="H6" s="172" t="str">
        <f t="shared" ref="H6:H11" si="1">B8</f>
        <v>ANDAHUAYLAS</v>
      </c>
      <c r="I6" s="173">
        <f t="shared" ref="I6:I11" si="2">D8</f>
        <v>142477</v>
      </c>
      <c r="J6" s="174">
        <v>-9.5581288906398942E-4</v>
      </c>
      <c r="K6" s="175">
        <f t="shared" ref="K6:K11" si="3">I6*(1+J6)^5</f>
        <v>141797.3936304198</v>
      </c>
      <c r="L6" s="175">
        <f t="shared" ref="L6:U11" si="4">K6*(1+$J6)</f>
        <v>141661.86185395217</v>
      </c>
      <c r="M6" s="175">
        <f t="shared" si="4"/>
        <v>141526.45962050336</v>
      </c>
      <c r="N6" s="175">
        <f t="shared" si="4"/>
        <v>141391.1868062545</v>
      </c>
      <c r="O6" s="175">
        <f t="shared" si="4"/>
        <v>141256.04328750502</v>
      </c>
      <c r="P6" s="175">
        <f t="shared" si="4"/>
        <v>141121.02894067264</v>
      </c>
      <c r="Q6" s="175">
        <f t="shared" si="4"/>
        <v>140986.14364229317</v>
      </c>
      <c r="R6" s="175">
        <f t="shared" si="4"/>
        <v>140851.38726902043</v>
      </c>
      <c r="S6" s="175">
        <f t="shared" si="4"/>
        <v>140716.75969762617</v>
      </c>
      <c r="T6" s="175">
        <f t="shared" si="4"/>
        <v>140582.26080499985</v>
      </c>
      <c r="U6" s="175">
        <f t="shared" si="4"/>
        <v>140447.89046814869</v>
      </c>
    </row>
    <row r="7" spans="1:21" x14ac:dyDescent="0.25">
      <c r="A7" s="1683" t="s">
        <v>379</v>
      </c>
      <c r="B7" s="134" t="s">
        <v>11</v>
      </c>
      <c r="C7" s="135">
        <v>96064</v>
      </c>
      <c r="D7" s="136">
        <v>110520</v>
      </c>
      <c r="E7" s="137">
        <f>+((((D7/C7)^(1/10))-1))</f>
        <v>1.4116901910895319E-2</v>
      </c>
      <c r="G7" s="1687"/>
      <c r="H7" s="172" t="str">
        <f t="shared" si="1"/>
        <v>ANTABAMBA</v>
      </c>
      <c r="I7" s="173">
        <f t="shared" si="2"/>
        <v>11310</v>
      </c>
      <c r="J7" s="174">
        <v>-8.0896452658492102E-3</v>
      </c>
      <c r="K7" s="175">
        <f t="shared" si="3"/>
        <v>10859.872457226835</v>
      </c>
      <c r="L7" s="175">
        <f t="shared" si="4"/>
        <v>10772.019941415503</v>
      </c>
      <c r="M7" s="175">
        <f t="shared" si="4"/>
        <v>10684.878121292799</v>
      </c>
      <c r="N7" s="175">
        <f t="shared" si="4"/>
        <v>10598.441247582707</v>
      </c>
      <c r="O7" s="175">
        <f t="shared" si="4"/>
        <v>10512.703617518819</v>
      </c>
      <c r="P7" s="175">
        <f t="shared" si="4"/>
        <v>10427.659574468082</v>
      </c>
      <c r="Q7" s="175">
        <f t="shared" si="4"/>
        <v>10343.303507557599</v>
      </c>
      <c r="R7" s="175">
        <f t="shared" si="4"/>
        <v>10259.629851304444</v>
      </c>
      <c r="S7" s="175">
        <f t="shared" si="4"/>
        <v>10176.633085248473</v>
      </c>
      <c r="T7" s="175">
        <f t="shared" si="4"/>
        <v>10094.307733588108</v>
      </c>
      <c r="U7" s="175">
        <f t="shared" si="4"/>
        <v>10012.648364819062</v>
      </c>
    </row>
    <row r="8" spans="1:21" x14ac:dyDescent="0.25">
      <c r="A8" s="1684"/>
      <c r="B8" s="167" t="s">
        <v>30</v>
      </c>
      <c r="C8" s="168">
        <v>143846</v>
      </c>
      <c r="D8" s="169">
        <v>142477</v>
      </c>
      <c r="E8" s="137">
        <f t="shared" ref="E8:E13" si="5">+((((D8/C8)^(1/10))-1))</f>
        <v>-9.5581288906398942E-4</v>
      </c>
      <c r="G8" s="1687"/>
      <c r="H8" s="172" t="str">
        <f t="shared" si="1"/>
        <v>AYMARAES</v>
      </c>
      <c r="I8" s="173">
        <f t="shared" si="2"/>
        <v>24307</v>
      </c>
      <c r="J8" s="174">
        <v>-1.9405456325292447E-2</v>
      </c>
      <c r="K8" s="175">
        <f t="shared" si="3"/>
        <v>22038.332079421882</v>
      </c>
      <c r="L8" s="175">
        <f t="shared" si="4"/>
        <v>21610.668188772368</v>
      </c>
      <c r="M8" s="175">
        <f t="shared" si="4"/>
        <v>21191.30331107476</v>
      </c>
      <c r="N8" s="175">
        <f t="shared" si="4"/>
        <v>20780.076400195674</v>
      </c>
      <c r="O8" s="175">
        <f t="shared" si="4"/>
        <v>20376.829535175435</v>
      </c>
      <c r="P8" s="175">
        <f t="shared" si="4"/>
        <v>19981.407859582658</v>
      </c>
      <c r="Q8" s="175">
        <f t="shared" si="4"/>
        <v>19593.659522045673</v>
      </c>
      <c r="R8" s="175">
        <f t="shared" si="4"/>
        <v>19213.435617937965</v>
      </c>
      <c r="S8" s="175">
        <f t="shared" si="4"/>
        <v>18840.590132195251</v>
      </c>
      <c r="T8" s="175">
        <f t="shared" si="4"/>
        <v>18474.979883242202</v>
      </c>
      <c r="U8" s="175">
        <f t="shared" si="4"/>
        <v>18116.464468007289</v>
      </c>
    </row>
    <row r="9" spans="1:21" x14ac:dyDescent="0.25">
      <c r="A9" s="1684"/>
      <c r="B9" s="134" t="s">
        <v>73</v>
      </c>
      <c r="C9" s="135">
        <v>12267</v>
      </c>
      <c r="D9" s="136">
        <v>11310</v>
      </c>
      <c r="E9" s="137">
        <f t="shared" si="5"/>
        <v>-8.0896452658492102E-3</v>
      </c>
      <c r="G9" s="1687"/>
      <c r="H9" s="172" t="str">
        <f t="shared" si="1"/>
        <v>COTABAMBAS</v>
      </c>
      <c r="I9" s="173">
        <f t="shared" si="2"/>
        <v>45247</v>
      </c>
      <c r="J9" s="174">
        <v>-1.1507706743717483E-3</v>
      </c>
      <c r="K9" s="175">
        <f t="shared" si="3"/>
        <v>44987.25390121535</v>
      </c>
      <c r="L9" s="175">
        <f t="shared" si="4"/>
        <v>44935.483888705312</v>
      </c>
      <c r="M9" s="175">
        <f t="shared" si="4"/>
        <v>44883.773451607485</v>
      </c>
      <c r="N9" s="175">
        <f t="shared" si="4"/>
        <v>44832.122521364232</v>
      </c>
      <c r="O9" s="175">
        <f t="shared" si="4"/>
        <v>44780.531029496808</v>
      </c>
      <c r="P9" s="175">
        <f t="shared" si="4"/>
        <v>44728.998907605266</v>
      </c>
      <c r="Q9" s="175">
        <f t="shared" si="4"/>
        <v>44677.526087368387</v>
      </c>
      <c r="R9" s="175">
        <f t="shared" si="4"/>
        <v>44626.112500543568</v>
      </c>
      <c r="S9" s="175">
        <f t="shared" si="4"/>
        <v>44574.758078966726</v>
      </c>
      <c r="T9" s="175">
        <f t="shared" si="4"/>
        <v>44523.462754552238</v>
      </c>
      <c r="U9" s="175">
        <f t="shared" si="4"/>
        <v>44472.226459292819</v>
      </c>
    </row>
    <row r="10" spans="1:21" x14ac:dyDescent="0.25">
      <c r="A10" s="1684"/>
      <c r="B10" s="134" t="s">
        <v>89</v>
      </c>
      <c r="C10" s="135">
        <v>29569</v>
      </c>
      <c r="D10" s="136">
        <v>24307</v>
      </c>
      <c r="E10" s="137">
        <f t="shared" si="5"/>
        <v>-1.9405456325292447E-2</v>
      </c>
      <c r="G10" s="1687"/>
      <c r="H10" s="172" t="str">
        <f t="shared" si="1"/>
        <v>CHINCHEROS</v>
      </c>
      <c r="I10" s="173">
        <f t="shared" si="2"/>
        <v>50656</v>
      </c>
      <c r="J10" s="174">
        <v>-1.8118044113494269E-3</v>
      </c>
      <c r="K10" s="175">
        <f t="shared" si="3"/>
        <v>50198.766020359224</v>
      </c>
      <c r="L10" s="175">
        <f t="shared" si="4"/>
        <v>50107.815674639241</v>
      </c>
      <c r="M10" s="175">
        <f t="shared" si="4"/>
        <v>50017.030113156849</v>
      </c>
      <c r="N10" s="175">
        <f t="shared" si="4"/>
        <v>49926.409037355232</v>
      </c>
      <c r="O10" s="175">
        <f t="shared" si="4"/>
        <v>49835.952149218516</v>
      </c>
      <c r="P10" s="175">
        <f t="shared" si="4"/>
        <v>49745.65915127076</v>
      </c>
      <c r="Q10" s="175">
        <f t="shared" si="4"/>
        <v>49655.529746575005</v>
      </c>
      <c r="R10" s="175">
        <f t="shared" si="4"/>
        <v>49565.563638732267</v>
      </c>
      <c r="S10" s="175">
        <f t="shared" si="4"/>
        <v>49475.760531880587</v>
      </c>
      <c r="T10" s="175">
        <f t="shared" si="4"/>
        <v>49386.120130694057</v>
      </c>
      <c r="U10" s="175">
        <f t="shared" si="4"/>
        <v>49296.642140381831</v>
      </c>
    </row>
    <row r="11" spans="1:21" x14ac:dyDescent="0.25">
      <c r="A11" s="1684"/>
      <c r="B11" s="134" t="s">
        <v>150</v>
      </c>
      <c r="C11" s="135">
        <v>45771</v>
      </c>
      <c r="D11" s="136">
        <v>45247</v>
      </c>
      <c r="E11" s="137">
        <f t="shared" si="5"/>
        <v>-1.1507706743717483E-3</v>
      </c>
      <c r="G11" s="1687"/>
      <c r="H11" s="172" t="str">
        <f t="shared" si="1"/>
        <v>GRAU</v>
      </c>
      <c r="I11" s="173">
        <f t="shared" si="2"/>
        <v>21242</v>
      </c>
      <c r="J11" s="174">
        <v>-1.6511073650867569E-2</v>
      </c>
      <c r="K11" s="175">
        <f t="shared" si="3"/>
        <v>19545.319591017847</v>
      </c>
      <c r="L11" s="175">
        <f t="shared" si="4"/>
        <v>19222.605379720808</v>
      </c>
      <c r="M11" s="175">
        <f t="shared" si="4"/>
        <v>18905.219526534675</v>
      </c>
      <c r="N11" s="175">
        <f t="shared" si="4"/>
        <v>18593.074054546239</v>
      </c>
      <c r="O11" s="175">
        <f t="shared" si="4"/>
        <v>18286.082439435591</v>
      </c>
      <c r="P11" s="175">
        <f t="shared" si="4"/>
        <v>17984.159585492234</v>
      </c>
      <c r="Q11" s="175">
        <f t="shared" si="4"/>
        <v>17687.221802027216</v>
      </c>
      <c r="R11" s="175">
        <f t="shared" si="4"/>
        <v>17395.186780174714</v>
      </c>
      <c r="S11" s="175">
        <f t="shared" si="4"/>
        <v>17107.973570076651</v>
      </c>
      <c r="T11" s="175">
        <f t="shared" si="4"/>
        <v>16825.502558444019</v>
      </c>
      <c r="U11" s="175">
        <f t="shared" si="4"/>
        <v>16547.695446488688</v>
      </c>
    </row>
    <row r="12" spans="1:21" x14ac:dyDescent="0.25">
      <c r="A12" s="1684"/>
      <c r="B12" s="167" t="s">
        <v>125</v>
      </c>
      <c r="C12" s="168">
        <v>51583</v>
      </c>
      <c r="D12" s="169">
        <v>50656</v>
      </c>
      <c r="E12" s="137">
        <f t="shared" si="5"/>
        <v>-1.8118044113494269E-3</v>
      </c>
      <c r="G12" s="1688" t="s">
        <v>239</v>
      </c>
      <c r="H12" s="1688"/>
      <c r="I12" s="176">
        <f>SUM(I5:I11)</f>
        <v>405759</v>
      </c>
      <c r="J12" s="177" t="s">
        <v>239</v>
      </c>
      <c r="K12" s="178">
        <f t="shared" ref="K12:U12" si="6">SUM(K5:K11)</f>
        <v>407971.32086226431</v>
      </c>
      <c r="L12" s="178">
        <f t="shared" si="6"/>
        <v>408528.31753928517</v>
      </c>
      <c r="M12" s="178">
        <f t="shared" si="6"/>
        <v>409123.63053068187</v>
      </c>
      <c r="N12" s="178">
        <f t="shared" si="6"/>
        <v>409757.33807575906</v>
      </c>
      <c r="O12" s="178">
        <f t="shared" si="6"/>
        <v>410429.52774685883</v>
      </c>
      <c r="P12" s="178">
        <f t="shared" si="6"/>
        <v>411140.29643081705</v>
      </c>
      <c r="Q12" s="178">
        <f t="shared" si="6"/>
        <v>411889.75031293352</v>
      </c>
      <c r="R12" s="178">
        <f t="shared" si="6"/>
        <v>412678.00486343983</v>
      </c>
      <c r="S12" s="178">
        <f t="shared" si="6"/>
        <v>413505.18482645001</v>
      </c>
      <c r="T12" s="178">
        <f t="shared" si="6"/>
        <v>414371.42421137966</v>
      </c>
      <c r="U12" s="178">
        <f t="shared" si="6"/>
        <v>415276.86628681724</v>
      </c>
    </row>
    <row r="13" spans="1:21" ht="15.75" thickBot="1" x14ac:dyDescent="0.3">
      <c r="A13" s="1685"/>
      <c r="B13" s="138" t="s">
        <v>162</v>
      </c>
      <c r="C13" s="139">
        <v>25090</v>
      </c>
      <c r="D13" s="136">
        <v>21242</v>
      </c>
      <c r="E13" s="137">
        <f t="shared" si="5"/>
        <v>-1.6511073650867569E-2</v>
      </c>
      <c r="G13" t="s">
        <v>449</v>
      </c>
      <c r="H13" s="179"/>
      <c r="I13" s="179"/>
      <c r="J13" s="180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</row>
    <row r="14" spans="1:21" x14ac:dyDescent="0.25">
      <c r="A14" s="1659" t="s">
        <v>380</v>
      </c>
      <c r="B14" s="1659"/>
      <c r="C14" s="1659"/>
      <c r="D14" s="1659"/>
      <c r="E14" s="1659"/>
      <c r="G14" t="s">
        <v>450</v>
      </c>
      <c r="J14" s="66"/>
      <c r="K14" s="182"/>
    </row>
    <row r="15" spans="1:21" ht="15.75" thickBot="1" x14ac:dyDescent="0.3">
      <c r="A15" s="140"/>
      <c r="B15" s="140"/>
      <c r="C15" s="141"/>
      <c r="D15" s="140"/>
      <c r="E15" s="140"/>
      <c r="J15" s="66"/>
    </row>
    <row r="16" spans="1:21" ht="15.75" thickBot="1" x14ac:dyDescent="0.3">
      <c r="A16" s="1660" t="s">
        <v>381</v>
      </c>
      <c r="B16" s="1661"/>
      <c r="C16" s="1661"/>
      <c r="D16" s="1661"/>
      <c r="E16" s="1662"/>
      <c r="G16" s="1670" t="s">
        <v>451</v>
      </c>
      <c r="H16" s="1670" t="s">
        <v>452</v>
      </c>
      <c r="I16" s="1670" t="s">
        <v>436</v>
      </c>
      <c r="J16" s="1670" t="s">
        <v>453</v>
      </c>
      <c r="K16" s="1670" t="s">
        <v>343</v>
      </c>
      <c r="L16" s="1686" t="s">
        <v>438</v>
      </c>
      <c r="M16" s="1686"/>
      <c r="N16" s="1686"/>
      <c r="O16" s="1686"/>
      <c r="P16" s="1686"/>
      <c r="Q16" s="1686"/>
      <c r="R16" s="1686"/>
      <c r="S16" s="1686"/>
      <c r="T16" s="1686"/>
      <c r="U16" s="1686"/>
    </row>
    <row r="17" spans="1:21" ht="15.75" thickBot="1" x14ac:dyDescent="0.3">
      <c r="A17" s="1663" t="s">
        <v>382</v>
      </c>
      <c r="B17" s="1664"/>
      <c r="C17" s="1664"/>
      <c r="D17" s="1664"/>
      <c r="E17" s="1665"/>
      <c r="G17" s="1670"/>
      <c r="H17" s="1670"/>
      <c r="I17" s="1670"/>
      <c r="J17" s="1670"/>
      <c r="K17" s="1670"/>
      <c r="L17" s="171">
        <v>2023</v>
      </c>
      <c r="M17" s="171">
        <v>2024</v>
      </c>
      <c r="N17" s="171">
        <v>2025</v>
      </c>
      <c r="O17" s="171">
        <v>2026</v>
      </c>
      <c r="P17" s="171">
        <v>2027</v>
      </c>
      <c r="Q17" s="171">
        <v>2028</v>
      </c>
      <c r="R17" s="171">
        <v>2029</v>
      </c>
      <c r="S17" s="171">
        <v>2030</v>
      </c>
      <c r="T17" s="171">
        <v>2031</v>
      </c>
      <c r="U17" s="171">
        <v>2032</v>
      </c>
    </row>
    <row r="18" spans="1:21" ht="15.75" thickBot="1" x14ac:dyDescent="0.3">
      <c r="A18" s="142"/>
      <c r="B18" s="142"/>
      <c r="C18" s="143">
        <v>2007</v>
      </c>
      <c r="D18" s="144">
        <v>2017</v>
      </c>
      <c r="E18" s="144" t="s">
        <v>377</v>
      </c>
      <c r="G18" s="1670"/>
      <c r="H18" s="1670"/>
      <c r="I18" s="1670"/>
      <c r="J18" s="1670"/>
      <c r="K18" s="1670"/>
      <c r="L18" s="171" t="s">
        <v>439</v>
      </c>
      <c r="M18" s="171" t="s">
        <v>440</v>
      </c>
      <c r="N18" s="171" t="s">
        <v>441</v>
      </c>
      <c r="O18" s="171" t="s">
        <v>442</v>
      </c>
      <c r="P18" s="171" t="s">
        <v>443</v>
      </c>
      <c r="Q18" s="171" t="s">
        <v>444</v>
      </c>
      <c r="R18" s="171" t="s">
        <v>445</v>
      </c>
      <c r="S18" s="171" t="s">
        <v>446</v>
      </c>
      <c r="T18" s="171" t="s">
        <v>447</v>
      </c>
      <c r="U18" s="171" t="s">
        <v>448</v>
      </c>
    </row>
    <row r="19" spans="1:21" ht="15.75" thickBot="1" x14ac:dyDescent="0.3">
      <c r="A19" s="145" t="s">
        <v>379</v>
      </c>
      <c r="B19" s="146" t="s">
        <v>11</v>
      </c>
      <c r="C19" s="147">
        <f>+SUM(C20:C28)</f>
        <v>96064</v>
      </c>
      <c r="D19" s="148">
        <f>SUM(D20:D28)</f>
        <v>110520</v>
      </c>
      <c r="E19" s="149">
        <f>+AVERAGE(E20:E28)</f>
        <v>-1.2989239302031207E-2</v>
      </c>
      <c r="G19" s="1689" t="s">
        <v>11</v>
      </c>
      <c r="H19" s="183" t="s">
        <v>304</v>
      </c>
      <c r="I19" s="184">
        <v>71259.998710413798</v>
      </c>
      <c r="J19" s="174">
        <v>4.8576589682707283E-3</v>
      </c>
      <c r="K19" s="175">
        <f>I19*(1+J19)^5</f>
        <v>73007.679565638246</v>
      </c>
      <c r="L19" s="175">
        <f>+K19*(1+$J19)</f>
        <v>73362.325975032902</v>
      </c>
      <c r="M19" s="175">
        <f t="shared" ref="M19:U19" si="7">+L19*(1+$J19)</f>
        <v>73718.695135738715</v>
      </c>
      <c r="N19" s="175">
        <f t="shared" si="7"/>
        <v>74076.795416294059</v>
      </c>
      <c r="O19" s="175">
        <f t="shared" si="7"/>
        <v>74436.635225888778</v>
      </c>
      <c r="P19" s="175">
        <f t="shared" si="7"/>
        <v>74798.223014561707</v>
      </c>
      <c r="Q19" s="175">
        <f t="shared" si="7"/>
        <v>75161.567273399109</v>
      </c>
      <c r="R19" s="175">
        <f t="shared" si="7"/>
        <v>75526.676534734026</v>
      </c>
      <c r="S19" s="175">
        <f t="shared" si="7"/>
        <v>75893.559372346659</v>
      </c>
      <c r="T19" s="175">
        <f t="shared" si="7"/>
        <v>76262.224401665721</v>
      </c>
      <c r="U19" s="175">
        <f t="shared" si="7"/>
        <v>76632.680279970751</v>
      </c>
    </row>
    <row r="20" spans="1:21" x14ac:dyDescent="0.25">
      <c r="A20" s="1674" t="s">
        <v>383</v>
      </c>
      <c r="B20" s="150" t="s">
        <v>304</v>
      </c>
      <c r="C20" s="151">
        <v>51225</v>
      </c>
      <c r="D20" s="152">
        <v>69028</v>
      </c>
      <c r="E20" s="137">
        <f>+((((D20/C20)^(1/10))-1))</f>
        <v>3.027777724270031E-2</v>
      </c>
      <c r="G20" s="1691"/>
      <c r="H20" s="183" t="s">
        <v>305</v>
      </c>
      <c r="I20" s="184">
        <v>17064.996103585101</v>
      </c>
      <c r="J20" s="174">
        <v>4.8576589682707283E-3</v>
      </c>
      <c r="K20" s="175">
        <f>I20*(1+J20)^5</f>
        <v>17483.522170445063</v>
      </c>
      <c r="L20" s="175">
        <f>+K20*(1+$J20)</f>
        <v>17568.451158713287</v>
      </c>
      <c r="M20" s="175">
        <f t="shared" ref="M20:U20" si="8">+L20*(1+$J20)</f>
        <v>17653.792703043036</v>
      </c>
      <c r="N20" s="175">
        <f t="shared" si="8"/>
        <v>17739.548807490966</v>
      </c>
      <c r="O20" s="175">
        <f t="shared" si="8"/>
        <v>17825.72148584875</v>
      </c>
      <c r="P20" s="175">
        <f t="shared" si="8"/>
        <v>17912.31276169038</v>
      </c>
      <c r="Q20" s="175">
        <f t="shared" si="8"/>
        <v>17999.324668419675</v>
      </c>
      <c r="R20" s="175">
        <f t="shared" si="8"/>
        <v>18086.759249318042</v>
      </c>
      <c r="S20" s="175">
        <f t="shared" si="8"/>
        <v>18174.618557592446</v>
      </c>
      <c r="T20" s="175">
        <f t="shared" si="8"/>
        <v>18262.904656423634</v>
      </c>
      <c r="U20" s="175">
        <f t="shared" si="8"/>
        <v>18351.619619014582</v>
      </c>
    </row>
    <row r="21" spans="1:21" x14ac:dyDescent="0.25">
      <c r="A21" s="1675"/>
      <c r="B21" s="153" t="s">
        <v>384</v>
      </c>
      <c r="C21" s="151">
        <v>1213</v>
      </c>
      <c r="D21" s="152">
        <v>1339</v>
      </c>
      <c r="E21" s="137">
        <f t="shared" ref="E21:E28" si="9">+((((D21/C21)^(1/10))-1))</f>
        <v>9.9316382633922728E-3</v>
      </c>
      <c r="G21" s="1691"/>
      <c r="H21" s="183" t="s">
        <v>306</v>
      </c>
      <c r="I21" s="184">
        <v>3068.9990838930098</v>
      </c>
      <c r="J21" s="174">
        <v>4.8576589682707283E-3</v>
      </c>
      <c r="K21" s="175">
        <f>I21*(1+J21)^5</f>
        <v>3144.2675520474636</v>
      </c>
      <c r="L21" s="175">
        <f>+K21*(1+$J21)</f>
        <v>3159.5413315203095</v>
      </c>
      <c r="M21" s="175">
        <f t="shared" ref="M21:U21" si="10">+L21*(1+$J21)</f>
        <v>3174.8893058049912</v>
      </c>
      <c r="N21" s="175">
        <f t="shared" si="10"/>
        <v>3190.3118353146015</v>
      </c>
      <c r="O21" s="175">
        <f t="shared" si="10"/>
        <v>3205.8092822129979</v>
      </c>
      <c r="P21" s="175">
        <f t="shared" si="10"/>
        <v>3221.3820104233055</v>
      </c>
      <c r="Q21" s="175">
        <f t="shared" si="10"/>
        <v>3237.0303856364644</v>
      </c>
      <c r="R21" s="175">
        <f t="shared" si="10"/>
        <v>3252.7547753198164</v>
      </c>
      <c r="S21" s="175">
        <f t="shared" si="10"/>
        <v>3268.5555487257343</v>
      </c>
      <c r="T21" s="175">
        <f t="shared" si="10"/>
        <v>3284.4330769002927</v>
      </c>
      <c r="U21" s="175">
        <f t="shared" si="10"/>
        <v>3300.3877326919824</v>
      </c>
    </row>
    <row r="22" spans="1:21" ht="23.25" x14ac:dyDescent="0.25">
      <c r="A22" s="1675"/>
      <c r="B22" s="153" t="s">
        <v>385</v>
      </c>
      <c r="C22" s="151">
        <v>2498</v>
      </c>
      <c r="D22" s="152">
        <v>1866</v>
      </c>
      <c r="E22" s="137">
        <f t="shared" si="9"/>
        <v>-2.8748012458718053E-2</v>
      </c>
      <c r="G22" s="1691"/>
      <c r="H22" s="183" t="s">
        <v>307</v>
      </c>
      <c r="I22" s="184">
        <v>2678.9992912989901</v>
      </c>
      <c r="J22" s="174">
        <v>4.8576589682707283E-3</v>
      </c>
      <c r="K22" s="175">
        <f>I22*(1+J22)^5</f>
        <v>2744.7028537083856</v>
      </c>
      <c r="L22" s="175">
        <f>+K22*(1+$J22)</f>
        <v>2758.0356841409402</v>
      </c>
      <c r="M22" s="175">
        <f t="shared" ref="M22:U22" si="11">+L22*(1+$J22)</f>
        <v>2771.4332809168181</v>
      </c>
      <c r="N22" s="175">
        <f t="shared" si="11"/>
        <v>2784.8959586488277</v>
      </c>
      <c r="O22" s="175">
        <f t="shared" si="11"/>
        <v>2798.4240334780588</v>
      </c>
      <c r="P22" s="175">
        <f t="shared" si="11"/>
        <v>2812.0178230813081</v>
      </c>
      <c r="Q22" s="175">
        <f t="shared" si="11"/>
        <v>2825.6776466785359</v>
      </c>
      <c r="R22" s="175">
        <f t="shared" si="11"/>
        <v>2839.403825040366</v>
      </c>
      <c r="S22" s="175">
        <f t="shared" si="11"/>
        <v>2853.1966804956155</v>
      </c>
      <c r="T22" s="175">
        <f t="shared" si="11"/>
        <v>2867.0565369388655</v>
      </c>
      <c r="U22" s="175">
        <f t="shared" si="11"/>
        <v>2880.983719838066</v>
      </c>
    </row>
    <row r="23" spans="1:21" x14ac:dyDescent="0.25">
      <c r="A23" s="1675"/>
      <c r="B23" s="153" t="s">
        <v>305</v>
      </c>
      <c r="C23" s="151">
        <v>16532</v>
      </c>
      <c r="D23" s="152">
        <v>16223</v>
      </c>
      <c r="E23" s="137">
        <f t="shared" si="9"/>
        <v>-1.8850119512807684E-3</v>
      </c>
      <c r="G23" s="1690"/>
      <c r="H23" s="183" t="s">
        <v>308</v>
      </c>
      <c r="I23" s="184">
        <v>11204.005081269999</v>
      </c>
      <c r="J23" s="174">
        <v>4.8576589682707283E-3</v>
      </c>
      <c r="K23" s="175">
        <f>I23*(1+J23)^5</f>
        <v>11478.787926298475</v>
      </c>
      <c r="L23" s="175">
        <f>+K23*(1+$J23)</f>
        <v>11534.547963413537</v>
      </c>
      <c r="M23" s="175">
        <f t="shared" ref="M23:U23" si="12">+L23*(1+$J23)</f>
        <v>11590.578863772962</v>
      </c>
      <c r="N23" s="175">
        <f t="shared" si="12"/>
        <v>11646.881943138018</v>
      </c>
      <c r="O23" s="175">
        <f t="shared" si="12"/>
        <v>11703.458523661493</v>
      </c>
      <c r="P23" s="175">
        <f t="shared" si="12"/>
        <v>11760.309933918741</v>
      </c>
      <c r="Q23" s="175">
        <f t="shared" si="12"/>
        <v>11817.437508938885</v>
      </c>
      <c r="R23" s="175">
        <f t="shared" si="12"/>
        <v>11874.842590236161</v>
      </c>
      <c r="S23" s="175">
        <f t="shared" si="12"/>
        <v>11932.526525841426</v>
      </c>
      <c r="T23" s="175">
        <f t="shared" si="12"/>
        <v>11990.490670333807</v>
      </c>
      <c r="U23" s="175">
        <f t="shared" si="12"/>
        <v>12048.736384872522</v>
      </c>
    </row>
    <row r="24" spans="1:21" x14ac:dyDescent="0.25">
      <c r="A24" s="1675"/>
      <c r="B24" s="153" t="s">
        <v>306</v>
      </c>
      <c r="C24" s="151">
        <v>4515</v>
      </c>
      <c r="D24" s="152">
        <v>2886</v>
      </c>
      <c r="E24" s="137">
        <f t="shared" si="9"/>
        <v>-4.376671396631282E-2</v>
      </c>
      <c r="G24" s="1671" t="s">
        <v>454</v>
      </c>
      <c r="H24" s="1672"/>
      <c r="I24" s="1672"/>
      <c r="J24" s="1672"/>
      <c r="K24" s="178">
        <f>SUM(K19:K23)</f>
        <v>107858.96006813763</v>
      </c>
      <c r="L24" s="178">
        <f t="shared" ref="L24:U24" si="13">SUM(L19:L23)</f>
        <v>108382.90211282097</v>
      </c>
      <c r="M24" s="178">
        <f t="shared" si="13"/>
        <v>108909.38928927651</v>
      </c>
      <c r="N24" s="178">
        <f t="shared" si="13"/>
        <v>109438.43396088647</v>
      </c>
      <c r="O24" s="178">
        <f t="shared" si="13"/>
        <v>109970.04855109008</v>
      </c>
      <c r="P24" s="178">
        <f t="shared" si="13"/>
        <v>110504.24554367544</v>
      </c>
      <c r="Q24" s="178">
        <f t="shared" si="13"/>
        <v>111041.03748307267</v>
      </c>
      <c r="R24" s="178">
        <f t="shared" si="13"/>
        <v>111580.43697464842</v>
      </c>
      <c r="S24" s="178">
        <f t="shared" si="13"/>
        <v>112122.45668500189</v>
      </c>
      <c r="T24" s="178">
        <f t="shared" si="13"/>
        <v>112667.10934226232</v>
      </c>
      <c r="U24" s="178">
        <f t="shared" si="13"/>
        <v>113214.4077363879</v>
      </c>
    </row>
    <row r="25" spans="1:21" x14ac:dyDescent="0.25">
      <c r="A25" s="1675"/>
      <c r="B25" s="153" t="s">
        <v>386</v>
      </c>
      <c r="C25" s="151">
        <v>5043</v>
      </c>
      <c r="D25" s="152">
        <v>3002</v>
      </c>
      <c r="E25" s="137">
        <f t="shared" si="9"/>
        <v>-5.0549840091358322E-2</v>
      </c>
      <c r="G25" s="1692" t="s">
        <v>30</v>
      </c>
      <c r="H25" s="189" t="s">
        <v>309</v>
      </c>
      <c r="I25" s="173">
        <v>37260</v>
      </c>
      <c r="J25" s="174">
        <v>4.8576589682707283E-3</v>
      </c>
      <c r="K25" s="175">
        <f>I25*(1+J25)^5</f>
        <v>38173.816865620385</v>
      </c>
      <c r="L25" s="175">
        <f t="shared" ref="L25:U25" si="14">+K25*(1+$J25)</f>
        <v>38359.252249470788</v>
      </c>
      <c r="M25" s="175">
        <f t="shared" si="14"/>
        <v>38545.588415176586</v>
      </c>
      <c r="N25" s="175">
        <f t="shared" si="14"/>
        <v>38732.829738428838</v>
      </c>
      <c r="O25" s="175">
        <f t="shared" si="14"/>
        <v>38920.980616174224</v>
      </c>
      <c r="P25" s="175">
        <f t="shared" si="14"/>
        <v>39110.045466718271</v>
      </c>
      <c r="Q25" s="175">
        <f t="shared" si="14"/>
        <v>39300.028729829151</v>
      </c>
      <c r="R25" s="175">
        <f t="shared" si="14"/>
        <v>39490.934866841904</v>
      </c>
      <c r="S25" s="175">
        <f t="shared" si="14"/>
        <v>39682.768360763213</v>
      </c>
      <c r="T25" s="175">
        <f t="shared" si="14"/>
        <v>39875.533716376682</v>
      </c>
      <c r="U25" s="175">
        <f t="shared" si="14"/>
        <v>40069.235460348624</v>
      </c>
    </row>
    <row r="26" spans="1:21" x14ac:dyDescent="0.25">
      <c r="A26" s="1675"/>
      <c r="B26" s="153" t="s">
        <v>387</v>
      </c>
      <c r="C26" s="151">
        <v>4154</v>
      </c>
      <c r="D26" s="152">
        <v>2774</v>
      </c>
      <c r="E26" s="137">
        <f t="shared" si="9"/>
        <v>-3.9573805425316633E-2</v>
      </c>
      <c r="G26" s="1693"/>
      <c r="H26" s="189" t="s">
        <v>310</v>
      </c>
      <c r="I26" s="173">
        <v>7078</v>
      </c>
      <c r="J26" s="174">
        <v>4.8576589682707283E-3</v>
      </c>
      <c r="K26" s="175">
        <f>I26*(1+J26)^5</f>
        <v>7251.5908688905283</v>
      </c>
      <c r="L26" s="175">
        <f t="shared" ref="L26:U26" si="15">+K26*(1+$J26)</f>
        <v>7286.8166243090245</v>
      </c>
      <c r="M26" s="175">
        <f t="shared" si="15"/>
        <v>7322.2134944342433</v>
      </c>
      <c r="N26" s="175">
        <f t="shared" si="15"/>
        <v>7357.782310483075</v>
      </c>
      <c r="O26" s="175">
        <f t="shared" si="15"/>
        <v>7393.5239077101769</v>
      </c>
      <c r="P26" s="175">
        <f t="shared" si="15"/>
        <v>7429.4391254275897</v>
      </c>
      <c r="Q26" s="175">
        <f t="shared" si="15"/>
        <v>7465.5288070244442</v>
      </c>
      <c r="R26" s="175">
        <f t="shared" si="15"/>
        <v>7501.79379998677</v>
      </c>
      <c r="S26" s="175">
        <f t="shared" si="15"/>
        <v>7538.2349559173936</v>
      </c>
      <c r="T26" s="175">
        <f t="shared" si="15"/>
        <v>7574.8531305559372</v>
      </c>
      <c r="U26" s="175">
        <f t="shared" si="15"/>
        <v>7611.6491837989161</v>
      </c>
    </row>
    <row r="27" spans="1:21" ht="25.5" x14ac:dyDescent="0.25">
      <c r="A27" s="1675"/>
      <c r="B27" s="153" t="s">
        <v>307</v>
      </c>
      <c r="C27" s="151">
        <v>3531</v>
      </c>
      <c r="D27" s="152">
        <v>2541</v>
      </c>
      <c r="E27" s="137">
        <f t="shared" si="9"/>
        <v>-3.2366947201163843E-2</v>
      </c>
      <c r="G27" s="1693"/>
      <c r="H27" s="189" t="s">
        <v>455</v>
      </c>
      <c r="I27" s="173">
        <v>9430</v>
      </c>
      <c r="J27" s="174">
        <v>4.8576589682707283E-3</v>
      </c>
      <c r="K27" s="175">
        <f>I27*(1+J27)^5</f>
        <v>9661.274638829851</v>
      </c>
      <c r="L27" s="175">
        <f t="shared" ref="L27:U27" si="16">+K27*(1+$J27)</f>
        <v>9708.2058162240901</v>
      </c>
      <c r="M27" s="175">
        <f t="shared" si="16"/>
        <v>9755.3649692730887</v>
      </c>
      <c r="N27" s="175">
        <f t="shared" si="16"/>
        <v>9802.7532054048315</v>
      </c>
      <c r="O27" s="175">
        <f t="shared" si="16"/>
        <v>9850.3716374268115</v>
      </c>
      <c r="P27" s="175">
        <f t="shared" si="16"/>
        <v>9898.2213835521579</v>
      </c>
      <c r="Q27" s="175">
        <f t="shared" si="16"/>
        <v>9946.303567425899</v>
      </c>
      <c r="R27" s="175">
        <f t="shared" si="16"/>
        <v>9994.6193181513481</v>
      </c>
      <c r="S27" s="175">
        <f t="shared" si="16"/>
        <v>10043.169770316617</v>
      </c>
      <c r="T27" s="175">
        <f t="shared" si="16"/>
        <v>10091.956064021262</v>
      </c>
      <c r="U27" s="175">
        <f t="shared" si="16"/>
        <v>10140.979344903049</v>
      </c>
    </row>
    <row r="28" spans="1:21" ht="15.75" thickBot="1" x14ac:dyDescent="0.3">
      <c r="A28" s="1675"/>
      <c r="B28" s="153" t="s">
        <v>308</v>
      </c>
      <c r="C28" s="151">
        <v>7353</v>
      </c>
      <c r="D28" s="152">
        <v>10861</v>
      </c>
      <c r="E28" s="137">
        <f t="shared" si="9"/>
        <v>3.9777761869776995E-2</v>
      </c>
      <c r="G28" s="1693"/>
      <c r="H28" s="189" t="s">
        <v>313</v>
      </c>
      <c r="I28" s="173">
        <v>16649</v>
      </c>
      <c r="J28" s="174">
        <v>4.8576589682707283E-3</v>
      </c>
      <c r="K28" s="175">
        <f>I28*(1+J28)^5</f>
        <v>17057.32359086725</v>
      </c>
      <c r="L28" s="175">
        <f t="shared" ref="L28:U28" si="17">+K28*(1+$J28)</f>
        <v>17140.182251783124</v>
      </c>
      <c r="M28" s="175">
        <f t="shared" si="17"/>
        <v>17223.443411816294</v>
      </c>
      <c r="N28" s="175">
        <f t="shared" si="17"/>
        <v>17307.109026170205</v>
      </c>
      <c r="O28" s="175">
        <f t="shared" si="17"/>
        <v>17391.181059546019</v>
      </c>
      <c r="P28" s="175">
        <f t="shared" si="17"/>
        <v>17475.661486188743</v>
      </c>
      <c r="Q28" s="175">
        <f t="shared" si="17"/>
        <v>17560.552289933592</v>
      </c>
      <c r="R28" s="175">
        <f t="shared" si="17"/>
        <v>17645.855464252574</v>
      </c>
      <c r="S28" s="175">
        <f t="shared" si="17"/>
        <v>17731.573012301309</v>
      </c>
      <c r="T28" s="175">
        <f t="shared" si="17"/>
        <v>17817.70694696606</v>
      </c>
      <c r="U28" s="175">
        <f t="shared" si="17"/>
        <v>17904.25929091101</v>
      </c>
    </row>
    <row r="29" spans="1:21" ht="15.75" thickBot="1" x14ac:dyDescent="0.3">
      <c r="A29" s="145" t="s">
        <v>379</v>
      </c>
      <c r="B29" s="154" t="s">
        <v>30</v>
      </c>
      <c r="C29" s="147">
        <f>+SUM(C30:C49)</f>
        <v>147602</v>
      </c>
      <c r="D29" s="148">
        <f>+SUM(D30:D49)</f>
        <v>142477</v>
      </c>
      <c r="E29" s="149">
        <f>+AVERAGE(E30:E49)</f>
        <v>-1.317441882161639E-2</v>
      </c>
      <c r="G29" s="1694"/>
      <c r="H29" s="134" t="s">
        <v>456</v>
      </c>
      <c r="I29" s="155">
        <v>20738</v>
      </c>
      <c r="J29" s="174">
        <v>4.8576589682707283E-3</v>
      </c>
      <c r="K29" s="175">
        <f>I29*(1+J29)^5</f>
        <v>21246.608002126559</v>
      </c>
      <c r="L29" s="175">
        <f>+K29*(1+$J29)</f>
        <v>21349.816778033422</v>
      </c>
      <c r="M29" s="175">
        <f t="shared" ref="M29:U29" si="18">+L29*(1+$J29)</f>
        <v>21453.526906976174</v>
      </c>
      <c r="N29" s="175">
        <f t="shared" si="18"/>
        <v>21557.740824356886</v>
      </c>
      <c r="O29" s="175">
        <f t="shared" si="18"/>
        <v>21662.46097740798</v>
      </c>
      <c r="P29" s="175">
        <f t="shared" si="18"/>
        <v>21767.689825249701</v>
      </c>
      <c r="Q29" s="175">
        <f t="shared" si="18"/>
        <v>21873.429838947861</v>
      </c>
      <c r="R29" s="175">
        <f t="shared" si="18"/>
        <v>21979.683501571868</v>
      </c>
      <c r="S29" s="175">
        <f t="shared" si="18"/>
        <v>22086.453308253032</v>
      </c>
      <c r="T29" s="175">
        <f t="shared" si="18"/>
        <v>22193.741766243162</v>
      </c>
      <c r="U29" s="175">
        <f t="shared" si="18"/>
        <v>22301.551394973438</v>
      </c>
    </row>
    <row r="30" spans="1:21" x14ac:dyDescent="0.25">
      <c r="A30" s="1674" t="s">
        <v>383</v>
      </c>
      <c r="B30" s="134" t="s">
        <v>30</v>
      </c>
      <c r="C30" s="151">
        <v>37260</v>
      </c>
      <c r="D30" s="155">
        <v>42268</v>
      </c>
      <c r="E30" s="137">
        <f>+((((D30/C30)^(1/10))-1))</f>
        <v>1.2690847242995629E-2</v>
      </c>
      <c r="G30" s="1673" t="s">
        <v>454</v>
      </c>
      <c r="H30" s="1672"/>
      <c r="I30" s="1672"/>
      <c r="J30" s="1672"/>
      <c r="K30" s="178">
        <f>SUM(K25:K29)</f>
        <v>93390.613966334582</v>
      </c>
      <c r="L30" s="178">
        <f t="shared" ref="L30:U30" si="19">SUM(L25:L29)</f>
        <v>93844.273719820456</v>
      </c>
      <c r="M30" s="178">
        <f t="shared" si="19"/>
        <v>94300.137197676391</v>
      </c>
      <c r="N30" s="178">
        <f t="shared" si="19"/>
        <v>94758.215104843839</v>
      </c>
      <c r="O30" s="178">
        <f t="shared" si="19"/>
        <v>95218.518198265228</v>
      </c>
      <c r="P30" s="178">
        <f t="shared" si="19"/>
        <v>95681.057287136457</v>
      </c>
      <c r="Q30" s="178">
        <f t="shared" si="19"/>
        <v>96145.843233160951</v>
      </c>
      <c r="R30" s="178">
        <f t="shared" si="19"/>
        <v>96612.886950804459</v>
      </c>
      <c r="S30" s="178">
        <f t="shared" si="19"/>
        <v>97082.199407551554</v>
      </c>
      <c r="T30" s="178">
        <f t="shared" si="19"/>
        <v>97553.791624163103</v>
      </c>
      <c r="U30" s="178">
        <f t="shared" si="19"/>
        <v>98027.674674935028</v>
      </c>
    </row>
    <row r="31" spans="1:21" x14ac:dyDescent="0.25">
      <c r="A31" s="1675"/>
      <c r="B31" s="134" t="s">
        <v>32</v>
      </c>
      <c r="C31" s="151">
        <v>6441</v>
      </c>
      <c r="D31" s="155">
        <v>5459</v>
      </c>
      <c r="E31" s="137">
        <f t="shared" ref="E31:E48" si="20">+((((D31/C31)^(1/10))-1))</f>
        <v>-1.6405753882266949E-2</v>
      </c>
      <c r="G31" s="1689" t="s">
        <v>73</v>
      </c>
      <c r="H31" s="183" t="s">
        <v>391</v>
      </c>
      <c r="I31" s="173">
        <v>1908.9999121349999</v>
      </c>
      <c r="J31" s="174">
        <v>4.8576589682707283E-3</v>
      </c>
      <c r="K31" s="175">
        <f>I31*(1+J31)^5</f>
        <v>1955.8189222309954</v>
      </c>
      <c r="L31" s="175">
        <f t="shared" ref="L31:U31" si="21">+K31*(1+$J31)</f>
        <v>1965.3196235588844</v>
      </c>
      <c r="M31" s="175">
        <f t="shared" si="21"/>
        <v>1974.8664760537836</v>
      </c>
      <c r="N31" s="175">
        <f t="shared" si="21"/>
        <v>1984.4597039023236</v>
      </c>
      <c r="O31" s="175">
        <f t="shared" si="21"/>
        <v>1994.0995323801565</v>
      </c>
      <c r="P31" s="175">
        <f t="shared" si="21"/>
        <v>2003.7861878572473</v>
      </c>
      <c r="Q31" s="175">
        <f t="shared" si="21"/>
        <v>2013.5198978031892</v>
      </c>
      <c r="R31" s="175">
        <f t="shared" si="21"/>
        <v>2023.3008907925444</v>
      </c>
      <c r="S31" s="175">
        <f t="shared" si="21"/>
        <v>2033.1293965102129</v>
      </c>
      <c r="T31" s="175">
        <f t="shared" si="21"/>
        <v>2043.0056457568255</v>
      </c>
      <c r="U31" s="175">
        <f t="shared" si="21"/>
        <v>2052.9298704541638</v>
      </c>
    </row>
    <row r="32" spans="1:21" x14ac:dyDescent="0.25">
      <c r="A32" s="1675"/>
      <c r="B32" s="134" t="s">
        <v>34</v>
      </c>
      <c r="C32" s="151">
        <v>1342</v>
      </c>
      <c r="D32" s="155">
        <v>1186</v>
      </c>
      <c r="E32" s="137">
        <f t="shared" si="20"/>
        <v>-1.2281433761272553E-2</v>
      </c>
      <c r="G32" s="1690"/>
      <c r="H32" s="183" t="s">
        <v>314</v>
      </c>
      <c r="I32" s="173">
        <v>1787.99964176</v>
      </c>
      <c r="J32" s="174">
        <v>4.8576589682707283E-3</v>
      </c>
      <c r="K32" s="175">
        <f>I32*(1+J32)^5</f>
        <v>1831.851070325848</v>
      </c>
      <c r="L32" s="175">
        <f>+K32*(1+$J32)</f>
        <v>1840.7495781061527</v>
      </c>
      <c r="M32" s="175">
        <f t="shared" ref="M32:U32" si="22">+L32*(1+$J32)</f>
        <v>1849.6913118025807</v>
      </c>
      <c r="N32" s="175">
        <f t="shared" si="22"/>
        <v>1858.676481391891</v>
      </c>
      <c r="O32" s="175">
        <f t="shared" si="22"/>
        <v>1867.7052978708382</v>
      </c>
      <c r="P32" s="175">
        <f t="shared" si="22"/>
        <v>1876.7779732611273</v>
      </c>
      <c r="Q32" s="175">
        <f t="shared" si="22"/>
        <v>1885.8947206143921</v>
      </c>
      <c r="R32" s="175">
        <f t="shared" si="22"/>
        <v>1895.055754017199</v>
      </c>
      <c r="S32" s="175">
        <f t="shared" si="22"/>
        <v>1904.2612885960737</v>
      </c>
      <c r="T32" s="175">
        <f t="shared" si="22"/>
        <v>1913.5115405225531</v>
      </c>
      <c r="U32" s="175">
        <f t="shared" si="22"/>
        <v>1922.8067270182621</v>
      </c>
    </row>
    <row r="33" spans="1:21" x14ac:dyDescent="0.25">
      <c r="A33" s="1675"/>
      <c r="B33" s="134" t="s">
        <v>36</v>
      </c>
      <c r="C33" s="151">
        <v>7078</v>
      </c>
      <c r="D33" s="155">
        <v>5210</v>
      </c>
      <c r="E33" s="137">
        <f t="shared" si="20"/>
        <v>-3.0176470722677151E-2</v>
      </c>
      <c r="G33" s="1672" t="s">
        <v>454</v>
      </c>
      <c r="H33" s="1672"/>
      <c r="I33" s="1672"/>
      <c r="J33" s="1672"/>
      <c r="K33" s="178">
        <f t="shared" ref="K33:U33" ca="1" si="23">SUM(K31:K39)</f>
        <v>873277.7933927956</v>
      </c>
      <c r="L33" s="178">
        <f t="shared" ca="1" si="23"/>
        <v>877519.87909766112</v>
      </c>
      <c r="M33" s="178">
        <f t="shared" ca="1" si="23"/>
        <v>881782.571408196</v>
      </c>
      <c r="N33" s="178">
        <f t="shared" ca="1" si="23"/>
        <v>886065.97042426164</v>
      </c>
      <c r="O33" s="178">
        <f t="shared" ca="1" si="23"/>
        <v>890370.17673197237</v>
      </c>
      <c r="P33" s="178">
        <f t="shared" ca="1" si="23"/>
        <v>894695.29140605452</v>
      </c>
      <c r="Q33" s="178">
        <f t="shared" ca="1" si="23"/>
        <v>899041.41601222393</v>
      </c>
      <c r="R33" s="178">
        <f t="shared" ca="1" si="23"/>
        <v>903408.65260956273</v>
      </c>
      <c r="S33" s="178">
        <f t="shared" ca="1" si="23"/>
        <v>907797.10375292483</v>
      </c>
      <c r="T33" s="178">
        <f t="shared" ca="1" si="23"/>
        <v>912206.8724953396</v>
      </c>
      <c r="U33" s="178">
        <f t="shared" ca="1" si="23"/>
        <v>916638.0623904363</v>
      </c>
    </row>
    <row r="34" spans="1:21" x14ac:dyDescent="0.25">
      <c r="A34" s="1675"/>
      <c r="B34" s="134" t="s">
        <v>38</v>
      </c>
      <c r="C34" s="151">
        <v>4387</v>
      </c>
      <c r="D34" s="155">
        <v>3753</v>
      </c>
      <c r="E34" s="137">
        <f t="shared" si="20"/>
        <v>-1.5487820970678579E-2</v>
      </c>
      <c r="G34" s="1689" t="s">
        <v>89</v>
      </c>
      <c r="H34" s="183" t="s">
        <v>316</v>
      </c>
      <c r="I34" s="173">
        <v>4558</v>
      </c>
      <c r="J34" s="174">
        <v>4.8576589682707283E-3</v>
      </c>
      <c r="K34" s="175">
        <f>I34*(1+J34)^5</f>
        <v>4669.7868296698261</v>
      </c>
      <c r="L34" s="175">
        <f t="shared" ref="L34:U34" si="24">+K34*(1+$J34)</f>
        <v>4692.4710615428839</v>
      </c>
      <c r="M34" s="175">
        <f t="shared" si="24"/>
        <v>4715.2654856783383</v>
      </c>
      <c r="N34" s="175">
        <f t="shared" si="24"/>
        <v>4738.1706373526213</v>
      </c>
      <c r="O34" s="175">
        <f t="shared" si="24"/>
        <v>4761.1870544423546</v>
      </c>
      <c r="P34" s="175">
        <f t="shared" si="24"/>
        <v>4784.315277436981</v>
      </c>
      <c r="Q34" s="175">
        <f t="shared" si="24"/>
        <v>4807.5558494514571</v>
      </c>
      <c r="R34" s="175">
        <f t="shared" si="24"/>
        <v>4830.9093162390072</v>
      </c>
      <c r="S34" s="175">
        <f t="shared" si="24"/>
        <v>4854.3762262039381</v>
      </c>
      <c r="T34" s="175">
        <f t="shared" si="24"/>
        <v>4877.9571304145175</v>
      </c>
      <c r="U34" s="175">
        <f t="shared" si="24"/>
        <v>4901.6525826159159</v>
      </c>
    </row>
    <row r="35" spans="1:21" x14ac:dyDescent="0.25">
      <c r="A35" s="1675"/>
      <c r="B35" s="134" t="s">
        <v>40</v>
      </c>
      <c r="C35" s="151">
        <v>961</v>
      </c>
      <c r="D35" s="155">
        <v>750</v>
      </c>
      <c r="E35" s="137">
        <f t="shared" si="20"/>
        <v>-2.4485368682834574E-2</v>
      </c>
      <c r="G35" s="1690"/>
      <c r="H35" s="183" t="s">
        <v>317</v>
      </c>
      <c r="I35" s="173">
        <v>4049</v>
      </c>
      <c r="J35" s="174">
        <v>4.8576589682707283E-3</v>
      </c>
      <c r="K35" s="175">
        <f>I35*(1+J35)^5</f>
        <v>4148.3033947637396</v>
      </c>
      <c r="L35" s="175">
        <f t="shared" ref="L35:U35" si="25">+K35*(1+$J35)</f>
        <v>4168.4544379524214</v>
      </c>
      <c r="M35" s="175">
        <f t="shared" si="25"/>
        <v>4188.7033680367686</v>
      </c>
      <c r="N35" s="175">
        <f t="shared" si="25"/>
        <v>4209.050660517938</v>
      </c>
      <c r="O35" s="175">
        <f t="shared" si="25"/>
        <v>4229.4967932069085</v>
      </c>
      <c r="P35" s="175">
        <f t="shared" si="25"/>
        <v>4250.0422462357019</v>
      </c>
      <c r="Q35" s="175">
        <f t="shared" si="25"/>
        <v>4270.6875020686584</v>
      </c>
      <c r="R35" s="175">
        <f t="shared" si="25"/>
        <v>4291.4330455137642</v>
      </c>
      <c r="S35" s="175">
        <f t="shared" si="25"/>
        <v>4312.2793637340374</v>
      </c>
      <c r="T35" s="175">
        <f t="shared" si="25"/>
        <v>4333.2269462589684</v>
      </c>
      <c r="U35" s="175">
        <f t="shared" si="25"/>
        <v>4354.2762849960154</v>
      </c>
    </row>
    <row r="36" spans="1:21" x14ac:dyDescent="0.25">
      <c r="A36" s="1675"/>
      <c r="B36" s="134" t="s">
        <v>42</v>
      </c>
      <c r="C36" s="151">
        <v>8033</v>
      </c>
      <c r="D36" s="155">
        <v>6023</v>
      </c>
      <c r="E36" s="137">
        <f t="shared" si="20"/>
        <v>-2.8386568954624991E-2</v>
      </c>
      <c r="G36" s="1672" t="s">
        <v>454</v>
      </c>
      <c r="H36" s="1672"/>
      <c r="I36" s="1672"/>
      <c r="J36" s="1672"/>
      <c r="K36" s="178">
        <f>SUM(K34:K35)</f>
        <v>8818.0902244335666</v>
      </c>
      <c r="L36" s="178">
        <f t="shared" ref="L36:U36" si="26">SUM(L34:L35)</f>
        <v>8860.9254994953044</v>
      </c>
      <c r="M36" s="178">
        <f t="shared" si="26"/>
        <v>8903.9688537151069</v>
      </c>
      <c r="N36" s="178">
        <f t="shared" si="26"/>
        <v>8947.2212978705593</v>
      </c>
      <c r="O36" s="178">
        <f t="shared" si="26"/>
        <v>8990.683847649263</v>
      </c>
      <c r="P36" s="178">
        <f t="shared" si="26"/>
        <v>9034.3575236726829</v>
      </c>
      <c r="Q36" s="178">
        <f t="shared" si="26"/>
        <v>9078.2433515201155</v>
      </c>
      <c r="R36" s="178">
        <f t="shared" si="26"/>
        <v>9122.3423617527715</v>
      </c>
      <c r="S36" s="178">
        <f t="shared" si="26"/>
        <v>9166.6555899379746</v>
      </c>
      <c r="T36" s="178">
        <f t="shared" si="26"/>
        <v>9211.1840766734858</v>
      </c>
      <c r="U36" s="178">
        <f t="shared" si="26"/>
        <v>9255.9288676119322</v>
      </c>
    </row>
    <row r="37" spans="1:21" x14ac:dyDescent="0.25">
      <c r="A37" s="1675"/>
      <c r="B37" s="134" t="s">
        <v>44</v>
      </c>
      <c r="C37" s="151">
        <v>4961</v>
      </c>
      <c r="D37" s="155">
        <v>3452</v>
      </c>
      <c r="E37" s="137">
        <f t="shared" si="20"/>
        <v>-3.5615645657025685E-2</v>
      </c>
      <c r="G37" s="1698" t="s">
        <v>150</v>
      </c>
      <c r="H37" s="187" t="s">
        <v>318</v>
      </c>
      <c r="I37" s="163">
        <v>10381</v>
      </c>
      <c r="J37" s="174">
        <v>4.8576589682707283E-3</v>
      </c>
      <c r="K37" s="175">
        <f>I37*(1+J37)^5</f>
        <v>10635.598306011949</v>
      </c>
      <c r="L37" s="175">
        <f>+K37*(1+$J37)</f>
        <v>10687.262415506073</v>
      </c>
      <c r="M37" s="175">
        <f t="shared" ref="M37:U37" si="27">+L37*(1+$J37)</f>
        <v>10739.177491625018</v>
      </c>
      <c r="N37" s="175">
        <f t="shared" si="27"/>
        <v>10791.344753479061</v>
      </c>
      <c r="O37" s="175">
        <f t="shared" si="27"/>
        <v>10843.765426100501</v>
      </c>
      <c r="P37" s="175">
        <f t="shared" si="27"/>
        <v>10896.440740472422</v>
      </c>
      <c r="Q37" s="175">
        <f t="shared" si="27"/>
        <v>10949.37193355761</v>
      </c>
      <c r="R37" s="175">
        <f t="shared" si="27"/>
        <v>11002.560248327587</v>
      </c>
      <c r="S37" s="175">
        <f t="shared" si="27"/>
        <v>11056.006933791814</v>
      </c>
      <c r="T37" s="175">
        <f t="shared" si="27"/>
        <v>11109.713245027011</v>
      </c>
      <c r="U37" s="175">
        <f t="shared" si="27"/>
        <v>11163.680443206633</v>
      </c>
    </row>
    <row r="38" spans="1:21" x14ac:dyDescent="0.25">
      <c r="A38" s="1675"/>
      <c r="B38" s="134" t="s">
        <v>46</v>
      </c>
      <c r="C38" s="151">
        <v>9841</v>
      </c>
      <c r="D38" s="155">
        <v>7989</v>
      </c>
      <c r="E38" s="137">
        <f t="shared" si="20"/>
        <v>-2.0633332261645099E-2</v>
      </c>
      <c r="G38" s="1699"/>
      <c r="H38" s="188" t="s">
        <v>319</v>
      </c>
      <c r="I38" s="163">
        <v>14525</v>
      </c>
      <c r="J38" s="174">
        <v>4.8576589682707283E-3</v>
      </c>
      <c r="K38" s="175">
        <f>I38*(1+J38)^5</f>
        <v>14881.23161495266</v>
      </c>
      <c r="L38" s="175">
        <f>+K38*(1+$J38)</f>
        <v>14953.519563165948</v>
      </c>
      <c r="M38" s="175">
        <f t="shared" ref="M38:U38" si="28">+L38*(1+$J38)</f>
        <v>15026.158661579173</v>
      </c>
      <c r="N38" s="175">
        <f t="shared" si="28"/>
        <v>15099.150615960252</v>
      </c>
      <c r="O38" s="175">
        <f t="shared" si="28"/>
        <v>15172.497140363143</v>
      </c>
      <c r="P38" s="175">
        <f t="shared" si="28"/>
        <v>15246.19995716809</v>
      </c>
      <c r="Q38" s="175">
        <f t="shared" si="28"/>
        <v>15320.260797122077</v>
      </c>
      <c r="R38" s="175">
        <f t="shared" si="28"/>
        <v>15394.681399379464</v>
      </c>
      <c r="S38" s="175">
        <f t="shared" si="28"/>
        <v>15469.46351154283</v>
      </c>
      <c r="T38" s="175">
        <f t="shared" si="28"/>
        <v>15544.608889704014</v>
      </c>
      <c r="U38" s="175">
        <f t="shared" si="28"/>
        <v>15620.119298485346</v>
      </c>
    </row>
    <row r="39" spans="1:21" x14ac:dyDescent="0.25">
      <c r="A39" s="1675"/>
      <c r="B39" s="134" t="s">
        <v>48</v>
      </c>
      <c r="C39" s="151">
        <v>2478</v>
      </c>
      <c r="D39" s="155">
        <v>2199</v>
      </c>
      <c r="E39" s="137">
        <f t="shared" si="20"/>
        <v>-1.1873849965140626E-2</v>
      </c>
      <c r="G39" s="1672" t="s">
        <v>454</v>
      </c>
      <c r="H39" s="1672"/>
      <c r="I39" s="1672"/>
      <c r="J39" s="1672"/>
      <c r="K39" s="178">
        <f>SUM(K37:K38)</f>
        <v>25516.829920964607</v>
      </c>
      <c r="L39" s="178">
        <f t="shared" ref="L39:U39" si="29">SUM(L37:L38)</f>
        <v>25640.781978672021</v>
      </c>
      <c r="M39" s="178">
        <f t="shared" si="29"/>
        <v>25765.336153204189</v>
      </c>
      <c r="N39" s="178">
        <f t="shared" si="29"/>
        <v>25890.495369439312</v>
      </c>
      <c r="O39" s="178">
        <f t="shared" si="29"/>
        <v>26016.262566463643</v>
      </c>
      <c r="P39" s="178">
        <f t="shared" si="29"/>
        <v>26142.640697640512</v>
      </c>
      <c r="Q39" s="178">
        <f t="shared" si="29"/>
        <v>26269.632730679688</v>
      </c>
      <c r="R39" s="178">
        <f t="shared" si="29"/>
        <v>26397.241647707051</v>
      </c>
      <c r="S39" s="178">
        <f t="shared" si="29"/>
        <v>26525.470445334642</v>
      </c>
      <c r="T39" s="178">
        <f t="shared" si="29"/>
        <v>26654.322134731025</v>
      </c>
      <c r="U39" s="178">
        <f t="shared" si="29"/>
        <v>26783.799741691979</v>
      </c>
    </row>
    <row r="40" spans="1:21" x14ac:dyDescent="0.25">
      <c r="A40" s="1675"/>
      <c r="B40" s="134" t="s">
        <v>50</v>
      </c>
      <c r="C40" s="151">
        <v>972</v>
      </c>
      <c r="D40" s="155">
        <v>863</v>
      </c>
      <c r="E40" s="137">
        <f t="shared" si="20"/>
        <v>-1.1823656006611616E-2</v>
      </c>
      <c r="G40" s="1689" t="s">
        <v>125</v>
      </c>
      <c r="H40" s="183" t="s">
        <v>320</v>
      </c>
      <c r="I40" s="185">
        <v>5534.9996785589901</v>
      </c>
      <c r="J40" s="174">
        <v>4.8576589682707283E-3</v>
      </c>
      <c r="K40" s="175">
        <f>I40*(1+J40)^5</f>
        <v>5670.7478282495595</v>
      </c>
      <c r="L40" s="175">
        <f t="shared" ref="L40:U40" si="30">+K40*(1+$J40)</f>
        <v>5698.2943872942578</v>
      </c>
      <c r="M40" s="175">
        <f t="shared" si="30"/>
        <v>5725.9747581285446</v>
      </c>
      <c r="N40" s="175">
        <f t="shared" si="30"/>
        <v>5753.7895907644597</v>
      </c>
      <c r="O40" s="175">
        <f t="shared" si="30"/>
        <v>5781.7395383715793</v>
      </c>
      <c r="P40" s="175">
        <f t="shared" si="30"/>
        <v>5809.8252572923557</v>
      </c>
      <c r="Q40" s="175">
        <f t="shared" si="30"/>
        <v>5838.0474070575274</v>
      </c>
      <c r="R40" s="175">
        <f t="shared" si="30"/>
        <v>5866.40665040161</v>
      </c>
      <c r="S40" s="175">
        <f t="shared" si="30"/>
        <v>5894.9036532784567</v>
      </c>
      <c r="T40" s="175">
        <f t="shared" si="30"/>
        <v>5923.5390848768966</v>
      </c>
      <c r="U40" s="175">
        <f t="shared" si="30"/>
        <v>5952.3136176364515</v>
      </c>
    </row>
    <row r="41" spans="1:21" x14ac:dyDescent="0.25">
      <c r="A41" s="1675"/>
      <c r="B41" s="134" t="s">
        <v>52</v>
      </c>
      <c r="C41" s="151">
        <v>3186</v>
      </c>
      <c r="D41" s="155">
        <v>2910</v>
      </c>
      <c r="E41" s="137">
        <f t="shared" si="20"/>
        <v>-9.0203830532679108E-3</v>
      </c>
      <c r="G41" s="1691"/>
      <c r="H41" s="183" t="s">
        <v>414</v>
      </c>
      <c r="I41" s="185">
        <v>10746.004188065001</v>
      </c>
      <c r="J41" s="174">
        <v>4.8576589682707283E-3</v>
      </c>
      <c r="K41" s="175">
        <f t="shared" ref="K41" si="31">I41*(1+J41)^5</f>
        <v>11009.554372313018</v>
      </c>
      <c r="L41" s="175">
        <f t="shared" ref="L41:U41" si="32">+K41*(1+$J41)</f>
        <v>11063.035032846348</v>
      </c>
      <c r="M41" s="175">
        <f t="shared" si="32"/>
        <v>11116.775484189948</v>
      </c>
      <c r="N41" s="175">
        <f t="shared" si="32"/>
        <v>11170.776988318976</v>
      </c>
      <c r="O41" s="175">
        <f t="shared" si="32"/>
        <v>11225.040813338836</v>
      </c>
      <c r="P41" s="175">
        <f t="shared" si="32"/>
        <v>11279.568233514956</v>
      </c>
      <c r="Q41" s="175">
        <f t="shared" si="32"/>
        <v>11334.360529302712</v>
      </c>
      <c r="R41" s="175">
        <f t="shared" si="32"/>
        <v>11389.418987377494</v>
      </c>
      <c r="S41" s="175">
        <f t="shared" si="32"/>
        <v>11444.74490066492</v>
      </c>
      <c r="T41" s="175">
        <f t="shared" si="32"/>
        <v>11500.339568371206</v>
      </c>
      <c r="U41" s="175">
        <f t="shared" si="32"/>
        <v>11556.204296013662</v>
      </c>
    </row>
    <row r="42" spans="1:21" x14ac:dyDescent="0.25">
      <c r="A42" s="1675"/>
      <c r="B42" s="134" t="s">
        <v>54</v>
      </c>
      <c r="C42" s="151">
        <v>20357</v>
      </c>
      <c r="D42" s="155">
        <v>20738</v>
      </c>
      <c r="E42" s="137">
        <f t="shared" si="20"/>
        <v>1.8560135700760316E-3</v>
      </c>
      <c r="G42" s="1690"/>
      <c r="H42" s="183" t="s">
        <v>322</v>
      </c>
      <c r="I42" s="185">
        <v>4256.0005121440099</v>
      </c>
      <c r="J42" s="174">
        <v>4.8576589682707283E-3</v>
      </c>
      <c r="K42" s="175">
        <f>I42*(1+J42)^5</f>
        <v>4360.3806798328505</v>
      </c>
      <c r="L42" s="175">
        <f t="shared" ref="L42:U42" si="33">+K42*(1+$J42)</f>
        <v>4381.5619221473153</v>
      </c>
      <c r="M42" s="175">
        <f t="shared" si="33"/>
        <v>4402.8460557134676</v>
      </c>
      <c r="N42" s="175">
        <f t="shared" si="33"/>
        <v>4424.2335803419192</v>
      </c>
      <c r="O42" s="175">
        <f t="shared" si="33"/>
        <v>4445.7249982711919</v>
      </c>
      <c r="P42" s="175">
        <f t="shared" si="33"/>
        <v>4467.3208141795094</v>
      </c>
      <c r="Q42" s="175">
        <f t="shared" si="33"/>
        <v>4489.0215351966508</v>
      </c>
      <c r="R42" s="175">
        <f t="shared" si="33"/>
        <v>4510.827670915859</v>
      </c>
      <c r="S42" s="175">
        <f t="shared" si="33"/>
        <v>4532.7397334058069</v>
      </c>
      <c r="T42" s="175">
        <f t="shared" si="33"/>
        <v>4554.7582372226225</v>
      </c>
      <c r="U42" s="175">
        <f t="shared" si="33"/>
        <v>4576.8836994219719</v>
      </c>
    </row>
    <row r="43" spans="1:21" x14ac:dyDescent="0.25">
      <c r="A43" s="1675"/>
      <c r="B43" s="134" t="s">
        <v>56</v>
      </c>
      <c r="C43" s="151">
        <v>1850</v>
      </c>
      <c r="D43" s="155">
        <v>1613</v>
      </c>
      <c r="E43" s="137">
        <f t="shared" si="20"/>
        <v>-1.3615443808479677E-2</v>
      </c>
      <c r="G43" s="1672" t="s">
        <v>454</v>
      </c>
      <c r="H43" s="1672"/>
      <c r="I43" s="1672"/>
      <c r="J43" s="1672"/>
      <c r="K43" s="178">
        <f>SUM(K40:K42)</f>
        <v>21040.682880395427</v>
      </c>
      <c r="L43" s="178">
        <f t="shared" ref="L43:U43" si="34">SUM(L40:L42)</f>
        <v>21142.89134228792</v>
      </c>
      <c r="M43" s="178">
        <f t="shared" si="34"/>
        <v>21245.59629803196</v>
      </c>
      <c r="N43" s="178">
        <f t="shared" si="34"/>
        <v>21348.800159425355</v>
      </c>
      <c r="O43" s="178">
        <f t="shared" si="34"/>
        <v>21452.505349981606</v>
      </c>
      <c r="P43" s="178">
        <f t="shared" si="34"/>
        <v>21556.714304986825</v>
      </c>
      <c r="Q43" s="178">
        <f t="shared" si="34"/>
        <v>21661.42947155689</v>
      </c>
      <c r="R43" s="178">
        <f t="shared" si="34"/>
        <v>21766.653308694964</v>
      </c>
      <c r="S43" s="178">
        <f t="shared" si="34"/>
        <v>21872.388287349186</v>
      </c>
      <c r="T43" s="178">
        <f t="shared" si="34"/>
        <v>21978.636890470727</v>
      </c>
      <c r="U43" s="178">
        <f t="shared" si="34"/>
        <v>22085.401613072085</v>
      </c>
    </row>
    <row r="44" spans="1:21" ht="23.25" x14ac:dyDescent="0.25">
      <c r="A44" s="1675"/>
      <c r="B44" s="134" t="s">
        <v>388</v>
      </c>
      <c r="C44" s="151">
        <v>9430</v>
      </c>
      <c r="D44" s="155">
        <v>8152</v>
      </c>
      <c r="E44" s="137">
        <f t="shared" si="20"/>
        <v>-1.4457748426021655E-2</v>
      </c>
      <c r="G44" s="1695" t="s">
        <v>162</v>
      </c>
      <c r="H44" s="183" t="s">
        <v>323</v>
      </c>
      <c r="I44" s="185">
        <v>5314.0006177349997</v>
      </c>
      <c r="J44" s="174">
        <v>4.8576589682707283E-3</v>
      </c>
      <c r="K44" s="175">
        <f>I44*(1+J44)^5</f>
        <v>5444.328674321242</v>
      </c>
      <c r="L44" s="175">
        <f t="shared" ref="L44:U44" si="35">+K44*(1+$J44)</f>
        <v>5470.7753663322719</v>
      </c>
      <c r="M44" s="175">
        <f t="shared" si="35"/>
        <v>5497.3505273539304</v>
      </c>
      <c r="N44" s="175">
        <f t="shared" si="35"/>
        <v>5524.0547814448591</v>
      </c>
      <c r="O44" s="175">
        <f t="shared" si="35"/>
        <v>5550.8887556951631</v>
      </c>
      <c r="P44" s="175">
        <f t="shared" si="35"/>
        <v>5577.8530802411387</v>
      </c>
      <c r="Q44" s="175">
        <f t="shared" si="35"/>
        <v>5604.9483882800687</v>
      </c>
      <c r="R44" s="175">
        <f t="shared" si="35"/>
        <v>5632.1753160850922</v>
      </c>
      <c r="S44" s="175">
        <f t="shared" si="35"/>
        <v>5659.5345030201461</v>
      </c>
      <c r="T44" s="175">
        <f t="shared" si="35"/>
        <v>5687.0265915549799</v>
      </c>
      <c r="U44" s="175">
        <f t="shared" si="35"/>
        <v>5714.6522272802413</v>
      </c>
    </row>
    <row r="45" spans="1:21" x14ac:dyDescent="0.25">
      <c r="A45" s="1675"/>
      <c r="B45" s="134" t="s">
        <v>61</v>
      </c>
      <c r="C45" s="151">
        <v>16649</v>
      </c>
      <c r="D45" s="155">
        <v>18509</v>
      </c>
      <c r="E45" s="137">
        <f t="shared" si="20"/>
        <v>1.0646974482582561E-2</v>
      </c>
      <c r="G45" s="1696"/>
      <c r="H45" s="183" t="s">
        <v>324</v>
      </c>
      <c r="I45" s="163">
        <v>2945</v>
      </c>
      <c r="J45" s="174">
        <v>4.8576589682707283E-3</v>
      </c>
      <c r="K45" s="175">
        <f t="shared" ref="K45" si="36">I45*(1+J45)^5</f>
        <v>3017.2273394860986</v>
      </c>
      <c r="L45" s="175">
        <f t="shared" ref="L45:U45" si="37">+K45*(1+$J45)</f>
        <v>3031.8840009310647</v>
      </c>
      <c r="M45" s="175">
        <f t="shared" si="37"/>
        <v>3046.6118594389441</v>
      </c>
      <c r="N45" s="175">
        <f t="shared" si="37"/>
        <v>3061.4112608607875</v>
      </c>
      <c r="O45" s="175">
        <f t="shared" si="37"/>
        <v>3076.2825527276727</v>
      </c>
      <c r="P45" s="175">
        <f t="shared" si="37"/>
        <v>3091.2260842588653</v>
      </c>
      <c r="Q45" s="175">
        <f t="shared" si="37"/>
        <v>3106.2422063700178</v>
      </c>
      <c r="R45" s="175">
        <f t="shared" si="37"/>
        <v>3121.3312716814121</v>
      </c>
      <c r="S45" s="175">
        <f t="shared" si="37"/>
        <v>3136.493634526239</v>
      </c>
      <c r="T45" s="175">
        <f t="shared" si="37"/>
        <v>3151.7296509589196</v>
      </c>
      <c r="U45" s="175">
        <f t="shared" si="37"/>
        <v>3167.039678763465</v>
      </c>
    </row>
    <row r="46" spans="1:21" x14ac:dyDescent="0.25">
      <c r="A46" s="1675"/>
      <c r="B46" s="134" t="s">
        <v>63</v>
      </c>
      <c r="C46" s="151">
        <v>2144</v>
      </c>
      <c r="D46" s="155">
        <v>1864</v>
      </c>
      <c r="E46" s="137">
        <f t="shared" si="20"/>
        <v>-1.3897379978777158E-2</v>
      </c>
      <c r="G46" s="1697"/>
      <c r="H46" s="183" t="s">
        <v>325</v>
      </c>
      <c r="I46" s="185">
        <v>1302.0000115759999</v>
      </c>
      <c r="J46" s="174">
        <v>4.8576589682707283E-3</v>
      </c>
      <c r="K46" s="175">
        <f>I46*(1+J46)^5</f>
        <v>1333.9320987906024</v>
      </c>
      <c r="L46" s="175">
        <f t="shared" ref="L46:U46" si="38">+K46*(1+$J46)</f>
        <v>1340.4118860133567</v>
      </c>
      <c r="M46" s="175">
        <f t="shared" si="38"/>
        <v>1346.9231498326262</v>
      </c>
      <c r="N46" s="175">
        <f t="shared" si="38"/>
        <v>1353.4660431509822</v>
      </c>
      <c r="O46" s="175">
        <f t="shared" si="38"/>
        <v>1360.0407196137444</v>
      </c>
      <c r="P46" s="175">
        <f t="shared" si="38"/>
        <v>1366.6473336125894</v>
      </c>
      <c r="Q46" s="175">
        <f t="shared" si="38"/>
        <v>1373.2860402891758</v>
      </c>
      <c r="R46" s="175">
        <f t="shared" si="38"/>
        <v>1379.9569955387876</v>
      </c>
      <c r="S46" s="175">
        <f t="shared" si="38"/>
        <v>1386.6603560139945</v>
      </c>
      <c r="T46" s="175">
        <f t="shared" si="38"/>
        <v>1393.3962791283313</v>
      </c>
      <c r="U46" s="175">
        <f t="shared" si="38"/>
        <v>1400.1649230599942</v>
      </c>
    </row>
    <row r="47" spans="1:21" x14ac:dyDescent="0.25">
      <c r="A47" s="1675"/>
      <c r="B47" s="134" t="s">
        <v>66</v>
      </c>
      <c r="C47" s="151">
        <v>4066</v>
      </c>
      <c r="D47" s="155">
        <v>3642</v>
      </c>
      <c r="E47" s="137">
        <f t="shared" si="20"/>
        <v>-1.095225589192228E-2</v>
      </c>
      <c r="G47" s="190" t="s">
        <v>454</v>
      </c>
      <c r="H47" s="190"/>
      <c r="I47" s="190"/>
      <c r="J47" s="190"/>
      <c r="K47" s="178">
        <f>SUM(K44:K46)</f>
        <v>9795.4881125979446</v>
      </c>
      <c r="L47" s="178">
        <f t="shared" ref="L47:U47" si="39">SUM(L44:L46)</f>
        <v>9843.0712532766938</v>
      </c>
      <c r="M47" s="178">
        <f t="shared" si="39"/>
        <v>9890.8855366255011</v>
      </c>
      <c r="N47" s="178">
        <f t="shared" si="39"/>
        <v>9938.9320854566286</v>
      </c>
      <c r="O47" s="178">
        <f t="shared" si="39"/>
        <v>9987.2120280365798</v>
      </c>
      <c r="P47" s="178">
        <f t="shared" si="39"/>
        <v>10035.726498112594</v>
      </c>
      <c r="Q47" s="178">
        <f t="shared" si="39"/>
        <v>10084.476634939263</v>
      </c>
      <c r="R47" s="178">
        <f t="shared" si="39"/>
        <v>10133.463583305291</v>
      </c>
      <c r="S47" s="178">
        <f t="shared" si="39"/>
        <v>10182.688493560379</v>
      </c>
      <c r="T47" s="178">
        <f t="shared" si="39"/>
        <v>10232.152521642232</v>
      </c>
      <c r="U47" s="178">
        <f t="shared" si="39"/>
        <v>10281.856829103701</v>
      </c>
    </row>
    <row r="48" spans="1:21" x14ac:dyDescent="0.25">
      <c r="A48" s="1675"/>
      <c r="B48" s="134" t="s">
        <v>68</v>
      </c>
      <c r="C48" s="151">
        <v>2410</v>
      </c>
      <c r="D48" s="155">
        <v>1816</v>
      </c>
      <c r="E48" s="137">
        <f t="shared" si="20"/>
        <v>-2.7902379286915968E-2</v>
      </c>
      <c r="G48" s="1701" t="s">
        <v>239</v>
      </c>
      <c r="H48" s="1701"/>
      <c r="I48" s="1701"/>
      <c r="J48" s="1701"/>
      <c r="K48" s="186">
        <f t="shared" ref="K48:U48" ca="1" si="40">K47+K43+K39+K36+K33+K30+K24</f>
        <v>1139698.4585656594</v>
      </c>
      <c r="L48" s="178">
        <f t="shared" ca="1" si="40"/>
        <v>1072425.2408460348</v>
      </c>
      <c r="M48" s="178">
        <f t="shared" ca="1" si="40"/>
        <v>1077634.7169350307</v>
      </c>
      <c r="N48" s="178">
        <f t="shared" ca="1" si="40"/>
        <v>1156388.0684021839</v>
      </c>
      <c r="O48" s="178">
        <f t="shared" ca="1" si="40"/>
        <v>1162005.4072734588</v>
      </c>
      <c r="P48" s="178">
        <f t="shared" ca="1" si="40"/>
        <v>1093415.4726575345</v>
      </c>
      <c r="Q48" s="178">
        <f t="shared" ca="1" si="40"/>
        <v>1098726.9121343363</v>
      </c>
      <c r="R48" s="178">
        <f t="shared" ca="1" si="40"/>
        <v>1179021.6774364756</v>
      </c>
      <c r="S48" s="178">
        <f t="shared" ca="1" si="40"/>
        <v>1109427.3199060089</v>
      </c>
      <c r="T48" s="178">
        <f t="shared" ca="1" si="40"/>
        <v>1190504.0690852825</v>
      </c>
      <c r="U48" s="178">
        <f t="shared" ca="1" si="40"/>
        <v>1120231.9380371585</v>
      </c>
    </row>
    <row r="49" spans="1:22" ht="15.75" thickBot="1" x14ac:dyDescent="0.3">
      <c r="A49" s="1676"/>
      <c r="B49" s="156" t="s">
        <v>389</v>
      </c>
      <c r="C49" s="157">
        <v>3756</v>
      </c>
      <c r="D49" s="158">
        <v>4081</v>
      </c>
      <c r="E49" s="137">
        <f>+((((D49/C49)^(1/10))-1))</f>
        <v>8.3332795821804417E-3</v>
      </c>
      <c r="G49" t="s">
        <v>449</v>
      </c>
      <c r="J49" s="66"/>
      <c r="K49" s="182"/>
    </row>
    <row r="50" spans="1:22" x14ac:dyDescent="0.25">
      <c r="A50" s="159" t="s">
        <v>379</v>
      </c>
      <c r="B50" s="160" t="s">
        <v>73</v>
      </c>
      <c r="C50" s="161">
        <f>+SUM(C51:C57)</f>
        <v>12267</v>
      </c>
      <c r="D50" s="162">
        <f>+SUM(D51:D57)</f>
        <v>11310</v>
      </c>
      <c r="E50" s="149">
        <f>+AVERAGE(E51:E57)</f>
        <v>-6.4707346705398872E-3</v>
      </c>
      <c r="G50" t="s">
        <v>450</v>
      </c>
      <c r="J50" s="66"/>
    </row>
    <row r="51" spans="1:22" x14ac:dyDescent="0.25">
      <c r="A51" s="1666"/>
      <c r="B51" s="153" t="s">
        <v>314</v>
      </c>
      <c r="C51" s="163">
        <v>3166</v>
      </c>
      <c r="D51" s="163">
        <v>2776</v>
      </c>
      <c r="E51" s="137">
        <f>+((((D51/C51)^(1/10))-1))</f>
        <v>-1.3059763343021613E-2</v>
      </c>
    </row>
    <row r="52" spans="1:22" x14ac:dyDescent="0.25">
      <c r="A52" s="1667"/>
      <c r="B52" s="153" t="s">
        <v>390</v>
      </c>
      <c r="C52" s="163">
        <v>516</v>
      </c>
      <c r="D52" s="163">
        <v>552</v>
      </c>
      <c r="E52" s="137">
        <f t="shared" ref="E52:E109" si="41">+((((D52/C52)^(1/10))-1))</f>
        <v>6.7669209218024218E-3</v>
      </c>
      <c r="G52" s="1700" t="s">
        <v>301</v>
      </c>
      <c r="H52" s="1700" t="s">
        <v>302</v>
      </c>
      <c r="I52" s="1700"/>
      <c r="J52" s="1700" t="s">
        <v>303</v>
      </c>
      <c r="K52" s="1700" t="s">
        <v>278</v>
      </c>
      <c r="L52" s="1700"/>
      <c r="M52" s="1700"/>
      <c r="N52" s="1700"/>
      <c r="O52" s="1700"/>
      <c r="P52" s="1700"/>
      <c r="R52" s="1627" t="s">
        <v>331</v>
      </c>
      <c r="S52" s="1627"/>
      <c r="T52" s="1627"/>
      <c r="U52" s="1627"/>
      <c r="V52" s="1627"/>
    </row>
    <row r="53" spans="1:22" x14ac:dyDescent="0.25">
      <c r="A53" s="1667"/>
      <c r="B53" s="153" t="s">
        <v>391</v>
      </c>
      <c r="C53" s="163">
        <v>1463</v>
      </c>
      <c r="D53" s="163">
        <v>1841</v>
      </c>
      <c r="E53" s="137">
        <f t="shared" si="41"/>
        <v>2.3248098425605823E-2</v>
      </c>
      <c r="G53" s="1700"/>
      <c r="H53" s="209">
        <v>2007</v>
      </c>
      <c r="I53" s="209">
        <v>2017</v>
      </c>
      <c r="J53" s="1700"/>
      <c r="K53" s="209">
        <v>2018</v>
      </c>
      <c r="L53" s="209">
        <v>2019</v>
      </c>
      <c r="M53" s="209">
        <v>2020</v>
      </c>
      <c r="N53" s="209">
        <v>2021</v>
      </c>
      <c r="O53" s="209">
        <v>2022</v>
      </c>
      <c r="P53" s="209">
        <v>2023</v>
      </c>
      <c r="R53" s="72">
        <v>2019</v>
      </c>
      <c r="S53" s="72">
        <v>2020</v>
      </c>
      <c r="T53" s="72">
        <v>2021</v>
      </c>
      <c r="U53" s="72">
        <v>2022</v>
      </c>
      <c r="V53" s="72">
        <v>2023</v>
      </c>
    </row>
    <row r="54" spans="1:22" ht="25.5" x14ac:dyDescent="0.25">
      <c r="A54" s="1667"/>
      <c r="B54" s="153" t="s">
        <v>392</v>
      </c>
      <c r="C54" s="163">
        <v>1975</v>
      </c>
      <c r="D54" s="163">
        <v>1711</v>
      </c>
      <c r="E54" s="137">
        <f t="shared" si="41"/>
        <v>-1.4246583502773191E-2</v>
      </c>
      <c r="G54" s="192" t="s">
        <v>298</v>
      </c>
      <c r="H54" s="193">
        <v>404190</v>
      </c>
      <c r="I54" s="193">
        <v>405759</v>
      </c>
      <c r="J54" s="194">
        <v>3.8750734746773041E-4</v>
      </c>
      <c r="K54" s="193">
        <f>+(I54*$J54)+I54</f>
        <v>405916.23459380114</v>
      </c>
      <c r="L54" s="193">
        <f>+(K54*$J54)+K54</f>
        <v>406073.53011716268</v>
      </c>
      <c r="M54" s="193">
        <f t="shared" ref="M54:P54" si="42">+(L54*$J54)+L54</f>
        <v>406230.88659369526</v>
      </c>
      <c r="N54" s="193">
        <f t="shared" si="42"/>
        <v>406388.30404701864</v>
      </c>
      <c r="O54" s="193">
        <f t="shared" si="42"/>
        <v>406545.78250076179</v>
      </c>
      <c r="P54" s="210">
        <f t="shared" si="42"/>
        <v>406703.32197856286</v>
      </c>
      <c r="Q54" s="195">
        <f t="shared" ref="Q54:Q77" si="43">+L54/J81</f>
        <v>3.3659538109300859</v>
      </c>
      <c r="R54" s="94">
        <f>+L54/J81</f>
        <v>3.3659538109300859</v>
      </c>
      <c r="S54" s="94">
        <f t="shared" ref="S54:V69" si="44">+M54/K81</f>
        <v>3.3659538109300864</v>
      </c>
      <c r="T54" s="94">
        <f t="shared" si="44"/>
        <v>3.3659538109300864</v>
      </c>
      <c r="U54" s="94">
        <f t="shared" si="44"/>
        <v>3.3659538109300859</v>
      </c>
      <c r="V54" s="94">
        <f t="shared" si="44"/>
        <v>3.3659538109300859</v>
      </c>
    </row>
    <row r="55" spans="1:22" x14ac:dyDescent="0.25">
      <c r="A55" s="1667"/>
      <c r="B55" s="153" t="s">
        <v>393</v>
      </c>
      <c r="C55" s="163">
        <v>2518</v>
      </c>
      <c r="D55" s="163">
        <v>2268</v>
      </c>
      <c r="E55" s="137">
        <f t="shared" si="41"/>
        <v>-1.0402174219870886E-2</v>
      </c>
      <c r="G55" s="196" t="s">
        <v>304</v>
      </c>
      <c r="H55" s="193">
        <v>51225</v>
      </c>
      <c r="I55" s="193">
        <v>69028</v>
      </c>
      <c r="J55" s="194">
        <v>3.027777724270031E-2</v>
      </c>
      <c r="K55" s="193">
        <f>+(I55*$J55)+I55</f>
        <v>71118.014407509123</v>
      </c>
      <c r="L55" s="193">
        <f>+(K55*$J55)+K55</f>
        <v>73271.309805682831</v>
      </c>
      <c r="M55" s="193">
        <f t="shared" ref="M55:P55" si="45">+(L55*$J55)+L55</f>
        <v>75489.80220226018</v>
      </c>
      <c r="N55" s="193">
        <f t="shared" si="45"/>
        <v>77775.465617435722</v>
      </c>
      <c r="O55" s="193">
        <f t="shared" si="45"/>
        <v>80130.333840347739</v>
      </c>
      <c r="P55" s="210">
        <f t="shared" si="45"/>
        <v>82556.502238749003</v>
      </c>
      <c r="Q55" s="195">
        <f t="shared" si="43"/>
        <v>3.3659059879071584</v>
      </c>
      <c r="R55" s="93">
        <f t="shared" ref="R55:R77" si="46">+L55/J82</f>
        <v>3.3659059879071584</v>
      </c>
      <c r="S55" s="93">
        <f t="shared" si="44"/>
        <v>3.3659059879071584</v>
      </c>
      <c r="T55" s="93">
        <f t="shared" si="44"/>
        <v>3.3659059879071584</v>
      </c>
      <c r="U55" s="93">
        <f t="shared" si="44"/>
        <v>3.3659059879071589</v>
      </c>
      <c r="V55" s="93">
        <f t="shared" si="44"/>
        <v>3.3659059879071589</v>
      </c>
    </row>
    <row r="56" spans="1:22" x14ac:dyDescent="0.25">
      <c r="A56" s="1667"/>
      <c r="B56" s="153" t="s">
        <v>315</v>
      </c>
      <c r="C56" s="163">
        <v>1174</v>
      </c>
      <c r="D56" s="163">
        <v>1054</v>
      </c>
      <c r="E56" s="137">
        <f t="shared" si="41"/>
        <v>-1.0724505128120065E-2</v>
      </c>
      <c r="G56" s="196" t="s">
        <v>305</v>
      </c>
      <c r="H56" s="193">
        <v>16532</v>
      </c>
      <c r="I56" s="193">
        <v>16223</v>
      </c>
      <c r="J56" s="194">
        <v>-1.8850119512807684E-3</v>
      </c>
      <c r="K56" s="193">
        <f>+(I56*$J56)+I56</f>
        <v>16192.419451114372</v>
      </c>
      <c r="L56" s="193">
        <f t="shared" ref="L56:P56" si="47">+(K56*$J56)+K56</f>
        <v>16161.896546928871</v>
      </c>
      <c r="M56" s="193">
        <f t="shared" si="47"/>
        <v>16131.431178782546</v>
      </c>
      <c r="N56" s="193">
        <f t="shared" si="47"/>
        <v>16101.023238219277</v>
      </c>
      <c r="O56" s="193">
        <f t="shared" si="47"/>
        <v>16070.672616987384</v>
      </c>
      <c r="P56" s="210">
        <f t="shared" si="47"/>
        <v>16040.379207039241</v>
      </c>
      <c r="Q56" s="195">
        <f t="shared" si="43"/>
        <v>3.2394169329073486</v>
      </c>
      <c r="R56" s="93">
        <f t="shared" si="46"/>
        <v>3.2394169329073486</v>
      </c>
      <c r="S56" s="93">
        <f t="shared" si="44"/>
        <v>3.2394169329073486</v>
      </c>
      <c r="T56" s="93">
        <f t="shared" si="44"/>
        <v>3.2394169329073481</v>
      </c>
      <c r="U56" s="93">
        <f t="shared" si="44"/>
        <v>3.2394169329073481</v>
      </c>
      <c r="V56" s="93">
        <f t="shared" si="44"/>
        <v>3.2394169329073481</v>
      </c>
    </row>
    <row r="57" spans="1:22" ht="15.75" thickBot="1" x14ac:dyDescent="0.3">
      <c r="A57" s="1668"/>
      <c r="B57" s="153" t="s">
        <v>394</v>
      </c>
      <c r="C57" s="163">
        <v>1455</v>
      </c>
      <c r="D57" s="163">
        <v>1108</v>
      </c>
      <c r="E57" s="137">
        <f t="shared" si="41"/>
        <v>-2.6877135847401701E-2</v>
      </c>
      <c r="G57" s="196" t="s">
        <v>306</v>
      </c>
      <c r="H57" s="193">
        <v>4515</v>
      </c>
      <c r="I57" s="193">
        <v>2886</v>
      </c>
      <c r="J57" s="194">
        <v>-4.376671396631282E-2</v>
      </c>
      <c r="K57" s="193">
        <f t="shared" ref="K57:K77" si="48">+(I57*$J57)+I57</f>
        <v>2759.689263493221</v>
      </c>
      <c r="L57" s="193">
        <f t="shared" ref="L57:P57" si="49">+(K57*$J57)+K57</f>
        <v>2638.9067328620085</v>
      </c>
      <c r="M57" s="193">
        <f t="shared" si="49"/>
        <v>2523.41045670106</v>
      </c>
      <c r="N57" s="193">
        <f t="shared" si="49"/>
        <v>2412.9690730230218</v>
      </c>
      <c r="O57" s="193">
        <f t="shared" si="49"/>
        <v>2307.3613457944643</v>
      </c>
      <c r="P57" s="210">
        <f t="shared" si="49"/>
        <v>2206.3757217561515</v>
      </c>
      <c r="Q57" s="195">
        <f t="shared" si="43"/>
        <v>2.6599078341013822</v>
      </c>
      <c r="R57" s="93">
        <f t="shared" si="46"/>
        <v>2.6599078341013822</v>
      </c>
      <c r="S57" s="93">
        <f t="shared" si="44"/>
        <v>2.6599078341013822</v>
      </c>
      <c r="T57" s="93">
        <f t="shared" si="44"/>
        <v>2.6599078341013818</v>
      </c>
      <c r="U57" s="93">
        <f t="shared" si="44"/>
        <v>2.6599078341013818</v>
      </c>
      <c r="V57" s="93">
        <f t="shared" si="44"/>
        <v>2.6599078341013822</v>
      </c>
    </row>
    <row r="58" spans="1:22" x14ac:dyDescent="0.25">
      <c r="A58" s="159" t="s">
        <v>379</v>
      </c>
      <c r="B58" s="160" t="s">
        <v>89</v>
      </c>
      <c r="C58" s="161">
        <f>+SUM(C59:C75)</f>
        <v>29569</v>
      </c>
      <c r="D58" s="162">
        <f>+SUM(D59:D75)</f>
        <v>24307</v>
      </c>
      <c r="E58" s="149">
        <f>+AVERAGE(E59:E75)</f>
        <v>-2.0872110552598612E-2</v>
      </c>
      <c r="G58" s="196" t="s">
        <v>307</v>
      </c>
      <c r="H58" s="193">
        <v>3531</v>
      </c>
      <c r="I58" s="193">
        <v>2541</v>
      </c>
      <c r="J58" s="194">
        <v>-3.2366947201163843E-2</v>
      </c>
      <c r="K58" s="193">
        <f t="shared" si="48"/>
        <v>2458.7555871618429</v>
      </c>
      <c r="L58" s="193">
        <f t="shared" ref="L58:P58" si="50">+(K58*$J58)+K58</f>
        <v>2379.1731748916091</v>
      </c>
      <c r="M58" s="193">
        <f t="shared" si="50"/>
        <v>2302.1666023574671</v>
      </c>
      <c r="N58" s="193">
        <f t="shared" si="50"/>
        <v>2227.6524974906802</v>
      </c>
      <c r="O58" s="193">
        <f t="shared" si="50"/>
        <v>2155.5501867218586</v>
      </c>
      <c r="P58" s="210">
        <f t="shared" si="50"/>
        <v>2085.7816076387735</v>
      </c>
      <c r="Q58" s="195">
        <f t="shared" si="43"/>
        <v>3.0142348754448403</v>
      </c>
      <c r="R58" s="93">
        <f t="shared" si="46"/>
        <v>3.0142348754448403</v>
      </c>
      <c r="S58" s="93">
        <f t="shared" si="44"/>
        <v>3.0142348754448407</v>
      </c>
      <c r="T58" s="93">
        <f t="shared" si="44"/>
        <v>3.0142348754448403</v>
      </c>
      <c r="U58" s="93">
        <f t="shared" si="44"/>
        <v>3.0142348754448407</v>
      </c>
      <c r="V58" s="93">
        <f t="shared" si="44"/>
        <v>3.0142348754448411</v>
      </c>
    </row>
    <row r="59" spans="1:22" x14ac:dyDescent="0.25">
      <c r="A59" s="1666"/>
      <c r="B59" s="164" t="s">
        <v>316</v>
      </c>
      <c r="C59" s="163">
        <v>4558</v>
      </c>
      <c r="D59" s="163">
        <v>4928</v>
      </c>
      <c r="E59" s="137">
        <f t="shared" si="41"/>
        <v>7.8354674002536484E-3</v>
      </c>
      <c r="G59" s="196" t="s">
        <v>308</v>
      </c>
      <c r="H59" s="193">
        <v>7353</v>
      </c>
      <c r="I59" s="193">
        <v>10861</v>
      </c>
      <c r="J59" s="194">
        <v>3.9777761869776995E-2</v>
      </c>
      <c r="K59" s="193">
        <f t="shared" si="48"/>
        <v>11293.026271667648</v>
      </c>
      <c r="L59" s="193">
        <f>+(K59*$J59)+K59</f>
        <v>11742.237581491179</v>
      </c>
      <c r="M59" s="193">
        <f t="shared" ref="M59:P59" si="51">+(L59*$J59)+L59</f>
        <v>12209.317511826082</v>
      </c>
      <c r="N59" s="193">
        <f t="shared" si="51"/>
        <v>12694.976836403999</v>
      </c>
      <c r="O59" s="193">
        <f t="shared" si="51"/>
        <v>13199.954601944812</v>
      </c>
      <c r="P59" s="210">
        <f t="shared" si="51"/>
        <v>13725.019252792839</v>
      </c>
      <c r="Q59" s="195">
        <f t="shared" si="43"/>
        <v>3.2962063732928684</v>
      </c>
      <c r="R59" s="93">
        <f t="shared" si="46"/>
        <v>3.2962063732928684</v>
      </c>
      <c r="S59" s="93">
        <f t="shared" si="44"/>
        <v>3.2962063732928684</v>
      </c>
      <c r="T59" s="93">
        <f t="shared" si="44"/>
        <v>3.2962063732928688</v>
      </c>
      <c r="U59" s="93">
        <f t="shared" si="44"/>
        <v>3.2962063732928688</v>
      </c>
      <c r="V59" s="93">
        <f t="shared" si="44"/>
        <v>3.2962063732928693</v>
      </c>
    </row>
    <row r="60" spans="1:22" x14ac:dyDescent="0.25">
      <c r="A60" s="1667"/>
      <c r="B60" s="164" t="s">
        <v>395</v>
      </c>
      <c r="C60" s="163">
        <v>729</v>
      </c>
      <c r="D60" s="163">
        <v>580</v>
      </c>
      <c r="E60" s="137">
        <f t="shared" si="41"/>
        <v>-2.2605149614534192E-2</v>
      </c>
      <c r="G60" s="196" t="s">
        <v>309</v>
      </c>
      <c r="H60" s="193">
        <v>37260</v>
      </c>
      <c r="I60" s="193">
        <v>42268</v>
      </c>
      <c r="J60" s="194">
        <v>1.2690847242995629E-2</v>
      </c>
      <c r="K60" s="193">
        <f t="shared" si="48"/>
        <v>42804.416731266938</v>
      </c>
      <c r="L60" s="193">
        <f t="shared" ref="L60:P60" si="52">+(K60*$J60)+K60</f>
        <v>43347.641045328972</v>
      </c>
      <c r="M60" s="193">
        <f t="shared" si="52"/>
        <v>43897.75933617945</v>
      </c>
      <c r="N60" s="193">
        <f t="shared" si="52"/>
        <v>44454.859094224688</v>
      </c>
      <c r="O60" s="193">
        <f t="shared" si="52"/>
        <v>45019.028920198391</v>
      </c>
      <c r="P60" s="210">
        <f t="shared" si="52"/>
        <v>45590.358539252629</v>
      </c>
      <c r="Q60" s="195">
        <f t="shared" si="43"/>
        <v>3.4617526617526617</v>
      </c>
      <c r="R60" s="93">
        <f t="shared" si="46"/>
        <v>3.4617526617526617</v>
      </c>
      <c r="S60" s="93">
        <f t="shared" si="44"/>
        <v>3.4617526617526617</v>
      </c>
      <c r="T60" s="93">
        <f t="shared" si="44"/>
        <v>3.4617526617526617</v>
      </c>
      <c r="U60" s="93">
        <f t="shared" si="44"/>
        <v>3.4617526617526617</v>
      </c>
      <c r="V60" s="93">
        <f t="shared" si="44"/>
        <v>3.4617526617526617</v>
      </c>
    </row>
    <row r="61" spans="1:22" x14ac:dyDescent="0.25">
      <c r="A61" s="1667"/>
      <c r="B61" s="164" t="s">
        <v>396</v>
      </c>
      <c r="C61" s="163">
        <v>1295</v>
      </c>
      <c r="D61" s="163">
        <v>929</v>
      </c>
      <c r="E61" s="137">
        <f t="shared" si="41"/>
        <v>-3.2670138734990251E-2</v>
      </c>
      <c r="G61" s="192" t="s">
        <v>310</v>
      </c>
      <c r="H61" s="193">
        <v>7078</v>
      </c>
      <c r="I61" s="193">
        <v>5210</v>
      </c>
      <c r="J61" s="194">
        <v>-3.0176470722677151E-2</v>
      </c>
      <c r="K61" s="193">
        <f t="shared" si="48"/>
        <v>5052.7805875348522</v>
      </c>
      <c r="L61" s="193">
        <f t="shared" ref="L61:P61" si="53">+(K61*$J61)+K61</f>
        <v>4900.3055020669954</v>
      </c>
      <c r="M61" s="193">
        <f t="shared" si="53"/>
        <v>4752.4315765516967</v>
      </c>
      <c r="N61" s="193">
        <f t="shared" si="53"/>
        <v>4609.0199642203579</v>
      </c>
      <c r="O61" s="193">
        <f t="shared" si="53"/>
        <v>4469.9360082098274</v>
      </c>
      <c r="P61" s="210">
        <f t="shared" si="53"/>
        <v>4335.0491151258429</v>
      </c>
      <c r="Q61" s="195">
        <f t="shared" si="43"/>
        <v>3.2101047443006778</v>
      </c>
      <c r="R61" s="93">
        <f t="shared" si="46"/>
        <v>3.2101047443006778</v>
      </c>
      <c r="S61" s="93">
        <f t="shared" si="44"/>
        <v>3.2101047443006778</v>
      </c>
      <c r="T61" s="93">
        <f t="shared" si="44"/>
        <v>3.2101047443006778</v>
      </c>
      <c r="U61" s="93">
        <f t="shared" si="44"/>
        <v>3.2101047443006778</v>
      </c>
      <c r="V61" s="93">
        <f t="shared" si="44"/>
        <v>3.2101047443006774</v>
      </c>
    </row>
    <row r="62" spans="1:22" x14ac:dyDescent="0.25">
      <c r="A62" s="1667"/>
      <c r="B62" s="164" t="s">
        <v>397</v>
      </c>
      <c r="C62" s="163">
        <v>2221</v>
      </c>
      <c r="D62" s="163">
        <v>1893</v>
      </c>
      <c r="E62" s="137">
        <f t="shared" si="41"/>
        <v>-1.5852472915248605E-2</v>
      </c>
      <c r="G62" s="196" t="s">
        <v>311</v>
      </c>
      <c r="H62" s="193">
        <v>20357</v>
      </c>
      <c r="I62" s="193">
        <v>20738</v>
      </c>
      <c r="J62" s="194">
        <v>1.8560135700760316E-3</v>
      </c>
      <c r="K62" s="193">
        <f t="shared" si="48"/>
        <v>20776.490009416237</v>
      </c>
      <c r="L62" s="193">
        <f t="shared" ref="L62:P62" si="54">+(K62*$J62)+K62</f>
        <v>20815.051456812263</v>
      </c>
      <c r="M62" s="193">
        <f t="shared" si="54"/>
        <v>20853.68447477794</v>
      </c>
      <c r="N62" s="193">
        <f t="shared" si="54"/>
        <v>20892.389196149212</v>
      </c>
      <c r="O62" s="193">
        <f t="shared" si="54"/>
        <v>20931.165754008576</v>
      </c>
      <c r="P62" s="210">
        <f t="shared" si="54"/>
        <v>20970.014281685526</v>
      </c>
      <c r="Q62" s="195">
        <f t="shared" si="43"/>
        <v>3.6639575971731451</v>
      </c>
      <c r="R62" s="93">
        <f t="shared" si="46"/>
        <v>3.6639575971731451</v>
      </c>
      <c r="S62" s="93">
        <f t="shared" si="44"/>
        <v>3.6639575971731455</v>
      </c>
      <c r="T62" s="93">
        <f t="shared" si="44"/>
        <v>3.663957597173146</v>
      </c>
      <c r="U62" s="93">
        <f t="shared" si="44"/>
        <v>3.663957597173146</v>
      </c>
      <c r="V62" s="93">
        <f t="shared" si="44"/>
        <v>3.6639575971731455</v>
      </c>
    </row>
    <row r="63" spans="1:22" x14ac:dyDescent="0.25">
      <c r="A63" s="1667"/>
      <c r="B63" s="164" t="s">
        <v>398</v>
      </c>
      <c r="C63" s="163">
        <v>786</v>
      </c>
      <c r="D63" s="163">
        <v>693</v>
      </c>
      <c r="E63" s="137">
        <f t="shared" si="41"/>
        <v>-1.2513723307749358E-2</v>
      </c>
      <c r="G63" s="196" t="s">
        <v>312</v>
      </c>
      <c r="H63" s="193">
        <v>9430</v>
      </c>
      <c r="I63" s="193">
        <v>8152</v>
      </c>
      <c r="J63" s="194">
        <v>-1.4457748426021655E-2</v>
      </c>
      <c r="K63" s="193">
        <f t="shared" si="48"/>
        <v>8034.1404348310716</v>
      </c>
      <c r="L63" s="193">
        <f t="shared" ref="L63:P63" si="55">+(K63*$J63)+K63</f>
        <v>7917.9848536049558</v>
      </c>
      <c r="M63" s="193">
        <f t="shared" si="55"/>
        <v>7803.5086205504858</v>
      </c>
      <c r="N63" s="193">
        <f t="shared" si="55"/>
        <v>7690.6874560742754</v>
      </c>
      <c r="O63" s="193">
        <f t="shared" si="55"/>
        <v>7579.497431611193</v>
      </c>
      <c r="P63" s="210">
        <f t="shared" si="55"/>
        <v>7469.9149645492807</v>
      </c>
      <c r="Q63" s="195">
        <f t="shared" si="43"/>
        <v>3.2990692027519217</v>
      </c>
      <c r="R63" s="93">
        <f t="shared" si="46"/>
        <v>3.2990692027519217</v>
      </c>
      <c r="S63" s="93">
        <f t="shared" si="44"/>
        <v>3.2990692027519222</v>
      </c>
      <c r="T63" s="93">
        <f t="shared" si="44"/>
        <v>3.2990692027519222</v>
      </c>
      <c r="U63" s="93">
        <f t="shared" si="44"/>
        <v>3.2990692027519226</v>
      </c>
      <c r="V63" s="93">
        <f t="shared" si="44"/>
        <v>3.2990692027519226</v>
      </c>
    </row>
    <row r="64" spans="1:22" x14ac:dyDescent="0.25">
      <c r="A64" s="1667"/>
      <c r="B64" s="164" t="s">
        <v>317</v>
      </c>
      <c r="C64" s="163">
        <v>4049</v>
      </c>
      <c r="D64" s="163">
        <v>2570</v>
      </c>
      <c r="E64" s="137">
        <f t="shared" si="41"/>
        <v>-4.4438739509945258E-2</v>
      </c>
      <c r="G64" s="196" t="s">
        <v>313</v>
      </c>
      <c r="H64" s="193">
        <v>16649</v>
      </c>
      <c r="I64" s="193">
        <v>18509</v>
      </c>
      <c r="J64" s="194">
        <v>1.0646974482582561E-2</v>
      </c>
      <c r="K64" s="193">
        <f t="shared" si="48"/>
        <v>18706.06485069812</v>
      </c>
      <c r="L64" s="193">
        <f t="shared" ref="L64:P64" si="56">+(K64*$J64)+K64</f>
        <v>18905.227845833037</v>
      </c>
      <c r="M64" s="193">
        <f t="shared" si="56"/>
        <v>19106.511324295032</v>
      </c>
      <c r="N64" s="193">
        <f t="shared" si="56"/>
        <v>19309.937862815976</v>
      </c>
      <c r="O64" s="193">
        <f t="shared" si="56"/>
        <v>19515.530278501632</v>
      </c>
      <c r="P64" s="210">
        <f t="shared" si="56"/>
        <v>19723.311631390905</v>
      </c>
      <c r="Q64" s="195">
        <f t="shared" si="43"/>
        <v>3.452527513523596</v>
      </c>
      <c r="R64" s="93">
        <f t="shared" si="46"/>
        <v>3.452527513523596</v>
      </c>
      <c r="S64" s="93">
        <f t="shared" si="44"/>
        <v>3.4525275135235964</v>
      </c>
      <c r="T64" s="93">
        <f t="shared" si="44"/>
        <v>3.4525275135235964</v>
      </c>
      <c r="U64" s="93">
        <f t="shared" si="44"/>
        <v>3.452527513523596</v>
      </c>
      <c r="V64" s="93">
        <f t="shared" si="44"/>
        <v>3.452527513523596</v>
      </c>
    </row>
    <row r="65" spans="1:26" x14ac:dyDescent="0.25">
      <c r="A65" s="1667"/>
      <c r="B65" s="164" t="s">
        <v>399</v>
      </c>
      <c r="C65" s="163">
        <v>634</v>
      </c>
      <c r="D65" s="163">
        <v>462</v>
      </c>
      <c r="E65" s="137">
        <f t="shared" si="41"/>
        <v>-3.1152837273073497E-2</v>
      </c>
      <c r="G65" s="196" t="s">
        <v>314</v>
      </c>
      <c r="H65" s="193">
        <v>3166</v>
      </c>
      <c r="I65" s="193">
        <v>2776</v>
      </c>
      <c r="J65" s="194">
        <v>-1.3059763343021613E-2</v>
      </c>
      <c r="K65" s="193">
        <f t="shared" si="48"/>
        <v>2739.7460969597719</v>
      </c>
      <c r="L65" s="193">
        <f t="shared" ref="L65:P65" si="57">+(K65*$J65)+K65</f>
        <v>2703.9656613135103</v>
      </c>
      <c r="M65" s="193">
        <f t="shared" si="57"/>
        <v>2668.6525096890991</v>
      </c>
      <c r="N65" s="193">
        <f t="shared" si="57"/>
        <v>2633.8005394677989</v>
      </c>
      <c r="O65" s="193">
        <f t="shared" si="57"/>
        <v>2599.403727729627</v>
      </c>
      <c r="P65" s="210">
        <f t="shared" si="57"/>
        <v>2565.4561302125098</v>
      </c>
      <c r="Q65" s="195">
        <f t="shared" si="43"/>
        <v>2.6438095238095238</v>
      </c>
      <c r="R65" s="93">
        <f t="shared" si="46"/>
        <v>2.6438095238095238</v>
      </c>
      <c r="S65" s="93">
        <f t="shared" si="44"/>
        <v>2.6438095238095238</v>
      </c>
      <c r="T65" s="93">
        <f t="shared" si="44"/>
        <v>2.6438095238095238</v>
      </c>
      <c r="U65" s="93">
        <f t="shared" si="44"/>
        <v>2.6438095238095243</v>
      </c>
      <c r="V65" s="93">
        <f t="shared" si="44"/>
        <v>2.6438095238095243</v>
      </c>
    </row>
    <row r="66" spans="1:26" ht="25.5" x14ac:dyDescent="0.25">
      <c r="A66" s="1667"/>
      <c r="B66" s="164" t="s">
        <v>400</v>
      </c>
      <c r="C66" s="163">
        <v>1037</v>
      </c>
      <c r="D66" s="163">
        <v>735</v>
      </c>
      <c r="E66" s="137">
        <f t="shared" si="41"/>
        <v>-3.3835984521183082E-2</v>
      </c>
      <c r="G66" s="196" t="s">
        <v>315</v>
      </c>
      <c r="H66" s="193">
        <v>1174</v>
      </c>
      <c r="I66" s="193">
        <v>2268</v>
      </c>
      <c r="J66" s="194">
        <v>6.8064536819526289E-2</v>
      </c>
      <c r="K66" s="193">
        <f t="shared" si="48"/>
        <v>2422.3703695066856</v>
      </c>
      <c r="L66" s="193">
        <f t="shared" ref="L66:P66" si="58">+(K66*$J66)+K66</f>
        <v>2587.2478867125028</v>
      </c>
      <c r="M66" s="193">
        <f t="shared" si="58"/>
        <v>2763.3477157588877</v>
      </c>
      <c r="N66" s="193">
        <f t="shared" si="58"/>
        <v>2951.4336981033125</v>
      </c>
      <c r="O66" s="193">
        <f t="shared" si="58"/>
        <v>3152.3216657182561</v>
      </c>
      <c r="P66" s="210">
        <f t="shared" si="58"/>
        <v>3366.8829798015267</v>
      </c>
      <c r="Q66" s="195">
        <f t="shared" si="43"/>
        <v>5.8153846153846152</v>
      </c>
      <c r="R66" s="93">
        <f t="shared" si="46"/>
        <v>5.8153846153846152</v>
      </c>
      <c r="S66" s="93">
        <f t="shared" si="44"/>
        <v>5.815384615384616</v>
      </c>
      <c r="T66" s="93">
        <f t="shared" si="44"/>
        <v>5.815384615384616</v>
      </c>
      <c r="U66" s="93">
        <f t="shared" si="44"/>
        <v>5.815384615384616</v>
      </c>
      <c r="V66" s="93">
        <f t="shared" si="44"/>
        <v>5.8153846153846152</v>
      </c>
    </row>
    <row r="67" spans="1:26" x14ac:dyDescent="0.25">
      <c r="A67" s="1667"/>
      <c r="B67" s="164" t="s">
        <v>401</v>
      </c>
      <c r="C67" s="163">
        <v>2069</v>
      </c>
      <c r="D67" s="163">
        <v>1529</v>
      </c>
      <c r="E67" s="137">
        <f t="shared" si="41"/>
        <v>-2.9792339280866109E-2</v>
      </c>
      <c r="G67" s="196" t="s">
        <v>316</v>
      </c>
      <c r="H67" s="193">
        <v>4558</v>
      </c>
      <c r="I67" s="193">
        <v>4928</v>
      </c>
      <c r="J67" s="194">
        <v>7.8354674002536484E-3</v>
      </c>
      <c r="K67" s="193">
        <f t="shared" si="48"/>
        <v>4966.6131833484496</v>
      </c>
      <c r="L67" s="193">
        <f t="shared" ref="L67:P67" si="59">+(K67*$J67)+K67</f>
        <v>5005.5289190362464</v>
      </c>
      <c r="M67" s="193">
        <f t="shared" si="59"/>
        <v>5044.7495777023814</v>
      </c>
      <c r="N67" s="193">
        <f t="shared" si="59"/>
        <v>5084.2775485609118</v>
      </c>
      <c r="O67" s="193">
        <f t="shared" si="59"/>
        <v>5124.1152395465024</v>
      </c>
      <c r="P67" s="210">
        <f t="shared" si="59"/>
        <v>5164.265077461112</v>
      </c>
      <c r="Q67" s="195">
        <f t="shared" si="43"/>
        <v>3.3342354533152903</v>
      </c>
      <c r="R67" s="93">
        <f t="shared" si="46"/>
        <v>3.3342354533152903</v>
      </c>
      <c r="S67" s="93">
        <f t="shared" si="44"/>
        <v>3.3342354533152903</v>
      </c>
      <c r="T67" s="93">
        <f t="shared" si="44"/>
        <v>3.3342354533152903</v>
      </c>
      <c r="U67" s="93">
        <f t="shared" si="44"/>
        <v>3.3342354533152903</v>
      </c>
      <c r="V67" s="93">
        <f t="shared" si="44"/>
        <v>3.3342354533152903</v>
      </c>
    </row>
    <row r="68" spans="1:26" x14ac:dyDescent="0.25">
      <c r="A68" s="1667"/>
      <c r="B68" s="164" t="s">
        <v>402</v>
      </c>
      <c r="C68" s="163">
        <v>1158</v>
      </c>
      <c r="D68" s="163">
        <v>1022</v>
      </c>
      <c r="E68" s="137">
        <f t="shared" si="41"/>
        <v>-1.241557158945561E-2</v>
      </c>
      <c r="G68" s="196" t="s">
        <v>317</v>
      </c>
      <c r="H68" s="193">
        <v>4049</v>
      </c>
      <c r="I68" s="193">
        <v>2570</v>
      </c>
      <c r="J68" s="194">
        <v>-4.4438739509945258E-2</v>
      </c>
      <c r="K68" s="193">
        <f t="shared" si="48"/>
        <v>2455.7924394594406</v>
      </c>
      <c r="L68" s="193">
        <f t="shared" ref="L68:P68" si="60">+(K68*$J68)+K68</f>
        <v>2346.6601189518096</v>
      </c>
      <c r="M68" s="193">
        <f t="shared" si="60"/>
        <v>2242.3775012073329</v>
      </c>
      <c r="N68" s="193">
        <f t="shared" si="60"/>
        <v>2142.7290715482181</v>
      </c>
      <c r="O68" s="193">
        <f t="shared" si="60"/>
        <v>2047.5088924972999</v>
      </c>
      <c r="P68" s="210">
        <f t="shared" si="60"/>
        <v>1956.520178179316</v>
      </c>
      <c r="Q68" s="195">
        <f t="shared" si="43"/>
        <v>3.1418092909535451</v>
      </c>
      <c r="R68" s="93">
        <f t="shared" si="46"/>
        <v>3.1418092909535451</v>
      </c>
      <c r="S68" s="93">
        <f t="shared" si="44"/>
        <v>3.1418092909535447</v>
      </c>
      <c r="T68" s="93">
        <f t="shared" si="44"/>
        <v>3.1418092909535442</v>
      </c>
      <c r="U68" s="93">
        <f t="shared" si="44"/>
        <v>3.1418092909535442</v>
      </c>
      <c r="V68" s="93">
        <f t="shared" si="44"/>
        <v>3.1418092909535442</v>
      </c>
    </row>
    <row r="69" spans="1:26" ht="25.5" x14ac:dyDescent="0.25">
      <c r="A69" s="1667"/>
      <c r="B69" s="164" t="s">
        <v>403</v>
      </c>
      <c r="C69" s="163">
        <v>908</v>
      </c>
      <c r="D69" s="163">
        <v>769</v>
      </c>
      <c r="E69" s="137">
        <f t="shared" si="41"/>
        <v>-1.6478067466009216E-2</v>
      </c>
      <c r="G69" s="196" t="s">
        <v>318</v>
      </c>
      <c r="H69" s="193">
        <v>10212</v>
      </c>
      <c r="I69" s="193">
        <v>10381</v>
      </c>
      <c r="J69" s="194">
        <v>1.6427190703371952E-3</v>
      </c>
      <c r="K69" s="193">
        <f t="shared" si="48"/>
        <v>10398.05306666917</v>
      </c>
      <c r="L69" s="193">
        <f t="shared" ref="L69:P69" si="61">+(K69*$J69)+K69</f>
        <v>10415.134146736165</v>
      </c>
      <c r="M69" s="193">
        <f t="shared" si="61"/>
        <v>10432.243286219129</v>
      </c>
      <c r="N69" s="193">
        <f t="shared" si="61"/>
        <v>10449.380531211798</v>
      </c>
      <c r="O69" s="193">
        <f t="shared" si="61"/>
        <v>10466.54592788363</v>
      </c>
      <c r="P69" s="210">
        <f t="shared" si="61"/>
        <v>10483.739522479924</v>
      </c>
      <c r="Q69" s="195">
        <f t="shared" si="43"/>
        <v>3.2089644513137556</v>
      </c>
      <c r="R69" s="93">
        <f t="shared" si="46"/>
        <v>3.2089644513137556</v>
      </c>
      <c r="S69" s="93">
        <f t="shared" si="44"/>
        <v>3.2089644513137561</v>
      </c>
      <c r="T69" s="93">
        <f t="shared" si="44"/>
        <v>3.2089644513137561</v>
      </c>
      <c r="U69" s="93">
        <f t="shared" si="44"/>
        <v>3.2089644513137556</v>
      </c>
      <c r="V69" s="93">
        <f t="shared" si="44"/>
        <v>3.2089644513137556</v>
      </c>
    </row>
    <row r="70" spans="1:26" x14ac:dyDescent="0.25">
      <c r="A70" s="1667"/>
      <c r="B70" s="164" t="s">
        <v>404</v>
      </c>
      <c r="C70" s="163">
        <v>771</v>
      </c>
      <c r="D70" s="163">
        <v>1107</v>
      </c>
      <c r="E70" s="137">
        <f t="shared" si="41"/>
        <v>3.6834224605710064E-2</v>
      </c>
      <c r="G70" s="196" t="s">
        <v>319</v>
      </c>
      <c r="H70" s="193">
        <v>7321</v>
      </c>
      <c r="I70" s="193">
        <v>14525</v>
      </c>
      <c r="J70" s="194">
        <v>7.091394404692597E-2</v>
      </c>
      <c r="K70" s="193">
        <f t="shared" si="48"/>
        <v>15555.025037281599</v>
      </c>
      <c r="L70" s="193">
        <f t="shared" ref="L70:P70" si="62">+(K70*$J70)+K70</f>
        <v>16658.093212423919</v>
      </c>
      <c r="M70" s="193">
        <f t="shared" si="62"/>
        <v>17839.384302418224</v>
      </c>
      <c r="N70" s="193">
        <f t="shared" si="62"/>
        <v>19104.445402671521</v>
      </c>
      <c r="O70" s="193">
        <f t="shared" si="62"/>
        <v>20459.216975004121</v>
      </c>
      <c r="P70" s="210">
        <f t="shared" si="62"/>
        <v>21910.060742813483</v>
      </c>
      <c r="Q70" s="195">
        <f t="shared" si="43"/>
        <v>4.1182307910405447</v>
      </c>
      <c r="R70" s="93">
        <f t="shared" si="46"/>
        <v>4.1182307910405447</v>
      </c>
      <c r="S70" s="93">
        <f t="shared" ref="S70:S77" si="63">+M70/K97</f>
        <v>4.1182307910405438</v>
      </c>
      <c r="T70" s="93">
        <f t="shared" ref="T70:T77" si="64">+N70/L97</f>
        <v>4.1182307910405447</v>
      </c>
      <c r="U70" s="93">
        <f t="shared" ref="U70:V77" si="65">+O70/M97</f>
        <v>4.1182307910405447</v>
      </c>
      <c r="V70" s="93">
        <f t="shared" si="65"/>
        <v>4.1182307910405447</v>
      </c>
    </row>
    <row r="71" spans="1:26" x14ac:dyDescent="0.25">
      <c r="A71" s="1667"/>
      <c r="B71" s="164" t="s">
        <v>405</v>
      </c>
      <c r="C71" s="163">
        <v>1299</v>
      </c>
      <c r="D71" s="163">
        <v>711</v>
      </c>
      <c r="E71" s="137">
        <f t="shared" si="41"/>
        <v>-5.8487598293721632E-2</v>
      </c>
      <c r="G71" s="196" t="s">
        <v>320</v>
      </c>
      <c r="H71" s="193">
        <v>5706</v>
      </c>
      <c r="I71" s="193">
        <v>5293</v>
      </c>
      <c r="J71" s="194">
        <v>-7.4851516629050874E-3</v>
      </c>
      <c r="K71" s="193">
        <f t="shared" si="48"/>
        <v>5253.3810922482435</v>
      </c>
      <c r="L71" s="193">
        <f t="shared" ref="L71:P71" si="66">+(K71*$J71)+K71</f>
        <v>5214.0587380297275</v>
      </c>
      <c r="M71" s="193">
        <f t="shared" si="66"/>
        <v>5175.0307175962798</v>
      </c>
      <c r="N71" s="193">
        <f t="shared" si="66"/>
        <v>5136.2948278148788</v>
      </c>
      <c r="O71" s="193">
        <f t="shared" si="66"/>
        <v>5097.8488820432894</v>
      </c>
      <c r="P71" s="210">
        <f t="shared" si="66"/>
        <v>5059.6907100066246</v>
      </c>
      <c r="Q71" s="195">
        <f t="shared" si="43"/>
        <v>3.273345701917131</v>
      </c>
      <c r="R71" s="93">
        <f t="shared" si="46"/>
        <v>3.273345701917131</v>
      </c>
      <c r="S71" s="93">
        <f t="shared" si="63"/>
        <v>3.273345701917131</v>
      </c>
      <c r="T71" s="93">
        <f t="shared" si="64"/>
        <v>3.273345701917131</v>
      </c>
      <c r="U71" s="93">
        <f t="shared" si="65"/>
        <v>3.2733457019171315</v>
      </c>
      <c r="V71" s="93">
        <f t="shared" si="65"/>
        <v>3.273345701917131</v>
      </c>
    </row>
    <row r="72" spans="1:26" x14ac:dyDescent="0.25">
      <c r="A72" s="1667"/>
      <c r="B72" s="164" t="s">
        <v>406</v>
      </c>
      <c r="C72" s="163">
        <v>2131</v>
      </c>
      <c r="D72" s="163">
        <v>1848</v>
      </c>
      <c r="E72" s="137">
        <f t="shared" si="41"/>
        <v>-1.4147705155256873E-2</v>
      </c>
      <c r="G72" s="196" t="s">
        <v>321</v>
      </c>
      <c r="H72" s="193">
        <v>10898</v>
      </c>
      <c r="I72" s="193">
        <v>10388</v>
      </c>
      <c r="J72" s="194">
        <v>-4.7813321009886334E-3</v>
      </c>
      <c r="K72" s="193">
        <f t="shared" si="48"/>
        <v>10338.331522134929</v>
      </c>
      <c r="L72" s="193">
        <f t="shared" ref="L72:P72" si="67">+(K72*$J72)+K72</f>
        <v>10288.900525757483</v>
      </c>
      <c r="M72" s="193">
        <f t="shared" si="67"/>
        <v>10239.7058753898</v>
      </c>
      <c r="N72" s="193">
        <f t="shared" si="67"/>
        <v>10190.746440983117</v>
      </c>
      <c r="O72" s="193">
        <f t="shared" si="67"/>
        <v>10142.021097891809</v>
      </c>
      <c r="P72" s="210">
        <f t="shared" si="67"/>
        <v>10093.528726847555</v>
      </c>
      <c r="Q72" s="195">
        <f t="shared" si="43"/>
        <v>3.3019707565162109</v>
      </c>
      <c r="R72" s="93">
        <f t="shared" si="46"/>
        <v>3.3019707565162109</v>
      </c>
      <c r="S72" s="93">
        <f t="shared" si="63"/>
        <v>3.3019707565162109</v>
      </c>
      <c r="T72" s="93">
        <f t="shared" si="64"/>
        <v>3.3019707565162109</v>
      </c>
      <c r="U72" s="93">
        <f t="shared" si="65"/>
        <v>3.3019707565162109</v>
      </c>
      <c r="V72" s="93">
        <f t="shared" si="65"/>
        <v>3.3019707565162109</v>
      </c>
    </row>
    <row r="73" spans="1:26" x14ac:dyDescent="0.25">
      <c r="A73" s="1667"/>
      <c r="B73" s="164" t="s">
        <v>407</v>
      </c>
      <c r="C73" s="163">
        <v>3052</v>
      </c>
      <c r="D73" s="163">
        <v>2272</v>
      </c>
      <c r="E73" s="137">
        <f>+((((D73/C73)^(1/10))-1))</f>
        <v>-2.9082386403802452E-2</v>
      </c>
      <c r="G73" s="196" t="s">
        <v>322</v>
      </c>
      <c r="H73" s="193">
        <v>4642</v>
      </c>
      <c r="I73" s="193">
        <v>4046</v>
      </c>
      <c r="J73" s="194">
        <v>-1.3647671341694756E-2</v>
      </c>
      <c r="K73" s="193">
        <f t="shared" si="48"/>
        <v>3990.7815217515031</v>
      </c>
      <c r="L73" s="193">
        <f t="shared" ref="L73:P73" si="68">+(K73*$J73)+K73</f>
        <v>3936.31664714613</v>
      </c>
      <c r="M73" s="193">
        <f t="shared" si="68"/>
        <v>3882.595091249038</v>
      </c>
      <c r="N73" s="193">
        <f t="shared" si="68"/>
        <v>3829.6067094907939</v>
      </c>
      <c r="O73" s="193">
        <f t="shared" si="68"/>
        <v>3777.3414957517143</v>
      </c>
      <c r="P73" s="210">
        <f t="shared" si="68"/>
        <v>3725.7895804723494</v>
      </c>
      <c r="Q73" s="195">
        <f t="shared" si="43"/>
        <v>3.606060606060606</v>
      </c>
      <c r="R73" s="93">
        <f t="shared" si="46"/>
        <v>3.606060606060606</v>
      </c>
      <c r="S73" s="93">
        <f t="shared" si="63"/>
        <v>3.606060606060606</v>
      </c>
      <c r="T73" s="93">
        <f t="shared" si="64"/>
        <v>3.606060606060606</v>
      </c>
      <c r="U73" s="93">
        <f t="shared" si="65"/>
        <v>3.606060606060606</v>
      </c>
      <c r="V73" s="93">
        <f t="shared" si="65"/>
        <v>3.606060606060606</v>
      </c>
    </row>
    <row r="74" spans="1:26" x14ac:dyDescent="0.25">
      <c r="A74" s="1667"/>
      <c r="B74" s="164" t="s">
        <v>408</v>
      </c>
      <c r="C74" s="163">
        <v>1690</v>
      </c>
      <c r="D74" s="163">
        <v>1278</v>
      </c>
      <c r="E74" s="137">
        <f t="shared" si="41"/>
        <v>-2.7556416792204108E-2</v>
      </c>
      <c r="G74" s="196" t="s">
        <v>323</v>
      </c>
      <c r="H74" s="193">
        <v>5490</v>
      </c>
      <c r="I74" s="193">
        <v>5023</v>
      </c>
      <c r="J74" s="194">
        <v>-8.8506890764160628E-3</v>
      </c>
      <c r="K74" s="193">
        <f t="shared" si="48"/>
        <v>4978.5429887691625</v>
      </c>
      <c r="L74" s="193">
        <f t="shared" ref="L74:P74" si="69">+(K74*$J74)+K74</f>
        <v>4934.4794527219956</v>
      </c>
      <c r="M74" s="193">
        <f t="shared" si="69"/>
        <v>4890.8059093319898</v>
      </c>
      <c r="N74" s="193">
        <f t="shared" si="69"/>
        <v>4847.5189068953941</v>
      </c>
      <c r="O74" s="193">
        <f t="shared" si="69"/>
        <v>4804.6150242584145</v>
      </c>
      <c r="P74" s="210">
        <f t="shared" si="69"/>
        <v>4762.0908705468264</v>
      </c>
      <c r="Q74" s="195">
        <f t="shared" si="43"/>
        <v>3.1276463262764631</v>
      </c>
      <c r="R74" s="93">
        <f t="shared" si="46"/>
        <v>3.1276463262764631</v>
      </c>
      <c r="S74" s="93">
        <f t="shared" si="63"/>
        <v>3.1276463262764636</v>
      </c>
      <c r="T74" s="93">
        <f t="shared" si="64"/>
        <v>3.1276463262764636</v>
      </c>
      <c r="U74" s="93">
        <f t="shared" si="65"/>
        <v>3.1276463262764636</v>
      </c>
      <c r="V74" s="93">
        <f t="shared" si="65"/>
        <v>3.1276463262764636</v>
      </c>
    </row>
    <row r="75" spans="1:26" ht="15.75" thickBot="1" x14ac:dyDescent="0.3">
      <c r="A75" s="1668"/>
      <c r="B75" s="164" t="s">
        <v>409</v>
      </c>
      <c r="C75" s="163">
        <v>1182</v>
      </c>
      <c r="D75" s="163">
        <v>981</v>
      </c>
      <c r="E75" s="137">
        <f t="shared" si="41"/>
        <v>-1.8466440542099893E-2</v>
      </c>
      <c r="G75" s="196" t="s">
        <v>324</v>
      </c>
      <c r="H75" s="193">
        <v>2723</v>
      </c>
      <c r="I75" s="193">
        <v>2945</v>
      </c>
      <c r="J75" s="194">
        <v>7.8682536279781612E-3</v>
      </c>
      <c r="K75" s="193">
        <f t="shared" si="48"/>
        <v>2968.1720069343955</v>
      </c>
      <c r="L75" s="193">
        <f t="shared" ref="L75:P75" si="70">+(K75*$J75)+K75</f>
        <v>2991.5263370964203</v>
      </c>
      <c r="M75" s="193">
        <f t="shared" si="70"/>
        <v>3015.0644250514715</v>
      </c>
      <c r="N75" s="193">
        <f t="shared" si="70"/>
        <v>3038.7877166524709</v>
      </c>
      <c r="O75" s="193">
        <f t="shared" si="70"/>
        <v>3062.6976691286773</v>
      </c>
      <c r="P75" s="210">
        <f t="shared" si="70"/>
        <v>3086.7957511751993</v>
      </c>
      <c r="Q75" s="195">
        <f t="shared" si="43"/>
        <v>3.222100656455142</v>
      </c>
      <c r="R75" s="93">
        <f t="shared" si="46"/>
        <v>3.222100656455142</v>
      </c>
      <c r="S75" s="93">
        <f t="shared" si="63"/>
        <v>3.222100656455142</v>
      </c>
      <c r="T75" s="93">
        <f t="shared" si="64"/>
        <v>3.222100656455142</v>
      </c>
      <c r="U75" s="93">
        <f t="shared" si="65"/>
        <v>3.2221006564551424</v>
      </c>
      <c r="V75" s="93">
        <f t="shared" si="65"/>
        <v>3.2221006564551424</v>
      </c>
    </row>
    <row r="76" spans="1:26" x14ac:dyDescent="0.25">
      <c r="A76" s="159" t="s">
        <v>379</v>
      </c>
      <c r="B76" s="160" t="s">
        <v>150</v>
      </c>
      <c r="C76" s="161">
        <f>+SUM(C77:C82)</f>
        <v>45771</v>
      </c>
      <c r="D76" s="161">
        <f>+SUM(D77:D82)</f>
        <v>50656</v>
      </c>
      <c r="E76" s="165">
        <f>+(D76/C76)^(1/14)-1</f>
        <v>7.2696523334223606E-3</v>
      </c>
      <c r="G76" s="196" t="s">
        <v>325</v>
      </c>
      <c r="H76" s="193">
        <v>1213</v>
      </c>
      <c r="I76" s="193">
        <v>1233</v>
      </c>
      <c r="J76" s="194">
        <v>1.6366973514814198E-3</v>
      </c>
      <c r="K76" s="193">
        <f t="shared" si="48"/>
        <v>1235.0180478343766</v>
      </c>
      <c r="L76" s="193">
        <f t="shared" ref="L76:P76" si="71">+(K76*$J76)+K76</f>
        <v>1237.0393986022989</v>
      </c>
      <c r="M76" s="193">
        <f t="shared" si="71"/>
        <v>1239.0640577096694</v>
      </c>
      <c r="N76" s="193">
        <f t="shared" si="71"/>
        <v>1241.0920305712386</v>
      </c>
      <c r="O76" s="193">
        <f t="shared" si="71"/>
        <v>1243.1233226106192</v>
      </c>
      <c r="P76" s="210">
        <f t="shared" si="71"/>
        <v>1245.1579392603007</v>
      </c>
      <c r="Q76" s="195">
        <f t="shared" si="43"/>
        <v>2.5475206611570251</v>
      </c>
      <c r="R76" s="93">
        <f t="shared" si="46"/>
        <v>2.5475206611570251</v>
      </c>
      <c r="S76" s="93">
        <f t="shared" si="63"/>
        <v>2.5475206611570251</v>
      </c>
      <c r="T76" s="93">
        <f t="shared" si="64"/>
        <v>2.5475206611570247</v>
      </c>
      <c r="U76" s="93">
        <f t="shared" si="65"/>
        <v>2.5475206611570247</v>
      </c>
      <c r="V76" s="93">
        <f t="shared" si="65"/>
        <v>2.5475206611570247</v>
      </c>
    </row>
    <row r="77" spans="1:26" x14ac:dyDescent="0.25">
      <c r="A77" s="1666"/>
      <c r="B77" s="164" t="s">
        <v>318</v>
      </c>
      <c r="C77" s="163">
        <v>10212</v>
      </c>
      <c r="D77" s="163">
        <v>10381</v>
      </c>
      <c r="E77" s="137">
        <f t="shared" si="41"/>
        <v>1.6427190703371952E-3</v>
      </c>
      <c r="G77" s="192" t="s">
        <v>326</v>
      </c>
      <c r="H77" s="197">
        <f>SUM(H55:H76)</f>
        <v>235082</v>
      </c>
      <c r="I77" s="197">
        <f t="shared" ref="I77" si="72">SUM(I55:I76)</f>
        <v>262792</v>
      </c>
      <c r="J77" s="194">
        <v>1.1205158264885329E-2</v>
      </c>
      <c r="K77" s="193">
        <f t="shared" si="48"/>
        <v>265736.62595074577</v>
      </c>
      <c r="L77" s="193">
        <f t="shared" ref="L77:P77" si="73">+(K77*$J77)+K77</f>
        <v>268714.2469013005</v>
      </c>
      <c r="M77" s="193">
        <f t="shared" si="73"/>
        <v>271725.23256585904</v>
      </c>
      <c r="N77" s="193">
        <f t="shared" si="73"/>
        <v>274769.95680132229</v>
      </c>
      <c r="O77" s="193">
        <f t="shared" si="73"/>
        <v>277848.79765371681</v>
      </c>
      <c r="P77" s="210">
        <f t="shared" si="73"/>
        <v>280962.1374051348</v>
      </c>
      <c r="Q77" s="195">
        <f t="shared" si="43"/>
        <v>3.3798223534326448</v>
      </c>
      <c r="R77" s="94">
        <f t="shared" si="46"/>
        <v>3.3798223534326448</v>
      </c>
      <c r="S77" s="94">
        <f t="shared" si="63"/>
        <v>3.3706554716563755</v>
      </c>
      <c r="T77" s="94">
        <f t="shared" si="64"/>
        <v>3.3597829195201183</v>
      </c>
      <c r="U77" s="94">
        <f t="shared" si="65"/>
        <v>3.3472145978311474</v>
      </c>
      <c r="V77" s="94">
        <f t="shared" si="65"/>
        <v>3.3329624782004168</v>
      </c>
    </row>
    <row r="78" spans="1:26" x14ac:dyDescent="0.25">
      <c r="A78" s="1667"/>
      <c r="B78" s="164" t="s">
        <v>410</v>
      </c>
      <c r="C78" s="163">
        <v>4166</v>
      </c>
      <c r="D78" s="163">
        <v>3886</v>
      </c>
      <c r="E78" s="137">
        <f t="shared" si="41"/>
        <v>-6.9334511317428182E-3</v>
      </c>
    </row>
    <row r="79" spans="1:26" ht="16.5" x14ac:dyDescent="0.25">
      <c r="A79" s="1667"/>
      <c r="B79" s="164" t="s">
        <v>411</v>
      </c>
      <c r="C79" s="163">
        <v>7494</v>
      </c>
      <c r="D79" s="163">
        <v>6586</v>
      </c>
      <c r="E79" s="137">
        <f t="shared" si="41"/>
        <v>-1.2832602541975824E-2</v>
      </c>
      <c r="G79" s="1703" t="s">
        <v>457</v>
      </c>
      <c r="H79" s="1703" t="s">
        <v>278</v>
      </c>
      <c r="I79" s="1703"/>
      <c r="J79" s="1703"/>
      <c r="K79" s="1703"/>
      <c r="L79" s="1703"/>
      <c r="M79" s="1703"/>
      <c r="N79" s="1703"/>
      <c r="Q79" s="85" t="s">
        <v>327</v>
      </c>
      <c r="R79" s="85">
        <v>381</v>
      </c>
      <c r="S79" s="86"/>
      <c r="T79" s="87">
        <v>2019</v>
      </c>
      <c r="U79" s="87">
        <v>2020</v>
      </c>
      <c r="V79" s="87">
        <v>2021</v>
      </c>
      <c r="W79" s="87">
        <v>2022</v>
      </c>
      <c r="X79" s="87">
        <v>2023</v>
      </c>
      <c r="Y79" s="85"/>
      <c r="Z79" s="104"/>
    </row>
    <row r="80" spans="1:26" ht="15" customHeight="1" x14ac:dyDescent="0.25">
      <c r="A80" s="1667"/>
      <c r="B80" s="164" t="s">
        <v>412</v>
      </c>
      <c r="C80" s="163">
        <v>10437</v>
      </c>
      <c r="D80" s="163">
        <v>9430</v>
      </c>
      <c r="E80" s="137">
        <f t="shared" si="41"/>
        <v>-1.0094810695872702E-2</v>
      </c>
      <c r="G80" s="1703"/>
      <c r="H80" s="191">
        <v>2017</v>
      </c>
      <c r="I80" s="191">
        <v>2018</v>
      </c>
      <c r="J80" s="191">
        <v>2019</v>
      </c>
      <c r="K80" s="191">
        <v>2020</v>
      </c>
      <c r="L80" s="191">
        <v>2021</v>
      </c>
      <c r="M80" s="191">
        <v>2022</v>
      </c>
      <c r="N80" s="209">
        <v>2023</v>
      </c>
      <c r="Q80" s="85" t="s">
        <v>328</v>
      </c>
      <c r="R80" s="85">
        <v>381</v>
      </c>
      <c r="S80" s="1637" t="s">
        <v>332</v>
      </c>
      <c r="T80" s="1639">
        <f>R77</f>
        <v>3.3798223534326448</v>
      </c>
      <c r="U80" s="1639">
        <f t="shared" ref="U80:X80" si="74">S77</f>
        <v>3.3706554716563755</v>
      </c>
      <c r="V80" s="1639">
        <f t="shared" si="74"/>
        <v>3.3597829195201183</v>
      </c>
      <c r="W80" s="1639">
        <f t="shared" si="74"/>
        <v>3.3472145978311474</v>
      </c>
      <c r="X80" s="1639">
        <f t="shared" si="74"/>
        <v>3.3329624782004168</v>
      </c>
      <c r="Y80" s="85"/>
      <c r="Z80" s="105"/>
    </row>
    <row r="81" spans="1:29" ht="15" customHeight="1" x14ac:dyDescent="0.25">
      <c r="A81" s="1667"/>
      <c r="B81" s="164" t="s">
        <v>413</v>
      </c>
      <c r="C81" s="163">
        <v>6141</v>
      </c>
      <c r="D81" s="163">
        <v>5848</v>
      </c>
      <c r="E81" s="137">
        <f t="shared" si="41"/>
        <v>-4.8768566194833385E-3</v>
      </c>
      <c r="G81" s="192" t="s">
        <v>298</v>
      </c>
      <c r="H81" s="193">
        <v>120548</v>
      </c>
      <c r="I81" s="193">
        <f>+(H81*$J54)+H81</f>
        <v>120594.71323572253</v>
      </c>
      <c r="J81" s="193">
        <f t="shared" ref="J81:N81" si="75">+(I81*$J54)+I81</f>
        <v>120641.44457316714</v>
      </c>
      <c r="K81" s="193">
        <f t="shared" si="75"/>
        <v>120688.19401934836</v>
      </c>
      <c r="L81" s="193">
        <f t="shared" si="75"/>
        <v>120734.96158128347</v>
      </c>
      <c r="M81" s="193">
        <f t="shared" si="75"/>
        <v>120781.74726599245</v>
      </c>
      <c r="N81" s="210">
        <f t="shared" si="75"/>
        <v>120828.55108049801</v>
      </c>
      <c r="Q81" s="85" t="s">
        <v>329</v>
      </c>
      <c r="R81" s="85">
        <v>371</v>
      </c>
      <c r="S81" s="1638"/>
      <c r="T81" s="1639"/>
      <c r="U81" s="1639"/>
      <c r="V81" s="1639"/>
      <c r="W81" s="1639"/>
      <c r="X81" s="1639"/>
      <c r="Y81" s="85"/>
      <c r="Z81" s="105"/>
    </row>
    <row r="82" spans="1:29" ht="15.75" thickBot="1" x14ac:dyDescent="0.3">
      <c r="A82" s="1668"/>
      <c r="B82" s="164" t="s">
        <v>319</v>
      </c>
      <c r="C82" s="163">
        <v>7321</v>
      </c>
      <c r="D82" s="163">
        <v>14525</v>
      </c>
      <c r="E82" s="137">
        <f t="shared" si="41"/>
        <v>7.091394404692597E-2</v>
      </c>
      <c r="G82" s="196" t="s">
        <v>304</v>
      </c>
      <c r="H82" s="198">
        <v>20508</v>
      </c>
      <c r="I82" s="193">
        <f t="shared" ref="I82:N103" si="76">+(H82*$J55)+H82</f>
        <v>21128.936655693298</v>
      </c>
      <c r="J82" s="193">
        <f t="shared" si="76"/>
        <v>21768.673893129504</v>
      </c>
      <c r="K82" s="193">
        <f t="shared" si="76"/>
        <v>22427.780952134664</v>
      </c>
      <c r="L82" s="193">
        <f t="shared" si="76"/>
        <v>23106.844307851476</v>
      </c>
      <c r="M82" s="193">
        <f t="shared" si="76"/>
        <v>23806.468192586359</v>
      </c>
      <c r="N82" s="210">
        <f t="shared" si="76"/>
        <v>24527.275133456918</v>
      </c>
      <c r="Q82" s="85"/>
      <c r="R82" s="85"/>
      <c r="S82" s="86"/>
      <c r="T82" s="85"/>
      <c r="U82" s="85"/>
      <c r="V82" s="85"/>
      <c r="W82" s="85"/>
      <c r="X82" s="85"/>
      <c r="Y82" s="85"/>
      <c r="Z82" s="105"/>
    </row>
    <row r="83" spans="1:29" x14ac:dyDescent="0.25">
      <c r="A83" s="159" t="s">
        <v>379</v>
      </c>
      <c r="B83" s="160" t="s">
        <v>125</v>
      </c>
      <c r="C83" s="161">
        <f>+SUM(C84:C94)</f>
        <v>51583</v>
      </c>
      <c r="D83" s="161">
        <f>+SUM(D84:D94)</f>
        <v>45247</v>
      </c>
      <c r="E83" s="149">
        <f>+(D83/C83)^(1/14)-1</f>
        <v>-9.3174489881503453E-3</v>
      </c>
      <c r="G83" s="196" t="s">
        <v>305</v>
      </c>
      <c r="H83" s="198">
        <v>5008</v>
      </c>
      <c r="I83" s="193">
        <f t="shared" si="76"/>
        <v>4998.559860147986</v>
      </c>
      <c r="J83" s="193">
        <f t="shared" si="76"/>
        <v>4989.1375150724143</v>
      </c>
      <c r="K83" s="193">
        <f t="shared" si="76"/>
        <v>4979.7329312299198</v>
      </c>
      <c r="L83" s="193">
        <f t="shared" si="76"/>
        <v>4970.3460751403654</v>
      </c>
      <c r="M83" s="193">
        <f t="shared" si="76"/>
        <v>4960.9769133867239</v>
      </c>
      <c r="N83" s="210">
        <f t="shared" si="76"/>
        <v>4951.6254126149615</v>
      </c>
      <c r="Q83" s="1640" t="s">
        <v>333</v>
      </c>
      <c r="R83" s="1642" t="s">
        <v>334</v>
      </c>
      <c r="S83" s="1642"/>
      <c r="T83" s="1642"/>
      <c r="U83" s="1642" t="s">
        <v>335</v>
      </c>
      <c r="V83" s="1642"/>
      <c r="W83" s="1642" t="s">
        <v>336</v>
      </c>
      <c r="X83" s="1642"/>
      <c r="Y83" s="1642" t="s">
        <v>343</v>
      </c>
      <c r="Z83" s="1642"/>
      <c r="AA83" s="1642" t="s">
        <v>466</v>
      </c>
      <c r="AB83" s="1642"/>
    </row>
    <row r="84" spans="1:29" ht="30.75" customHeight="1" x14ac:dyDescent="0.25">
      <c r="A84" s="1666"/>
      <c r="B84" s="164" t="s">
        <v>320</v>
      </c>
      <c r="C84" s="163">
        <v>5706</v>
      </c>
      <c r="D84" s="163">
        <v>5293</v>
      </c>
      <c r="E84" s="137">
        <f t="shared" si="41"/>
        <v>-7.4851516629050874E-3</v>
      </c>
      <c r="G84" s="196" t="s">
        <v>306</v>
      </c>
      <c r="H84" s="198">
        <v>1085</v>
      </c>
      <c r="I84" s="193">
        <f t="shared" si="76"/>
        <v>1037.5131153465506</v>
      </c>
      <c r="J84" s="193">
        <f t="shared" si="76"/>
        <v>992.10457559088002</v>
      </c>
      <c r="K84" s="193">
        <f t="shared" si="76"/>
        <v>948.68341840632377</v>
      </c>
      <c r="L84" s="193">
        <f t="shared" si="76"/>
        <v>907.16266258835037</v>
      </c>
      <c r="M84" s="193">
        <f t="shared" si="76"/>
        <v>867.45913381392734</v>
      </c>
      <c r="N84" s="210">
        <f t="shared" si="76"/>
        <v>829.49329802682769</v>
      </c>
      <c r="Q84" s="1641"/>
      <c r="R84" s="88" t="s">
        <v>337</v>
      </c>
      <c r="S84" s="88" t="s">
        <v>338</v>
      </c>
      <c r="T84" s="88" t="s">
        <v>339</v>
      </c>
      <c r="U84" s="88" t="s">
        <v>338</v>
      </c>
      <c r="V84" s="88" t="s">
        <v>339</v>
      </c>
      <c r="W84" s="88" t="s">
        <v>338</v>
      </c>
      <c r="X84" s="88" t="s">
        <v>339</v>
      </c>
      <c r="Y84" s="88" t="s">
        <v>338</v>
      </c>
      <c r="Z84" s="88" t="s">
        <v>339</v>
      </c>
      <c r="AA84" s="88" t="s">
        <v>338</v>
      </c>
      <c r="AB84" s="88" t="s">
        <v>339</v>
      </c>
    </row>
    <row r="85" spans="1:29" x14ac:dyDescent="0.25">
      <c r="A85" s="1667"/>
      <c r="B85" s="164" t="s">
        <v>414</v>
      </c>
      <c r="C85" s="163">
        <v>10898</v>
      </c>
      <c r="D85" s="163">
        <v>10388</v>
      </c>
      <c r="E85" s="137">
        <f t="shared" si="41"/>
        <v>-4.7813321009886334E-3</v>
      </c>
      <c r="G85" s="196" t="s">
        <v>307</v>
      </c>
      <c r="H85" s="198">
        <v>843</v>
      </c>
      <c r="I85" s="193">
        <f t="shared" si="76"/>
        <v>815.71466350941887</v>
      </c>
      <c r="J85" s="193">
        <f t="shared" si="76"/>
        <v>789.31247006439435</v>
      </c>
      <c r="K85" s="193">
        <f t="shared" si="76"/>
        <v>763.76483502059989</v>
      </c>
      <c r="L85" s="193">
        <f t="shared" si="76"/>
        <v>739.04409893138256</v>
      </c>
      <c r="M85" s="193">
        <f t="shared" si="76"/>
        <v>715.12349760193877</v>
      </c>
      <c r="N85" s="210">
        <f t="shared" si="76"/>
        <v>691.97713311274515</v>
      </c>
      <c r="Q85" s="89" t="s">
        <v>285</v>
      </c>
      <c r="R85" s="89">
        <f>SUM(R79:R81)</f>
        <v>1133</v>
      </c>
      <c r="S85" s="90">
        <f>J104</f>
        <v>79505.43513873934</v>
      </c>
      <c r="T85" s="90">
        <f>S85*T80</f>
        <v>268714.2469013005</v>
      </c>
      <c r="U85" s="90">
        <f>K104</f>
        <v>80614.953041264234</v>
      </c>
      <c r="V85" s="90">
        <f>U85*$U$80</f>
        <v>271725.23256585904</v>
      </c>
      <c r="W85" s="90">
        <f>L104</f>
        <v>81782.056574228904</v>
      </c>
      <c r="X85" s="90">
        <f>W85*$V$80</f>
        <v>274769.95680132229</v>
      </c>
      <c r="Y85" s="90">
        <f>M104</f>
        <v>83008.958503512447</v>
      </c>
      <c r="Z85" s="90">
        <f>Y85*$W$80</f>
        <v>277848.79765371681</v>
      </c>
      <c r="AA85" s="213">
        <f>N104</f>
        <v>84298.019927555884</v>
      </c>
      <c r="AB85" s="214">
        <f>AA85*X80</f>
        <v>280962.1374051348</v>
      </c>
    </row>
    <row r="86" spans="1:29" x14ac:dyDescent="0.25">
      <c r="A86" s="1667"/>
      <c r="B86" s="164" t="s">
        <v>415</v>
      </c>
      <c r="C86" s="163">
        <v>2254</v>
      </c>
      <c r="D86" s="163">
        <v>1728</v>
      </c>
      <c r="E86" s="137">
        <f t="shared" si="41"/>
        <v>-2.6224188200226539E-2</v>
      </c>
      <c r="G86" s="196" t="s">
        <v>308</v>
      </c>
      <c r="H86" s="198">
        <v>3295</v>
      </c>
      <c r="I86" s="193">
        <f t="shared" si="76"/>
        <v>3426.0677253609151</v>
      </c>
      <c r="J86" s="193">
        <f t="shared" si="76"/>
        <v>3562.34903149005</v>
      </c>
      <c r="K86" s="193">
        <f t="shared" si="76"/>
        <v>3704.0513029616918</v>
      </c>
      <c r="L86" s="193">
        <f t="shared" si="76"/>
        <v>3851.390173644339</v>
      </c>
      <c r="M86" s="193">
        <f t="shared" si="76"/>
        <v>4004.5898548391624</v>
      </c>
      <c r="N86" s="210">
        <f t="shared" si="76"/>
        <v>4163.8834764710791</v>
      </c>
      <c r="Q86" s="89" t="s">
        <v>340</v>
      </c>
      <c r="R86" s="89">
        <v>90</v>
      </c>
      <c r="S86" s="90">
        <f>$S$85*AC86</f>
        <v>6315.5244152573177</v>
      </c>
      <c r="T86" s="90">
        <f>T85*AC86</f>
        <v>21345.350592336315</v>
      </c>
      <c r="U86" s="90">
        <f t="shared" ref="U86:Z87" si="77">U85*$AC86</f>
        <v>6403.6591118391716</v>
      </c>
      <c r="V86" s="90">
        <f t="shared" si="77"/>
        <v>21584.528623942908</v>
      </c>
      <c r="W86" s="90">
        <f t="shared" si="77"/>
        <v>6496.3681303447493</v>
      </c>
      <c r="X86" s="90">
        <f t="shared" si="77"/>
        <v>21826.386683247136</v>
      </c>
      <c r="Y86" s="90">
        <f t="shared" si="77"/>
        <v>6593.8272421148458</v>
      </c>
      <c r="Z86" s="90">
        <f t="shared" si="77"/>
        <v>22070.954800383508</v>
      </c>
      <c r="AA86" s="90">
        <f t="shared" ref="AA86:AB86" si="78">AA85*$AC86</f>
        <v>6696.2240013062928</v>
      </c>
      <c r="AB86" s="90">
        <f t="shared" si="78"/>
        <v>22318.263341978934</v>
      </c>
      <c r="AC86" s="92">
        <f>+R86/R85</f>
        <v>7.9435127978817299E-2</v>
      </c>
    </row>
    <row r="87" spans="1:29" x14ac:dyDescent="0.25">
      <c r="A87" s="1667"/>
      <c r="B87" s="164" t="s">
        <v>416</v>
      </c>
      <c r="C87" s="163">
        <v>9200</v>
      </c>
      <c r="D87" s="163">
        <v>6634</v>
      </c>
      <c r="E87" s="137">
        <f t="shared" si="41"/>
        <v>-3.2170703989388594E-2</v>
      </c>
      <c r="G87" s="196" t="s">
        <v>309</v>
      </c>
      <c r="H87" s="198">
        <v>12210</v>
      </c>
      <c r="I87" s="193">
        <f t="shared" si="76"/>
        <v>12364.955244836976</v>
      </c>
      <c r="J87" s="193">
        <f t="shared" si="76"/>
        <v>12521.877003015679</v>
      </c>
      <c r="K87" s="193">
        <f t="shared" si="76"/>
        <v>12680.790231256531</v>
      </c>
      <c r="L87" s="193">
        <f t="shared" si="76"/>
        <v>12841.72020300188</v>
      </c>
      <c r="M87" s="193">
        <f t="shared" si="76"/>
        <v>13004.692512435468</v>
      </c>
      <c r="N87" s="210">
        <f t="shared" si="76"/>
        <v>13169.733078552916</v>
      </c>
      <c r="Q87" s="89" t="s">
        <v>341</v>
      </c>
      <c r="R87" s="89">
        <v>40</v>
      </c>
      <c r="S87" s="90">
        <f>S86*AC87</f>
        <v>222.96644007969346</v>
      </c>
      <c r="T87" s="90">
        <f>T86*AC87</f>
        <v>753.58695824664835</v>
      </c>
      <c r="U87" s="90">
        <f>U86*$AC87</f>
        <v>226.07799159185069</v>
      </c>
      <c r="V87" s="90">
        <f t="shared" si="77"/>
        <v>762.0310193801555</v>
      </c>
      <c r="W87" s="90">
        <f t="shared" si="77"/>
        <v>229.35103725842006</v>
      </c>
      <c r="X87" s="90">
        <f t="shared" si="77"/>
        <v>770.56969755506213</v>
      </c>
      <c r="Y87" s="90">
        <f t="shared" si="77"/>
        <v>232.79178259893541</v>
      </c>
      <c r="Z87" s="90">
        <f t="shared" si="77"/>
        <v>779.20405297029151</v>
      </c>
      <c r="AA87" s="90">
        <f>AA86*$AC87</f>
        <v>236.40684911937484</v>
      </c>
      <c r="AB87" s="90">
        <f>AB86*$AC87</f>
        <v>787.93515770446368</v>
      </c>
      <c r="AC87" s="92">
        <f>+R87/R85</f>
        <v>3.5304501323918797E-2</v>
      </c>
    </row>
    <row r="88" spans="1:29" x14ac:dyDescent="0.25">
      <c r="A88" s="1667"/>
      <c r="B88" s="164" t="s">
        <v>417</v>
      </c>
      <c r="C88" s="163">
        <v>7901</v>
      </c>
      <c r="D88" s="163">
        <v>6759</v>
      </c>
      <c r="E88" s="137">
        <f t="shared" si="41"/>
        <v>-1.5490211520001185E-2</v>
      </c>
      <c r="G88" s="192" t="s">
        <v>310</v>
      </c>
      <c r="H88" s="198">
        <v>1623</v>
      </c>
      <c r="I88" s="193">
        <f t="shared" si="76"/>
        <v>1574.0235880170949</v>
      </c>
      <c r="J88" s="193">
        <f t="shared" si="76"/>
        <v>1526.5251112964938</v>
      </c>
      <c r="K88" s="193">
        <f t="shared" si="76"/>
        <v>1480.4599709680238</v>
      </c>
      <c r="L88" s="193">
        <f t="shared" si="76"/>
        <v>1435.7849139980117</v>
      </c>
      <c r="M88" s="193">
        <f t="shared" si="76"/>
        <v>1392.4579925766891</v>
      </c>
      <c r="N88" s="210">
        <f t="shared" si="76"/>
        <v>1350.4385247311409</v>
      </c>
      <c r="Q88" s="89" t="s">
        <v>342</v>
      </c>
      <c r="R88" s="89">
        <f>+R85-R86-R87</f>
        <v>1003</v>
      </c>
      <c r="S88" s="90">
        <f>$S$85*AC88</f>
        <v>70383.010983367669</v>
      </c>
      <c r="T88" s="90">
        <f t="shared" ref="T88:Z88" si="79">T85*$AC88</f>
        <v>237882.07382348139</v>
      </c>
      <c r="U88" s="90">
        <f t="shared" si="79"/>
        <v>71365.223213052101</v>
      </c>
      <c r="V88" s="90">
        <f t="shared" si="79"/>
        <v>240547.58010905262</v>
      </c>
      <c r="W88" s="90">
        <f t="shared" si="79"/>
        <v>72398.413719286487</v>
      </c>
      <c r="X88" s="90">
        <f t="shared" si="79"/>
        <v>243242.95381440976</v>
      </c>
      <c r="Y88" s="90">
        <f t="shared" si="79"/>
        <v>73484.541376013221</v>
      </c>
      <c r="Z88" s="90">
        <f t="shared" si="79"/>
        <v>245968.52960871841</v>
      </c>
      <c r="AA88" s="90">
        <f t="shared" ref="AA88:AB88" si="80">AA85*$AC88</f>
        <v>74625.696370113466</v>
      </c>
      <c r="AB88" s="90">
        <f t="shared" si="80"/>
        <v>248724.64591116522</v>
      </c>
      <c r="AC88" s="92">
        <f>+R88/R85</f>
        <v>0.88526037069726393</v>
      </c>
    </row>
    <row r="89" spans="1:29" x14ac:dyDescent="0.25">
      <c r="A89" s="1667"/>
      <c r="B89" s="164" t="s">
        <v>418</v>
      </c>
      <c r="C89" s="163">
        <v>7942</v>
      </c>
      <c r="D89" s="163">
        <v>2344</v>
      </c>
      <c r="E89" s="137">
        <f t="shared" si="41"/>
        <v>-0.1148787397242047</v>
      </c>
      <c r="G89" s="196" t="s">
        <v>311</v>
      </c>
      <c r="H89" s="198">
        <v>5660</v>
      </c>
      <c r="I89" s="193">
        <f t="shared" si="76"/>
        <v>5670.5050368066304</v>
      </c>
      <c r="J89" s="193">
        <f t="shared" si="76"/>
        <v>5681.0295711041281</v>
      </c>
      <c r="K89" s="193">
        <f t="shared" si="76"/>
        <v>5691.5736390801003</v>
      </c>
      <c r="L89" s="193">
        <f t="shared" si="76"/>
        <v>5702.1372769893196</v>
      </c>
      <c r="M89" s="193">
        <f t="shared" si="76"/>
        <v>5712.7205211538485</v>
      </c>
      <c r="N89" s="210">
        <f t="shared" si="76"/>
        <v>5723.323407963162</v>
      </c>
    </row>
    <row r="90" spans="1:29" x14ac:dyDescent="0.25">
      <c r="A90" s="1667"/>
      <c r="B90" s="164" t="s">
        <v>419</v>
      </c>
      <c r="C90" s="163">
        <v>3040</v>
      </c>
      <c r="D90" s="163">
        <v>2650</v>
      </c>
      <c r="E90" s="137">
        <f t="shared" si="41"/>
        <v>-1.3635963892788316E-2</v>
      </c>
      <c r="G90" s="196" t="s">
        <v>312</v>
      </c>
      <c r="H90" s="198">
        <v>2471</v>
      </c>
      <c r="I90" s="193">
        <f t="shared" si="76"/>
        <v>2435.2749036393006</v>
      </c>
      <c r="J90" s="193">
        <f t="shared" si="76"/>
        <v>2400.0663117342797</v>
      </c>
      <c r="K90" s="193">
        <f t="shared" si="76"/>
        <v>2365.3667567934558</v>
      </c>
      <c r="L90" s="193">
        <f t="shared" si="76"/>
        <v>2331.1688792884611</v>
      </c>
      <c r="M90" s="193">
        <f t="shared" si="76"/>
        <v>2297.4654260931375</v>
      </c>
      <c r="N90" s="210">
        <f t="shared" si="76"/>
        <v>2264.2492489452002</v>
      </c>
    </row>
    <row r="91" spans="1:29" x14ac:dyDescent="0.25">
      <c r="A91" s="1667"/>
      <c r="B91" s="164" t="s">
        <v>322</v>
      </c>
      <c r="C91" s="163">
        <v>4642</v>
      </c>
      <c r="D91" s="163">
        <v>4046</v>
      </c>
      <c r="E91" s="137">
        <f t="shared" si="41"/>
        <v>-1.3647671341694756E-2</v>
      </c>
      <c r="G91" s="196" t="s">
        <v>313</v>
      </c>
      <c r="H91" s="198">
        <v>5361</v>
      </c>
      <c r="I91" s="193">
        <f t="shared" si="76"/>
        <v>5418.0784302011252</v>
      </c>
      <c r="J91" s="193">
        <f t="shared" si="76"/>
        <v>5475.7645729921078</v>
      </c>
      <c r="K91" s="193">
        <f t="shared" si="76"/>
        <v>5534.0648986733841</v>
      </c>
      <c r="L91" s="193">
        <f t="shared" si="76"/>
        <v>5592.9859464345154</v>
      </c>
      <c r="M91" s="193">
        <f t="shared" si="76"/>
        <v>5652.5343250876467</v>
      </c>
      <c r="N91" s="210">
        <f t="shared" si="76"/>
        <v>5712.7167138087771</v>
      </c>
    </row>
    <row r="92" spans="1:29" x14ac:dyDescent="0.25">
      <c r="A92" s="1667"/>
      <c r="B92" s="164" t="s">
        <v>420</v>
      </c>
      <c r="C92" s="163">
        <v>0</v>
      </c>
      <c r="D92" s="163">
        <v>2689</v>
      </c>
      <c r="E92" s="166">
        <v>0</v>
      </c>
      <c r="G92" s="196" t="s">
        <v>314</v>
      </c>
      <c r="H92" s="198">
        <v>1050</v>
      </c>
      <c r="I92" s="193">
        <f t="shared" si="76"/>
        <v>1036.2872484898273</v>
      </c>
      <c r="J92" s="193">
        <f t="shared" si="76"/>
        <v>1022.7535822691592</v>
      </c>
      <c r="K92" s="193">
        <f t="shared" si="76"/>
        <v>1009.3966625264964</v>
      </c>
      <c r="L92" s="193">
        <f t="shared" si="76"/>
        <v>996.2141809946645</v>
      </c>
      <c r="M92" s="193">
        <f t="shared" si="76"/>
        <v>983.20385955191205</v>
      </c>
      <c r="N92" s="210">
        <f t="shared" si="76"/>
        <v>970.36344982821856</v>
      </c>
    </row>
    <row r="93" spans="1:29" ht="15.75" thickBot="1" x14ac:dyDescent="0.3">
      <c r="A93" s="1667"/>
      <c r="B93" s="164" t="s">
        <v>421</v>
      </c>
      <c r="C93" s="163">
        <v>0</v>
      </c>
      <c r="D93" s="163">
        <v>1728</v>
      </c>
      <c r="E93" s="166">
        <v>0</v>
      </c>
      <c r="G93" s="196" t="s">
        <v>315</v>
      </c>
      <c r="H93" s="198">
        <v>390</v>
      </c>
      <c r="I93" s="193">
        <f t="shared" si="76"/>
        <v>416.54516935961527</v>
      </c>
      <c r="J93" s="193">
        <f t="shared" si="76"/>
        <v>444.89712337648859</v>
      </c>
      <c r="K93" s="193">
        <f t="shared" si="76"/>
        <v>475.17884001144893</v>
      </c>
      <c r="L93" s="193">
        <f t="shared" si="76"/>
        <v>507.52166766326798</v>
      </c>
      <c r="M93" s="193">
        <f t="shared" si="76"/>
        <v>542.06589489864189</v>
      </c>
      <c r="N93" s="210">
        <f t="shared" si="76"/>
        <v>578.96135896058001</v>
      </c>
    </row>
    <row r="94" spans="1:29" ht="24.75" thickBot="1" x14ac:dyDescent="0.3">
      <c r="A94" s="1668"/>
      <c r="B94" s="164" t="s">
        <v>422</v>
      </c>
      <c r="C94" s="163">
        <v>0</v>
      </c>
      <c r="D94" s="163">
        <v>988</v>
      </c>
      <c r="E94" s="166">
        <v>0</v>
      </c>
      <c r="G94" s="196" t="s">
        <v>316</v>
      </c>
      <c r="H94" s="198">
        <v>1478</v>
      </c>
      <c r="I94" s="193">
        <f t="shared" si="76"/>
        <v>1489.5808208175749</v>
      </c>
      <c r="J94" s="193">
        <f t="shared" si="76"/>
        <v>1501.2523827791342</v>
      </c>
      <c r="K94" s="193">
        <f t="shared" si="76"/>
        <v>1513.0153968839531</v>
      </c>
      <c r="L94" s="193">
        <f t="shared" si="76"/>
        <v>1524.8705797023192</v>
      </c>
      <c r="M94" s="193">
        <f t="shared" si="76"/>
        <v>1536.8186534191827</v>
      </c>
      <c r="N94" s="210">
        <f t="shared" si="76"/>
        <v>1548.8603458781504</v>
      </c>
      <c r="Q94" s="1181" t="s">
        <v>1473</v>
      </c>
      <c r="R94" s="1182" t="s">
        <v>844</v>
      </c>
      <c r="S94" s="1183" t="s">
        <v>895</v>
      </c>
      <c r="T94" s="1184" t="s">
        <v>439</v>
      </c>
      <c r="U94" s="1184" t="s">
        <v>440</v>
      </c>
      <c r="V94" s="1184" t="s">
        <v>441</v>
      </c>
      <c r="W94" s="1184" t="s">
        <v>442</v>
      </c>
      <c r="X94" s="1184" t="s">
        <v>443</v>
      </c>
      <c r="Y94" s="1184" t="s">
        <v>444</v>
      </c>
      <c r="Z94" s="1184" t="s">
        <v>445</v>
      </c>
      <c r="AA94" s="1184" t="s">
        <v>446</v>
      </c>
      <c r="AB94" s="1184" t="s">
        <v>447</v>
      </c>
      <c r="AC94" s="1184" t="s">
        <v>448</v>
      </c>
    </row>
    <row r="95" spans="1:29" ht="26.25" thickBot="1" x14ac:dyDescent="0.3">
      <c r="A95" s="159" t="s">
        <v>379</v>
      </c>
      <c r="B95" s="160" t="s">
        <v>162</v>
      </c>
      <c r="C95" s="161">
        <f>+SUM(C96:C109)</f>
        <v>25090</v>
      </c>
      <c r="D95" s="161">
        <f>+SUM(D96:D109)</f>
        <v>21242</v>
      </c>
      <c r="E95" s="149">
        <f>+AVERAGE(E96:E109)</f>
        <v>-1.9466811556800159E-2</v>
      </c>
      <c r="G95" s="196" t="s">
        <v>317</v>
      </c>
      <c r="H95" s="198">
        <v>818</v>
      </c>
      <c r="I95" s="193">
        <f t="shared" si="76"/>
        <v>781.64911108086483</v>
      </c>
      <c r="J95" s="193">
        <f t="shared" si="76"/>
        <v>746.91360984536198</v>
      </c>
      <c r="K95" s="193">
        <f t="shared" si="76"/>
        <v>713.7217105010111</v>
      </c>
      <c r="L95" s="193">
        <f t="shared" si="76"/>
        <v>682.00481732546416</v>
      </c>
      <c r="M95" s="193">
        <f t="shared" si="76"/>
        <v>651.69738290381008</v>
      </c>
      <c r="N95" s="210">
        <f t="shared" si="76"/>
        <v>622.73677266563459</v>
      </c>
      <c r="Q95" s="1185" t="s">
        <v>1474</v>
      </c>
      <c r="R95" s="1124" t="s">
        <v>1475</v>
      </c>
      <c r="S95" s="1132" t="s">
        <v>1403</v>
      </c>
      <c r="T95" s="1186">
        <v>2163</v>
      </c>
      <c r="U95" s="1186">
        <v>2163</v>
      </c>
      <c r="V95" s="1186">
        <v>2163</v>
      </c>
      <c r="W95" s="1187">
        <v>2163</v>
      </c>
      <c r="X95" s="1187">
        <v>2163</v>
      </c>
      <c r="Y95" s="1187">
        <v>2163</v>
      </c>
      <c r="Z95" s="1187">
        <v>2163</v>
      </c>
      <c r="AA95" s="1187">
        <v>2163</v>
      </c>
      <c r="AB95" s="1186">
        <v>2163</v>
      </c>
      <c r="AC95" s="1186">
        <v>2163</v>
      </c>
    </row>
    <row r="96" spans="1:29" x14ac:dyDescent="0.25">
      <c r="A96" s="1666"/>
      <c r="B96" s="164" t="s">
        <v>323</v>
      </c>
      <c r="C96" s="163">
        <v>5490</v>
      </c>
      <c r="D96" s="163">
        <v>5023</v>
      </c>
      <c r="E96" s="137">
        <f t="shared" si="41"/>
        <v>-8.8506890764160628E-3</v>
      </c>
      <c r="G96" s="196" t="s">
        <v>318</v>
      </c>
      <c r="H96" s="198">
        <v>3235</v>
      </c>
      <c r="I96" s="193">
        <f t="shared" si="76"/>
        <v>3240.3141961925407</v>
      </c>
      <c r="J96" s="193">
        <f t="shared" si="76"/>
        <v>3245.6371221165105</v>
      </c>
      <c r="K96" s="193">
        <f t="shared" si="76"/>
        <v>3250.9687921124055</v>
      </c>
      <c r="L96" s="193">
        <f t="shared" si="76"/>
        <v>3256.3092205442795</v>
      </c>
      <c r="M96" s="193">
        <f t="shared" si="76"/>
        <v>3261.6584217997824</v>
      </c>
      <c r="N96" s="210">
        <f t="shared" si="76"/>
        <v>3267.016410290199</v>
      </c>
      <c r="S96">
        <f>T95</f>
        <v>2163</v>
      </c>
      <c r="T96" s="716">
        <f>S96+(T95*0.048%)</f>
        <v>2164.0382399999999</v>
      </c>
      <c r="U96" s="716">
        <f t="shared" ref="U96:AC96" si="81">T96+(U95*0.048%)</f>
        <v>2165.0764799999997</v>
      </c>
      <c r="V96" s="716">
        <f t="shared" si="81"/>
        <v>2166.1147199999996</v>
      </c>
      <c r="W96" s="716">
        <f t="shared" si="81"/>
        <v>2167.1529599999994</v>
      </c>
      <c r="X96" s="716">
        <f t="shared" si="81"/>
        <v>2168.1911999999993</v>
      </c>
      <c r="Y96" s="716">
        <f t="shared" si="81"/>
        <v>2169.2294399999992</v>
      </c>
      <c r="Z96" s="716">
        <f t="shared" si="81"/>
        <v>2170.267679999999</v>
      </c>
      <c r="AA96" s="716">
        <f t="shared" si="81"/>
        <v>2171.3059199999989</v>
      </c>
      <c r="AB96" s="716">
        <f t="shared" si="81"/>
        <v>2172.3441599999987</v>
      </c>
      <c r="AC96" s="716">
        <f t="shared" si="81"/>
        <v>2173.3823999999986</v>
      </c>
    </row>
    <row r="97" spans="1:29" ht="15.75" thickBot="1" x14ac:dyDescent="0.3">
      <c r="A97" s="1667"/>
      <c r="B97" s="164" t="s">
        <v>423</v>
      </c>
      <c r="C97" s="163">
        <v>2337</v>
      </c>
      <c r="D97" s="163">
        <v>1936</v>
      </c>
      <c r="E97" s="137">
        <f t="shared" si="41"/>
        <v>-1.8648334078634088E-2</v>
      </c>
      <c r="G97" s="196" t="s">
        <v>319</v>
      </c>
      <c r="H97" s="198">
        <v>3527</v>
      </c>
      <c r="I97" s="193">
        <f t="shared" si="76"/>
        <v>3777.1134806535078</v>
      </c>
      <c r="J97" s="193">
        <f t="shared" si="76"/>
        <v>4044.9634946794604</v>
      </c>
      <c r="K97" s="193">
        <f t="shared" si="76"/>
        <v>4331.8078096130175</v>
      </c>
      <c r="L97" s="193">
        <f t="shared" si="76"/>
        <v>4638.993386245952</v>
      </c>
      <c r="M97" s="193">
        <f t="shared" si="76"/>
        <v>4967.9627036722568</v>
      </c>
      <c r="N97" s="210">
        <f t="shared" si="76"/>
        <v>5320.2605328676864</v>
      </c>
      <c r="S97">
        <f>S96</f>
        <v>2163</v>
      </c>
      <c r="T97" s="716">
        <f>S97+(T96*0.48)</f>
        <v>3201.7383552000001</v>
      </c>
      <c r="U97" s="716">
        <f t="shared" ref="U97:AC97" si="82">T97+(U96*0.48)</f>
        <v>4240.9750655999997</v>
      </c>
      <c r="V97" s="716">
        <f t="shared" si="82"/>
        <v>5280.7101311999995</v>
      </c>
      <c r="W97" s="716">
        <f t="shared" si="82"/>
        <v>6320.9435519999988</v>
      </c>
      <c r="X97" s="716">
        <f t="shared" si="82"/>
        <v>7361.6753279999984</v>
      </c>
      <c r="Y97" s="716">
        <f t="shared" si="82"/>
        <v>8402.9054591999975</v>
      </c>
      <c r="Z97" s="716">
        <f t="shared" si="82"/>
        <v>9444.6339455999969</v>
      </c>
      <c r="AA97" s="716">
        <f t="shared" si="82"/>
        <v>10486.860787199996</v>
      </c>
      <c r="AB97" s="716">
        <f t="shared" si="82"/>
        <v>11529.585983999996</v>
      </c>
      <c r="AC97" s="716">
        <f t="shared" si="82"/>
        <v>12572.809535999995</v>
      </c>
    </row>
    <row r="98" spans="1:29" x14ac:dyDescent="0.25">
      <c r="A98" s="1667"/>
      <c r="B98" s="164" t="s">
        <v>424</v>
      </c>
      <c r="C98" s="163">
        <v>3965</v>
      </c>
      <c r="D98" s="163">
        <v>2782</v>
      </c>
      <c r="E98" s="137">
        <f t="shared" si="41"/>
        <v>-3.4813156481357965E-2</v>
      </c>
      <c r="G98" s="196" t="s">
        <v>320</v>
      </c>
      <c r="H98" s="198">
        <v>1617</v>
      </c>
      <c r="I98" s="193">
        <f t="shared" si="76"/>
        <v>1604.8965097610824</v>
      </c>
      <c r="J98" s="193">
        <f t="shared" si="76"/>
        <v>1592.8836159822536</v>
      </c>
      <c r="K98" s="193">
        <f t="shared" si="76"/>
        <v>1580.9606405352697</v>
      </c>
      <c r="L98" s="193">
        <f t="shared" si="76"/>
        <v>1569.1269103677796</v>
      </c>
      <c r="M98" s="193">
        <f t="shared" si="76"/>
        <v>1557.381757465331</v>
      </c>
      <c r="N98" s="210">
        <f t="shared" si="76"/>
        <v>1545.7245188136615</v>
      </c>
      <c r="Q98" s="1188" t="s">
        <v>1473</v>
      </c>
      <c r="R98" s="1189" t="s">
        <v>844</v>
      </c>
      <c r="S98" s="1189" t="s">
        <v>895</v>
      </c>
      <c r="T98" s="1189" t="s">
        <v>439</v>
      </c>
      <c r="U98" s="1189" t="s">
        <v>440</v>
      </c>
      <c r="V98" s="1189" t="s">
        <v>441</v>
      </c>
      <c r="W98" s="1189" t="s">
        <v>442</v>
      </c>
      <c r="X98" s="1189" t="s">
        <v>443</v>
      </c>
      <c r="Y98" s="1189" t="s">
        <v>444</v>
      </c>
      <c r="Z98" s="1189" t="s">
        <v>445</v>
      </c>
      <c r="AA98" s="1189" t="s">
        <v>446</v>
      </c>
      <c r="AB98" s="1189" t="s">
        <v>447</v>
      </c>
      <c r="AC98" s="1190" t="s">
        <v>448</v>
      </c>
    </row>
    <row r="99" spans="1:29" ht="15.75" thickBot="1" x14ac:dyDescent="0.3">
      <c r="A99" s="1667"/>
      <c r="B99" s="164" t="s">
        <v>425</v>
      </c>
      <c r="C99" s="163">
        <v>1830</v>
      </c>
      <c r="D99" s="163">
        <v>1368</v>
      </c>
      <c r="E99" s="137">
        <f t="shared" si="41"/>
        <v>-2.8677384173460219E-2</v>
      </c>
      <c r="G99" s="196" t="s">
        <v>321</v>
      </c>
      <c r="H99" s="198">
        <v>3146</v>
      </c>
      <c r="I99" s="193">
        <f t="shared" si="76"/>
        <v>3130.9579292102899</v>
      </c>
      <c r="J99" s="193">
        <f t="shared" si="76"/>
        <v>3115.9877795565117</v>
      </c>
      <c r="K99" s="193">
        <f t="shared" si="76"/>
        <v>3101.08920715983</v>
      </c>
      <c r="L99" s="193">
        <f t="shared" si="76"/>
        <v>3086.2618697856074</v>
      </c>
      <c r="M99" s="193">
        <f t="shared" si="76"/>
        <v>3071.5054268355443</v>
      </c>
      <c r="N99" s="210">
        <f t="shared" si="76"/>
        <v>3056.8195393398546</v>
      </c>
      <c r="Q99" s="1191" t="s">
        <v>1474</v>
      </c>
      <c r="R99" s="1192" t="s">
        <v>1475</v>
      </c>
      <c r="S99" s="1192" t="s">
        <v>1403</v>
      </c>
      <c r="T99" s="1193">
        <f>T96</f>
        <v>2164.0382399999999</v>
      </c>
      <c r="U99" s="1193">
        <f t="shared" ref="U99:AC99" si="83">U96</f>
        <v>2165.0764799999997</v>
      </c>
      <c r="V99" s="1193">
        <f t="shared" si="83"/>
        <v>2166.1147199999996</v>
      </c>
      <c r="W99" s="1193">
        <f t="shared" si="83"/>
        <v>2167.1529599999994</v>
      </c>
      <c r="X99" s="1193">
        <f t="shared" si="83"/>
        <v>2168.1911999999993</v>
      </c>
      <c r="Y99" s="1193">
        <f t="shared" si="83"/>
        <v>2169.2294399999992</v>
      </c>
      <c r="Z99" s="1193">
        <f t="shared" si="83"/>
        <v>2170.267679999999</v>
      </c>
      <c r="AA99" s="1193">
        <f t="shared" si="83"/>
        <v>2171.3059199999989</v>
      </c>
      <c r="AB99" s="1193">
        <f t="shared" si="83"/>
        <v>2172.3441599999987</v>
      </c>
      <c r="AC99" s="1193">
        <f t="shared" si="83"/>
        <v>2173.3823999999986</v>
      </c>
    </row>
    <row r="100" spans="1:29" x14ac:dyDescent="0.25">
      <c r="A100" s="1667"/>
      <c r="B100" s="164" t="s">
        <v>426</v>
      </c>
      <c r="C100" s="163">
        <v>938</v>
      </c>
      <c r="D100" s="163">
        <v>858</v>
      </c>
      <c r="E100" s="137">
        <f t="shared" si="41"/>
        <v>-8.8749678501366391E-3</v>
      </c>
      <c r="G100" s="196" t="s">
        <v>322</v>
      </c>
      <c r="H100" s="198">
        <v>1122</v>
      </c>
      <c r="I100" s="193">
        <f t="shared" si="76"/>
        <v>1106.6873127546185</v>
      </c>
      <c r="J100" s="193">
        <f t="shared" si="76"/>
        <v>1091.5836080321201</v>
      </c>
      <c r="K100" s="193">
        <f t="shared" si="76"/>
        <v>1076.6860337077164</v>
      </c>
      <c r="L100" s="193">
        <f t="shared" si="76"/>
        <v>1061.9917765814807</v>
      </c>
      <c r="M100" s="193">
        <f t="shared" si="76"/>
        <v>1047.4980618471141</v>
      </c>
      <c r="N100" s="210">
        <f t="shared" si="76"/>
        <v>1033.2021525679625</v>
      </c>
    </row>
    <row r="101" spans="1:29" x14ac:dyDescent="0.25">
      <c r="A101" s="1667"/>
      <c r="B101" s="164" t="s">
        <v>427</v>
      </c>
      <c r="C101" s="163">
        <v>1255</v>
      </c>
      <c r="D101" s="163">
        <v>935</v>
      </c>
      <c r="E101" s="137">
        <f t="shared" si="41"/>
        <v>-2.9005458496994652E-2</v>
      </c>
      <c r="G101" s="196" t="s">
        <v>323</v>
      </c>
      <c r="H101" s="199">
        <v>1606</v>
      </c>
      <c r="I101" s="193">
        <f t="shared" si="76"/>
        <v>1591.7857933432758</v>
      </c>
      <c r="J101" s="193">
        <f t="shared" si="76"/>
        <v>1577.6973922101383</v>
      </c>
      <c r="K101" s="193">
        <f t="shared" si="76"/>
        <v>1563.733683135014</v>
      </c>
      <c r="L101" s="193">
        <f t="shared" si="76"/>
        <v>1549.893562507267</v>
      </c>
      <c r="M101" s="193">
        <f t="shared" si="76"/>
        <v>1536.1759364839763</v>
      </c>
      <c r="N101" s="210">
        <f t="shared" si="76"/>
        <v>1522.5797209034845</v>
      </c>
    </row>
    <row r="102" spans="1:29" x14ac:dyDescent="0.25">
      <c r="A102" s="1667"/>
      <c r="B102" s="164" t="s">
        <v>428</v>
      </c>
      <c r="C102" s="163">
        <v>1022</v>
      </c>
      <c r="D102" s="163">
        <v>798</v>
      </c>
      <c r="E102" s="137">
        <f t="shared" si="41"/>
        <v>-2.4437271784568559E-2</v>
      </c>
      <c r="G102" s="196" t="s">
        <v>324</v>
      </c>
      <c r="H102" s="199">
        <v>914</v>
      </c>
      <c r="I102" s="193">
        <f t="shared" si="76"/>
        <v>921.19158381597208</v>
      </c>
      <c r="J102" s="193">
        <f t="shared" si="76"/>
        <v>928.43975283739508</v>
      </c>
      <c r="K102" s="193">
        <f t="shared" si="76"/>
        <v>935.74495229101706</v>
      </c>
      <c r="L102" s="193">
        <f t="shared" si="76"/>
        <v>943.10763090674311</v>
      </c>
      <c r="M102" s="193">
        <f t="shared" si="76"/>
        <v>950.52824094519895</v>
      </c>
      <c r="N102" s="210">
        <f t="shared" si="76"/>
        <v>958.00723822551174</v>
      </c>
    </row>
    <row r="103" spans="1:29" x14ac:dyDescent="0.25">
      <c r="A103" s="1667"/>
      <c r="B103" s="164" t="s">
        <v>324</v>
      </c>
      <c r="C103" s="163">
        <v>2723</v>
      </c>
      <c r="D103" s="163">
        <v>2945</v>
      </c>
      <c r="E103" s="137">
        <f t="shared" si="41"/>
        <v>7.8682536279781612E-3</v>
      </c>
      <c r="G103" s="196" t="s">
        <v>325</v>
      </c>
      <c r="H103" s="199">
        <v>484</v>
      </c>
      <c r="I103" s="193">
        <f t="shared" si="76"/>
        <v>484.79216151811698</v>
      </c>
      <c r="J103" s="193">
        <f t="shared" si="76"/>
        <v>485.58561956489262</v>
      </c>
      <c r="K103" s="193">
        <f t="shared" si="76"/>
        <v>486.38037626235194</v>
      </c>
      <c r="L103" s="193">
        <f t="shared" si="76"/>
        <v>487.1764337359931</v>
      </c>
      <c r="M103" s="193">
        <f t="shared" si="76"/>
        <v>487.97379411479295</v>
      </c>
      <c r="N103" s="210">
        <f t="shared" si="76"/>
        <v>488.77245953121297</v>
      </c>
    </row>
    <row r="104" spans="1:29" x14ac:dyDescent="0.25">
      <c r="A104" s="1667"/>
      <c r="B104" s="164" t="s">
        <v>429</v>
      </c>
      <c r="C104" s="163">
        <v>361</v>
      </c>
      <c r="D104" s="163">
        <v>272</v>
      </c>
      <c r="E104" s="137">
        <f t="shared" si="41"/>
        <v>-2.79106833675139E-2</v>
      </c>
      <c r="G104" s="200" t="s">
        <v>326</v>
      </c>
      <c r="H104" s="201">
        <f>SUM(H82:H103)</f>
        <v>77451</v>
      </c>
      <c r="I104" s="201">
        <f t="shared" ref="I104:N104" si="84">SUM(I82:I103)</f>
        <v>78451.430540556568</v>
      </c>
      <c r="J104" s="201">
        <f t="shared" si="84"/>
        <v>79505.43513873934</v>
      </c>
      <c r="K104" s="201">
        <f t="shared" si="84"/>
        <v>80614.953041264234</v>
      </c>
      <c r="L104" s="201">
        <f t="shared" si="84"/>
        <v>81782.056574228904</v>
      </c>
      <c r="M104" s="201">
        <f t="shared" si="84"/>
        <v>83008.958503512447</v>
      </c>
      <c r="N104" s="211">
        <f t="shared" si="84"/>
        <v>84298.019927555884</v>
      </c>
    </row>
    <row r="105" spans="1:29" x14ac:dyDescent="0.25">
      <c r="A105" s="1667"/>
      <c r="B105" s="164" t="s">
        <v>430</v>
      </c>
      <c r="C105" s="163">
        <v>712</v>
      </c>
      <c r="D105" s="163">
        <v>560</v>
      </c>
      <c r="E105" s="137">
        <f t="shared" si="41"/>
        <v>-2.3728068238862643E-2</v>
      </c>
      <c r="G105" s="192" t="s">
        <v>327</v>
      </c>
      <c r="H105" s="202">
        <f t="shared" ref="H105:N105" si="85">+H82+H83+H84+H85+H86+H88+H92+H93+H94+H95</f>
        <v>36098</v>
      </c>
      <c r="I105" s="202">
        <f t="shared" si="85"/>
        <v>36704.877957823148</v>
      </c>
      <c r="J105" s="202">
        <f t="shared" si="85"/>
        <v>37343.919294913874</v>
      </c>
      <c r="K105" s="202">
        <f t="shared" si="85"/>
        <v>38015.786020644126</v>
      </c>
      <c r="L105" s="202">
        <f t="shared" si="85"/>
        <v>38721.183477839637</v>
      </c>
      <c r="M105" s="202">
        <f t="shared" si="85"/>
        <v>39460.861375578344</v>
      </c>
      <c r="N105" s="212">
        <f t="shared" si="85"/>
        <v>40235.614905746261</v>
      </c>
    </row>
    <row r="106" spans="1:29" x14ac:dyDescent="0.25">
      <c r="A106" s="1667"/>
      <c r="B106" s="164" t="s">
        <v>431</v>
      </c>
      <c r="C106" s="163">
        <v>777</v>
      </c>
      <c r="D106" s="163">
        <v>628</v>
      </c>
      <c r="E106" s="137">
        <f t="shared" si="41"/>
        <v>-2.1064985760649302E-2</v>
      </c>
      <c r="G106" s="192" t="s">
        <v>328</v>
      </c>
      <c r="H106" s="202">
        <f t="shared" ref="H106:N106" si="86">+H87+H89+H90+H91+H98+H99+H100</f>
        <v>31587</v>
      </c>
      <c r="I106" s="202">
        <f t="shared" si="86"/>
        <v>31731.355367210021</v>
      </c>
      <c r="J106" s="202">
        <f t="shared" si="86"/>
        <v>31879.192462417082</v>
      </c>
      <c r="K106" s="202">
        <f t="shared" si="86"/>
        <v>32030.531407206283</v>
      </c>
      <c r="L106" s="202">
        <f t="shared" si="86"/>
        <v>32185.392862449044</v>
      </c>
      <c r="M106" s="202">
        <f t="shared" si="86"/>
        <v>32343.798030918089</v>
      </c>
      <c r="N106" s="212">
        <f t="shared" si="86"/>
        <v>32505.768659991536</v>
      </c>
    </row>
    <row r="107" spans="1:29" x14ac:dyDescent="0.25">
      <c r="A107" s="1667"/>
      <c r="B107" s="164" t="s">
        <v>325</v>
      </c>
      <c r="C107" s="163">
        <v>1213</v>
      </c>
      <c r="D107" s="163">
        <v>1233</v>
      </c>
      <c r="E107" s="137">
        <f t="shared" si="41"/>
        <v>1.6366973514814198E-3</v>
      </c>
      <c r="G107" s="192" t="s">
        <v>329</v>
      </c>
      <c r="H107" s="202">
        <f t="shared" ref="H107:N107" si="87">+H96+H97+H101+H102+H103</f>
        <v>9766</v>
      </c>
      <c r="I107" s="202">
        <f t="shared" si="87"/>
        <v>10015.197215523413</v>
      </c>
      <c r="J107" s="202">
        <f t="shared" si="87"/>
        <v>10282.323381408398</v>
      </c>
      <c r="K107" s="202">
        <f t="shared" si="87"/>
        <v>10568.635613413806</v>
      </c>
      <c r="L107" s="202">
        <f t="shared" si="87"/>
        <v>10875.480233940234</v>
      </c>
      <c r="M107" s="202">
        <f t="shared" si="87"/>
        <v>11204.299097016008</v>
      </c>
      <c r="N107" s="212">
        <f t="shared" si="87"/>
        <v>11556.636361818095</v>
      </c>
    </row>
    <row r="108" spans="1:29" x14ac:dyDescent="0.25">
      <c r="A108" s="1667"/>
      <c r="B108" s="164" t="s">
        <v>432</v>
      </c>
      <c r="C108" s="163">
        <v>998</v>
      </c>
      <c r="D108" s="163">
        <v>675</v>
      </c>
      <c r="E108" s="137">
        <f t="shared" si="41"/>
        <v>-3.8349364025190957E-2</v>
      </c>
      <c r="G108" s="200" t="s">
        <v>330</v>
      </c>
      <c r="H108" s="201">
        <f>SUM(H105:H107)</f>
        <v>77451</v>
      </c>
      <c r="I108" s="201">
        <f t="shared" ref="I108" si="88">SUM(I105:I107)</f>
        <v>78451.430540556583</v>
      </c>
      <c r="J108" s="201">
        <f>SUM(J105:J107)</f>
        <v>79505.435138739354</v>
      </c>
      <c r="K108" s="201">
        <f t="shared" ref="K108:N108" si="89">SUM(K105:K107)</f>
        <v>80614.95304126422</v>
      </c>
      <c r="L108" s="201">
        <f t="shared" si="89"/>
        <v>81782.056574228918</v>
      </c>
      <c r="M108" s="201">
        <f t="shared" si="89"/>
        <v>83008.958503512433</v>
      </c>
      <c r="N108" s="211">
        <f t="shared" si="89"/>
        <v>84298.019927555884</v>
      </c>
    </row>
    <row r="109" spans="1:29" x14ac:dyDescent="0.25">
      <c r="A109" s="1668"/>
      <c r="B109" s="164" t="s">
        <v>433</v>
      </c>
      <c r="C109" s="163">
        <v>1469</v>
      </c>
      <c r="D109" s="163">
        <v>1229</v>
      </c>
      <c r="E109" s="137">
        <f t="shared" si="41"/>
        <v>-1.7679949440876808E-2</v>
      </c>
    </row>
    <row r="112" spans="1:29" ht="15.75" thickBot="1" x14ac:dyDescent="0.3">
      <c r="A112" s="1702" t="s">
        <v>458</v>
      </c>
      <c r="B112" s="1702"/>
      <c r="C112" s="1702"/>
      <c r="D112" s="1702"/>
      <c r="E112" s="1702"/>
      <c r="F112" s="1702"/>
      <c r="G112" s="1702"/>
      <c r="H112" s="1702"/>
      <c r="I112" s="1702"/>
      <c r="J112" s="1702"/>
      <c r="K112" s="1702"/>
      <c r="L112" s="203"/>
    </row>
    <row r="113" spans="1:15" ht="27" x14ac:dyDescent="0.25">
      <c r="A113" s="1342" t="s">
        <v>459</v>
      </c>
      <c r="B113" s="1343" t="s">
        <v>439</v>
      </c>
      <c r="C113" s="1343" t="s">
        <v>440</v>
      </c>
      <c r="D113" s="1343" t="s">
        <v>441</v>
      </c>
      <c r="E113" s="1343" t="s">
        <v>442</v>
      </c>
      <c r="F113" s="1343" t="s">
        <v>443</v>
      </c>
      <c r="G113" s="1343" t="s">
        <v>444</v>
      </c>
      <c r="H113" s="1343" t="s">
        <v>445</v>
      </c>
      <c r="I113" s="1343" t="s">
        <v>446</v>
      </c>
      <c r="J113" s="1343" t="s">
        <v>447</v>
      </c>
      <c r="K113" s="1344" t="s">
        <v>448</v>
      </c>
      <c r="L113" s="203"/>
    </row>
    <row r="114" spans="1:15" ht="41.25" customHeight="1" x14ac:dyDescent="0.25">
      <c r="A114" s="1963" t="s">
        <v>1883</v>
      </c>
      <c r="B114" s="384">
        <v>406703.32197856286</v>
      </c>
      <c r="C114" s="384">
        <v>406860.92250406911</v>
      </c>
      <c r="D114" s="384">
        <v>407018.58410093695</v>
      </c>
      <c r="E114" s="384">
        <v>407176.30679283198</v>
      </c>
      <c r="F114" s="384">
        <v>407334.09060342895</v>
      </c>
      <c r="G114" s="384">
        <v>407491.93555641186</v>
      </c>
      <c r="H114" s="384">
        <v>407649.84167547384</v>
      </c>
      <c r="I114" s="384">
        <v>407807.80898431712</v>
      </c>
      <c r="J114" s="384">
        <v>407965.83750665328</v>
      </c>
      <c r="K114" s="400">
        <v>408123.92726620293</v>
      </c>
      <c r="L114" s="206">
        <v>3.8750734746773041E-4</v>
      </c>
    </row>
    <row r="115" spans="1:15" ht="63" customHeight="1" x14ac:dyDescent="0.25">
      <c r="A115" s="1963" t="s">
        <v>1884</v>
      </c>
      <c r="B115" s="384">
        <v>280962.13740513503</v>
      </c>
      <c r="C115" s="384">
        <v>284110.36262119981</v>
      </c>
      <c r="D115" s="384">
        <v>287293.86419906432</v>
      </c>
      <c r="E115" s="384">
        <v>290513.03741594532</v>
      </c>
      <c r="F115" s="384">
        <v>293768.28197820357</v>
      </c>
      <c r="G115" s="384">
        <v>297060.00207097281</v>
      </c>
      <c r="H115" s="384">
        <v>300388.60640834522</v>
      </c>
      <c r="I115" s="384">
        <v>303754.50828411907</v>
      </c>
      <c r="J115" s="384">
        <v>307158.12562311505</v>
      </c>
      <c r="K115" s="400">
        <v>310599.88103306759</v>
      </c>
      <c r="L115" s="206">
        <v>1.1205158264885329E-2</v>
      </c>
    </row>
    <row r="116" spans="1:15" ht="116.25" customHeight="1" x14ac:dyDescent="0.25">
      <c r="A116" s="1963" t="s">
        <v>1885</v>
      </c>
      <c r="B116" s="384">
        <v>252308.40902882599</v>
      </c>
      <c r="C116" s="384">
        <v>255135.56468355583</v>
      </c>
      <c r="D116" s="384">
        <v>257994.39906483595</v>
      </c>
      <c r="E116" s="384">
        <v>260885.2671378114</v>
      </c>
      <c r="F116" s="384">
        <v>263808.5278450675</v>
      </c>
      <c r="G116" s="384">
        <v>266764.54415119789</v>
      </c>
      <c r="H116" s="384">
        <v>269753.68308787205</v>
      </c>
      <c r="I116" s="384">
        <v>272776.31579940737</v>
      </c>
      <c r="J116" s="384">
        <v>275832.81758885208</v>
      </c>
      <c r="K116" s="400">
        <v>278923.56796458439</v>
      </c>
      <c r="L116" s="206">
        <v>1.1205158264885329E-2</v>
      </c>
    </row>
    <row r="117" spans="1:15" ht="95.25" customHeight="1" x14ac:dyDescent="0.25">
      <c r="A117" s="1963" t="s">
        <v>1886</v>
      </c>
      <c r="B117" s="384">
        <v>251511.64493297701</v>
      </c>
      <c r="C117" s="384">
        <v>254329.87271991305</v>
      </c>
      <c r="D117" s="384">
        <v>257179.67919522783</v>
      </c>
      <c r="E117" s="384">
        <v>260061.4182031228</v>
      </c>
      <c r="F117" s="384">
        <v>262975.44755267934</v>
      </c>
      <c r="G117" s="384">
        <v>265922.12906228617</v>
      </c>
      <c r="H117" s="384">
        <v>268901.82860456436</v>
      </c>
      <c r="I117" s="384">
        <v>271914.91615179559</v>
      </c>
      <c r="J117" s="384">
        <v>274961.76582185947</v>
      </c>
      <c r="K117" s="400">
        <v>278042.75592468574</v>
      </c>
      <c r="L117" s="206">
        <v>1.1205158264885329E-2</v>
      </c>
    </row>
    <row r="118" spans="1:15" ht="136.5" customHeight="1" x14ac:dyDescent="0.25">
      <c r="A118" s="1963" t="s">
        <v>1887</v>
      </c>
      <c r="B118" s="384">
        <v>201209.315946382</v>
      </c>
      <c r="C118" s="384">
        <v>203463.89817593043</v>
      </c>
      <c r="D118" s="384">
        <v>205743.74335618227</v>
      </c>
      <c r="E118" s="384">
        <v>208049.13456249825</v>
      </c>
      <c r="F118" s="384">
        <v>210380.35804214346</v>
      </c>
      <c r="G118" s="384">
        <v>212737.70324982895</v>
      </c>
      <c r="H118" s="384">
        <v>215121.46288365149</v>
      </c>
      <c r="I118" s="384">
        <v>217531.93292143647</v>
      </c>
      <c r="J118" s="384">
        <v>219969.41265748758</v>
      </c>
      <c r="K118" s="400">
        <v>222434.20473974859</v>
      </c>
      <c r="L118" s="208">
        <v>5.0000000000000001E-4</v>
      </c>
    </row>
    <row r="119" spans="1:15" ht="153" customHeight="1" thickBot="1" x14ac:dyDescent="0.3">
      <c r="A119" s="1345" t="s">
        <v>1620</v>
      </c>
      <c r="B119" s="1346">
        <v>2164.0382399999999</v>
      </c>
      <c r="C119" s="1346">
        <v>2165.0764799999997</v>
      </c>
      <c r="D119" s="1346">
        <v>2166.1147199999996</v>
      </c>
      <c r="E119" s="1346">
        <v>2167.1529599999994</v>
      </c>
      <c r="F119" s="1346">
        <v>2168.1911999999993</v>
      </c>
      <c r="G119" s="1346">
        <v>2169.2294399999992</v>
      </c>
      <c r="H119" s="1346">
        <v>2170.267679999999</v>
      </c>
      <c r="I119" s="1346">
        <v>2171.3059199999989</v>
      </c>
      <c r="J119" s="1346">
        <v>2172.3441599999987</v>
      </c>
      <c r="K119" s="1347">
        <v>2173.3823999999986</v>
      </c>
    </row>
    <row r="120" spans="1:15" x14ac:dyDescent="0.25">
      <c r="A120" s="1964"/>
      <c r="B120" s="1965"/>
      <c r="C120" s="1965"/>
      <c r="D120" s="1965"/>
      <c r="E120" s="1965"/>
      <c r="F120" s="1965"/>
      <c r="G120" s="1965"/>
      <c r="H120" s="1965"/>
      <c r="I120" s="1965"/>
      <c r="J120" s="1965"/>
      <c r="K120" s="1965"/>
    </row>
    <row r="123" spans="1:15" x14ac:dyDescent="0.25">
      <c r="A123" s="1702" t="s">
        <v>465</v>
      </c>
      <c r="B123" s="1702"/>
      <c r="C123" s="1702"/>
      <c r="D123" s="1702"/>
      <c r="E123" s="1702"/>
      <c r="F123" s="1702"/>
      <c r="G123" s="1702"/>
      <c r="H123" s="1702"/>
      <c r="I123" s="1702"/>
      <c r="J123" s="1702"/>
      <c r="K123" s="1702"/>
    </row>
    <row r="124" spans="1:15" ht="25.5" x14ac:dyDescent="0.25">
      <c r="A124" s="204" t="s">
        <v>459</v>
      </c>
      <c r="B124" s="204" t="s">
        <v>439</v>
      </c>
      <c r="C124" s="204" t="s">
        <v>440</v>
      </c>
      <c r="D124" s="204" t="s">
        <v>441</v>
      </c>
      <c r="E124" s="204" t="s">
        <v>442</v>
      </c>
      <c r="F124" s="204" t="s">
        <v>443</v>
      </c>
      <c r="G124" s="204" t="s">
        <v>444</v>
      </c>
      <c r="H124" s="204" t="s">
        <v>445</v>
      </c>
      <c r="I124" s="204" t="s">
        <v>446</v>
      </c>
      <c r="J124" s="204" t="s">
        <v>447</v>
      </c>
      <c r="K124" s="204" t="s">
        <v>448</v>
      </c>
    </row>
    <row r="125" spans="1:15" ht="25.5" x14ac:dyDescent="0.25">
      <c r="A125" s="205" t="s">
        <v>460</v>
      </c>
      <c r="B125" s="193">
        <f>N81</f>
        <v>120828.55108049801</v>
      </c>
      <c r="C125" s="193">
        <f>+(B125*$L125)+B125</f>
        <v>120875.37303182558</v>
      </c>
      <c r="D125" s="193">
        <f t="shared" ref="D125:K125" si="90">+(C125*$L125)+C125</f>
        <v>120922.21312700331</v>
      </c>
      <c r="E125" s="193">
        <f t="shared" si="90"/>
        <v>120969.07137306209</v>
      </c>
      <c r="F125" s="193">
        <f t="shared" si="90"/>
        <v>121015.9477770355</v>
      </c>
      <c r="G125" s="193">
        <f t="shared" si="90"/>
        <v>121062.84234595987</v>
      </c>
      <c r="H125" s="193">
        <f t="shared" si="90"/>
        <v>121109.75508687425</v>
      </c>
      <c r="I125" s="193">
        <f t="shared" si="90"/>
        <v>121156.68600682044</v>
      </c>
      <c r="J125" s="193">
        <f t="shared" si="90"/>
        <v>121203.63511284292</v>
      </c>
      <c r="K125" s="193">
        <f t="shared" si="90"/>
        <v>121250.60241198895</v>
      </c>
      <c r="L125" s="206">
        <v>3.8750734746773041E-4</v>
      </c>
      <c r="O125" s="979"/>
    </row>
    <row r="126" spans="1:15" ht="38.25" x14ac:dyDescent="0.25">
      <c r="A126" s="205" t="s">
        <v>461</v>
      </c>
      <c r="B126" s="193">
        <f>N104</f>
        <v>84298.019927555884</v>
      </c>
      <c r="C126" s="193">
        <f t="shared" ref="C126:K129" si="91">+(B126*$L126)+B126</f>
        <v>85242.592582260608</v>
      </c>
      <c r="D126" s="193">
        <f t="shared" si="91"/>
        <v>86197.749323053984</v>
      </c>
      <c r="E126" s="193">
        <f t="shared" si="91"/>
        <v>87163.608746295722</v>
      </c>
      <c r="F126" s="193">
        <f t="shared" si="91"/>
        <v>88140.290777236514</v>
      </c>
      <c r="G126" s="193">
        <f t="shared" si="91"/>
        <v>89127.916684908458</v>
      </c>
      <c r="H126" s="193">
        <f t="shared" si="91"/>
        <v>90126.609097182372</v>
      </c>
      <c r="I126" s="193">
        <f t="shared" si="91"/>
        <v>91136.492015993761</v>
      </c>
      <c r="J126" s="193">
        <f t="shared" si="91"/>
        <v>92157.690832739434</v>
      </c>
      <c r="K126" s="193">
        <f t="shared" si="91"/>
        <v>93190.332343846647</v>
      </c>
      <c r="L126" s="206">
        <v>1.1205158264885329E-2</v>
      </c>
    </row>
    <row r="127" spans="1:15" ht="38.25" x14ac:dyDescent="0.25">
      <c r="A127" s="205" t="s">
        <v>462</v>
      </c>
      <c r="B127" s="193">
        <f>SUM(AA87:AA88)</f>
        <v>74862.103219232842</v>
      </c>
      <c r="C127" s="193">
        <f t="shared" si="91"/>
        <v>75700.944933846535</v>
      </c>
      <c r="D127" s="193">
        <f t="shared" si="91"/>
        <v>76549.186002631657</v>
      </c>
      <c r="E127" s="193">
        <f t="shared" si="91"/>
        <v>77406.931746839284</v>
      </c>
      <c r="F127" s="193">
        <f t="shared" si="91"/>
        <v>78274.288667861794</v>
      </c>
      <c r="G127" s="193">
        <f t="shared" si="91"/>
        <v>79151.364460456505</v>
      </c>
      <c r="H127" s="193">
        <f t="shared" si="91"/>
        <v>80038.268026117541</v>
      </c>
      <c r="I127" s="193">
        <f t="shared" si="91"/>
        <v>80935.109486597503</v>
      </c>
      <c r="J127" s="193">
        <f t="shared" si="91"/>
        <v>81842.000197580652</v>
      </c>
      <c r="K127" s="193">
        <f t="shared" si="91"/>
        <v>82759.052762509324</v>
      </c>
      <c r="L127" s="206">
        <v>1.1205158264885329E-2</v>
      </c>
    </row>
    <row r="128" spans="1:15" ht="38.25" x14ac:dyDescent="0.25">
      <c r="A128" s="205" t="s">
        <v>463</v>
      </c>
      <c r="B128" s="193">
        <f>AA88</f>
        <v>74625.696370113466</v>
      </c>
      <c r="C128" s="193">
        <f t="shared" si="91"/>
        <v>75461.889108567862</v>
      </c>
      <c r="D128" s="193">
        <f t="shared" si="91"/>
        <v>76307.45151899659</v>
      </c>
      <c r="E128" s="193">
        <f t="shared" si="91"/>
        <v>77162.488590057008</v>
      </c>
      <c r="F128" s="193">
        <f t="shared" si="91"/>
        <v>78027.106486821009</v>
      </c>
      <c r="G128" s="193">
        <f t="shared" si="91"/>
        <v>78901.412563956896</v>
      </c>
      <c r="H128" s="193">
        <f t="shared" si="91"/>
        <v>79785.515379059041</v>
      </c>
      <c r="I128" s="193">
        <f t="shared" si="91"/>
        <v>80679.524706126846</v>
      </c>
      <c r="J128" s="193">
        <f t="shared" si="91"/>
        <v>81583.55154919473</v>
      </c>
      <c r="K128" s="193">
        <f t="shared" si="91"/>
        <v>82497.708156114881</v>
      </c>
      <c r="L128" s="206">
        <v>1.1205158264885329E-2</v>
      </c>
    </row>
    <row r="129" spans="1:12" ht="38.25" x14ac:dyDescent="0.25">
      <c r="A129" s="205" t="s">
        <v>464</v>
      </c>
      <c r="B129" s="193">
        <f>B128-B128*0.2</f>
        <v>59700.557096090772</v>
      </c>
      <c r="C129" s="193">
        <f t="shared" si="91"/>
        <v>59730.407374638817</v>
      </c>
      <c r="D129" s="193">
        <f t="shared" si="91"/>
        <v>59760.272578326134</v>
      </c>
      <c r="E129" s="193">
        <f t="shared" si="91"/>
        <v>59790.152714615295</v>
      </c>
      <c r="F129" s="193">
        <f t="shared" si="91"/>
        <v>59820.047790972603</v>
      </c>
      <c r="G129" s="193">
        <f t="shared" si="91"/>
        <v>59849.957814868088</v>
      </c>
      <c r="H129" s="193">
        <f t="shared" si="91"/>
        <v>59879.88279377552</v>
      </c>
      <c r="I129" s="193">
        <f t="shared" si="91"/>
        <v>59909.822735172405</v>
      </c>
      <c r="J129" s="193">
        <f t="shared" si="91"/>
        <v>59939.777646539995</v>
      </c>
      <c r="K129" s="193">
        <f t="shared" si="91"/>
        <v>59969.747535363262</v>
      </c>
      <c r="L129" s="208">
        <v>5.0000000000000001E-4</v>
      </c>
    </row>
  </sheetData>
  <mergeCells count="63">
    <mergeCell ref="A123:K123"/>
    <mergeCell ref="H79:N79"/>
    <mergeCell ref="AA83:AB83"/>
    <mergeCell ref="R52:V52"/>
    <mergeCell ref="X80:X81"/>
    <mergeCell ref="W83:X83"/>
    <mergeCell ref="Y83:Z83"/>
    <mergeCell ref="S80:S81"/>
    <mergeCell ref="T80:T81"/>
    <mergeCell ref="U80:U81"/>
    <mergeCell ref="V80:V81"/>
    <mergeCell ref="W80:W81"/>
    <mergeCell ref="G79:G80"/>
    <mergeCell ref="A112:K112"/>
    <mergeCell ref="Q83:Q84"/>
    <mergeCell ref="R83:T83"/>
    <mergeCell ref="U83:V83"/>
    <mergeCell ref="G44:G46"/>
    <mergeCell ref="G40:G42"/>
    <mergeCell ref="G37:G38"/>
    <mergeCell ref="G52:G53"/>
    <mergeCell ref="H52:I52"/>
    <mergeCell ref="J52:J53"/>
    <mergeCell ref="K52:P52"/>
    <mergeCell ref="G48:J48"/>
    <mergeCell ref="L16:U16"/>
    <mergeCell ref="J3:J4"/>
    <mergeCell ref="G34:G35"/>
    <mergeCell ref="G31:G32"/>
    <mergeCell ref="G43:J43"/>
    <mergeCell ref="G16:G18"/>
    <mergeCell ref="H16:H18"/>
    <mergeCell ref="I16:I18"/>
    <mergeCell ref="J16:J18"/>
    <mergeCell ref="K16:K18"/>
    <mergeCell ref="G19:G23"/>
    <mergeCell ref="G25:G29"/>
    <mergeCell ref="G33:J33"/>
    <mergeCell ref="G36:J36"/>
    <mergeCell ref="G39:J39"/>
    <mergeCell ref="A2:E2"/>
    <mergeCell ref="A4:E4"/>
    <mergeCell ref="A7:A13"/>
    <mergeCell ref="K3:K4"/>
    <mergeCell ref="L3:U3"/>
    <mergeCell ref="G5:G11"/>
    <mergeCell ref="G12:H12"/>
    <mergeCell ref="A14:E14"/>
    <mergeCell ref="A16:E16"/>
    <mergeCell ref="A17:E17"/>
    <mergeCell ref="A96:A109"/>
    <mergeCell ref="G2:I2"/>
    <mergeCell ref="G3:G4"/>
    <mergeCell ref="H3:H4"/>
    <mergeCell ref="I3:I4"/>
    <mergeCell ref="G24:J24"/>
    <mergeCell ref="G30:J30"/>
    <mergeCell ref="A20:A28"/>
    <mergeCell ref="A30:A49"/>
    <mergeCell ref="A51:A57"/>
    <mergeCell ref="A59:A75"/>
    <mergeCell ref="A77:A82"/>
    <mergeCell ref="A84:A9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1"/>
  <sheetViews>
    <sheetView zoomScale="145" zoomScaleNormal="145" workbookViewId="0">
      <selection activeCell="F348" sqref="F347:F348"/>
    </sheetView>
  </sheetViews>
  <sheetFormatPr baseColWidth="10" defaultRowHeight="15" x14ac:dyDescent="0.25"/>
  <sheetData>
    <row r="1" spans="1:9" x14ac:dyDescent="0.25">
      <c r="A1" s="239" t="s">
        <v>467</v>
      </c>
      <c r="B1" s="240"/>
      <c r="C1" s="240"/>
      <c r="D1" s="240"/>
      <c r="E1" s="240"/>
      <c r="F1" s="240"/>
      <c r="G1" s="240"/>
      <c r="H1" s="240"/>
      <c r="I1" s="241"/>
    </row>
    <row r="2" spans="1:9" x14ac:dyDescent="0.25">
      <c r="A2" s="242" t="s">
        <v>468</v>
      </c>
      <c r="B2" s="220"/>
      <c r="C2" s="220"/>
      <c r="D2" s="220"/>
      <c r="E2" s="220"/>
      <c r="F2" s="220"/>
      <c r="G2" s="220"/>
      <c r="H2" s="220"/>
      <c r="I2" s="243"/>
    </row>
    <row r="3" spans="1:9" x14ac:dyDescent="0.25">
      <c r="A3" s="244"/>
      <c r="B3" s="221"/>
      <c r="C3" s="221"/>
      <c r="D3" s="221"/>
      <c r="E3" s="221"/>
      <c r="F3" s="221"/>
      <c r="G3" s="221"/>
      <c r="H3" s="221"/>
      <c r="I3" s="245"/>
    </row>
    <row r="4" spans="1:9" x14ac:dyDescent="0.25">
      <c r="A4" s="246" t="s">
        <v>469</v>
      </c>
      <c r="B4" s="222">
        <v>2010</v>
      </c>
      <c r="C4" s="222">
        <v>2011</v>
      </c>
      <c r="D4" s="222">
        <v>2012</v>
      </c>
      <c r="E4" s="222">
        <v>2013</v>
      </c>
      <c r="F4" s="222">
        <v>2014</v>
      </c>
      <c r="G4" s="222">
        <v>2015</v>
      </c>
      <c r="H4" s="222">
        <v>2016</v>
      </c>
      <c r="I4" s="247" t="s">
        <v>470</v>
      </c>
    </row>
    <row r="5" spans="1:9" x14ac:dyDescent="0.25">
      <c r="A5" s="248"/>
      <c r="B5" s="223"/>
      <c r="C5" s="223"/>
      <c r="D5" s="223"/>
      <c r="E5" s="223"/>
      <c r="F5" s="223"/>
      <c r="G5" s="223"/>
      <c r="H5" s="223"/>
      <c r="I5" s="249"/>
    </row>
    <row r="6" spans="1:9" x14ac:dyDescent="0.25">
      <c r="A6" s="250" t="s">
        <v>285</v>
      </c>
      <c r="B6" s="224">
        <v>4221093</v>
      </c>
      <c r="C6" s="224">
        <v>8211717.9000000004</v>
      </c>
      <c r="D6" s="224">
        <v>4801034</v>
      </c>
      <c r="E6" s="224">
        <v>5948566.7000000002</v>
      </c>
      <c r="F6" s="224">
        <v>3530654</v>
      </c>
      <c r="G6" s="224">
        <v>4858851.5999999996</v>
      </c>
      <c r="H6" s="224">
        <v>3806670</v>
      </c>
      <c r="I6" s="251">
        <v>4159888.4</v>
      </c>
    </row>
    <row r="7" spans="1:9" x14ac:dyDescent="0.25">
      <c r="A7" s="250" t="s">
        <v>471</v>
      </c>
      <c r="B7" s="225">
        <v>3735311</v>
      </c>
      <c r="C7" s="225">
        <v>7650893.4500000002</v>
      </c>
      <c r="D7" s="225">
        <v>4180788</v>
      </c>
      <c r="E7" s="225">
        <v>5321834</v>
      </c>
      <c r="F7" s="225">
        <v>2829127</v>
      </c>
      <c r="G7" s="225">
        <v>4197476.5999999996</v>
      </c>
      <c r="H7" s="225">
        <v>3382127</v>
      </c>
      <c r="I7" s="252">
        <v>3764782.4</v>
      </c>
    </row>
    <row r="8" spans="1:9" x14ac:dyDescent="0.25">
      <c r="A8" s="253" t="s">
        <v>472</v>
      </c>
      <c r="B8" s="225">
        <v>3598421</v>
      </c>
      <c r="C8" s="225">
        <v>7502502</v>
      </c>
      <c r="D8" s="225">
        <v>4059525</v>
      </c>
      <c r="E8" s="225">
        <v>5143168</v>
      </c>
      <c r="F8" s="225">
        <v>2592893</v>
      </c>
      <c r="G8" s="225">
        <v>4023232</v>
      </c>
      <c r="H8" s="225">
        <v>3174423</v>
      </c>
      <c r="I8" s="252">
        <v>3476379.4</v>
      </c>
    </row>
    <row r="9" spans="1:9" x14ac:dyDescent="0.25">
      <c r="A9" s="254" t="s">
        <v>473</v>
      </c>
      <c r="B9" s="226">
        <v>3450609</v>
      </c>
      <c r="C9" s="226">
        <v>7125244</v>
      </c>
      <c r="D9" s="226">
        <v>3776880</v>
      </c>
      <c r="E9" s="226">
        <v>4859056</v>
      </c>
      <c r="F9" s="226">
        <v>2322228</v>
      </c>
      <c r="G9" s="226">
        <v>3769920</v>
      </c>
      <c r="H9" s="226">
        <v>2855268</v>
      </c>
      <c r="I9" s="255">
        <v>3222536</v>
      </c>
    </row>
    <row r="10" spans="1:9" x14ac:dyDescent="0.25">
      <c r="A10" s="254" t="s">
        <v>474</v>
      </c>
      <c r="B10" s="227">
        <v>12512</v>
      </c>
      <c r="C10" s="227">
        <v>7739</v>
      </c>
      <c r="D10" s="227">
        <v>2352</v>
      </c>
      <c r="E10" s="227">
        <v>8291</v>
      </c>
      <c r="F10" s="227">
        <v>14394</v>
      </c>
      <c r="G10" s="227">
        <v>18100</v>
      </c>
      <c r="H10" s="227">
        <v>14570</v>
      </c>
      <c r="I10" s="256">
        <v>17955</v>
      </c>
    </row>
    <row r="11" spans="1:9" x14ac:dyDescent="0.25">
      <c r="A11" s="254" t="s">
        <v>475</v>
      </c>
      <c r="B11" s="227">
        <v>13144</v>
      </c>
      <c r="C11" s="227">
        <v>14654</v>
      </c>
      <c r="D11" s="227">
        <v>23893</v>
      </c>
      <c r="E11" s="227">
        <v>77221</v>
      </c>
      <c r="F11" s="227">
        <v>40826</v>
      </c>
      <c r="G11" s="227">
        <v>93049</v>
      </c>
      <c r="H11" s="227">
        <v>78571</v>
      </c>
      <c r="I11" s="256">
        <v>95908</v>
      </c>
    </row>
    <row r="12" spans="1:9" x14ac:dyDescent="0.25">
      <c r="A12" s="254" t="s">
        <v>476</v>
      </c>
      <c r="B12" s="227">
        <v>20467</v>
      </c>
      <c r="C12" s="227">
        <v>46945</v>
      </c>
      <c r="D12" s="227">
        <v>26781</v>
      </c>
      <c r="E12" s="227">
        <v>58297</v>
      </c>
      <c r="F12" s="227">
        <v>73844</v>
      </c>
      <c r="G12" s="227">
        <v>49964</v>
      </c>
      <c r="H12" s="227">
        <v>165396</v>
      </c>
      <c r="I12" s="256">
        <v>99018</v>
      </c>
    </row>
    <row r="13" spans="1:9" x14ac:dyDescent="0.25">
      <c r="A13" s="254" t="s">
        <v>477</v>
      </c>
      <c r="B13" s="227">
        <v>17559</v>
      </c>
      <c r="C13" s="227">
        <v>257241</v>
      </c>
      <c r="D13" s="227">
        <v>184951</v>
      </c>
      <c r="E13" s="227">
        <v>82111</v>
      </c>
      <c r="F13" s="227">
        <v>81748</v>
      </c>
      <c r="G13" s="227">
        <v>23036</v>
      </c>
      <c r="H13" s="227">
        <v>15121</v>
      </c>
      <c r="I13" s="256">
        <v>8939</v>
      </c>
    </row>
    <row r="14" spans="1:9" x14ac:dyDescent="0.25">
      <c r="A14" s="254" t="s">
        <v>478</v>
      </c>
      <c r="B14" s="227">
        <v>53359</v>
      </c>
      <c r="C14" s="227">
        <v>43688</v>
      </c>
      <c r="D14" s="227">
        <v>42347</v>
      </c>
      <c r="E14" s="227">
        <v>55830</v>
      </c>
      <c r="F14" s="227">
        <v>55136</v>
      </c>
      <c r="G14" s="227">
        <v>61909</v>
      </c>
      <c r="H14" s="227">
        <v>40343</v>
      </c>
      <c r="I14" s="256">
        <v>30866</v>
      </c>
    </row>
    <row r="15" spans="1:9" x14ac:dyDescent="0.25">
      <c r="A15" s="257" t="s">
        <v>479</v>
      </c>
      <c r="B15" s="227">
        <v>26752</v>
      </c>
      <c r="C15" s="227">
        <v>3520</v>
      </c>
      <c r="D15" s="228">
        <v>0</v>
      </c>
      <c r="E15" s="228">
        <v>0</v>
      </c>
      <c r="F15" s="228">
        <v>0</v>
      </c>
      <c r="G15" s="227">
        <v>647</v>
      </c>
      <c r="H15" s="228">
        <v>0</v>
      </c>
      <c r="I15" s="256">
        <v>264.39999999999998</v>
      </c>
    </row>
    <row r="16" spans="1:9" x14ac:dyDescent="0.25">
      <c r="A16" s="254" t="s">
        <v>480</v>
      </c>
      <c r="B16" s="227">
        <v>17</v>
      </c>
      <c r="C16" s="227">
        <v>63</v>
      </c>
      <c r="D16" s="227">
        <v>161</v>
      </c>
      <c r="E16" s="228">
        <v>0</v>
      </c>
      <c r="F16" s="227">
        <v>788</v>
      </c>
      <c r="G16" s="227">
        <v>815</v>
      </c>
      <c r="H16" s="227">
        <v>40</v>
      </c>
      <c r="I16" s="258">
        <v>0</v>
      </c>
    </row>
    <row r="17" spans="1:9" x14ac:dyDescent="0.25">
      <c r="A17" s="254" t="s">
        <v>481</v>
      </c>
      <c r="B17" s="227">
        <v>4002</v>
      </c>
      <c r="C17" s="227">
        <v>3408</v>
      </c>
      <c r="D17" s="227">
        <v>2160</v>
      </c>
      <c r="E17" s="227">
        <v>2362</v>
      </c>
      <c r="F17" s="227">
        <v>3929</v>
      </c>
      <c r="G17" s="227">
        <v>5792</v>
      </c>
      <c r="H17" s="227">
        <v>5114</v>
      </c>
      <c r="I17" s="256">
        <v>893</v>
      </c>
    </row>
    <row r="18" spans="1:9" x14ac:dyDescent="0.25">
      <c r="A18" s="253" t="s">
        <v>482</v>
      </c>
      <c r="B18" s="229">
        <v>55334</v>
      </c>
      <c r="C18" s="229">
        <v>51511</v>
      </c>
      <c r="D18" s="229">
        <v>46147</v>
      </c>
      <c r="E18" s="229">
        <v>65296</v>
      </c>
      <c r="F18" s="229">
        <v>79784</v>
      </c>
      <c r="G18" s="229">
        <v>77896.800000000003</v>
      </c>
      <c r="H18" s="229">
        <v>97335</v>
      </c>
      <c r="I18" s="259">
        <v>93214</v>
      </c>
    </row>
    <row r="19" spans="1:9" x14ac:dyDescent="0.25">
      <c r="A19" s="254" t="s">
        <v>483</v>
      </c>
      <c r="B19" s="227">
        <v>4138</v>
      </c>
      <c r="C19" s="227">
        <v>4323</v>
      </c>
      <c r="D19" s="227">
        <v>2838</v>
      </c>
      <c r="E19" s="227">
        <v>3551</v>
      </c>
      <c r="F19" s="227">
        <v>4800</v>
      </c>
      <c r="G19" s="227">
        <v>4416</v>
      </c>
      <c r="H19" s="227">
        <v>7285</v>
      </c>
      <c r="I19" s="256">
        <v>5922</v>
      </c>
    </row>
    <row r="20" spans="1:9" x14ac:dyDescent="0.25">
      <c r="A20" s="254" t="s">
        <v>484</v>
      </c>
      <c r="B20" s="227">
        <v>1020</v>
      </c>
      <c r="C20" s="227">
        <v>1047</v>
      </c>
      <c r="D20" s="227">
        <v>1550</v>
      </c>
      <c r="E20" s="227">
        <v>765</v>
      </c>
      <c r="F20" s="227">
        <v>1550</v>
      </c>
      <c r="G20" s="227">
        <v>3052</v>
      </c>
      <c r="H20" s="227">
        <v>3176</v>
      </c>
      <c r="I20" s="256">
        <v>728</v>
      </c>
    </row>
    <row r="21" spans="1:9" x14ac:dyDescent="0.25">
      <c r="A21" s="254" t="s">
        <v>485</v>
      </c>
      <c r="B21" s="227">
        <v>2159</v>
      </c>
      <c r="C21" s="227">
        <v>1207</v>
      </c>
      <c r="D21" s="227">
        <v>1476</v>
      </c>
      <c r="E21" s="227">
        <v>1382</v>
      </c>
      <c r="F21" s="227">
        <v>2038</v>
      </c>
      <c r="G21" s="227">
        <v>2763.4</v>
      </c>
      <c r="H21" s="227">
        <v>2446</v>
      </c>
      <c r="I21" s="256">
        <v>86</v>
      </c>
    </row>
    <row r="22" spans="1:9" x14ac:dyDescent="0.25">
      <c r="A22" s="254" t="s">
        <v>486</v>
      </c>
      <c r="B22" s="227">
        <v>288</v>
      </c>
      <c r="C22" s="227">
        <v>168</v>
      </c>
      <c r="D22" s="227">
        <v>624</v>
      </c>
      <c r="E22" s="227">
        <v>143</v>
      </c>
      <c r="F22" s="227">
        <v>142</v>
      </c>
      <c r="G22" s="227">
        <v>262.39999999999998</v>
      </c>
      <c r="H22" s="227">
        <v>369</v>
      </c>
      <c r="I22" s="256">
        <v>316</v>
      </c>
    </row>
    <row r="23" spans="1:9" x14ac:dyDescent="0.25">
      <c r="A23" s="254" t="s">
        <v>487</v>
      </c>
      <c r="B23" s="227">
        <v>41108</v>
      </c>
      <c r="C23" s="227">
        <v>37646</v>
      </c>
      <c r="D23" s="227">
        <v>33147</v>
      </c>
      <c r="E23" s="227">
        <v>54522</v>
      </c>
      <c r="F23" s="227">
        <v>63940</v>
      </c>
      <c r="G23" s="227">
        <v>56286</v>
      </c>
      <c r="H23" s="227">
        <v>72404</v>
      </c>
      <c r="I23" s="256">
        <v>78450</v>
      </c>
    </row>
    <row r="24" spans="1:9" x14ac:dyDescent="0.25">
      <c r="A24" s="254" t="s">
        <v>488</v>
      </c>
      <c r="B24" s="227">
        <v>1440</v>
      </c>
      <c r="C24" s="227">
        <v>1235</v>
      </c>
      <c r="D24" s="227">
        <v>2021</v>
      </c>
      <c r="E24" s="227">
        <v>813</v>
      </c>
      <c r="F24" s="227">
        <v>1730</v>
      </c>
      <c r="G24" s="227">
        <v>2476</v>
      </c>
      <c r="H24" s="227">
        <v>2440</v>
      </c>
      <c r="I24" s="256">
        <v>989</v>
      </c>
    </row>
    <row r="25" spans="1:9" x14ac:dyDescent="0.25">
      <c r="A25" s="254" t="s">
        <v>489</v>
      </c>
      <c r="B25" s="227">
        <v>5181</v>
      </c>
      <c r="C25" s="227">
        <v>5885</v>
      </c>
      <c r="D25" s="227">
        <v>4491</v>
      </c>
      <c r="E25" s="227">
        <v>4120</v>
      </c>
      <c r="F25" s="227">
        <v>5584</v>
      </c>
      <c r="G25" s="227">
        <v>8641</v>
      </c>
      <c r="H25" s="227">
        <v>9215</v>
      </c>
      <c r="I25" s="256">
        <v>6723</v>
      </c>
    </row>
    <row r="26" spans="1:9" x14ac:dyDescent="0.25">
      <c r="A26" s="253" t="s">
        <v>490</v>
      </c>
      <c r="B26" s="229">
        <v>38178</v>
      </c>
      <c r="C26" s="229">
        <v>41142</v>
      </c>
      <c r="D26" s="229">
        <v>43619</v>
      </c>
      <c r="E26" s="229">
        <v>36750</v>
      </c>
      <c r="F26" s="229">
        <v>38039</v>
      </c>
      <c r="G26" s="229">
        <v>39629.800000000003</v>
      </c>
      <c r="H26" s="229">
        <v>43261</v>
      </c>
      <c r="I26" s="259">
        <v>49717</v>
      </c>
    </row>
    <row r="27" spans="1:9" x14ac:dyDescent="0.25">
      <c r="A27" s="254" t="s">
        <v>491</v>
      </c>
      <c r="B27" s="230">
        <v>4142</v>
      </c>
      <c r="C27" s="230">
        <v>3657</v>
      </c>
      <c r="D27" s="230">
        <v>1500</v>
      </c>
      <c r="E27" s="230">
        <v>2258</v>
      </c>
      <c r="F27" s="230">
        <v>2121</v>
      </c>
      <c r="G27" s="230">
        <v>2564</v>
      </c>
      <c r="H27" s="230">
        <v>3082</v>
      </c>
      <c r="I27" s="260">
        <v>2698</v>
      </c>
    </row>
    <row r="28" spans="1:9" x14ac:dyDescent="0.25">
      <c r="A28" s="254" t="s">
        <v>492</v>
      </c>
      <c r="B28" s="230">
        <v>314</v>
      </c>
      <c r="C28" s="230">
        <v>638</v>
      </c>
      <c r="D28" s="230">
        <v>1105</v>
      </c>
      <c r="E28" s="230">
        <v>458</v>
      </c>
      <c r="F28" s="230">
        <v>270</v>
      </c>
      <c r="G28" s="230">
        <v>773</v>
      </c>
      <c r="H28" s="230">
        <v>592</v>
      </c>
      <c r="I28" s="260">
        <v>143</v>
      </c>
    </row>
    <row r="29" spans="1:9" x14ac:dyDescent="0.25">
      <c r="A29" s="254" t="s">
        <v>493</v>
      </c>
      <c r="B29" s="227">
        <v>368</v>
      </c>
      <c r="C29" s="227">
        <v>774</v>
      </c>
      <c r="D29" s="227">
        <v>514</v>
      </c>
      <c r="E29" s="227">
        <v>466</v>
      </c>
      <c r="F29" s="227">
        <v>1049</v>
      </c>
      <c r="G29" s="227">
        <v>1347</v>
      </c>
      <c r="H29" s="227">
        <v>1679</v>
      </c>
      <c r="I29" s="256">
        <v>974</v>
      </c>
    </row>
    <row r="30" spans="1:9" x14ac:dyDescent="0.25">
      <c r="A30" s="254" t="s">
        <v>494</v>
      </c>
      <c r="B30" s="227">
        <v>86</v>
      </c>
      <c r="C30" s="227">
        <v>103</v>
      </c>
      <c r="D30" s="227">
        <v>262</v>
      </c>
      <c r="E30" s="227">
        <v>96</v>
      </c>
      <c r="F30" s="227">
        <v>240</v>
      </c>
      <c r="G30" s="227">
        <v>158</v>
      </c>
      <c r="H30" s="227">
        <v>165</v>
      </c>
      <c r="I30" s="256">
        <v>199</v>
      </c>
    </row>
    <row r="31" spans="1:9" x14ac:dyDescent="0.25">
      <c r="A31" s="254" t="s">
        <v>495</v>
      </c>
      <c r="B31" s="230">
        <v>10779</v>
      </c>
      <c r="C31" s="230">
        <v>13335</v>
      </c>
      <c r="D31" s="230">
        <v>18638</v>
      </c>
      <c r="E31" s="230">
        <v>13781</v>
      </c>
      <c r="F31" s="230">
        <v>14169</v>
      </c>
      <c r="G31" s="230">
        <v>13955</v>
      </c>
      <c r="H31" s="230">
        <v>16742</v>
      </c>
      <c r="I31" s="260">
        <v>29299</v>
      </c>
    </row>
    <row r="32" spans="1:9" x14ac:dyDescent="0.25">
      <c r="A32" s="254" t="s">
        <v>496</v>
      </c>
      <c r="B32" s="230">
        <v>9945</v>
      </c>
      <c r="C32" s="230">
        <v>9049</v>
      </c>
      <c r="D32" s="230">
        <v>9023</v>
      </c>
      <c r="E32" s="230">
        <v>7742</v>
      </c>
      <c r="F32" s="230">
        <v>5823</v>
      </c>
      <c r="G32" s="230">
        <v>7623</v>
      </c>
      <c r="H32" s="230">
        <v>11868</v>
      </c>
      <c r="I32" s="260">
        <v>10026</v>
      </c>
    </row>
    <row r="33" spans="1:9" x14ac:dyDescent="0.25">
      <c r="A33" s="254" t="s">
        <v>497</v>
      </c>
      <c r="B33" s="230">
        <v>4878</v>
      </c>
      <c r="C33" s="230">
        <v>1779</v>
      </c>
      <c r="D33" s="230">
        <v>4058</v>
      </c>
      <c r="E33" s="230">
        <v>3375</v>
      </c>
      <c r="F33" s="230">
        <v>3688</v>
      </c>
      <c r="G33" s="230">
        <v>5222.3999999999996</v>
      </c>
      <c r="H33" s="230">
        <v>4166</v>
      </c>
      <c r="I33" s="260">
        <v>2770</v>
      </c>
    </row>
    <row r="34" spans="1:9" x14ac:dyDescent="0.25">
      <c r="A34" s="254" t="s">
        <v>498</v>
      </c>
      <c r="B34" s="230">
        <v>7406</v>
      </c>
      <c r="C34" s="230">
        <v>11556</v>
      </c>
      <c r="D34" s="230">
        <v>8228</v>
      </c>
      <c r="E34" s="230">
        <v>8318</v>
      </c>
      <c r="F34" s="230">
        <v>9728</v>
      </c>
      <c r="G34" s="230">
        <v>7669.4</v>
      </c>
      <c r="H34" s="230">
        <v>4753</v>
      </c>
      <c r="I34" s="260">
        <v>3254</v>
      </c>
    </row>
    <row r="35" spans="1:9" x14ac:dyDescent="0.25">
      <c r="A35" s="254" t="s">
        <v>499</v>
      </c>
      <c r="B35" s="230">
        <v>260</v>
      </c>
      <c r="C35" s="230">
        <v>251</v>
      </c>
      <c r="D35" s="230">
        <v>291</v>
      </c>
      <c r="E35" s="230">
        <v>256</v>
      </c>
      <c r="F35" s="230">
        <v>951</v>
      </c>
      <c r="G35" s="230">
        <v>318</v>
      </c>
      <c r="H35" s="230">
        <v>214</v>
      </c>
      <c r="I35" s="260">
        <v>354</v>
      </c>
    </row>
    <row r="36" spans="1:9" x14ac:dyDescent="0.25">
      <c r="A36" s="253" t="s">
        <v>500</v>
      </c>
      <c r="B36" s="231">
        <v>43378</v>
      </c>
      <c r="C36" s="232">
        <v>55738.45</v>
      </c>
      <c r="D36" s="232">
        <v>31497</v>
      </c>
      <c r="E36" s="232">
        <v>76620</v>
      </c>
      <c r="F36" s="232">
        <v>118411</v>
      </c>
      <c r="G36" s="232">
        <v>56718</v>
      </c>
      <c r="H36" s="232">
        <v>67108</v>
      </c>
      <c r="I36" s="261">
        <v>145472</v>
      </c>
    </row>
    <row r="37" spans="1:9" x14ac:dyDescent="0.25">
      <c r="A37" s="250" t="s">
        <v>501</v>
      </c>
      <c r="B37" s="229">
        <v>485782</v>
      </c>
      <c r="C37" s="229">
        <v>560824.44999999995</v>
      </c>
      <c r="D37" s="229">
        <v>620246</v>
      </c>
      <c r="E37" s="229">
        <v>626732.70000000007</v>
      </c>
      <c r="F37" s="229">
        <v>701527</v>
      </c>
      <c r="G37" s="229">
        <v>661375</v>
      </c>
      <c r="H37" s="229">
        <v>424543</v>
      </c>
      <c r="I37" s="259">
        <v>395106</v>
      </c>
    </row>
    <row r="38" spans="1:9" x14ac:dyDescent="0.25">
      <c r="A38" s="253" t="s">
        <v>502</v>
      </c>
      <c r="B38" s="233">
        <v>1</v>
      </c>
      <c r="C38" s="233">
        <v>22</v>
      </c>
      <c r="D38" s="233">
        <v>1</v>
      </c>
      <c r="E38" s="228">
        <v>0</v>
      </c>
      <c r="F38" s="228">
        <v>0</v>
      </c>
      <c r="G38" s="228">
        <v>0</v>
      </c>
      <c r="H38" s="228">
        <v>0</v>
      </c>
      <c r="I38" s="258">
        <v>0</v>
      </c>
    </row>
    <row r="39" spans="1:9" x14ac:dyDescent="0.25">
      <c r="A39" s="253" t="s">
        <v>503</v>
      </c>
      <c r="B39" s="229">
        <v>22183</v>
      </c>
      <c r="C39" s="229">
        <v>31040</v>
      </c>
      <c r="D39" s="229">
        <v>32462</v>
      </c>
      <c r="E39" s="229">
        <v>29568.3</v>
      </c>
      <c r="F39" s="229">
        <v>32861</v>
      </c>
      <c r="G39" s="229">
        <v>60790.8</v>
      </c>
      <c r="H39" s="229">
        <v>34357</v>
      </c>
      <c r="I39" s="259">
        <v>46341</v>
      </c>
    </row>
    <row r="40" spans="1:9" x14ac:dyDescent="0.25">
      <c r="A40" s="254" t="s">
        <v>504</v>
      </c>
      <c r="B40" s="227">
        <v>1578</v>
      </c>
      <c r="C40" s="227">
        <v>1797</v>
      </c>
      <c r="D40" s="227">
        <v>2593</v>
      </c>
      <c r="E40" s="227">
        <v>2343.3000000000002</v>
      </c>
      <c r="F40" s="227">
        <v>1954</v>
      </c>
      <c r="G40" s="227">
        <v>2539.4</v>
      </c>
      <c r="H40" s="227">
        <v>2404</v>
      </c>
      <c r="I40" s="256">
        <v>1338</v>
      </c>
    </row>
    <row r="41" spans="1:9" x14ac:dyDescent="0.25">
      <c r="A41" s="254" t="s">
        <v>505</v>
      </c>
      <c r="B41" s="227">
        <v>2</v>
      </c>
      <c r="C41" s="227">
        <v>2</v>
      </c>
      <c r="D41" s="228">
        <v>0</v>
      </c>
      <c r="E41" s="228">
        <v>0</v>
      </c>
      <c r="F41" s="228">
        <v>0</v>
      </c>
      <c r="G41" s="227">
        <v>2.4</v>
      </c>
      <c r="H41" s="227">
        <v>6</v>
      </c>
      <c r="I41" s="256">
        <v>5</v>
      </c>
    </row>
    <row r="42" spans="1:9" x14ac:dyDescent="0.25">
      <c r="A42" s="254" t="s">
        <v>506</v>
      </c>
      <c r="B42" s="227">
        <v>20337</v>
      </c>
      <c r="C42" s="227">
        <v>29221</v>
      </c>
      <c r="D42" s="227">
        <v>29869</v>
      </c>
      <c r="E42" s="227">
        <v>27212.3</v>
      </c>
      <c r="F42" s="227">
        <v>30689</v>
      </c>
      <c r="G42" s="227">
        <v>58005</v>
      </c>
      <c r="H42" s="227">
        <v>31888</v>
      </c>
      <c r="I42" s="256">
        <v>44909</v>
      </c>
    </row>
    <row r="43" spans="1:9" x14ac:dyDescent="0.25">
      <c r="A43" s="254" t="s">
        <v>507</v>
      </c>
      <c r="B43" s="227">
        <v>266</v>
      </c>
      <c r="C43" s="227">
        <v>20</v>
      </c>
      <c r="D43" s="228">
        <v>0</v>
      </c>
      <c r="E43" s="227">
        <v>12.7</v>
      </c>
      <c r="F43" s="227">
        <v>218</v>
      </c>
      <c r="G43" s="227">
        <v>244</v>
      </c>
      <c r="H43" s="227">
        <v>59</v>
      </c>
      <c r="I43" s="256">
        <v>89</v>
      </c>
    </row>
    <row r="44" spans="1:9" x14ac:dyDescent="0.25">
      <c r="A44" s="253" t="s">
        <v>508</v>
      </c>
      <c r="B44" s="229">
        <v>457913</v>
      </c>
      <c r="C44" s="229">
        <v>522338.45</v>
      </c>
      <c r="D44" s="229">
        <v>581903</v>
      </c>
      <c r="E44" s="229">
        <v>573548.4</v>
      </c>
      <c r="F44" s="229">
        <v>640968</v>
      </c>
      <c r="G44" s="229">
        <v>579251</v>
      </c>
      <c r="H44" s="229">
        <v>357290</v>
      </c>
      <c r="I44" s="259">
        <v>322128</v>
      </c>
    </row>
    <row r="45" spans="1:9" x14ac:dyDescent="0.25">
      <c r="A45" s="254" t="s">
        <v>509</v>
      </c>
      <c r="B45" s="227">
        <v>2237</v>
      </c>
      <c r="C45" s="227">
        <v>1195</v>
      </c>
      <c r="D45" s="227">
        <v>1312</v>
      </c>
      <c r="E45" s="227">
        <v>739</v>
      </c>
      <c r="F45" s="227">
        <v>1341</v>
      </c>
      <c r="G45" s="227">
        <v>479.5</v>
      </c>
      <c r="H45" s="227">
        <v>573</v>
      </c>
      <c r="I45" s="256">
        <v>279</v>
      </c>
    </row>
    <row r="46" spans="1:9" x14ac:dyDescent="0.25">
      <c r="A46" s="254" t="s">
        <v>510</v>
      </c>
      <c r="B46" s="227">
        <v>2389</v>
      </c>
      <c r="C46" s="227">
        <v>2894</v>
      </c>
      <c r="D46" s="227">
        <v>2821</v>
      </c>
      <c r="E46" s="227">
        <v>2127.1999999999998</v>
      </c>
      <c r="F46" s="227">
        <v>3302</v>
      </c>
      <c r="G46" s="227">
        <v>2798.5</v>
      </c>
      <c r="H46" s="227">
        <v>2571</v>
      </c>
      <c r="I46" s="256">
        <v>977</v>
      </c>
    </row>
    <row r="47" spans="1:9" x14ac:dyDescent="0.25">
      <c r="A47" s="254" t="s">
        <v>511</v>
      </c>
      <c r="B47" s="227">
        <v>9022</v>
      </c>
      <c r="C47" s="227">
        <v>9171</v>
      </c>
      <c r="D47" s="227">
        <v>8451</v>
      </c>
      <c r="E47" s="227">
        <v>6954.2</v>
      </c>
      <c r="F47" s="227">
        <v>5866</v>
      </c>
      <c r="G47" s="227">
        <v>4476</v>
      </c>
      <c r="H47" s="227">
        <v>3682</v>
      </c>
      <c r="I47" s="256">
        <v>1611</v>
      </c>
    </row>
    <row r="48" spans="1:9" x14ac:dyDescent="0.25">
      <c r="A48" s="254" t="s">
        <v>512</v>
      </c>
      <c r="B48" s="227">
        <v>62827</v>
      </c>
      <c r="C48" s="227">
        <v>93050</v>
      </c>
      <c r="D48" s="227">
        <v>39678</v>
      </c>
      <c r="E48" s="227">
        <v>91474</v>
      </c>
      <c r="F48" s="227">
        <v>56820</v>
      </c>
      <c r="G48" s="227">
        <v>30396</v>
      </c>
      <c r="H48" s="227">
        <v>13343</v>
      </c>
      <c r="I48" s="256">
        <v>4970</v>
      </c>
    </row>
    <row r="49" spans="1:9" x14ac:dyDescent="0.25">
      <c r="A49" s="254" t="s">
        <v>513</v>
      </c>
      <c r="B49" s="228">
        <v>0</v>
      </c>
      <c r="C49" s="228">
        <v>0</v>
      </c>
      <c r="D49" s="228">
        <v>0</v>
      </c>
      <c r="E49" s="228">
        <v>0</v>
      </c>
      <c r="F49" s="228">
        <v>0</v>
      </c>
      <c r="G49" s="228">
        <v>0</v>
      </c>
      <c r="H49" s="228">
        <v>0</v>
      </c>
      <c r="I49" s="258"/>
    </row>
    <row r="50" spans="1:9" x14ac:dyDescent="0.25">
      <c r="A50" s="254" t="s">
        <v>514</v>
      </c>
      <c r="B50" s="227">
        <v>765</v>
      </c>
      <c r="C50" s="227">
        <v>491</v>
      </c>
      <c r="D50" s="227">
        <v>760</v>
      </c>
      <c r="E50" s="227">
        <v>1227</v>
      </c>
      <c r="F50" s="227">
        <v>1207</v>
      </c>
      <c r="G50" s="227">
        <v>1697</v>
      </c>
      <c r="H50" s="227">
        <v>610</v>
      </c>
      <c r="I50" s="256">
        <v>165</v>
      </c>
    </row>
    <row r="51" spans="1:9" x14ac:dyDescent="0.25">
      <c r="A51" s="254" t="s">
        <v>515</v>
      </c>
      <c r="B51" s="227">
        <v>4798</v>
      </c>
      <c r="C51" s="227">
        <v>2251</v>
      </c>
      <c r="D51" s="227">
        <v>20483</v>
      </c>
      <c r="E51" s="227">
        <v>16611</v>
      </c>
      <c r="F51" s="227">
        <v>10986</v>
      </c>
      <c r="G51" s="227">
        <v>18330</v>
      </c>
      <c r="H51" s="227">
        <v>6924</v>
      </c>
      <c r="I51" s="256">
        <v>1309</v>
      </c>
    </row>
    <row r="52" spans="1:9" x14ac:dyDescent="0.25">
      <c r="A52" s="254" t="s">
        <v>516</v>
      </c>
      <c r="B52" s="227">
        <v>369822</v>
      </c>
      <c r="C52" s="227">
        <v>404729</v>
      </c>
      <c r="D52" s="227">
        <v>497462</v>
      </c>
      <c r="E52" s="227">
        <v>451061.2</v>
      </c>
      <c r="F52" s="227">
        <v>556156</v>
      </c>
      <c r="G52" s="227">
        <v>513796</v>
      </c>
      <c r="H52" s="227">
        <v>323337</v>
      </c>
      <c r="I52" s="256">
        <v>295132</v>
      </c>
    </row>
    <row r="53" spans="1:9" x14ac:dyDescent="0.25">
      <c r="A53" s="254" t="s">
        <v>517</v>
      </c>
      <c r="B53" s="227">
        <v>2545</v>
      </c>
      <c r="C53" s="227">
        <v>970</v>
      </c>
      <c r="D53" s="227">
        <v>2626</v>
      </c>
      <c r="E53" s="227">
        <v>1317</v>
      </c>
      <c r="F53" s="227">
        <v>1977</v>
      </c>
      <c r="G53" s="227">
        <v>5036</v>
      </c>
      <c r="H53" s="227">
        <v>1318</v>
      </c>
      <c r="I53" s="256">
        <v>3808</v>
      </c>
    </row>
    <row r="54" spans="1:9" x14ac:dyDescent="0.25">
      <c r="A54" s="254" t="s">
        <v>507</v>
      </c>
      <c r="B54" s="227">
        <v>3508</v>
      </c>
      <c r="C54" s="227">
        <v>7587.45</v>
      </c>
      <c r="D54" s="227">
        <v>8310</v>
      </c>
      <c r="E54" s="227">
        <v>2037.8</v>
      </c>
      <c r="F54" s="227">
        <v>3313</v>
      </c>
      <c r="G54" s="227">
        <v>2242</v>
      </c>
      <c r="H54" s="227">
        <v>4932</v>
      </c>
      <c r="I54" s="256">
        <v>13877</v>
      </c>
    </row>
    <row r="55" spans="1:9" x14ac:dyDescent="0.25">
      <c r="A55" s="253" t="s">
        <v>518</v>
      </c>
      <c r="B55" s="233">
        <v>1314</v>
      </c>
      <c r="C55" s="233">
        <v>1552</v>
      </c>
      <c r="D55" s="233">
        <v>2295</v>
      </c>
      <c r="E55" s="233">
        <v>1427</v>
      </c>
      <c r="F55" s="233">
        <v>1868</v>
      </c>
      <c r="G55" s="233">
        <v>1521.1</v>
      </c>
      <c r="H55" s="233">
        <v>1113</v>
      </c>
      <c r="I55" s="262">
        <v>579</v>
      </c>
    </row>
    <row r="56" spans="1:9" x14ac:dyDescent="0.25">
      <c r="A56" s="253" t="s">
        <v>519</v>
      </c>
      <c r="B56" s="233">
        <v>3</v>
      </c>
      <c r="C56" s="233">
        <v>72</v>
      </c>
      <c r="D56" s="228">
        <v>0</v>
      </c>
      <c r="E56" s="228">
        <v>0</v>
      </c>
      <c r="F56" s="228">
        <v>0</v>
      </c>
      <c r="G56" s="228">
        <v>0</v>
      </c>
      <c r="H56" s="228">
        <v>0</v>
      </c>
      <c r="I56" s="258">
        <v>0</v>
      </c>
    </row>
    <row r="57" spans="1:9" x14ac:dyDescent="0.25">
      <c r="A57" s="253" t="s">
        <v>520</v>
      </c>
      <c r="B57" s="233">
        <v>4368</v>
      </c>
      <c r="C57" s="233">
        <v>5800</v>
      </c>
      <c r="D57" s="233">
        <v>3585</v>
      </c>
      <c r="E57" s="233">
        <v>22189</v>
      </c>
      <c r="F57" s="233">
        <v>25830</v>
      </c>
      <c r="G57" s="233">
        <v>19812.099999999999</v>
      </c>
      <c r="H57" s="233">
        <v>31783</v>
      </c>
      <c r="I57" s="262">
        <v>26058</v>
      </c>
    </row>
    <row r="58" spans="1:9" x14ac:dyDescent="0.25">
      <c r="A58" s="263"/>
      <c r="B58" s="234"/>
      <c r="C58" s="234"/>
      <c r="D58" s="234"/>
      <c r="E58" s="234"/>
      <c r="F58" s="234"/>
      <c r="G58" s="234"/>
      <c r="H58" s="234"/>
      <c r="I58" s="264"/>
    </row>
    <row r="59" spans="1:9" x14ac:dyDescent="0.25">
      <c r="A59" s="265" t="s">
        <v>521</v>
      </c>
      <c r="B59" s="236"/>
      <c r="C59" s="236"/>
      <c r="D59" s="236"/>
      <c r="E59" s="236"/>
      <c r="F59" s="236"/>
      <c r="G59" s="236"/>
      <c r="H59" s="236"/>
      <c r="I59" s="266"/>
    </row>
    <row r="60" spans="1:9" x14ac:dyDescent="0.25">
      <c r="A60" s="265" t="s">
        <v>522</v>
      </c>
      <c r="B60" s="236"/>
      <c r="C60" s="236"/>
      <c r="D60" s="236"/>
      <c r="E60" s="236"/>
      <c r="F60" s="236"/>
      <c r="G60" s="236"/>
      <c r="H60" s="236"/>
      <c r="I60" s="266"/>
    </row>
    <row r="61" spans="1:9" x14ac:dyDescent="0.25">
      <c r="A61" s="265" t="s">
        <v>523</v>
      </c>
      <c r="B61" s="236"/>
      <c r="C61" s="236"/>
      <c r="D61" s="236"/>
      <c r="E61" s="236"/>
      <c r="F61" s="236"/>
      <c r="G61" s="236"/>
      <c r="H61" s="236"/>
      <c r="I61" s="266"/>
    </row>
    <row r="62" spans="1:9" ht="15.75" thickBot="1" x14ac:dyDescent="0.3">
      <c r="A62" s="267" t="s">
        <v>524</v>
      </c>
      <c r="B62" s="268"/>
      <c r="C62" s="268"/>
      <c r="D62" s="268"/>
      <c r="E62" s="268"/>
      <c r="F62" s="268"/>
      <c r="G62" s="268"/>
      <c r="H62" s="268"/>
      <c r="I62" s="269"/>
    </row>
    <row r="65" spans="1:11" x14ac:dyDescent="0.25">
      <c r="A65" s="1712" t="s">
        <v>525</v>
      </c>
      <c r="B65" s="1712"/>
      <c r="C65" s="1712"/>
      <c r="D65" s="1712"/>
      <c r="E65" s="1712"/>
      <c r="F65" s="1712"/>
      <c r="G65" s="1712"/>
      <c r="H65" s="1712"/>
      <c r="I65" s="1712"/>
      <c r="J65" s="1712"/>
      <c r="K65" s="1712"/>
    </row>
    <row r="66" spans="1:11" x14ac:dyDescent="0.25">
      <c r="A66" s="1721" t="s">
        <v>526</v>
      </c>
      <c r="B66" s="1721"/>
      <c r="C66" s="1721"/>
      <c r="D66" s="1721"/>
      <c r="E66" s="1721"/>
      <c r="F66" s="1721"/>
      <c r="G66" s="1721"/>
      <c r="H66" s="1721"/>
      <c r="I66" s="1721"/>
      <c r="J66" s="1721"/>
      <c r="K66" s="1721"/>
    </row>
    <row r="67" spans="1:11" ht="15.75" thickBot="1" x14ac:dyDescent="0.3">
      <c r="A67" s="1722" t="s">
        <v>527</v>
      </c>
      <c r="B67" s="1722"/>
      <c r="C67" s="1722"/>
      <c r="D67" s="1722"/>
      <c r="E67" s="1722"/>
      <c r="F67" s="1722"/>
      <c r="G67" s="1722"/>
      <c r="H67" s="1722"/>
      <c r="I67" s="1722"/>
      <c r="J67" s="1722"/>
      <c r="K67" s="1722"/>
    </row>
    <row r="68" spans="1:11" x14ac:dyDescent="0.25">
      <c r="A68" s="270" t="s">
        <v>469</v>
      </c>
      <c r="B68" s="271">
        <v>2010</v>
      </c>
      <c r="C68" s="272">
        <v>2011</v>
      </c>
      <c r="D68" s="272">
        <v>2012</v>
      </c>
      <c r="E68" s="272">
        <v>2013</v>
      </c>
      <c r="F68" s="272">
        <v>2014</v>
      </c>
      <c r="G68" s="272">
        <v>2015</v>
      </c>
      <c r="H68" s="272">
        <v>2016</v>
      </c>
      <c r="I68" s="272">
        <v>2017</v>
      </c>
      <c r="J68" s="272">
        <v>2018</v>
      </c>
      <c r="K68" s="273" t="s">
        <v>528</v>
      </c>
    </row>
    <row r="69" spans="1:11" x14ac:dyDescent="0.25">
      <c r="A69" s="274"/>
      <c r="B69" s="275"/>
      <c r="C69" s="275"/>
      <c r="D69" s="275"/>
      <c r="E69" s="275"/>
      <c r="F69" s="275"/>
      <c r="G69" s="275"/>
      <c r="H69" s="275"/>
      <c r="I69" s="275"/>
      <c r="J69" s="275"/>
      <c r="K69" s="276"/>
    </row>
    <row r="70" spans="1:11" x14ac:dyDescent="0.25">
      <c r="A70" s="277" t="s">
        <v>285</v>
      </c>
      <c r="B70" s="278">
        <f>+SUM(B71:B73)</f>
        <v>51170</v>
      </c>
      <c r="C70" s="278">
        <f t="shared" ref="C70:J70" si="0">+SUM(C71:C73)</f>
        <v>318840</v>
      </c>
      <c r="D70" s="278">
        <f t="shared" si="0"/>
        <v>235625</v>
      </c>
      <c r="E70" s="278">
        <f t="shared" si="0"/>
        <v>217629</v>
      </c>
      <c r="F70" s="278">
        <f t="shared" si="0"/>
        <v>196418</v>
      </c>
      <c r="G70" s="278">
        <f t="shared" si="0"/>
        <v>166049</v>
      </c>
      <c r="H70" s="278">
        <f t="shared" si="0"/>
        <v>259088</v>
      </c>
      <c r="I70" s="278">
        <f t="shared" si="0"/>
        <v>247990.6</v>
      </c>
      <c r="J70" s="278">
        <f t="shared" si="0"/>
        <v>155139.20000000001</v>
      </c>
      <c r="K70" s="279">
        <f t="shared" ref="K70" si="1">+SUM(K71:K73)</f>
        <v>190453.70000000004</v>
      </c>
    </row>
    <row r="71" spans="1:11" x14ac:dyDescent="0.25">
      <c r="A71" s="280" t="s">
        <v>477</v>
      </c>
      <c r="B71" s="281">
        <v>17559</v>
      </c>
      <c r="C71" s="281">
        <v>257241</v>
      </c>
      <c r="D71" s="281">
        <v>184951</v>
      </c>
      <c r="E71" s="281">
        <v>82111</v>
      </c>
      <c r="F71" s="281">
        <v>81748</v>
      </c>
      <c r="G71" s="281">
        <v>23036</v>
      </c>
      <c r="H71" s="281">
        <v>15121</v>
      </c>
      <c r="I71" s="281">
        <f>8939+1007+2164.3</f>
        <v>12110.3</v>
      </c>
      <c r="J71" s="281">
        <f>736.6+873.7+4762.1+6619.5+873.7+6076.5+11255.4+2750.8+2819.9+6030+1913.3+2125.8</f>
        <v>46837.30000000001</v>
      </c>
      <c r="K71" s="282">
        <f>4214.8+10531.9+25+2952.4+7465.7+42124.3+35.5+5211.6+2179.3+10067.4+2680+1646.2+912.5+1204.8+12.6+3884.1+3563.8+15+6871.2+3210.3+15+7657.6</f>
        <v>116481.00000000003</v>
      </c>
    </row>
    <row r="72" spans="1:11" x14ac:dyDescent="0.25">
      <c r="A72" s="280" t="s">
        <v>475</v>
      </c>
      <c r="B72" s="281">
        <v>13144</v>
      </c>
      <c r="C72" s="281">
        <v>14654</v>
      </c>
      <c r="D72" s="281">
        <v>23893</v>
      </c>
      <c r="E72" s="281">
        <v>77221</v>
      </c>
      <c r="F72" s="281">
        <v>40826</v>
      </c>
      <c r="G72" s="281">
        <v>93049</v>
      </c>
      <c r="H72" s="281">
        <v>78571</v>
      </c>
      <c r="I72" s="281">
        <f>95908+8534.3+5280+5559.2+4649+1689.6</f>
        <v>121620.1</v>
      </c>
      <c r="J72" s="281">
        <f>1369.6+8564+670.5+9870.8+955.3+11865.3+6604.3+5310.2+4875.5+3986.7+3986.7+1044.1+2829+2849.5+5345.2</f>
        <v>70126.7</v>
      </c>
      <c r="K72" s="282">
        <f>5248.8+5684.1+8231.4+9037.6+6224.4+1735.6+2010.3</f>
        <v>38172.200000000004</v>
      </c>
    </row>
    <row r="73" spans="1:11" ht="15.75" thickBot="1" x14ac:dyDescent="0.3">
      <c r="A73" s="283" t="s">
        <v>476</v>
      </c>
      <c r="B73" s="284">
        <v>20467</v>
      </c>
      <c r="C73" s="284">
        <v>46945</v>
      </c>
      <c r="D73" s="284">
        <v>26781</v>
      </c>
      <c r="E73" s="284">
        <v>58297</v>
      </c>
      <c r="F73" s="284">
        <v>73844</v>
      </c>
      <c r="G73" s="284">
        <v>49964</v>
      </c>
      <c r="H73" s="284">
        <v>165396</v>
      </c>
      <c r="I73" s="284">
        <f>99018+2214.5+2608.6+26.5+3575+1955+23+1391.2+12+1312.3+571.3+1166.2+377+9.6</f>
        <v>114260.20000000001</v>
      </c>
      <c r="J73" s="284">
        <f>906.5+2288.7+971.1+5551.1+15.6+1958.9+5466.2+17.5+2108.4+2772.6+15+2038+1097.9+1165.6+989.2+10.4+1410.9+1410.9+816.7+7+1173.6+1203.3+618.8+2539+8.5+1613.8</f>
        <v>38175.200000000012</v>
      </c>
      <c r="K73" s="285">
        <f>7235.5+1017.8+7371.9+8826.8+26.3+1794.5+7955.9+17.5+1165.1+389.2</f>
        <v>35800.499999999993</v>
      </c>
    </row>
    <row r="74" spans="1:11" x14ac:dyDescent="0.25">
      <c r="A74" s="235" t="s">
        <v>529</v>
      </c>
      <c r="B74" s="236"/>
      <c r="C74" s="236"/>
      <c r="D74" s="236"/>
      <c r="E74" s="236"/>
      <c r="F74" s="236"/>
      <c r="G74" s="236"/>
      <c r="H74" s="236"/>
      <c r="I74" s="236"/>
      <c r="J74" s="236"/>
      <c r="K74" s="236"/>
    </row>
    <row r="75" spans="1:11" x14ac:dyDescent="0.25">
      <c r="A75" s="235" t="s">
        <v>522</v>
      </c>
      <c r="B75" s="236"/>
      <c r="C75" s="236"/>
      <c r="D75" s="236"/>
      <c r="E75" s="236"/>
      <c r="F75" s="236"/>
      <c r="G75" s="236"/>
      <c r="H75" s="236"/>
      <c r="I75" s="236"/>
      <c r="J75" s="236"/>
      <c r="K75" s="236"/>
    </row>
    <row r="76" spans="1:11" x14ac:dyDescent="0.25">
      <c r="A76" s="235" t="s">
        <v>523</v>
      </c>
      <c r="B76" s="236"/>
      <c r="C76" s="236"/>
      <c r="D76" s="236"/>
      <c r="E76" s="236"/>
      <c r="F76" s="236"/>
      <c r="G76" s="236"/>
      <c r="H76" s="236"/>
      <c r="I76" s="236"/>
      <c r="J76" s="236"/>
      <c r="K76" s="236"/>
    </row>
    <row r="77" spans="1:11" x14ac:dyDescent="0.25">
      <c r="A77" s="237" t="s">
        <v>524</v>
      </c>
      <c r="B77" s="238"/>
      <c r="C77" s="238"/>
      <c r="D77" s="238"/>
      <c r="E77" s="238"/>
      <c r="F77" s="238"/>
      <c r="G77" s="238"/>
      <c r="H77" s="238"/>
      <c r="I77" s="238"/>
      <c r="J77" s="238"/>
      <c r="K77" s="238"/>
    </row>
    <row r="78" spans="1:11" x14ac:dyDescent="0.25">
      <c r="A78" s="286"/>
      <c r="B78" s="286"/>
      <c r="C78" s="286"/>
      <c r="D78" s="286"/>
      <c r="E78" s="286"/>
      <c r="F78" s="286"/>
      <c r="G78" s="286"/>
      <c r="H78" s="286"/>
      <c r="I78" s="286"/>
      <c r="J78" s="286"/>
      <c r="K78" s="286"/>
    </row>
    <row r="79" spans="1:11" x14ac:dyDescent="0.25">
      <c r="A79" s="287"/>
      <c r="B79" s="287"/>
      <c r="C79" s="287"/>
      <c r="D79" s="287"/>
      <c r="E79" s="287"/>
      <c r="F79" s="287"/>
      <c r="G79" s="287"/>
      <c r="H79" s="287"/>
      <c r="I79" s="287"/>
      <c r="J79" s="287"/>
      <c r="K79" s="287"/>
    </row>
    <row r="80" spans="1:11" x14ac:dyDescent="0.25">
      <c r="A80" s="287"/>
      <c r="B80" s="287"/>
      <c r="C80" s="287"/>
      <c r="D80" s="287"/>
      <c r="E80" s="287"/>
      <c r="F80" s="287"/>
      <c r="G80" s="287"/>
      <c r="H80" s="287"/>
      <c r="I80" s="287"/>
      <c r="J80" s="287"/>
      <c r="K80" s="287"/>
    </row>
    <row r="81" spans="1:11" x14ac:dyDescent="0.25">
      <c r="A81" s="287"/>
      <c r="B81" s="287"/>
      <c r="C81" s="287"/>
      <c r="D81" s="287"/>
      <c r="E81" s="287"/>
      <c r="F81" s="287"/>
      <c r="G81" s="287"/>
      <c r="H81" s="287"/>
      <c r="I81" s="287"/>
      <c r="J81" s="287"/>
      <c r="K81" s="287"/>
    </row>
    <row r="82" spans="1:11" x14ac:dyDescent="0.25">
      <c r="A82" s="287"/>
      <c r="B82" s="287"/>
      <c r="C82" s="287"/>
      <c r="D82" s="287"/>
      <c r="E82" s="287"/>
      <c r="F82" s="287"/>
      <c r="G82" s="287"/>
      <c r="H82" s="287"/>
      <c r="I82" s="287"/>
      <c r="J82" s="287"/>
      <c r="K82" s="287"/>
    </row>
    <row r="83" spans="1:11" x14ac:dyDescent="0.25">
      <c r="A83" s="287"/>
      <c r="B83" s="287"/>
      <c r="C83" s="287"/>
      <c r="D83" s="287"/>
      <c r="E83" s="287"/>
      <c r="F83" s="287"/>
      <c r="G83" s="287"/>
      <c r="H83" s="287"/>
      <c r="I83" s="287"/>
      <c r="J83" s="287"/>
      <c r="K83" s="287"/>
    </row>
    <row r="84" spans="1:11" x14ac:dyDescent="0.25">
      <c r="A84" s="287"/>
      <c r="B84" s="287"/>
      <c r="C84" s="287"/>
      <c r="D84" s="287"/>
      <c r="E84" s="287"/>
      <c r="F84" s="287"/>
      <c r="G84" s="287"/>
      <c r="H84" s="287"/>
      <c r="I84" s="287"/>
      <c r="J84" s="287"/>
      <c r="K84" s="287"/>
    </row>
    <row r="85" spans="1:11" x14ac:dyDescent="0.25">
      <c r="A85" s="287"/>
      <c r="B85" s="287"/>
      <c r="C85" s="287"/>
      <c r="D85" s="287"/>
      <c r="E85" s="287"/>
      <c r="F85" s="287"/>
      <c r="G85" s="287"/>
      <c r="H85" s="287"/>
      <c r="I85" s="287"/>
      <c r="J85" s="287"/>
      <c r="K85" s="287"/>
    </row>
    <row r="86" spans="1:11" x14ac:dyDescent="0.25">
      <c r="A86" s="287"/>
      <c r="B86" s="287"/>
      <c r="C86" s="287"/>
      <c r="D86" s="287"/>
      <c r="E86" s="287"/>
      <c r="F86" s="287"/>
      <c r="G86" s="287"/>
      <c r="H86" s="287"/>
      <c r="I86" s="287"/>
      <c r="J86" s="287"/>
      <c r="K86" s="287"/>
    </row>
    <row r="87" spans="1:11" x14ac:dyDescent="0.25">
      <c r="A87" s="287"/>
      <c r="B87" s="287"/>
      <c r="C87" s="287"/>
      <c r="D87" s="287"/>
      <c r="E87" s="287"/>
      <c r="F87" s="287"/>
      <c r="G87" s="287"/>
      <c r="H87" s="287"/>
      <c r="I87" s="287"/>
      <c r="J87" s="287"/>
      <c r="K87" s="287"/>
    </row>
    <row r="88" spans="1:11" x14ac:dyDescent="0.25">
      <c r="A88" s="287"/>
      <c r="B88" s="287"/>
      <c r="C88" s="287"/>
      <c r="D88" s="287"/>
      <c r="E88" s="287"/>
      <c r="F88" s="287"/>
      <c r="G88" s="287"/>
      <c r="H88" s="287"/>
      <c r="I88" s="287"/>
      <c r="J88" s="287"/>
      <c r="K88" s="287"/>
    </row>
    <row r="89" spans="1:11" x14ac:dyDescent="0.25">
      <c r="A89" s="287"/>
      <c r="B89" s="287"/>
      <c r="C89" s="287"/>
      <c r="D89" s="287"/>
      <c r="E89" s="287"/>
      <c r="F89" s="287"/>
      <c r="G89" s="287"/>
      <c r="H89" s="287"/>
      <c r="I89" s="287"/>
      <c r="J89" s="287"/>
      <c r="K89" s="287"/>
    </row>
    <row r="90" spans="1:11" x14ac:dyDescent="0.25">
      <c r="A90" s="287"/>
      <c r="B90" s="287"/>
      <c r="C90" s="287"/>
      <c r="D90" s="287"/>
      <c r="E90" s="287"/>
      <c r="F90" s="287"/>
      <c r="G90" s="287"/>
      <c r="H90" s="287"/>
      <c r="I90" s="287"/>
      <c r="J90" s="287"/>
      <c r="K90" s="287"/>
    </row>
    <row r="91" spans="1:11" x14ac:dyDescent="0.25">
      <c r="A91" s="287"/>
      <c r="B91" s="287"/>
      <c r="C91" s="287"/>
      <c r="D91" s="287"/>
      <c r="E91" s="287"/>
      <c r="F91" s="287"/>
      <c r="G91" s="287"/>
      <c r="H91" s="287"/>
      <c r="I91" s="287"/>
      <c r="J91" s="287"/>
      <c r="K91" s="287"/>
    </row>
    <row r="92" spans="1:11" x14ac:dyDescent="0.25">
      <c r="A92" s="287"/>
      <c r="B92" s="287"/>
      <c r="C92" s="287"/>
      <c r="D92" s="287"/>
      <c r="E92" s="287"/>
      <c r="F92" s="287"/>
      <c r="G92" s="287"/>
      <c r="H92" s="287"/>
      <c r="I92" s="287"/>
      <c r="J92" s="287"/>
      <c r="K92" s="287"/>
    </row>
    <row r="93" spans="1:11" x14ac:dyDescent="0.25">
      <c r="A93" s="287"/>
      <c r="B93" s="287"/>
      <c r="C93" s="287"/>
      <c r="D93" s="287"/>
      <c r="E93" s="287"/>
      <c r="F93" s="287"/>
      <c r="G93" s="287"/>
      <c r="H93" s="287"/>
      <c r="I93" s="287"/>
      <c r="J93" s="287"/>
      <c r="K93" s="287"/>
    </row>
    <row r="94" spans="1:11" x14ac:dyDescent="0.25">
      <c r="A94" s="287"/>
      <c r="B94" s="287"/>
      <c r="C94" s="287"/>
      <c r="D94" s="287"/>
      <c r="E94" s="287"/>
      <c r="F94" s="287"/>
      <c r="G94" s="287"/>
      <c r="H94" s="287"/>
      <c r="I94" s="287"/>
      <c r="J94" s="287"/>
      <c r="K94" s="287"/>
    </row>
    <row r="95" spans="1:11" x14ac:dyDescent="0.25">
      <c r="A95" s="287"/>
      <c r="B95" s="287"/>
      <c r="C95" s="287"/>
      <c r="D95" s="287"/>
      <c r="E95" s="287"/>
      <c r="F95" s="287"/>
      <c r="G95" s="287"/>
      <c r="H95" s="287"/>
      <c r="I95" s="287"/>
      <c r="J95" s="287"/>
      <c r="K95" s="287"/>
    </row>
    <row r="96" spans="1:11" x14ac:dyDescent="0.25">
      <c r="A96" s="287"/>
      <c r="B96" s="287"/>
      <c r="C96" s="287"/>
      <c r="D96" s="287"/>
      <c r="E96" s="287"/>
      <c r="F96" s="287"/>
      <c r="G96" s="287"/>
      <c r="H96" s="287"/>
      <c r="I96" s="287"/>
      <c r="J96" s="287"/>
      <c r="K96" s="287"/>
    </row>
    <row r="97" spans="1:11" x14ac:dyDescent="0.25">
      <c r="A97" s="287"/>
      <c r="B97" s="287"/>
      <c r="C97" s="287"/>
      <c r="D97" s="287"/>
      <c r="E97" s="287"/>
      <c r="F97" s="287"/>
      <c r="G97" s="287"/>
      <c r="H97" s="287"/>
      <c r="I97" s="287"/>
      <c r="J97" s="287"/>
      <c r="K97" s="287"/>
    </row>
    <row r="98" spans="1:11" x14ac:dyDescent="0.25">
      <c r="A98" s="287"/>
      <c r="B98" s="287"/>
      <c r="C98" s="287"/>
      <c r="D98" s="287"/>
      <c r="E98" s="287"/>
      <c r="F98" s="287"/>
      <c r="G98" s="287"/>
      <c r="H98" s="287"/>
      <c r="I98" s="287"/>
      <c r="J98" s="287"/>
      <c r="K98" s="287"/>
    </row>
    <row r="99" spans="1:11" x14ac:dyDescent="0.25">
      <c r="A99" s="287"/>
      <c r="B99" s="287"/>
      <c r="C99" s="287"/>
      <c r="D99" s="287"/>
      <c r="E99" s="287"/>
      <c r="F99" s="287"/>
      <c r="G99" s="287"/>
      <c r="H99" s="287"/>
      <c r="I99" s="287"/>
      <c r="J99" s="287"/>
      <c r="K99" s="287"/>
    </row>
    <row r="100" spans="1:11" x14ac:dyDescent="0.25">
      <c r="A100" s="287"/>
      <c r="B100" s="287"/>
      <c r="C100" s="287"/>
      <c r="D100" s="287"/>
      <c r="E100" s="287"/>
      <c r="F100" s="287"/>
      <c r="G100" s="287"/>
      <c r="H100" s="287"/>
      <c r="I100" s="287"/>
      <c r="J100" s="287"/>
      <c r="K100" s="287"/>
    </row>
    <row r="101" spans="1:11" x14ac:dyDescent="0.25">
      <c r="A101" s="287"/>
      <c r="B101" s="287"/>
      <c r="C101" s="287"/>
      <c r="D101" s="287"/>
      <c r="E101" s="287"/>
      <c r="F101" s="287"/>
      <c r="G101" s="287"/>
      <c r="H101" s="287"/>
      <c r="I101" s="287"/>
      <c r="J101" s="287"/>
      <c r="K101" s="287"/>
    </row>
    <row r="102" spans="1:11" x14ac:dyDescent="0.25">
      <c r="A102" s="287"/>
      <c r="B102" s="287"/>
      <c r="C102" s="287"/>
      <c r="D102" s="287"/>
      <c r="E102" s="287"/>
      <c r="F102" s="287"/>
      <c r="G102" s="287"/>
      <c r="H102" s="287"/>
      <c r="I102" s="287"/>
      <c r="J102" s="287"/>
      <c r="K102" s="287"/>
    </row>
    <row r="103" spans="1:11" x14ac:dyDescent="0.25">
      <c r="A103" s="287"/>
      <c r="B103" s="287"/>
      <c r="C103" s="287"/>
      <c r="D103" s="287"/>
      <c r="E103" s="287"/>
      <c r="F103" s="287"/>
      <c r="G103" s="287"/>
      <c r="H103" s="287"/>
      <c r="I103" s="287"/>
      <c r="J103" s="287"/>
      <c r="K103" s="287"/>
    </row>
    <row r="104" spans="1:11" x14ac:dyDescent="0.25">
      <c r="A104" s="287"/>
      <c r="B104" s="287"/>
      <c r="C104" s="287"/>
      <c r="D104" s="287"/>
      <c r="E104" s="287"/>
      <c r="F104" s="287"/>
      <c r="G104" s="287"/>
      <c r="H104" s="287"/>
      <c r="I104" s="287"/>
      <c r="J104" s="287"/>
      <c r="K104" s="287"/>
    </row>
    <row r="105" spans="1:11" x14ac:dyDescent="0.25">
      <c r="A105" s="287"/>
      <c r="B105" s="287"/>
      <c r="C105" s="287"/>
      <c r="D105" s="287"/>
      <c r="E105" s="287"/>
      <c r="F105" s="287"/>
      <c r="G105" s="287"/>
      <c r="H105" s="287"/>
      <c r="I105" s="287"/>
      <c r="J105" s="287"/>
      <c r="K105" s="287"/>
    </row>
    <row r="106" spans="1:11" x14ac:dyDescent="0.25">
      <c r="A106" s="287"/>
      <c r="B106" s="287"/>
      <c r="C106" s="287"/>
      <c r="D106" s="287"/>
      <c r="E106" s="287"/>
      <c r="F106" s="287"/>
      <c r="G106" s="287"/>
      <c r="H106" s="287"/>
      <c r="I106" s="287"/>
      <c r="J106" s="287"/>
      <c r="K106" s="287"/>
    </row>
    <row r="107" spans="1:11" x14ac:dyDescent="0.25">
      <c r="A107" s="287"/>
      <c r="B107" s="287"/>
      <c r="C107" s="287"/>
      <c r="D107" s="287"/>
      <c r="E107" s="287"/>
      <c r="F107" s="287"/>
      <c r="G107" s="287"/>
      <c r="H107" s="287"/>
      <c r="I107" s="287"/>
      <c r="J107" s="287"/>
      <c r="K107" s="287"/>
    </row>
    <row r="108" spans="1:11" x14ac:dyDescent="0.25">
      <c r="A108" s="287"/>
      <c r="B108" s="287"/>
      <c r="C108" s="287"/>
      <c r="D108" s="287"/>
      <c r="E108" s="287"/>
      <c r="F108" s="287"/>
      <c r="G108" s="287"/>
      <c r="H108" s="287"/>
      <c r="I108" s="287"/>
      <c r="J108" s="287"/>
      <c r="K108" s="287"/>
    </row>
    <row r="109" spans="1:11" x14ac:dyDescent="0.25">
      <c r="A109" s="287"/>
      <c r="B109" s="287"/>
      <c r="C109" s="287"/>
      <c r="D109" s="287"/>
      <c r="E109" s="287"/>
      <c r="F109" s="287"/>
      <c r="G109" s="287"/>
      <c r="H109" s="287"/>
      <c r="I109" s="287"/>
      <c r="J109" s="287"/>
      <c r="K109" s="287"/>
    </row>
    <row r="110" spans="1:11" x14ac:dyDescent="0.25">
      <c r="A110" s="287"/>
      <c r="B110" s="287"/>
      <c r="C110" s="287"/>
      <c r="D110" s="287"/>
      <c r="E110" s="287"/>
      <c r="F110" s="287"/>
      <c r="G110" s="287"/>
      <c r="H110" s="287"/>
      <c r="I110" s="287"/>
      <c r="J110" s="287"/>
      <c r="K110" s="287"/>
    </row>
    <row r="111" spans="1:11" x14ac:dyDescent="0.25">
      <c r="A111" s="287"/>
      <c r="B111" s="287"/>
      <c r="C111" s="287"/>
      <c r="D111" s="287"/>
      <c r="E111" s="287"/>
      <c r="F111" s="287"/>
      <c r="G111" s="287"/>
      <c r="H111" s="287"/>
      <c r="I111" s="287"/>
      <c r="J111" s="287"/>
      <c r="K111" s="287"/>
    </row>
    <row r="112" spans="1:11" x14ac:dyDescent="0.25">
      <c r="A112" s="287"/>
      <c r="B112" s="287"/>
      <c r="C112" s="287"/>
      <c r="D112" s="287"/>
      <c r="E112" s="287"/>
      <c r="F112" s="287"/>
      <c r="G112" s="287"/>
      <c r="H112" s="287"/>
      <c r="I112" s="287"/>
      <c r="J112" s="287"/>
      <c r="K112" s="287"/>
    </row>
    <row r="113" spans="1:11" x14ac:dyDescent="0.25">
      <c r="A113" s="287"/>
      <c r="B113" s="287"/>
      <c r="C113" s="287"/>
      <c r="D113" s="287"/>
      <c r="E113" s="287"/>
      <c r="F113" s="287"/>
      <c r="G113" s="287"/>
      <c r="H113" s="287"/>
      <c r="I113" s="287"/>
      <c r="J113" s="287"/>
      <c r="K113" s="287"/>
    </row>
    <row r="114" spans="1:11" x14ac:dyDescent="0.25">
      <c r="A114" s="287"/>
      <c r="B114" s="287"/>
      <c r="C114" s="287"/>
      <c r="D114" s="287"/>
      <c r="E114" s="287"/>
      <c r="F114" s="287"/>
      <c r="G114" s="287"/>
      <c r="H114" s="287"/>
      <c r="I114" s="287"/>
      <c r="J114" s="287"/>
      <c r="K114" s="287"/>
    </row>
    <row r="115" spans="1:11" x14ac:dyDescent="0.25">
      <c r="A115" s="287"/>
      <c r="B115" s="287"/>
      <c r="C115" s="287"/>
      <c r="D115" s="287"/>
      <c r="E115" s="287"/>
      <c r="F115" s="287"/>
      <c r="G115" s="287"/>
      <c r="H115" s="287"/>
      <c r="I115" s="287"/>
      <c r="J115" s="287"/>
      <c r="K115" s="287"/>
    </row>
    <row r="116" spans="1:11" x14ac:dyDescent="0.25">
      <c r="A116" s="287"/>
      <c r="B116" s="287"/>
      <c r="C116" s="287"/>
      <c r="D116" s="287"/>
      <c r="E116" s="287"/>
      <c r="F116" s="287"/>
      <c r="G116" s="287"/>
      <c r="H116" s="287"/>
      <c r="I116" s="287"/>
      <c r="J116" s="287"/>
      <c r="K116" s="287"/>
    </row>
    <row r="117" spans="1:11" x14ac:dyDescent="0.25">
      <c r="A117" s="287"/>
      <c r="B117" s="287"/>
      <c r="C117" s="287"/>
      <c r="D117" s="287"/>
      <c r="E117" s="287"/>
      <c r="F117" s="287"/>
      <c r="G117" s="287"/>
      <c r="H117" s="287"/>
      <c r="I117" s="287"/>
      <c r="J117" s="287"/>
      <c r="K117" s="287"/>
    </row>
    <row r="118" spans="1:11" x14ac:dyDescent="0.25">
      <c r="A118" s="287"/>
      <c r="B118" s="287"/>
      <c r="C118" s="287"/>
      <c r="D118" s="287"/>
      <c r="E118" s="287"/>
      <c r="F118" s="287"/>
      <c r="G118" s="287"/>
      <c r="H118" s="287"/>
      <c r="I118" s="287"/>
      <c r="J118" s="287"/>
      <c r="K118" s="287"/>
    </row>
    <row r="119" spans="1:11" x14ac:dyDescent="0.25">
      <c r="A119" s="287"/>
      <c r="B119" s="287"/>
      <c r="C119" s="287"/>
      <c r="D119" s="287"/>
      <c r="E119" s="287"/>
      <c r="F119" s="287"/>
      <c r="G119" s="287"/>
      <c r="H119" s="287"/>
      <c r="I119" s="287"/>
      <c r="J119" s="287"/>
      <c r="K119" s="287"/>
    </row>
    <row r="120" spans="1:11" x14ac:dyDescent="0.25">
      <c r="A120" s="287"/>
      <c r="B120" s="287"/>
      <c r="C120" s="287"/>
      <c r="D120" s="287"/>
      <c r="E120" s="287"/>
      <c r="F120" s="287"/>
      <c r="G120" s="287"/>
      <c r="H120" s="287"/>
      <c r="I120" s="287"/>
      <c r="J120" s="287"/>
      <c r="K120" s="287"/>
    </row>
    <row r="121" spans="1:11" x14ac:dyDescent="0.25">
      <c r="A121" s="287"/>
      <c r="B121" s="287"/>
      <c r="C121" s="287"/>
      <c r="D121" s="287"/>
      <c r="E121" s="287"/>
      <c r="F121" s="287"/>
      <c r="G121" s="287"/>
      <c r="H121" s="287"/>
      <c r="I121" s="287"/>
      <c r="J121" s="287"/>
      <c r="K121" s="287"/>
    </row>
    <row r="122" spans="1:11" x14ac:dyDescent="0.25">
      <c r="A122" s="287"/>
      <c r="B122" s="287"/>
      <c r="C122" s="287"/>
      <c r="D122" s="287"/>
      <c r="E122" s="287"/>
      <c r="F122" s="287"/>
      <c r="G122" s="287"/>
      <c r="H122" s="287"/>
      <c r="I122" s="287"/>
      <c r="J122" s="287"/>
      <c r="K122" s="287"/>
    </row>
    <row r="123" spans="1:11" x14ac:dyDescent="0.25">
      <c r="A123" s="287"/>
      <c r="B123" s="287"/>
      <c r="C123" s="287"/>
      <c r="D123" s="287"/>
      <c r="E123" s="287"/>
      <c r="F123" s="287"/>
      <c r="G123" s="287"/>
      <c r="H123" s="287"/>
      <c r="I123" s="287"/>
      <c r="J123" s="287"/>
      <c r="K123" s="287"/>
    </row>
    <row r="124" spans="1:11" x14ac:dyDescent="0.25">
      <c r="A124" s="287"/>
      <c r="B124" s="287"/>
      <c r="C124" s="287"/>
      <c r="D124" s="287"/>
      <c r="E124" s="287"/>
      <c r="F124" s="287"/>
      <c r="G124" s="287"/>
      <c r="H124" s="287"/>
      <c r="I124" s="287"/>
      <c r="J124" s="287"/>
      <c r="K124" s="287"/>
    </row>
    <row r="125" spans="1:11" x14ac:dyDescent="0.25">
      <c r="A125" s="287"/>
      <c r="B125" s="287"/>
      <c r="C125" s="287"/>
      <c r="D125" s="287"/>
      <c r="E125" s="287"/>
      <c r="F125" s="287"/>
      <c r="G125" s="287"/>
      <c r="H125" s="287"/>
      <c r="I125" s="287"/>
      <c r="J125" s="287"/>
      <c r="K125" s="287"/>
    </row>
    <row r="126" spans="1:11" x14ac:dyDescent="0.25">
      <c r="A126" s="287"/>
      <c r="B126" s="287"/>
      <c r="C126" s="287"/>
      <c r="D126" s="287"/>
      <c r="E126" s="287"/>
      <c r="F126" s="287"/>
      <c r="G126" s="287"/>
      <c r="H126" s="287"/>
      <c r="I126" s="287"/>
      <c r="J126" s="287"/>
      <c r="K126" s="287"/>
    </row>
    <row r="127" spans="1:11" x14ac:dyDescent="0.25">
      <c r="A127" s="287"/>
      <c r="B127" s="287"/>
      <c r="C127" s="287"/>
      <c r="D127" s="287"/>
      <c r="E127" s="287"/>
      <c r="F127" s="287"/>
      <c r="G127" s="287"/>
      <c r="H127" s="287"/>
      <c r="I127" s="287"/>
      <c r="J127" s="287"/>
      <c r="K127" s="287"/>
    </row>
    <row r="128" spans="1:11" x14ac:dyDescent="0.25">
      <c r="A128" s="287"/>
      <c r="B128" s="287"/>
      <c r="C128" s="287"/>
      <c r="D128" s="287"/>
      <c r="E128" s="287"/>
      <c r="F128" s="287"/>
      <c r="G128" s="287"/>
      <c r="H128" s="287"/>
      <c r="I128" s="287"/>
      <c r="J128" s="287"/>
      <c r="K128" s="287"/>
    </row>
    <row r="129" spans="1:11" x14ac:dyDescent="0.25">
      <c r="A129" s="287"/>
      <c r="B129" s="287"/>
      <c r="C129" s="287"/>
      <c r="D129" s="287"/>
      <c r="E129" s="287"/>
      <c r="F129" s="287"/>
      <c r="G129" s="287"/>
      <c r="H129" s="287"/>
      <c r="I129" s="287"/>
      <c r="J129" s="287"/>
      <c r="K129" s="287"/>
    </row>
    <row r="130" spans="1:11" x14ac:dyDescent="0.25">
      <c r="A130" s="287"/>
      <c r="B130" s="287"/>
      <c r="C130" s="287"/>
      <c r="D130" s="287"/>
      <c r="E130" s="287"/>
      <c r="F130" s="287"/>
      <c r="G130" s="287"/>
      <c r="H130" s="287"/>
      <c r="I130" s="287"/>
      <c r="J130" s="287"/>
      <c r="K130" s="287"/>
    </row>
    <row r="131" spans="1:11" x14ac:dyDescent="0.25">
      <c r="A131" s="287"/>
      <c r="B131" s="287"/>
      <c r="C131" s="287"/>
      <c r="D131" s="287"/>
      <c r="E131" s="287"/>
      <c r="F131" s="287"/>
      <c r="G131" s="287"/>
      <c r="H131" s="287"/>
      <c r="I131" s="287"/>
      <c r="J131" s="287"/>
      <c r="K131" s="287"/>
    </row>
    <row r="132" spans="1:11" x14ac:dyDescent="0.25">
      <c r="A132" s="287"/>
      <c r="B132" s="287"/>
      <c r="C132" s="287"/>
      <c r="D132" s="287"/>
      <c r="E132" s="287"/>
      <c r="F132" s="287"/>
      <c r="G132" s="287"/>
      <c r="H132" s="287"/>
      <c r="I132" s="287"/>
      <c r="J132" s="287"/>
      <c r="K132" s="287"/>
    </row>
    <row r="133" spans="1:11" x14ac:dyDescent="0.25">
      <c r="A133" s="287"/>
      <c r="B133" s="287"/>
      <c r="C133" s="287"/>
      <c r="D133" s="287"/>
      <c r="E133" s="287"/>
      <c r="F133" s="287"/>
      <c r="G133" s="287"/>
      <c r="H133" s="287"/>
      <c r="I133" s="287"/>
      <c r="J133" s="287"/>
      <c r="K133" s="287"/>
    </row>
    <row r="134" spans="1:11" x14ac:dyDescent="0.25">
      <c r="A134" s="287"/>
      <c r="B134" s="287"/>
      <c r="C134" s="287"/>
      <c r="D134" s="287"/>
      <c r="E134" s="287"/>
      <c r="F134" s="287"/>
      <c r="G134" s="287"/>
      <c r="H134" s="287"/>
      <c r="I134" s="287"/>
      <c r="J134" s="287"/>
      <c r="K134" s="287"/>
    </row>
    <row r="135" spans="1:11" x14ac:dyDescent="0.25">
      <c r="A135" s="287"/>
      <c r="B135" s="287"/>
      <c r="C135" s="287"/>
      <c r="D135" s="287"/>
      <c r="E135" s="287"/>
      <c r="F135" s="287"/>
      <c r="G135" s="287"/>
      <c r="H135" s="287"/>
      <c r="I135" s="287"/>
      <c r="J135" s="287"/>
      <c r="K135" s="287"/>
    </row>
    <row r="136" spans="1:11" x14ac:dyDescent="0.25">
      <c r="A136" s="287"/>
      <c r="B136" s="287"/>
      <c r="C136" s="287"/>
      <c r="D136" s="287"/>
      <c r="E136" s="287"/>
      <c r="F136" s="287"/>
      <c r="G136" s="287"/>
      <c r="H136" s="287"/>
      <c r="I136" s="287"/>
      <c r="J136" s="287"/>
      <c r="K136" s="287"/>
    </row>
    <row r="137" spans="1:11" x14ac:dyDescent="0.25">
      <c r="A137" s="287"/>
      <c r="B137" s="287"/>
      <c r="C137" s="287"/>
      <c r="D137" s="287"/>
      <c r="E137" s="287"/>
      <c r="F137" s="287"/>
      <c r="G137" s="287"/>
      <c r="H137" s="287"/>
      <c r="I137" s="287"/>
      <c r="J137" s="287"/>
      <c r="K137" s="287"/>
    </row>
    <row r="138" spans="1:11" x14ac:dyDescent="0.25">
      <c r="A138" s="287"/>
      <c r="B138" s="287"/>
      <c r="C138" s="287"/>
      <c r="D138" s="287"/>
      <c r="E138" s="287"/>
      <c r="F138" s="287"/>
      <c r="G138" s="287"/>
      <c r="H138" s="287"/>
      <c r="I138" s="287"/>
      <c r="J138" s="287"/>
      <c r="K138" s="287"/>
    </row>
    <row r="139" spans="1:11" x14ac:dyDescent="0.25">
      <c r="A139" s="287"/>
      <c r="B139" s="287"/>
      <c r="C139" s="287"/>
      <c r="D139" s="287"/>
      <c r="E139" s="287"/>
      <c r="F139" s="287"/>
      <c r="G139" s="287"/>
      <c r="H139" s="287"/>
      <c r="I139" s="287"/>
      <c r="J139" s="287"/>
      <c r="K139" s="287"/>
    </row>
    <row r="140" spans="1:11" x14ac:dyDescent="0.25">
      <c r="A140" s="1721" t="s">
        <v>530</v>
      </c>
      <c r="B140" s="1721"/>
      <c r="C140" s="1721"/>
      <c r="D140" s="1721"/>
      <c r="E140" s="1721"/>
      <c r="F140" s="1721"/>
      <c r="G140" s="1721"/>
      <c r="H140" s="1721"/>
      <c r="I140" s="1721"/>
      <c r="J140" s="1721"/>
      <c r="K140" s="1721"/>
    </row>
    <row r="141" spans="1:11" ht="15.75" thickBot="1" x14ac:dyDescent="0.3">
      <c r="A141" s="1722" t="s">
        <v>531</v>
      </c>
      <c r="B141" s="1722"/>
      <c r="C141" s="1722"/>
      <c r="D141" s="1722"/>
      <c r="E141" s="1722"/>
      <c r="F141" s="1722"/>
      <c r="G141" s="1722"/>
      <c r="H141" s="1722"/>
      <c r="I141" s="1722"/>
      <c r="J141" s="1722"/>
      <c r="K141" s="1722"/>
    </row>
    <row r="142" spans="1:11" x14ac:dyDescent="0.25">
      <c r="A142" s="288" t="s">
        <v>532</v>
      </c>
      <c r="B142" s="289">
        <v>2010</v>
      </c>
      <c r="C142" s="289">
        <v>2011</v>
      </c>
      <c r="D142" s="289">
        <v>2012</v>
      </c>
      <c r="E142" s="289">
        <v>2013</v>
      </c>
      <c r="F142" s="289">
        <v>2014</v>
      </c>
      <c r="G142" s="290">
        <v>2015</v>
      </c>
      <c r="H142" s="290">
        <v>2016</v>
      </c>
      <c r="I142" s="290">
        <v>2017</v>
      </c>
      <c r="J142" s="290">
        <v>2018</v>
      </c>
      <c r="K142" s="291" t="s">
        <v>528</v>
      </c>
    </row>
    <row r="143" spans="1:11" x14ac:dyDescent="0.25">
      <c r="A143" s="292"/>
      <c r="B143" s="293"/>
      <c r="C143" s="293"/>
      <c r="D143" s="293"/>
      <c r="E143" s="293"/>
      <c r="F143" s="293"/>
      <c r="G143" s="293"/>
      <c r="H143" s="293"/>
      <c r="I143" s="293"/>
      <c r="J143" s="293"/>
      <c r="K143" s="294"/>
    </row>
    <row r="144" spans="1:11" x14ac:dyDescent="0.25">
      <c r="A144" s="295" t="s">
        <v>285</v>
      </c>
      <c r="B144" s="296">
        <f>+B145+B150</f>
        <v>617.39999999999986</v>
      </c>
      <c r="C144" s="296">
        <f>+C145+C150</f>
        <v>630</v>
      </c>
      <c r="D144" s="296">
        <f t="shared" ref="D144:K144" si="2">+D145+D150</f>
        <v>668.6</v>
      </c>
      <c r="E144" s="296">
        <f t="shared" si="2"/>
        <v>632.9</v>
      </c>
      <c r="F144" s="296">
        <f t="shared" si="2"/>
        <v>676.88</v>
      </c>
      <c r="G144" s="296">
        <f t="shared" si="2"/>
        <v>683.6</v>
      </c>
      <c r="H144" s="296">
        <f t="shared" si="2"/>
        <v>767.8</v>
      </c>
      <c r="I144" s="296">
        <f t="shared" si="2"/>
        <v>719.90000000000009</v>
      </c>
      <c r="J144" s="296">
        <f t="shared" si="2"/>
        <v>695.8</v>
      </c>
      <c r="K144" s="297">
        <f t="shared" si="2"/>
        <v>464.09999999999997</v>
      </c>
    </row>
    <row r="145" spans="1:11" x14ac:dyDescent="0.25">
      <c r="A145" s="295" t="s">
        <v>533</v>
      </c>
      <c r="B145" s="296">
        <f>+SUM(B146:B149)</f>
        <v>514.09999999999991</v>
      </c>
      <c r="C145" s="296">
        <f>+SUM(C146:C149)</f>
        <v>519.9</v>
      </c>
      <c r="D145" s="296">
        <f t="shared" ref="D145:K145" si="3">+SUM(D146:D149)</f>
        <v>581.9</v>
      </c>
      <c r="E145" s="296">
        <f t="shared" si="3"/>
        <v>578.5</v>
      </c>
      <c r="F145" s="296">
        <f t="shared" si="3"/>
        <v>602.41</v>
      </c>
      <c r="G145" s="296">
        <f t="shared" si="3"/>
        <v>625.9</v>
      </c>
      <c r="H145" s="296">
        <f t="shared" si="3"/>
        <v>622.09999999999991</v>
      </c>
      <c r="I145" s="296">
        <f t="shared" si="3"/>
        <v>644.20000000000005</v>
      </c>
      <c r="J145" s="296">
        <f t="shared" si="3"/>
        <v>643.79999999999995</v>
      </c>
      <c r="K145" s="297">
        <f t="shared" si="3"/>
        <v>443.9</v>
      </c>
    </row>
    <row r="146" spans="1:11" x14ac:dyDescent="0.25">
      <c r="A146" s="298" t="s">
        <v>534</v>
      </c>
      <c r="B146" s="299">
        <v>71.3</v>
      </c>
      <c r="C146" s="299">
        <v>91.5</v>
      </c>
      <c r="D146" s="299">
        <v>75.900000000000006</v>
      </c>
      <c r="E146" s="299">
        <v>46</v>
      </c>
      <c r="F146" s="299">
        <v>47.15</v>
      </c>
      <c r="G146" s="299">
        <v>54</v>
      </c>
      <c r="H146" s="299">
        <v>46.7</v>
      </c>
      <c r="I146" s="299">
        <v>40.9</v>
      </c>
      <c r="J146" s="299">
        <v>43.2</v>
      </c>
      <c r="K146" s="300">
        <v>38.299999999999997</v>
      </c>
    </row>
    <row r="147" spans="1:11" x14ac:dyDescent="0.25">
      <c r="A147" s="301" t="s">
        <v>535</v>
      </c>
      <c r="B147" s="299">
        <v>98.6</v>
      </c>
      <c r="C147" s="299">
        <v>68.3</v>
      </c>
      <c r="D147" s="299">
        <v>71.599999999999994</v>
      </c>
      <c r="E147" s="299">
        <v>80</v>
      </c>
      <c r="F147" s="299">
        <v>88.57</v>
      </c>
      <c r="G147" s="299">
        <v>106.9</v>
      </c>
      <c r="H147" s="299">
        <v>119.3</v>
      </c>
      <c r="I147" s="299">
        <v>128.30000000000001</v>
      </c>
      <c r="J147" s="299">
        <v>140.19999999999999</v>
      </c>
      <c r="K147" s="300">
        <v>91.4</v>
      </c>
    </row>
    <row r="148" spans="1:11" x14ac:dyDescent="0.25">
      <c r="A148" s="301" t="s">
        <v>536</v>
      </c>
      <c r="B148" s="299">
        <v>11.7</v>
      </c>
      <c r="C148" s="299">
        <v>11.899999999999999</v>
      </c>
      <c r="D148" s="299">
        <v>14.1</v>
      </c>
      <c r="E148" s="299">
        <v>13.4</v>
      </c>
      <c r="F148" s="299">
        <v>11.61</v>
      </c>
      <c r="G148" s="299">
        <v>14.7</v>
      </c>
      <c r="H148" s="299">
        <v>6.2</v>
      </c>
      <c r="I148" s="299">
        <v>8.8000000000000007</v>
      </c>
      <c r="J148" s="299">
        <v>9.6</v>
      </c>
      <c r="K148" s="300">
        <v>5.6</v>
      </c>
    </row>
    <row r="149" spans="1:11" x14ac:dyDescent="0.25">
      <c r="A149" s="301" t="s">
        <v>537</v>
      </c>
      <c r="B149" s="299">
        <v>332.5</v>
      </c>
      <c r="C149" s="299">
        <v>348.2</v>
      </c>
      <c r="D149" s="299">
        <v>420.3</v>
      </c>
      <c r="E149" s="299">
        <v>439.1</v>
      </c>
      <c r="F149" s="299">
        <v>455.08</v>
      </c>
      <c r="G149" s="299">
        <v>450.3</v>
      </c>
      <c r="H149" s="299">
        <v>449.9</v>
      </c>
      <c r="I149" s="299">
        <v>466.2</v>
      </c>
      <c r="J149" s="299">
        <v>450.8</v>
      </c>
      <c r="K149" s="300">
        <v>308.60000000000002</v>
      </c>
    </row>
    <row r="150" spans="1:11" x14ac:dyDescent="0.25">
      <c r="A150" s="295" t="s">
        <v>538</v>
      </c>
      <c r="B150" s="296">
        <f>+SUM(B151:B153)</f>
        <v>103.30000000000001</v>
      </c>
      <c r="C150" s="296">
        <f>+SUM(C151:C153)</f>
        <v>110.1</v>
      </c>
      <c r="D150" s="296">
        <f t="shared" ref="D150:K150" si="4">+SUM(D151:D153)</f>
        <v>86.7</v>
      </c>
      <c r="E150" s="296">
        <f t="shared" si="4"/>
        <v>54.4</v>
      </c>
      <c r="F150" s="296">
        <f t="shared" si="4"/>
        <v>74.47</v>
      </c>
      <c r="G150" s="296">
        <f t="shared" si="4"/>
        <v>57.7</v>
      </c>
      <c r="H150" s="296">
        <f t="shared" si="4"/>
        <v>145.69999999999999</v>
      </c>
      <c r="I150" s="296">
        <f t="shared" si="4"/>
        <v>75.7</v>
      </c>
      <c r="J150" s="296">
        <f t="shared" si="4"/>
        <v>52</v>
      </c>
      <c r="K150" s="297">
        <f t="shared" si="4"/>
        <v>20.2</v>
      </c>
    </row>
    <row r="151" spans="1:11" x14ac:dyDescent="0.25">
      <c r="A151" s="302" t="s">
        <v>539</v>
      </c>
      <c r="B151" s="299">
        <v>33.6</v>
      </c>
      <c r="C151" s="299">
        <v>30.9</v>
      </c>
      <c r="D151" s="299">
        <v>31.5</v>
      </c>
      <c r="E151" s="299">
        <v>16.399999999999999</v>
      </c>
      <c r="F151" s="299">
        <v>36.6</v>
      </c>
      <c r="G151" s="299">
        <v>44.1</v>
      </c>
      <c r="H151" s="299">
        <v>124</v>
      </c>
      <c r="I151" s="299">
        <v>43.7</v>
      </c>
      <c r="J151" s="299">
        <v>22.3</v>
      </c>
      <c r="K151" s="300">
        <v>7.9</v>
      </c>
    </row>
    <row r="152" spans="1:11" x14ac:dyDescent="0.25">
      <c r="A152" s="302" t="s">
        <v>540</v>
      </c>
      <c r="B152" s="303" t="s">
        <v>541</v>
      </c>
      <c r="C152" s="303" t="s">
        <v>541</v>
      </c>
      <c r="D152" s="303" t="s">
        <v>541</v>
      </c>
      <c r="E152" s="303" t="s">
        <v>541</v>
      </c>
      <c r="F152" s="303" t="s">
        <v>541</v>
      </c>
      <c r="G152" s="303" t="s">
        <v>541</v>
      </c>
      <c r="H152" s="303" t="s">
        <v>541</v>
      </c>
      <c r="I152" s="303">
        <v>9.6999999999999993</v>
      </c>
      <c r="J152" s="303">
        <v>7.7</v>
      </c>
      <c r="K152" s="304">
        <v>3.6</v>
      </c>
    </row>
    <row r="153" spans="1:11" x14ac:dyDescent="0.25">
      <c r="A153" s="302" t="s">
        <v>542</v>
      </c>
      <c r="B153" s="303">
        <v>69.7</v>
      </c>
      <c r="C153" s="303">
        <v>79.2</v>
      </c>
      <c r="D153" s="303">
        <v>55.2</v>
      </c>
      <c r="E153" s="303">
        <v>38</v>
      </c>
      <c r="F153" s="303">
        <v>37.869999999999997</v>
      </c>
      <c r="G153" s="303">
        <v>13.6</v>
      </c>
      <c r="H153" s="303">
        <v>21.7</v>
      </c>
      <c r="I153" s="303">
        <v>22.3</v>
      </c>
      <c r="J153" s="303">
        <v>22</v>
      </c>
      <c r="K153" s="304">
        <v>8.6999999999999993</v>
      </c>
    </row>
    <row r="154" spans="1:11" ht="15.75" thickBot="1" x14ac:dyDescent="0.3">
      <c r="A154" s="305"/>
      <c r="B154" s="306"/>
      <c r="C154" s="306"/>
      <c r="D154" s="306"/>
      <c r="E154" s="306"/>
      <c r="F154" s="306"/>
      <c r="G154" s="306"/>
      <c r="H154" s="306"/>
      <c r="I154" s="306"/>
      <c r="J154" s="306"/>
      <c r="K154" s="307"/>
    </row>
    <row r="155" spans="1:11" x14ac:dyDescent="0.25">
      <c r="A155" s="235" t="s">
        <v>529</v>
      </c>
      <c r="B155" s="236"/>
      <c r="C155" s="236"/>
      <c r="D155" s="236"/>
      <c r="E155" s="236"/>
      <c r="F155" s="236"/>
      <c r="G155" s="236"/>
      <c r="H155" s="236"/>
      <c r="I155" s="236"/>
      <c r="J155" s="236"/>
      <c r="K155" s="236"/>
    </row>
    <row r="156" spans="1:11" x14ac:dyDescent="0.25">
      <c r="A156" s="1720" t="s">
        <v>543</v>
      </c>
      <c r="B156" s="1720"/>
      <c r="C156" s="1720"/>
      <c r="D156" s="1720"/>
      <c r="E156" s="308"/>
      <c r="F156" s="308"/>
      <c r="G156" s="308"/>
      <c r="H156" s="308"/>
      <c r="I156" s="308"/>
      <c r="J156" s="309"/>
      <c r="K156" s="308"/>
    </row>
    <row r="157" spans="1:11" x14ac:dyDescent="0.25">
      <c r="A157" s="310" t="s">
        <v>524</v>
      </c>
      <c r="B157" s="310"/>
      <c r="C157" s="310"/>
      <c r="D157" s="310"/>
      <c r="E157" s="310"/>
      <c r="F157" s="310"/>
      <c r="G157" s="310"/>
      <c r="H157" s="310"/>
      <c r="I157" s="310"/>
      <c r="J157" s="309"/>
      <c r="K157" s="310"/>
    </row>
    <row r="158" spans="1:11" x14ac:dyDescent="0.25">
      <c r="A158" s="287"/>
      <c r="B158" s="287"/>
      <c r="C158" s="287"/>
      <c r="D158" s="287"/>
      <c r="E158" s="287"/>
      <c r="F158" s="287"/>
      <c r="G158" s="287"/>
      <c r="H158" s="287"/>
      <c r="I158" s="287"/>
      <c r="J158" s="287"/>
      <c r="K158" s="287"/>
    </row>
    <row r="159" spans="1:11" x14ac:dyDescent="0.25">
      <c r="A159" s="287"/>
      <c r="B159" s="287"/>
      <c r="C159" s="287"/>
      <c r="D159" s="287"/>
      <c r="E159" s="287"/>
      <c r="F159" s="287"/>
      <c r="G159" s="287"/>
      <c r="H159" s="287"/>
      <c r="I159" s="287"/>
      <c r="J159" s="287"/>
      <c r="K159" s="287"/>
    </row>
    <row r="160" spans="1:11" x14ac:dyDescent="0.25">
      <c r="A160" s="287"/>
      <c r="B160" s="287"/>
      <c r="C160" s="287"/>
      <c r="D160" s="287"/>
      <c r="E160" s="287"/>
      <c r="F160" s="287"/>
      <c r="G160" s="287"/>
      <c r="H160" s="287"/>
      <c r="I160" s="287"/>
      <c r="J160" s="287"/>
      <c r="K160" s="287"/>
    </row>
    <row r="161" spans="1:11" x14ac:dyDescent="0.25">
      <c r="A161" s="287"/>
      <c r="B161" s="287"/>
      <c r="C161" s="287"/>
      <c r="D161" s="287"/>
      <c r="E161" s="287"/>
      <c r="F161" s="287"/>
      <c r="G161" s="287"/>
      <c r="H161" s="287"/>
      <c r="I161" s="287"/>
      <c r="J161" s="287"/>
      <c r="K161" s="287"/>
    </row>
    <row r="162" spans="1:11" x14ac:dyDescent="0.25">
      <c r="A162" s="287"/>
      <c r="B162" s="287"/>
      <c r="C162" s="287"/>
      <c r="D162" s="287"/>
      <c r="E162" s="287"/>
      <c r="F162" s="287"/>
      <c r="G162" s="287"/>
      <c r="H162" s="287"/>
      <c r="I162" s="287"/>
      <c r="J162" s="287"/>
      <c r="K162" s="287"/>
    </row>
    <row r="163" spans="1:11" x14ac:dyDescent="0.25">
      <c r="A163" s="287"/>
      <c r="B163" s="287"/>
      <c r="C163" s="287"/>
      <c r="D163" s="287"/>
      <c r="E163" s="287"/>
      <c r="F163" s="287"/>
      <c r="G163" s="287"/>
      <c r="H163" s="287"/>
      <c r="I163" s="287"/>
      <c r="J163" s="287"/>
      <c r="K163" s="287"/>
    </row>
    <row r="164" spans="1:11" x14ac:dyDescent="0.25">
      <c r="A164" s="287"/>
      <c r="B164" s="287"/>
      <c r="C164" s="287"/>
      <c r="D164" s="287"/>
      <c r="E164" s="287"/>
      <c r="F164" s="287"/>
      <c r="G164" s="287"/>
      <c r="H164" s="287"/>
      <c r="I164" s="287"/>
      <c r="J164" s="287"/>
      <c r="K164" s="287"/>
    </row>
    <row r="165" spans="1:11" x14ac:dyDescent="0.25">
      <c r="A165" s="287"/>
      <c r="B165" s="287"/>
      <c r="C165" s="287"/>
      <c r="D165" s="287"/>
      <c r="E165" s="287"/>
      <c r="F165" s="287"/>
      <c r="G165" s="287"/>
      <c r="H165" s="287"/>
      <c r="I165" s="287"/>
      <c r="J165" s="287"/>
      <c r="K165" s="287"/>
    </row>
    <row r="166" spans="1:11" x14ac:dyDescent="0.25">
      <c r="A166" s="287"/>
      <c r="B166" s="287"/>
      <c r="C166" s="287"/>
      <c r="D166" s="287"/>
      <c r="E166" s="287"/>
      <c r="F166" s="287"/>
      <c r="G166" s="287"/>
      <c r="H166" s="287"/>
      <c r="I166" s="287"/>
      <c r="J166" s="287"/>
      <c r="K166" s="287"/>
    </row>
    <row r="167" spans="1:11" x14ac:dyDescent="0.25">
      <c r="A167" s="287"/>
      <c r="B167" s="287"/>
      <c r="C167" s="287"/>
      <c r="D167" s="287"/>
      <c r="E167" s="287"/>
      <c r="F167" s="287"/>
      <c r="G167" s="287"/>
      <c r="H167" s="287"/>
      <c r="I167" s="287"/>
      <c r="J167" s="287"/>
      <c r="K167" s="287"/>
    </row>
    <row r="168" spans="1:11" x14ac:dyDescent="0.25">
      <c r="A168" s="287"/>
      <c r="B168" s="287"/>
      <c r="C168" s="287"/>
      <c r="D168" s="287"/>
      <c r="E168" s="287"/>
      <c r="F168" s="287"/>
      <c r="G168" s="287"/>
      <c r="H168" s="287"/>
      <c r="I168" s="287"/>
      <c r="J168" s="287"/>
      <c r="K168" s="287"/>
    </row>
    <row r="169" spans="1:11" x14ac:dyDescent="0.25">
      <c r="A169" s="287"/>
      <c r="B169" s="287"/>
      <c r="C169" s="287"/>
      <c r="D169" s="287"/>
      <c r="E169" s="287"/>
      <c r="F169" s="287"/>
      <c r="G169" s="287"/>
      <c r="H169" s="287"/>
      <c r="I169" s="287"/>
      <c r="J169" s="287"/>
      <c r="K169" s="287"/>
    </row>
    <row r="170" spans="1:11" x14ac:dyDescent="0.25">
      <c r="A170" s="287"/>
      <c r="B170" s="287"/>
      <c r="C170" s="287"/>
      <c r="D170" s="287"/>
      <c r="E170" s="287"/>
      <c r="F170" s="287"/>
      <c r="G170" s="287"/>
      <c r="H170" s="287"/>
      <c r="I170" s="287"/>
      <c r="J170" s="287"/>
      <c r="K170" s="287"/>
    </row>
    <row r="171" spans="1:11" x14ac:dyDescent="0.25">
      <c r="A171" s="287"/>
      <c r="B171" s="287"/>
      <c r="C171" s="287"/>
      <c r="D171" s="287"/>
      <c r="E171" s="287"/>
      <c r="F171" s="287"/>
      <c r="G171" s="287"/>
      <c r="H171" s="287"/>
      <c r="I171" s="287"/>
      <c r="J171" s="287"/>
      <c r="K171" s="287"/>
    </row>
    <row r="172" spans="1:11" x14ac:dyDescent="0.25">
      <c r="A172" s="287"/>
      <c r="B172" s="287"/>
      <c r="C172" s="287"/>
      <c r="D172" s="287"/>
      <c r="E172" s="287"/>
      <c r="F172" s="287"/>
      <c r="G172" s="287"/>
      <c r="H172" s="287"/>
      <c r="I172" s="287"/>
      <c r="J172" s="287"/>
      <c r="K172" s="287"/>
    </row>
    <row r="173" spans="1:11" x14ac:dyDescent="0.25">
      <c r="A173" s="287"/>
      <c r="B173" s="287"/>
      <c r="C173" s="287"/>
      <c r="D173" s="287"/>
      <c r="E173" s="287"/>
      <c r="F173" s="287"/>
      <c r="G173" s="287"/>
      <c r="H173" s="287"/>
      <c r="I173" s="287"/>
      <c r="J173" s="287"/>
      <c r="K173" s="287"/>
    </row>
    <row r="174" spans="1:11" x14ac:dyDescent="0.25">
      <c r="A174" s="287"/>
      <c r="B174" s="287"/>
      <c r="C174" s="287"/>
      <c r="D174" s="287"/>
      <c r="E174" s="287"/>
      <c r="F174" s="287"/>
      <c r="G174" s="287"/>
      <c r="H174" s="287"/>
      <c r="I174" s="287"/>
      <c r="J174" s="287"/>
      <c r="K174" s="287"/>
    </row>
    <row r="175" spans="1:11" x14ac:dyDescent="0.25">
      <c r="A175" s="287"/>
      <c r="B175" s="287"/>
      <c r="C175" s="287"/>
      <c r="D175" s="287"/>
      <c r="E175" s="287"/>
      <c r="F175" s="287"/>
      <c r="G175" s="287"/>
      <c r="H175" s="287"/>
      <c r="I175" s="287"/>
      <c r="J175" s="287"/>
      <c r="K175" s="287"/>
    </row>
    <row r="176" spans="1:11" x14ac:dyDescent="0.25">
      <c r="A176" s="287"/>
      <c r="B176" s="287"/>
      <c r="C176" s="287"/>
      <c r="D176" s="287"/>
      <c r="E176" s="287"/>
      <c r="F176" s="287"/>
      <c r="G176" s="287"/>
      <c r="H176" s="287"/>
      <c r="I176" s="287"/>
      <c r="J176" s="287"/>
      <c r="K176" s="287"/>
    </row>
    <row r="177" spans="1:11" x14ac:dyDescent="0.25">
      <c r="A177" s="287"/>
      <c r="B177" s="287"/>
      <c r="C177" s="287"/>
      <c r="D177" s="287"/>
      <c r="E177" s="287"/>
      <c r="F177" s="287"/>
      <c r="G177" s="287"/>
      <c r="H177" s="287"/>
      <c r="I177" s="287"/>
      <c r="J177" s="287"/>
      <c r="K177" s="287"/>
    </row>
    <row r="178" spans="1:11" x14ac:dyDescent="0.25">
      <c r="A178" s="287"/>
      <c r="B178" s="287"/>
      <c r="C178" s="287"/>
      <c r="D178" s="287"/>
      <c r="E178" s="287"/>
      <c r="F178" s="287"/>
      <c r="G178" s="287"/>
      <c r="H178" s="287"/>
      <c r="I178" s="287"/>
      <c r="J178" s="287"/>
      <c r="K178" s="287"/>
    </row>
    <row r="179" spans="1:11" ht="15" customHeight="1" x14ac:dyDescent="0.25">
      <c r="A179" s="287"/>
      <c r="B179" s="287"/>
      <c r="C179" s="1706" t="s">
        <v>544</v>
      </c>
      <c r="D179" s="1706"/>
      <c r="E179" s="1706"/>
      <c r="F179" s="1706"/>
      <c r="G179" s="1706"/>
      <c r="H179" s="287"/>
      <c r="I179" s="311"/>
      <c r="J179" s="311"/>
      <c r="K179" s="312"/>
    </row>
    <row r="180" spans="1:11" ht="15.75" thickBot="1" x14ac:dyDescent="0.3">
      <c r="A180" s="287"/>
      <c r="B180" s="287"/>
      <c r="C180" s="1707" t="s">
        <v>527</v>
      </c>
      <c r="D180" s="1707"/>
      <c r="E180" s="1707"/>
      <c r="F180" s="1707"/>
      <c r="G180" s="1707"/>
      <c r="H180" s="287"/>
      <c r="I180" s="287"/>
      <c r="J180" s="287"/>
      <c r="K180" s="287"/>
    </row>
    <row r="181" spans="1:11" x14ac:dyDescent="0.25">
      <c r="A181" s="287"/>
      <c r="B181" s="287"/>
      <c r="C181" s="270" t="s">
        <v>469</v>
      </c>
      <c r="D181" s="272">
        <v>2016</v>
      </c>
      <c r="E181" s="272">
        <v>2017</v>
      </c>
      <c r="F181" s="272">
        <v>2018</v>
      </c>
      <c r="G181" s="273" t="s">
        <v>528</v>
      </c>
      <c r="H181" s="287"/>
      <c r="I181" s="313"/>
      <c r="J181" s="313"/>
      <c r="K181" s="313"/>
    </row>
    <row r="182" spans="1:11" x14ac:dyDescent="0.25">
      <c r="A182" s="287"/>
      <c r="B182" s="287"/>
      <c r="C182" s="274"/>
      <c r="D182" s="275"/>
      <c r="E182" s="275"/>
      <c r="F182" s="275"/>
      <c r="G182" s="276"/>
      <c r="H182" s="287"/>
      <c r="I182" s="313"/>
      <c r="J182" s="313"/>
      <c r="K182" s="313"/>
    </row>
    <row r="183" spans="1:11" x14ac:dyDescent="0.25">
      <c r="A183" s="287"/>
      <c r="B183" s="287"/>
      <c r="C183" s="277" t="s">
        <v>285</v>
      </c>
      <c r="D183" s="314">
        <f t="shared" ref="D183:G183" si="5">+SUM(D184:D186)</f>
        <v>67770</v>
      </c>
      <c r="E183" s="314">
        <f t="shared" si="5"/>
        <v>60539.5</v>
      </c>
      <c r="F183" s="314">
        <f t="shared" si="5"/>
        <v>56257.2</v>
      </c>
      <c r="G183" s="315">
        <f t="shared" si="5"/>
        <v>85276.2</v>
      </c>
      <c r="H183" s="287"/>
      <c r="I183" s="313"/>
      <c r="J183" s="313"/>
      <c r="K183" s="313"/>
    </row>
    <row r="184" spans="1:11" x14ac:dyDescent="0.25">
      <c r="A184" s="287"/>
      <c r="B184" s="287"/>
      <c r="C184" s="316" t="s">
        <v>477</v>
      </c>
      <c r="D184" s="317">
        <v>1039</v>
      </c>
      <c r="E184" s="317">
        <v>996.2</v>
      </c>
      <c r="F184" s="317">
        <v>25315</v>
      </c>
      <c r="G184" s="318">
        <v>63420.1</v>
      </c>
      <c r="H184" s="287"/>
      <c r="I184" s="313"/>
      <c r="J184" s="313"/>
      <c r="K184" s="313"/>
    </row>
    <row r="185" spans="1:11" x14ac:dyDescent="0.25">
      <c r="A185" s="287"/>
      <c r="B185" s="287"/>
      <c r="C185" s="316" t="s">
        <v>475</v>
      </c>
      <c r="D185" s="317">
        <v>3220</v>
      </c>
      <c r="E185" s="317">
        <v>5268.9</v>
      </c>
      <c r="F185" s="317">
        <v>4650.5</v>
      </c>
      <c r="G185" s="318">
        <v>1745.4</v>
      </c>
      <c r="H185" s="287"/>
      <c r="I185" s="313"/>
      <c r="J185" s="313"/>
      <c r="K185" s="313"/>
    </row>
    <row r="186" spans="1:11" ht="15.75" thickBot="1" x14ac:dyDescent="0.3">
      <c r="A186" s="287"/>
      <c r="B186" s="287"/>
      <c r="C186" s="319" t="s">
        <v>476</v>
      </c>
      <c r="D186" s="320">
        <v>63511</v>
      </c>
      <c r="E186" s="320">
        <v>54274.400000000001</v>
      </c>
      <c r="F186" s="320">
        <v>26291.7</v>
      </c>
      <c r="G186" s="321">
        <v>20110.7</v>
      </c>
      <c r="H186" s="287"/>
      <c r="I186" s="313"/>
      <c r="J186" s="313"/>
      <c r="K186" s="313"/>
    </row>
    <row r="187" spans="1:11" x14ac:dyDescent="0.25">
      <c r="A187" s="236"/>
      <c r="B187" s="236"/>
      <c r="C187" s="235" t="s">
        <v>529</v>
      </c>
      <c r="D187" s="236"/>
      <c r="E187" s="236"/>
      <c r="F187" s="236"/>
      <c r="G187" s="236"/>
      <c r="H187" s="236"/>
      <c r="I187" s="236"/>
      <c r="J187" s="236"/>
      <c r="K187" s="236"/>
    </row>
    <row r="188" spans="1:11" x14ac:dyDescent="0.25">
      <c r="A188" s="287"/>
      <c r="B188" s="287"/>
      <c r="C188" s="310" t="s">
        <v>545</v>
      </c>
      <c r="D188" s="287"/>
      <c r="E188" s="287"/>
      <c r="F188" s="287"/>
      <c r="G188" s="287"/>
      <c r="H188" s="287"/>
      <c r="I188" s="287"/>
      <c r="J188" s="287"/>
      <c r="K188" s="287"/>
    </row>
    <row r="189" spans="1:11" x14ac:dyDescent="0.25">
      <c r="A189" s="287"/>
      <c r="B189" s="287"/>
      <c r="C189" s="287"/>
      <c r="D189" s="287"/>
      <c r="E189" s="287"/>
      <c r="F189" s="287"/>
      <c r="G189" s="287"/>
      <c r="H189" s="287"/>
      <c r="I189" s="287"/>
      <c r="J189" s="287"/>
      <c r="K189" s="287"/>
    </row>
    <row r="190" spans="1:11" ht="15.75" customHeight="1" thickBot="1" x14ac:dyDescent="0.3">
      <c r="A190" s="287"/>
      <c r="B190" s="287"/>
      <c r="C190" s="1706" t="s">
        <v>546</v>
      </c>
      <c r="D190" s="1706"/>
      <c r="E190" s="1706"/>
      <c r="F190" s="1706"/>
      <c r="G190" s="1706"/>
      <c r="H190" s="287"/>
      <c r="I190" s="287"/>
      <c r="J190" s="287"/>
      <c r="K190" s="287"/>
    </row>
    <row r="191" spans="1:11" x14ac:dyDescent="0.25">
      <c r="A191" s="287"/>
      <c r="B191" s="287"/>
      <c r="C191" s="270" t="s">
        <v>469</v>
      </c>
      <c r="D191" s="272">
        <v>2016</v>
      </c>
      <c r="E191" s="272">
        <v>2017</v>
      </c>
      <c r="F191" s="272">
        <v>2018</v>
      </c>
      <c r="G191" s="273" t="s">
        <v>528</v>
      </c>
      <c r="H191" s="273" t="s">
        <v>547</v>
      </c>
      <c r="I191" s="287"/>
      <c r="J191" s="287"/>
      <c r="K191" s="287"/>
    </row>
    <row r="192" spans="1:11" x14ac:dyDescent="0.25">
      <c r="A192" s="287"/>
      <c r="B192" s="287"/>
      <c r="C192" s="277" t="s">
        <v>548</v>
      </c>
      <c r="D192" s="322">
        <f>+H147*1000</f>
        <v>119300</v>
      </c>
      <c r="E192" s="322">
        <f>+I147*1000</f>
        <v>128300.00000000001</v>
      </c>
      <c r="F192" s="322">
        <f>+J147*1000</f>
        <v>140200</v>
      </c>
      <c r="G192" s="323">
        <f>+K147*1000</f>
        <v>91400</v>
      </c>
      <c r="H192" s="323"/>
      <c r="I192" s="287"/>
      <c r="J192" s="287"/>
      <c r="K192" s="287"/>
    </row>
    <row r="193" spans="1:11" x14ac:dyDescent="0.25">
      <c r="A193" s="287"/>
      <c r="B193" s="287"/>
      <c r="C193" s="277" t="s">
        <v>549</v>
      </c>
      <c r="D193" s="324">
        <f t="shared" ref="D193:G193" si="6">+SUM(D194:D196)</f>
        <v>0.5680637049455155</v>
      </c>
      <c r="E193" s="324">
        <f>+SUM(E194:E196)</f>
        <v>0.4718589243959469</v>
      </c>
      <c r="F193" s="324">
        <f t="shared" si="6"/>
        <v>0.42173417442846928</v>
      </c>
      <c r="G193" s="325">
        <f t="shared" si="6"/>
        <v>0.93300000000000005</v>
      </c>
      <c r="H193" s="325">
        <f>+AVERAGE(D193:G193)</f>
        <v>0.59866420094248296</v>
      </c>
      <c r="I193" s="287"/>
      <c r="J193" s="287"/>
      <c r="K193" s="287"/>
    </row>
    <row r="194" spans="1:11" x14ac:dyDescent="0.25">
      <c r="A194" s="287"/>
      <c r="B194" s="287"/>
      <c r="C194" s="316" t="s">
        <v>550</v>
      </c>
      <c r="D194" s="326">
        <f>+D184/(H147*1000)</f>
        <v>8.7091366303436706E-3</v>
      </c>
      <c r="E194" s="326">
        <f>+E184/(I147*1000)</f>
        <v>7.7646141855027273E-3</v>
      </c>
      <c r="F194" s="326">
        <f>+F184/(J147*1000)</f>
        <v>0.18056348074179743</v>
      </c>
      <c r="G194" s="327">
        <f>+G184/(K147*1000)</f>
        <v>0.69387417943107221</v>
      </c>
      <c r="H194" s="327">
        <f>+AVERAGE(D194:G194)</f>
        <v>0.22272785274717902</v>
      </c>
      <c r="I194" s="287"/>
      <c r="J194" s="287"/>
      <c r="K194" s="287"/>
    </row>
    <row r="195" spans="1:11" x14ac:dyDescent="0.25">
      <c r="A195" s="287"/>
      <c r="B195" s="287"/>
      <c r="C195" s="316" t="s">
        <v>551</v>
      </c>
      <c r="D195" s="326">
        <f>+D185/(H147*1000)</f>
        <v>2.6990779547359598E-2</v>
      </c>
      <c r="E195" s="326">
        <f>+E185/(I147*1000)</f>
        <v>4.1067030397505838E-2</v>
      </c>
      <c r="F195" s="326">
        <f>+F185/(I147*1000)</f>
        <v>3.6247077162899453E-2</v>
      </c>
      <c r="G195" s="327">
        <f>+G185/(K147*1000)</f>
        <v>1.9096280087527354E-2</v>
      </c>
      <c r="H195" s="327">
        <f t="shared" ref="H195:H196" si="7">+AVERAGE(D195:G195)</f>
        <v>3.0850291798823062E-2</v>
      </c>
      <c r="I195" s="287"/>
      <c r="J195" s="287"/>
      <c r="K195" s="287"/>
    </row>
    <row r="196" spans="1:11" ht="15.75" thickBot="1" x14ac:dyDescent="0.3">
      <c r="A196" s="287"/>
      <c r="B196" s="287"/>
      <c r="C196" s="319" t="s">
        <v>552</v>
      </c>
      <c r="D196" s="328">
        <f>+D186/(H147*1000)</f>
        <v>0.53236378876781221</v>
      </c>
      <c r="E196" s="328">
        <f>+E186/(I147*1000)</f>
        <v>0.42302727981293836</v>
      </c>
      <c r="F196" s="328">
        <f>+F186/(I147*1000)</f>
        <v>0.20492361652377239</v>
      </c>
      <c r="G196" s="329">
        <f>+G186/(K147*1000)</f>
        <v>0.22002954048140044</v>
      </c>
      <c r="H196" s="329">
        <f t="shared" si="7"/>
        <v>0.34508605639648082</v>
      </c>
      <c r="I196" s="287"/>
      <c r="J196" s="287"/>
      <c r="K196" s="287"/>
    </row>
    <row r="197" spans="1:11" x14ac:dyDescent="0.25">
      <c r="A197" s="287"/>
      <c r="B197" s="287"/>
      <c r="C197" s="235" t="s">
        <v>529</v>
      </c>
      <c r="D197" s="236"/>
      <c r="E197" s="236"/>
      <c r="F197" s="236"/>
      <c r="G197" s="236"/>
      <c r="H197" s="236"/>
      <c r="I197" s="287"/>
      <c r="J197" s="287"/>
      <c r="K197" s="287"/>
    </row>
    <row r="198" spans="1:11" x14ac:dyDescent="0.25">
      <c r="A198" s="287"/>
      <c r="B198" s="287"/>
      <c r="C198" s="310" t="s">
        <v>553</v>
      </c>
      <c r="D198" s="287"/>
      <c r="E198" s="287"/>
      <c r="F198" s="287"/>
      <c r="G198" s="287"/>
      <c r="H198" s="287"/>
      <c r="I198" s="287"/>
      <c r="J198" s="287"/>
      <c r="K198" s="287"/>
    </row>
    <row r="199" spans="1:11" x14ac:dyDescent="0.25">
      <c r="A199" s="287"/>
      <c r="B199" s="287"/>
      <c r="C199" s="287"/>
      <c r="D199" s="287"/>
      <c r="E199" s="287"/>
      <c r="F199" s="287"/>
      <c r="G199" s="287"/>
      <c r="H199" s="287"/>
      <c r="I199" s="287"/>
      <c r="J199" s="287"/>
      <c r="K199" s="287"/>
    </row>
    <row r="200" spans="1:11" ht="15.75" thickBot="1" x14ac:dyDescent="0.3">
      <c r="A200" s="287"/>
      <c r="B200" s="287"/>
      <c r="C200" s="287"/>
      <c r="D200" s="287"/>
      <c r="E200" s="287"/>
      <c r="F200" s="287"/>
      <c r="G200" s="287"/>
      <c r="H200" s="287"/>
      <c r="I200" s="287"/>
      <c r="J200" s="287"/>
      <c r="K200" s="287"/>
    </row>
    <row r="201" spans="1:11" ht="15" customHeight="1" x14ac:dyDescent="0.25">
      <c r="A201" s="1708" t="s">
        <v>554</v>
      </c>
      <c r="B201" s="1709"/>
      <c r="C201" s="330"/>
      <c r="D201" s="1710" t="s">
        <v>278</v>
      </c>
      <c r="E201" s="331" t="s">
        <v>555</v>
      </c>
      <c r="F201" s="331" t="s">
        <v>556</v>
      </c>
      <c r="G201" s="331" t="s">
        <v>557</v>
      </c>
      <c r="H201" s="1718" t="s">
        <v>558</v>
      </c>
      <c r="I201" s="330"/>
      <c r="J201" s="332"/>
      <c r="K201" s="332"/>
    </row>
    <row r="202" spans="1:11" ht="18.75" thickBot="1" x14ac:dyDescent="0.3">
      <c r="A202" s="333" t="s">
        <v>278</v>
      </c>
      <c r="B202" s="334" t="s">
        <v>559</v>
      </c>
      <c r="C202" s="330"/>
      <c r="D202" s="1711"/>
      <c r="E202" s="335" t="s">
        <v>560</v>
      </c>
      <c r="F202" s="335" t="s">
        <v>560</v>
      </c>
      <c r="G202" s="335" t="s">
        <v>560</v>
      </c>
      <c r="H202" s="1719"/>
      <c r="I202" s="330"/>
      <c r="J202" s="332"/>
      <c r="K202" s="332"/>
    </row>
    <row r="203" spans="1:11" x14ac:dyDescent="0.25">
      <c r="A203" s="377">
        <v>2010</v>
      </c>
      <c r="B203" s="378">
        <f>98.6*1000</f>
        <v>98600</v>
      </c>
      <c r="C203" s="287"/>
      <c r="D203" s="338">
        <v>2020</v>
      </c>
      <c r="E203" s="339">
        <f>B212*$H$194</f>
        <v>33558.851029122954</v>
      </c>
      <c r="F203" s="339">
        <f>B212*$H$195</f>
        <v>4648.2751659122687</v>
      </c>
      <c r="G203" s="339">
        <f>B212*$H$196</f>
        <v>51994.806289370557</v>
      </c>
      <c r="H203" s="340">
        <f>+E203+F203+G203</f>
        <v>90201.932484405785</v>
      </c>
      <c r="I203" s="287"/>
      <c r="J203" s="313"/>
      <c r="K203" s="313"/>
    </row>
    <row r="204" spans="1:11" x14ac:dyDescent="0.25">
      <c r="A204" s="336">
        <v>2011</v>
      </c>
      <c r="B204" s="337">
        <f>68.3*1000</f>
        <v>68300</v>
      </c>
      <c r="C204" s="287"/>
      <c r="D204" s="338">
        <v>2021</v>
      </c>
      <c r="E204" s="339">
        <f t="shared" ref="E204:E216" si="8">B213*$H$194</f>
        <v>35891.257103091419</v>
      </c>
      <c r="F204" s="339">
        <f t="shared" ref="F204:F216" si="9">B213*$H$195</f>
        <v>4971.3394216295437</v>
      </c>
      <c r="G204" s="339">
        <f t="shared" ref="G204:G216" si="10">B213*$H$196</f>
        <v>55608.547471954509</v>
      </c>
      <c r="H204" s="340">
        <f t="shared" ref="H204:H216" si="11">+E204+F204+G204</f>
        <v>96471.14399667547</v>
      </c>
      <c r="I204" s="287"/>
      <c r="J204" s="313"/>
      <c r="K204" s="313"/>
    </row>
    <row r="205" spans="1:11" x14ac:dyDescent="0.25">
      <c r="A205" s="336">
        <v>2012</v>
      </c>
      <c r="B205" s="337">
        <f>71.6*1000</f>
        <v>71600</v>
      </c>
      <c r="C205" s="287"/>
      <c r="D205" s="338">
        <v>2022</v>
      </c>
      <c r="E205" s="339">
        <f t="shared" si="8"/>
        <v>38223.663177059876</v>
      </c>
      <c r="F205" s="339">
        <f t="shared" si="9"/>
        <v>5294.4036773468188</v>
      </c>
      <c r="G205" s="339">
        <f t="shared" si="10"/>
        <v>59222.288654538454</v>
      </c>
      <c r="H205" s="340">
        <f t="shared" si="11"/>
        <v>102740.35550894515</v>
      </c>
      <c r="I205" s="287"/>
      <c r="J205" s="313"/>
      <c r="K205" s="313"/>
    </row>
    <row r="206" spans="1:11" x14ac:dyDescent="0.25">
      <c r="A206" s="336">
        <v>2013</v>
      </c>
      <c r="B206" s="337">
        <f>80*1000</f>
        <v>80000</v>
      </c>
      <c r="C206" s="287"/>
      <c r="D206" s="338">
        <v>2023</v>
      </c>
      <c r="E206" s="339">
        <f t="shared" si="8"/>
        <v>40556.069251028333</v>
      </c>
      <c r="F206" s="339">
        <f t="shared" si="9"/>
        <v>5617.4679330640938</v>
      </c>
      <c r="G206" s="339">
        <f t="shared" si="10"/>
        <v>62836.029837122398</v>
      </c>
      <c r="H206" s="340">
        <f t="shared" si="11"/>
        <v>109009.56702121483</v>
      </c>
      <c r="I206" s="287"/>
      <c r="J206" s="313"/>
      <c r="K206" s="313"/>
    </row>
    <row r="207" spans="1:11" x14ac:dyDescent="0.25">
      <c r="A207" s="336">
        <v>2014</v>
      </c>
      <c r="B207" s="337">
        <f>88.57*1000</f>
        <v>88570</v>
      </c>
      <c r="C207" s="287"/>
      <c r="D207" s="338">
        <v>2024</v>
      </c>
      <c r="E207" s="339">
        <f t="shared" si="8"/>
        <v>42888.252597144041</v>
      </c>
      <c r="F207" s="339">
        <f t="shared" si="9"/>
        <v>5940.5013384895701</v>
      </c>
      <c r="G207" s="339">
        <f t="shared" si="10"/>
        <v>66449.425933649953</v>
      </c>
      <c r="H207" s="340">
        <f t="shared" si="11"/>
        <v>115278.17986928357</v>
      </c>
      <c r="I207" s="287"/>
      <c r="J207" s="313"/>
      <c r="K207" s="313"/>
    </row>
    <row r="208" spans="1:11" x14ac:dyDescent="0.25">
      <c r="A208" s="336">
        <v>2015</v>
      </c>
      <c r="B208" s="337">
        <f>106.9*1000</f>
        <v>106900</v>
      </c>
      <c r="C208" s="287"/>
      <c r="D208" s="338">
        <v>2025</v>
      </c>
      <c r="E208" s="339">
        <f t="shared" si="8"/>
        <v>45220.658671112506</v>
      </c>
      <c r="F208" s="339">
        <f t="shared" si="9"/>
        <v>6263.5655942068452</v>
      </c>
      <c r="G208" s="339">
        <f t="shared" si="10"/>
        <v>70063.167116233904</v>
      </c>
      <c r="H208" s="340">
        <f t="shared" si="11"/>
        <v>121547.39138155326</v>
      </c>
      <c r="I208" s="287"/>
      <c r="J208" s="313"/>
      <c r="K208" s="313"/>
    </row>
    <row r="209" spans="1:11" x14ac:dyDescent="0.25">
      <c r="A209" s="336">
        <v>2016</v>
      </c>
      <c r="B209" s="337">
        <f>119.3*1000</f>
        <v>119300</v>
      </c>
      <c r="C209" s="287"/>
      <c r="D209" s="338">
        <v>2026</v>
      </c>
      <c r="E209" s="339">
        <f t="shared" si="8"/>
        <v>47553.064745080963</v>
      </c>
      <c r="F209" s="339">
        <f t="shared" si="9"/>
        <v>6586.6298499241202</v>
      </c>
      <c r="G209" s="339">
        <f t="shared" si="10"/>
        <v>73676.908298817842</v>
      </c>
      <c r="H209" s="340">
        <f t="shared" si="11"/>
        <v>127816.60289382293</v>
      </c>
      <c r="I209" s="287"/>
      <c r="J209" s="313"/>
      <c r="K209" s="313"/>
    </row>
    <row r="210" spans="1:11" x14ac:dyDescent="0.25">
      <c r="A210" s="336">
        <v>2017</v>
      </c>
      <c r="B210" s="337">
        <f>128.3*1000</f>
        <v>128300.00000000001</v>
      </c>
      <c r="C210" s="287"/>
      <c r="D210" s="338">
        <v>2027</v>
      </c>
      <c r="E210" s="339">
        <f t="shared" si="8"/>
        <v>49885.47081904942</v>
      </c>
      <c r="F210" s="339">
        <f t="shared" si="9"/>
        <v>6909.6941056413953</v>
      </c>
      <c r="G210" s="339">
        <f t="shared" si="10"/>
        <v>77290.649481401793</v>
      </c>
      <c r="H210" s="340">
        <f t="shared" si="11"/>
        <v>134085.8144060926</v>
      </c>
      <c r="I210" s="287"/>
      <c r="J210" s="313"/>
      <c r="K210" s="313"/>
    </row>
    <row r="211" spans="1:11" x14ac:dyDescent="0.25">
      <c r="A211" s="336">
        <v>2018</v>
      </c>
      <c r="B211" s="337">
        <f>140.2*1000</f>
        <v>140200</v>
      </c>
      <c r="C211" s="287"/>
      <c r="D211" s="338">
        <v>2028</v>
      </c>
      <c r="E211" s="339">
        <f t="shared" si="8"/>
        <v>52217.876893017878</v>
      </c>
      <c r="F211" s="339">
        <f t="shared" si="9"/>
        <v>7232.7583613586703</v>
      </c>
      <c r="G211" s="339">
        <f t="shared" si="10"/>
        <v>80904.390663985745</v>
      </c>
      <c r="H211" s="340">
        <f t="shared" si="11"/>
        <v>140355.02591836228</v>
      </c>
      <c r="I211" s="287"/>
      <c r="J211" s="313"/>
      <c r="K211" s="313"/>
    </row>
    <row r="212" spans="1:11" x14ac:dyDescent="0.25">
      <c r="A212" s="341">
        <v>2019</v>
      </c>
      <c r="B212" s="342">
        <v>150672</v>
      </c>
      <c r="C212" s="287"/>
      <c r="D212" s="338">
        <v>2029</v>
      </c>
      <c r="E212" s="339">
        <f t="shared" si="8"/>
        <v>54550.282966986335</v>
      </c>
      <c r="F212" s="339">
        <f t="shared" si="9"/>
        <v>7555.8226170759453</v>
      </c>
      <c r="G212" s="339">
        <f t="shared" si="10"/>
        <v>84518.131846569682</v>
      </c>
      <c r="H212" s="340">
        <f t="shared" si="11"/>
        <v>146624.23743063197</v>
      </c>
      <c r="I212" s="287"/>
      <c r="J212" s="313"/>
      <c r="K212" s="313"/>
    </row>
    <row r="213" spans="1:11" x14ac:dyDescent="0.25">
      <c r="A213" s="341">
        <v>2020</v>
      </c>
      <c r="B213" s="342">
        <v>161144</v>
      </c>
      <c r="C213" s="287"/>
      <c r="D213" s="338">
        <v>2030</v>
      </c>
      <c r="E213" s="339">
        <f t="shared" si="8"/>
        <v>56882.6890409548</v>
      </c>
      <c r="F213" s="339">
        <f t="shared" si="9"/>
        <v>7878.8868727932204</v>
      </c>
      <c r="G213" s="339">
        <f t="shared" si="10"/>
        <v>88131.873029153634</v>
      </c>
      <c r="H213" s="340">
        <f t="shared" si="11"/>
        <v>152893.44894290165</v>
      </c>
      <c r="I213" s="287"/>
      <c r="J213" s="313"/>
      <c r="K213" s="313"/>
    </row>
    <row r="214" spans="1:11" x14ac:dyDescent="0.25">
      <c r="A214" s="341">
        <v>2021</v>
      </c>
      <c r="B214" s="342">
        <v>171616</v>
      </c>
      <c r="C214" s="287"/>
      <c r="D214" s="338">
        <v>2031</v>
      </c>
      <c r="E214" s="339">
        <f t="shared" si="8"/>
        <v>59215.095114923257</v>
      </c>
      <c r="F214" s="339">
        <f t="shared" si="9"/>
        <v>8201.9511285104963</v>
      </c>
      <c r="G214" s="339">
        <f t="shared" si="10"/>
        <v>91745.614211737586</v>
      </c>
      <c r="H214" s="340">
        <f t="shared" si="11"/>
        <v>159162.66045517134</v>
      </c>
      <c r="I214" s="287"/>
      <c r="J214" s="287"/>
      <c r="K214" s="287"/>
    </row>
    <row r="215" spans="1:11" x14ac:dyDescent="0.25">
      <c r="A215" s="341">
        <v>2022</v>
      </c>
      <c r="B215" s="342">
        <v>182088</v>
      </c>
      <c r="C215" s="287"/>
      <c r="D215" s="338">
        <v>2032</v>
      </c>
      <c r="E215" s="339">
        <f t="shared" si="8"/>
        <v>61547.413447616382</v>
      </c>
      <c r="F215" s="339">
        <f t="shared" si="9"/>
        <v>8525.0032310825154</v>
      </c>
      <c r="G215" s="339">
        <f t="shared" si="10"/>
        <v>95359.219451329598</v>
      </c>
      <c r="H215" s="340">
        <f t="shared" si="11"/>
        <v>165431.63613002849</v>
      </c>
      <c r="I215" s="287"/>
      <c r="J215" s="287"/>
      <c r="K215" s="287"/>
    </row>
    <row r="216" spans="1:11" ht="15.75" thickBot="1" x14ac:dyDescent="0.3">
      <c r="A216" s="341">
        <v>2023</v>
      </c>
      <c r="B216" s="342">
        <v>192559</v>
      </c>
      <c r="C216" s="287"/>
      <c r="D216" s="343">
        <v>2033</v>
      </c>
      <c r="E216" s="344">
        <f t="shared" si="8"/>
        <v>63879.794600986119</v>
      </c>
      <c r="F216" s="344">
        <f t="shared" si="9"/>
        <v>8848.0640350189151</v>
      </c>
      <c r="G216" s="344">
        <f t="shared" si="10"/>
        <v>98972.922022886545</v>
      </c>
      <c r="H216" s="345">
        <f t="shared" si="11"/>
        <v>171700.7806588916</v>
      </c>
      <c r="I216" s="287"/>
      <c r="J216" s="287"/>
      <c r="K216" s="287"/>
    </row>
    <row r="217" spans="1:11" x14ac:dyDescent="0.25">
      <c r="A217" s="341">
        <v>2024</v>
      </c>
      <c r="B217" s="342">
        <v>203031</v>
      </c>
      <c r="C217" s="287"/>
      <c r="D217" s="287"/>
      <c r="E217" s="287"/>
      <c r="F217" s="287"/>
      <c r="G217" s="287"/>
      <c r="H217" s="287"/>
      <c r="I217" s="287"/>
      <c r="J217" s="287"/>
      <c r="K217" s="287"/>
    </row>
    <row r="218" spans="1:11" x14ac:dyDescent="0.25">
      <c r="A218" s="341">
        <v>2025</v>
      </c>
      <c r="B218" s="342">
        <v>213503</v>
      </c>
      <c r="C218" s="287"/>
      <c r="D218" s="287"/>
      <c r="E218" s="287"/>
      <c r="F218" s="287"/>
      <c r="G218" s="287"/>
      <c r="H218" s="287"/>
      <c r="I218" s="287"/>
      <c r="J218" s="287"/>
      <c r="K218" s="287"/>
    </row>
    <row r="219" spans="1:11" x14ac:dyDescent="0.25">
      <c r="A219" s="341">
        <v>2026</v>
      </c>
      <c r="B219" s="342">
        <v>223975</v>
      </c>
      <c r="C219" s="287"/>
      <c r="D219" s="287"/>
      <c r="E219" s="287"/>
      <c r="F219" s="287"/>
      <c r="G219" s="287"/>
      <c r="H219" s="287"/>
      <c r="I219" s="287"/>
      <c r="J219" s="287"/>
      <c r="K219" s="287"/>
    </row>
    <row r="220" spans="1:11" x14ac:dyDescent="0.25">
      <c r="A220" s="341">
        <v>2027</v>
      </c>
      <c r="B220" s="342">
        <v>234447</v>
      </c>
      <c r="C220" s="287"/>
      <c r="D220" s="287"/>
      <c r="E220" s="287"/>
      <c r="F220" s="287"/>
      <c r="G220" s="287"/>
      <c r="H220" s="287"/>
      <c r="I220" s="287"/>
      <c r="J220" s="287"/>
      <c r="K220" s="287"/>
    </row>
    <row r="221" spans="1:11" x14ac:dyDescent="0.25">
      <c r="A221" s="341">
        <v>2028</v>
      </c>
      <c r="B221" s="342">
        <v>244919</v>
      </c>
      <c r="C221" s="287"/>
      <c r="D221" s="287"/>
      <c r="E221" s="287"/>
      <c r="F221" s="287"/>
      <c r="G221" s="287"/>
      <c r="H221" s="287"/>
      <c r="I221" s="287"/>
      <c r="J221" s="287"/>
      <c r="K221" s="287"/>
    </row>
    <row r="222" spans="1:11" x14ac:dyDescent="0.25">
      <c r="A222" s="341">
        <v>2029</v>
      </c>
      <c r="B222" s="342">
        <v>255391</v>
      </c>
      <c r="C222" s="287"/>
      <c r="D222" s="287"/>
      <c r="E222" s="287"/>
      <c r="F222" s="287"/>
      <c r="G222" s="287"/>
      <c r="H222" s="287"/>
      <c r="I222" s="287"/>
      <c r="J222" s="287"/>
      <c r="K222" s="287"/>
    </row>
    <row r="223" spans="1:11" x14ac:dyDescent="0.25">
      <c r="A223" s="341">
        <v>2030</v>
      </c>
      <c r="B223" s="342">
        <v>265863</v>
      </c>
      <c r="C223" s="287"/>
      <c r="D223" s="287"/>
      <c r="E223" s="287"/>
      <c r="F223" s="287"/>
      <c r="G223" s="287"/>
      <c r="H223" s="287"/>
      <c r="I223" s="287"/>
      <c r="J223" s="287"/>
      <c r="K223" s="287"/>
    </row>
    <row r="224" spans="1:11" x14ac:dyDescent="0.25">
      <c r="A224" s="375">
        <v>2031</v>
      </c>
      <c r="B224" s="342">
        <v>276334.60606060602</v>
      </c>
      <c r="C224" s="287"/>
      <c r="D224" s="287"/>
      <c r="E224" s="287"/>
      <c r="F224" s="287"/>
      <c r="G224" s="287"/>
      <c r="H224" s="287"/>
      <c r="I224" s="287"/>
      <c r="J224" s="287"/>
      <c r="K224" s="287"/>
    </row>
    <row r="225" spans="1:11" x14ac:dyDescent="0.25">
      <c r="A225" s="375">
        <v>2032</v>
      </c>
      <c r="B225" s="342">
        <v>286806.49417249497</v>
      </c>
      <c r="C225" s="287"/>
      <c r="D225" s="287"/>
      <c r="E225" s="287"/>
      <c r="F225" s="287"/>
      <c r="G225" s="287"/>
      <c r="H225" s="287"/>
      <c r="I225" s="287"/>
      <c r="J225" s="287"/>
      <c r="K225" s="287"/>
    </row>
    <row r="226" spans="1:11" ht="15.75" thickBot="1" x14ac:dyDescent="0.3">
      <c r="A226" s="376">
        <v>2033</v>
      </c>
      <c r="B226" s="346">
        <v>297278.382284383</v>
      </c>
      <c r="C226" s="287"/>
      <c r="D226" s="287"/>
      <c r="E226" s="287"/>
      <c r="F226" s="287"/>
      <c r="G226" s="287"/>
      <c r="H226" s="287"/>
      <c r="I226" s="287"/>
      <c r="J226" s="287"/>
      <c r="K226" s="287"/>
    </row>
    <row r="227" spans="1:11" x14ac:dyDescent="0.25">
      <c r="A227" s="287"/>
      <c r="B227" s="287"/>
      <c r="C227" s="287"/>
      <c r="D227" s="287"/>
      <c r="E227" s="287"/>
      <c r="F227" s="287"/>
      <c r="G227" s="287"/>
      <c r="H227" s="287"/>
      <c r="I227" s="287"/>
      <c r="J227" s="287"/>
      <c r="K227" s="287"/>
    </row>
    <row r="228" spans="1:11" x14ac:dyDescent="0.25">
      <c r="A228" s="1712" t="s">
        <v>561</v>
      </c>
      <c r="B228" s="1712"/>
      <c r="C228" s="1712"/>
      <c r="D228" s="1712"/>
      <c r="E228" s="1712"/>
      <c r="F228" s="1712"/>
      <c r="G228" s="1712"/>
      <c r="H228" s="1712"/>
      <c r="I228" s="1712"/>
      <c r="J228" s="1712"/>
      <c r="K228" s="1712"/>
    </row>
    <row r="229" spans="1:11" ht="15.75" thickBot="1" x14ac:dyDescent="0.3">
      <c r="A229" s="219"/>
      <c r="B229" s="219"/>
      <c r="C229" s="347" t="s">
        <v>562</v>
      </c>
      <c r="D229" s="348"/>
      <c r="E229" s="349"/>
      <c r="F229" s="350"/>
      <c r="G229" s="350"/>
      <c r="H229" s="350"/>
      <c r="I229" s="219"/>
      <c r="J229" s="219"/>
      <c r="K229" s="219"/>
    </row>
    <row r="230" spans="1:11" ht="25.5" x14ac:dyDescent="0.25">
      <c r="A230" s="219"/>
      <c r="B230" s="219"/>
      <c r="C230" s="351" t="s">
        <v>563</v>
      </c>
      <c r="D230" s="379" t="s">
        <v>564</v>
      </c>
      <c r="E230" s="349"/>
      <c r="F230" s="350"/>
      <c r="G230" s="350"/>
      <c r="H230" s="350"/>
      <c r="I230" s="219"/>
      <c r="J230" s="219"/>
      <c r="K230" s="219"/>
    </row>
    <row r="231" spans="1:11" x14ac:dyDescent="0.25">
      <c r="A231" s="219"/>
      <c r="B231" s="219"/>
      <c r="C231" s="353" t="s">
        <v>565</v>
      </c>
      <c r="D231" s="380">
        <f>+SUM(D232:D237)</f>
        <v>20100</v>
      </c>
      <c r="E231" s="349"/>
      <c r="F231" s="350"/>
      <c r="G231" s="350"/>
      <c r="H231" s="350"/>
      <c r="I231" s="219"/>
      <c r="J231" s="219"/>
      <c r="K231" s="219"/>
    </row>
    <row r="232" spans="1:11" x14ac:dyDescent="0.25">
      <c r="A232" s="219"/>
      <c r="B232" s="219"/>
      <c r="C232" s="354" t="s">
        <v>304</v>
      </c>
      <c r="D232" s="340">
        <v>6600</v>
      </c>
      <c r="E232" s="349"/>
      <c r="F232" s="350"/>
      <c r="G232" s="350"/>
      <c r="H232" s="350"/>
      <c r="I232" s="219"/>
      <c r="J232" s="219"/>
      <c r="K232" s="219"/>
    </row>
    <row r="233" spans="1:11" x14ac:dyDescent="0.25">
      <c r="A233" s="219"/>
      <c r="B233" s="219"/>
      <c r="C233" s="354" t="s">
        <v>309</v>
      </c>
      <c r="D233" s="340">
        <v>2600</v>
      </c>
      <c r="E233" s="349"/>
      <c r="F233" s="350"/>
      <c r="G233" s="350"/>
      <c r="H233" s="350"/>
      <c r="I233" s="219"/>
      <c r="J233" s="219"/>
      <c r="K233" s="219"/>
    </row>
    <row r="234" spans="1:11" x14ac:dyDescent="0.25">
      <c r="A234" s="219"/>
      <c r="B234" s="219"/>
      <c r="C234" s="354" t="s">
        <v>314</v>
      </c>
      <c r="D234" s="340">
        <v>2100</v>
      </c>
      <c r="E234" s="349"/>
      <c r="F234" s="350"/>
      <c r="G234" s="350"/>
      <c r="H234" s="350"/>
      <c r="I234" s="219"/>
      <c r="J234" s="219"/>
      <c r="K234" s="219"/>
    </row>
    <row r="235" spans="1:11" x14ac:dyDescent="0.25">
      <c r="A235" s="219"/>
      <c r="B235" s="219"/>
      <c r="C235" s="354" t="s">
        <v>566</v>
      </c>
      <c r="D235" s="340">
        <v>1800</v>
      </c>
      <c r="E235" s="349"/>
      <c r="F235" s="350"/>
      <c r="G235" s="350"/>
      <c r="H235" s="350"/>
      <c r="I235" s="219"/>
      <c r="J235" s="219"/>
      <c r="K235" s="219"/>
    </row>
    <row r="236" spans="1:11" x14ac:dyDescent="0.25">
      <c r="A236" s="219"/>
      <c r="B236" s="219"/>
      <c r="C236" s="354" t="s">
        <v>410</v>
      </c>
      <c r="D236" s="340">
        <v>2400</v>
      </c>
      <c r="E236" s="349"/>
      <c r="F236" s="350"/>
      <c r="G236" s="350"/>
      <c r="H236" s="350"/>
      <c r="I236" s="219"/>
      <c r="J236" s="219"/>
      <c r="K236" s="219"/>
    </row>
    <row r="237" spans="1:11" ht="15.75" thickBot="1" x14ac:dyDescent="0.3">
      <c r="A237" s="219"/>
      <c r="B237" s="219"/>
      <c r="C237" s="355" t="s">
        <v>567</v>
      </c>
      <c r="D237" s="345">
        <v>4600</v>
      </c>
      <c r="E237" s="349"/>
      <c r="F237" s="350"/>
      <c r="G237" s="350"/>
      <c r="H237" s="350"/>
      <c r="I237" s="219"/>
      <c r="J237" s="219"/>
      <c r="K237" s="219"/>
    </row>
    <row r="238" spans="1:11" x14ac:dyDescent="0.25">
      <c r="A238" s="219"/>
      <c r="B238" s="219"/>
      <c r="C238" s="310" t="s">
        <v>568</v>
      </c>
      <c r="D238" s="219"/>
      <c r="E238" s="287"/>
      <c r="F238" s="219"/>
      <c r="G238" s="219"/>
      <c r="H238" s="219"/>
      <c r="I238" s="219"/>
      <c r="J238" s="219"/>
      <c r="K238" s="219"/>
    </row>
    <row r="239" spans="1:11" x14ac:dyDescent="0.25">
      <c r="A239" s="219"/>
      <c r="B239" s="219"/>
      <c r="C239" s="219"/>
      <c r="D239" s="219"/>
      <c r="E239" s="287"/>
      <c r="F239" s="219"/>
      <c r="G239" s="219"/>
      <c r="H239" s="219"/>
      <c r="I239" s="219"/>
      <c r="J239" s="219"/>
      <c r="K239" s="219"/>
    </row>
    <row r="240" spans="1:11" ht="15.75" customHeight="1" thickBot="1" x14ac:dyDescent="0.3">
      <c r="A240" s="287"/>
      <c r="B240" s="287"/>
      <c r="C240" s="1713" t="s">
        <v>569</v>
      </c>
      <c r="D240" s="1713"/>
      <c r="E240" s="287"/>
      <c r="F240" s="356"/>
      <c r="G240" s="356"/>
      <c r="H240" s="287"/>
      <c r="I240" s="287"/>
      <c r="J240" s="287"/>
      <c r="K240" s="287"/>
    </row>
    <row r="241" spans="1:11" ht="25.5" x14ac:dyDescent="0.25">
      <c r="A241" s="287"/>
      <c r="B241" s="287"/>
      <c r="C241" s="351" t="s">
        <v>563</v>
      </c>
      <c r="D241" s="357" t="s">
        <v>570</v>
      </c>
      <c r="E241" s="287"/>
      <c r="F241" s="287"/>
      <c r="G241" s="287"/>
      <c r="H241" s="287"/>
      <c r="I241" s="313"/>
      <c r="J241" s="313"/>
      <c r="K241" s="313"/>
    </row>
    <row r="242" spans="1:11" x14ac:dyDescent="0.25">
      <c r="A242" s="287"/>
      <c r="B242" s="287"/>
      <c r="C242" s="353" t="s">
        <v>571</v>
      </c>
      <c r="D242" s="358">
        <f>+SUM(D243:D248)</f>
        <v>482.4</v>
      </c>
      <c r="E242" s="287"/>
      <c r="F242" s="287"/>
      <c r="G242" s="287"/>
      <c r="H242" s="287"/>
      <c r="I242" s="313"/>
      <c r="J242" s="313"/>
      <c r="K242" s="313"/>
    </row>
    <row r="243" spans="1:11" x14ac:dyDescent="0.25">
      <c r="A243" s="287"/>
      <c r="B243" s="287"/>
      <c r="C243" s="354" t="s">
        <v>304</v>
      </c>
      <c r="D243" s="359">
        <f>+D232*2*12/1000</f>
        <v>158.4</v>
      </c>
      <c r="E243" s="287"/>
      <c r="F243" s="287"/>
      <c r="G243" s="287"/>
      <c r="H243" s="287"/>
      <c r="I243" s="313"/>
      <c r="J243" s="313"/>
      <c r="K243" s="313"/>
    </row>
    <row r="244" spans="1:11" x14ac:dyDescent="0.25">
      <c r="A244" s="287"/>
      <c r="B244" s="287"/>
      <c r="C244" s="354" t="s">
        <v>309</v>
      </c>
      <c r="D244" s="359">
        <f t="shared" ref="D244:D248" si="12">+D233*2*12/1000</f>
        <v>62.4</v>
      </c>
      <c r="E244" s="287"/>
      <c r="F244" s="287"/>
      <c r="G244" s="287"/>
      <c r="H244" s="287"/>
      <c r="I244" s="313"/>
      <c r="J244" s="313"/>
      <c r="K244" s="313"/>
    </row>
    <row r="245" spans="1:11" x14ac:dyDescent="0.25">
      <c r="A245" s="287"/>
      <c r="B245" s="287"/>
      <c r="C245" s="354" t="s">
        <v>314</v>
      </c>
      <c r="D245" s="359">
        <f t="shared" si="12"/>
        <v>50.4</v>
      </c>
      <c r="E245" s="287"/>
      <c r="F245" s="287"/>
      <c r="G245" s="287"/>
      <c r="H245" s="287"/>
      <c r="I245" s="313"/>
      <c r="J245" s="313"/>
      <c r="K245" s="313"/>
    </row>
    <row r="246" spans="1:11" x14ac:dyDescent="0.25">
      <c r="A246" s="287"/>
      <c r="B246" s="287"/>
      <c r="C246" s="354" t="s">
        <v>566</v>
      </c>
      <c r="D246" s="359">
        <f t="shared" si="12"/>
        <v>43.2</v>
      </c>
      <c r="E246" s="287"/>
      <c r="F246" s="287"/>
      <c r="G246" s="287"/>
      <c r="H246" s="287"/>
      <c r="I246" s="313"/>
      <c r="J246" s="313"/>
      <c r="K246" s="313"/>
    </row>
    <row r="247" spans="1:11" x14ac:dyDescent="0.25">
      <c r="A247" s="287"/>
      <c r="B247" s="287"/>
      <c r="C247" s="354" t="s">
        <v>410</v>
      </c>
      <c r="D247" s="359">
        <f t="shared" si="12"/>
        <v>57.6</v>
      </c>
      <c r="E247" s="287"/>
      <c r="F247" s="287"/>
      <c r="G247" s="287"/>
      <c r="H247" s="287"/>
      <c r="I247" s="313"/>
      <c r="J247" s="313"/>
      <c r="K247" s="313"/>
    </row>
    <row r="248" spans="1:11" ht="15.75" thickBot="1" x14ac:dyDescent="0.3">
      <c r="A248" s="287"/>
      <c r="B248" s="287"/>
      <c r="C248" s="355" t="s">
        <v>567</v>
      </c>
      <c r="D248" s="360">
        <f t="shared" si="12"/>
        <v>110.4</v>
      </c>
      <c r="E248" s="287"/>
      <c r="F248" s="287"/>
      <c r="G248" s="287"/>
      <c r="H248" s="287"/>
      <c r="I248" s="313"/>
      <c r="J248" s="313"/>
      <c r="K248" s="313"/>
    </row>
    <row r="249" spans="1:11" x14ac:dyDescent="0.25">
      <c r="A249" s="287"/>
      <c r="B249" s="287"/>
      <c r="C249" s="310" t="s">
        <v>568</v>
      </c>
      <c r="D249" s="287"/>
      <c r="E249" s="287"/>
      <c r="F249" s="287"/>
      <c r="G249" s="287"/>
      <c r="H249" s="287"/>
      <c r="I249" s="287"/>
      <c r="J249" s="287"/>
      <c r="K249" s="287"/>
    </row>
    <row r="250" spans="1:11" x14ac:dyDescent="0.25">
      <c r="A250" s="287"/>
      <c r="B250" s="287"/>
      <c r="C250" s="287"/>
      <c r="D250" s="287"/>
      <c r="E250" s="287"/>
      <c r="F250" s="287"/>
      <c r="G250" s="287"/>
      <c r="H250" s="287"/>
      <c r="I250" s="287"/>
      <c r="J250" s="287"/>
      <c r="K250" s="287"/>
    </row>
    <row r="251" spans="1:11" ht="15.75" thickBot="1" x14ac:dyDescent="0.3">
      <c r="A251" s="347" t="s">
        <v>572</v>
      </c>
      <c r="B251" s="348"/>
      <c r="C251" s="287"/>
      <c r="D251" s="287"/>
      <c r="E251" s="287"/>
      <c r="F251" s="287"/>
      <c r="G251" s="287"/>
      <c r="H251" s="287"/>
      <c r="I251" s="287"/>
      <c r="J251" s="287"/>
      <c r="K251" s="287"/>
    </row>
    <row r="252" spans="1:11" ht="25.5" x14ac:dyDescent="0.25">
      <c r="A252" s="351" t="s">
        <v>573</v>
      </c>
      <c r="B252" s="352" t="s">
        <v>11</v>
      </c>
      <c r="C252" s="352" t="s">
        <v>30</v>
      </c>
      <c r="D252" s="352" t="s">
        <v>73</v>
      </c>
      <c r="E252" s="352" t="s">
        <v>89</v>
      </c>
      <c r="F252" s="352" t="s">
        <v>125</v>
      </c>
      <c r="G252" s="352" t="s">
        <v>150</v>
      </c>
      <c r="H252" s="352" t="s">
        <v>162</v>
      </c>
      <c r="I252" s="352" t="s">
        <v>239</v>
      </c>
      <c r="J252" s="287"/>
      <c r="K252" s="287"/>
    </row>
    <row r="253" spans="1:11" x14ac:dyDescent="0.25">
      <c r="A253" s="353" t="s">
        <v>574</v>
      </c>
      <c r="B253" s="361">
        <f>+SUM(B254:B264)</f>
        <v>38.615000000000002</v>
      </c>
      <c r="C253" s="361">
        <f t="shared" ref="C253:H253" si="13">+SUM(C254:C264)</f>
        <v>23.62</v>
      </c>
      <c r="D253" s="361">
        <f t="shared" si="13"/>
        <v>2.5000000000000001E-2</v>
      </c>
      <c r="E253" s="361">
        <f t="shared" si="13"/>
        <v>1.18</v>
      </c>
      <c r="F253" s="361">
        <f t="shared" si="13"/>
        <v>39.29</v>
      </c>
      <c r="G253" s="361">
        <f t="shared" si="13"/>
        <v>1.24</v>
      </c>
      <c r="H253" s="361">
        <f t="shared" si="13"/>
        <v>0.4</v>
      </c>
      <c r="I253" s="361">
        <f>+SUM(B253:H253)</f>
        <v>104.36999999999999</v>
      </c>
      <c r="J253" s="287"/>
      <c r="K253" s="287"/>
    </row>
    <row r="254" spans="1:11" x14ac:dyDescent="0.25">
      <c r="A254" s="354" t="s">
        <v>345</v>
      </c>
      <c r="B254" s="362">
        <v>0</v>
      </c>
      <c r="C254" s="362">
        <v>0.64</v>
      </c>
      <c r="D254" s="362">
        <v>0</v>
      </c>
      <c r="E254" s="362">
        <v>0.2</v>
      </c>
      <c r="F254" s="362">
        <v>1.46</v>
      </c>
      <c r="G254" s="362">
        <v>0</v>
      </c>
      <c r="H254" s="362">
        <v>0</v>
      </c>
      <c r="I254" s="362">
        <f>+SUM(B254:H254)</f>
        <v>2.2999999999999998</v>
      </c>
      <c r="J254" s="287"/>
      <c r="K254" s="287"/>
    </row>
    <row r="255" spans="1:11" x14ac:dyDescent="0.25">
      <c r="A255" s="354" t="s">
        <v>346</v>
      </c>
      <c r="B255" s="362">
        <v>2.6</v>
      </c>
      <c r="C255" s="362">
        <v>0.3</v>
      </c>
      <c r="D255" s="362">
        <v>0</v>
      </c>
      <c r="E255" s="362">
        <v>0</v>
      </c>
      <c r="F255" s="362">
        <v>1</v>
      </c>
      <c r="G255" s="362">
        <v>0</v>
      </c>
      <c r="H255" s="362">
        <v>0</v>
      </c>
      <c r="I255" s="362">
        <f t="shared" ref="I255:I264" si="14">+SUM(B255:H255)</f>
        <v>3.9</v>
      </c>
      <c r="J255" s="287"/>
      <c r="K255" s="287"/>
    </row>
    <row r="256" spans="1:11" x14ac:dyDescent="0.25">
      <c r="A256" s="354" t="s">
        <v>347</v>
      </c>
      <c r="B256" s="362">
        <v>1.8</v>
      </c>
      <c r="C256" s="362">
        <v>2.2999999999999998</v>
      </c>
      <c r="D256" s="362">
        <v>0</v>
      </c>
      <c r="E256" s="362">
        <v>0.12</v>
      </c>
      <c r="F256" s="362">
        <v>2.3199999999999998</v>
      </c>
      <c r="G256" s="362">
        <v>0</v>
      </c>
      <c r="H256" s="362">
        <v>0</v>
      </c>
      <c r="I256" s="362">
        <f t="shared" si="14"/>
        <v>6.5399999999999991</v>
      </c>
      <c r="J256" s="287"/>
      <c r="K256" s="287"/>
    </row>
    <row r="257" spans="1:11" x14ac:dyDescent="0.25">
      <c r="A257" s="354" t="s">
        <v>348</v>
      </c>
      <c r="B257" s="362">
        <v>8.5</v>
      </c>
      <c r="C257" s="362">
        <v>10.46</v>
      </c>
      <c r="D257" s="362">
        <v>0</v>
      </c>
      <c r="E257" s="362">
        <v>0</v>
      </c>
      <c r="F257" s="362">
        <v>7.7</v>
      </c>
      <c r="G257" s="362">
        <v>0.5</v>
      </c>
      <c r="H257" s="362">
        <v>0.4</v>
      </c>
      <c r="I257" s="362">
        <f t="shared" si="14"/>
        <v>27.56</v>
      </c>
      <c r="J257" s="287"/>
      <c r="K257" s="287"/>
    </row>
    <row r="258" spans="1:11" x14ac:dyDescent="0.25">
      <c r="A258" s="354" t="s">
        <v>349</v>
      </c>
      <c r="B258" s="362">
        <v>3.2</v>
      </c>
      <c r="C258" s="362">
        <v>2.08</v>
      </c>
      <c r="D258" s="362">
        <v>0</v>
      </c>
      <c r="E258" s="362">
        <v>0.46</v>
      </c>
      <c r="F258" s="362">
        <v>6.71</v>
      </c>
      <c r="G258" s="362">
        <v>0</v>
      </c>
      <c r="H258" s="362">
        <v>0</v>
      </c>
      <c r="I258" s="362">
        <f t="shared" si="14"/>
        <v>12.45</v>
      </c>
      <c r="J258" s="287"/>
      <c r="K258" s="287"/>
    </row>
    <row r="259" spans="1:11" x14ac:dyDescent="0.25">
      <c r="A259" s="354" t="s">
        <v>350</v>
      </c>
      <c r="B259" s="362">
        <v>4.7750000000000004</v>
      </c>
      <c r="C259" s="362">
        <v>2.06</v>
      </c>
      <c r="D259" s="362">
        <v>2.5000000000000001E-2</v>
      </c>
      <c r="E259" s="362">
        <v>0.1</v>
      </c>
      <c r="F259" s="362">
        <v>4.34</v>
      </c>
      <c r="G259" s="362">
        <v>0</v>
      </c>
      <c r="H259" s="362">
        <v>0</v>
      </c>
      <c r="I259" s="362">
        <f t="shared" si="14"/>
        <v>11.3</v>
      </c>
      <c r="J259" s="287"/>
      <c r="K259" s="287"/>
    </row>
    <row r="260" spans="1:11" x14ac:dyDescent="0.25">
      <c r="A260" s="354" t="s">
        <v>351</v>
      </c>
      <c r="B260" s="362">
        <v>3.02</v>
      </c>
      <c r="C260" s="362">
        <v>0.84</v>
      </c>
      <c r="D260" s="362">
        <v>0</v>
      </c>
      <c r="E260" s="362">
        <v>0</v>
      </c>
      <c r="F260" s="362">
        <v>5.76</v>
      </c>
      <c r="G260" s="362">
        <v>0</v>
      </c>
      <c r="H260" s="362">
        <v>0</v>
      </c>
      <c r="I260" s="362">
        <f t="shared" si="14"/>
        <v>9.6199999999999992</v>
      </c>
      <c r="J260" s="287"/>
      <c r="K260" s="287"/>
    </row>
    <row r="261" spans="1:11" x14ac:dyDescent="0.25">
      <c r="A261" s="354" t="s">
        <v>352</v>
      </c>
      <c r="B261" s="362">
        <v>3.28</v>
      </c>
      <c r="C261" s="362">
        <v>1.1000000000000001</v>
      </c>
      <c r="D261" s="362">
        <v>0</v>
      </c>
      <c r="E261" s="362">
        <v>0.3</v>
      </c>
      <c r="F261" s="362">
        <v>5.18</v>
      </c>
      <c r="G261" s="362">
        <v>0</v>
      </c>
      <c r="H261" s="362">
        <v>0</v>
      </c>
      <c r="I261" s="362">
        <f t="shared" si="14"/>
        <v>9.86</v>
      </c>
      <c r="J261" s="287"/>
      <c r="K261" s="287"/>
    </row>
    <row r="262" spans="1:11" x14ac:dyDescent="0.25">
      <c r="A262" s="354" t="s">
        <v>353</v>
      </c>
      <c r="B262" s="362">
        <v>5.34</v>
      </c>
      <c r="C262" s="362">
        <v>0.9</v>
      </c>
      <c r="D262" s="362">
        <v>0</v>
      </c>
      <c r="E262" s="362">
        <v>0</v>
      </c>
      <c r="F262" s="362">
        <v>2.52</v>
      </c>
      <c r="G262" s="362">
        <v>0.74</v>
      </c>
      <c r="H262" s="362">
        <v>0</v>
      </c>
      <c r="I262" s="362">
        <f t="shared" si="14"/>
        <v>9.5</v>
      </c>
      <c r="J262" s="287"/>
      <c r="K262" s="287"/>
    </row>
    <row r="263" spans="1:11" x14ac:dyDescent="0.25">
      <c r="A263" s="354" t="s">
        <v>354</v>
      </c>
      <c r="B263" s="362">
        <v>2.7</v>
      </c>
      <c r="C263" s="362">
        <v>2.94</v>
      </c>
      <c r="D263" s="362">
        <v>0</v>
      </c>
      <c r="E263" s="362">
        <v>0</v>
      </c>
      <c r="F263" s="362">
        <v>2.2999999999999998</v>
      </c>
      <c r="G263" s="362">
        <v>0</v>
      </c>
      <c r="H263" s="362">
        <v>0</v>
      </c>
      <c r="I263" s="362">
        <f t="shared" si="14"/>
        <v>7.94</v>
      </c>
      <c r="J263" s="287"/>
      <c r="K263" s="287"/>
    </row>
    <row r="264" spans="1:11" ht="15.75" thickBot="1" x14ac:dyDescent="0.3">
      <c r="A264" s="355" t="s">
        <v>355</v>
      </c>
      <c r="B264" s="363">
        <v>3.4</v>
      </c>
      <c r="C264" s="363">
        <v>0</v>
      </c>
      <c r="D264" s="363">
        <v>0</v>
      </c>
      <c r="E264" s="363">
        <v>0</v>
      </c>
      <c r="F264" s="363">
        <v>0</v>
      </c>
      <c r="G264" s="363">
        <v>0</v>
      </c>
      <c r="H264" s="363">
        <v>0</v>
      </c>
      <c r="I264" s="363">
        <f t="shared" si="14"/>
        <v>3.4</v>
      </c>
      <c r="J264" s="287"/>
      <c r="K264" s="287"/>
    </row>
    <row r="265" spans="1:11" x14ac:dyDescent="0.25">
      <c r="A265" s="310" t="s">
        <v>575</v>
      </c>
      <c r="B265" s="287"/>
      <c r="C265" s="219"/>
      <c r="D265" s="287"/>
      <c r="E265" s="287"/>
      <c r="F265" s="287"/>
      <c r="G265" s="287"/>
      <c r="H265" s="287"/>
      <c r="I265" s="287"/>
      <c r="J265" s="287"/>
      <c r="K265" s="287"/>
    </row>
    <row r="266" spans="1:11" x14ac:dyDescent="0.25">
      <c r="A266" s="287"/>
      <c r="B266" s="287"/>
      <c r="C266" s="287"/>
      <c r="D266" s="287"/>
      <c r="E266" s="287"/>
      <c r="F266" s="287"/>
      <c r="G266" s="287"/>
      <c r="H266" s="287"/>
      <c r="I266" s="287"/>
      <c r="J266" s="287"/>
      <c r="K266" s="287"/>
    </row>
    <row r="267" spans="1:11" x14ac:dyDescent="0.25">
      <c r="A267" s="287"/>
      <c r="B267" s="287"/>
      <c r="C267" s="287"/>
      <c r="D267" s="287"/>
      <c r="E267" s="287"/>
      <c r="F267" s="287"/>
      <c r="G267" s="287"/>
      <c r="H267" s="287"/>
      <c r="I267" s="287"/>
      <c r="J267" s="287"/>
      <c r="K267" s="287"/>
    </row>
    <row r="268" spans="1:11" x14ac:dyDescent="0.25">
      <c r="A268" s="287"/>
      <c r="B268" s="287"/>
      <c r="C268" s="287"/>
      <c r="D268" s="287"/>
      <c r="E268" s="287"/>
      <c r="F268" s="287"/>
      <c r="G268" s="287"/>
      <c r="H268" s="287"/>
      <c r="I268" s="287"/>
      <c r="J268" s="287"/>
      <c r="K268" s="287"/>
    </row>
    <row r="269" spans="1:11" x14ac:dyDescent="0.25">
      <c r="A269" s="287"/>
      <c r="B269" s="287"/>
      <c r="C269" s="287"/>
      <c r="D269" s="287"/>
      <c r="E269" s="287"/>
      <c r="F269" s="287"/>
      <c r="G269" s="287"/>
      <c r="H269" s="287"/>
      <c r="I269" s="287"/>
      <c r="J269" s="287"/>
      <c r="K269" s="287"/>
    </row>
    <row r="270" spans="1:11" x14ac:dyDescent="0.25">
      <c r="A270" s="287"/>
      <c r="B270" s="287"/>
      <c r="C270" s="287"/>
      <c r="D270" s="287"/>
      <c r="E270" s="287"/>
      <c r="F270" s="287"/>
      <c r="G270" s="287"/>
      <c r="H270" s="287"/>
      <c r="I270" s="287"/>
      <c r="J270" s="287"/>
      <c r="K270" s="287"/>
    </row>
    <row r="271" spans="1:11" x14ac:dyDescent="0.25">
      <c r="A271" s="287"/>
      <c r="B271" s="287"/>
      <c r="C271" s="287"/>
      <c r="D271" s="287"/>
      <c r="E271" s="287"/>
      <c r="F271" s="287"/>
      <c r="G271" s="287"/>
      <c r="H271" s="287"/>
      <c r="I271" s="287"/>
      <c r="J271" s="287"/>
      <c r="K271" s="287"/>
    </row>
    <row r="272" spans="1:11" x14ac:dyDescent="0.25">
      <c r="A272" s="287"/>
      <c r="B272" s="287"/>
      <c r="C272" s="287"/>
      <c r="D272" s="287"/>
      <c r="E272" s="287"/>
      <c r="F272" s="287"/>
      <c r="G272" s="287"/>
      <c r="H272" s="287"/>
      <c r="I272" s="287"/>
      <c r="J272" s="287"/>
      <c r="K272" s="287"/>
    </row>
    <row r="273" spans="1:11" x14ac:dyDescent="0.25">
      <c r="A273" s="287"/>
      <c r="B273" s="287"/>
      <c r="C273" s="287"/>
      <c r="D273" s="287"/>
      <c r="E273" s="287"/>
      <c r="F273" s="287"/>
      <c r="G273" s="287"/>
      <c r="H273" s="287"/>
      <c r="I273" s="287"/>
      <c r="J273" s="287"/>
      <c r="K273" s="287"/>
    </row>
    <row r="274" spans="1:11" x14ac:dyDescent="0.25">
      <c r="A274" s="287"/>
      <c r="B274" s="287"/>
      <c r="C274" s="287"/>
      <c r="D274" s="287"/>
      <c r="E274" s="287"/>
      <c r="F274" s="287"/>
      <c r="G274" s="287"/>
      <c r="H274" s="287"/>
      <c r="I274" s="287"/>
      <c r="J274" s="287"/>
      <c r="K274" s="287"/>
    </row>
    <row r="275" spans="1:11" x14ac:dyDescent="0.25">
      <c r="A275" s="287"/>
      <c r="B275" s="287"/>
      <c r="C275" s="287"/>
      <c r="D275" s="287"/>
      <c r="E275" s="287"/>
      <c r="F275" s="287"/>
      <c r="G275" s="287"/>
      <c r="H275" s="287"/>
      <c r="I275" s="287"/>
      <c r="J275" s="287"/>
      <c r="K275" s="287"/>
    </row>
    <row r="276" spans="1:11" x14ac:dyDescent="0.25">
      <c r="A276" s="287"/>
      <c r="B276" s="287"/>
      <c r="C276" s="287"/>
      <c r="D276" s="287"/>
      <c r="E276" s="287"/>
      <c r="F276" s="287"/>
      <c r="G276" s="287"/>
      <c r="H276" s="287"/>
      <c r="I276" s="287"/>
      <c r="J276" s="287"/>
      <c r="K276" s="287"/>
    </row>
    <row r="277" spans="1:11" x14ac:dyDescent="0.25">
      <c r="A277" s="287"/>
      <c r="B277" s="287"/>
      <c r="C277" s="287"/>
      <c r="D277" s="287"/>
      <c r="E277" s="287"/>
      <c r="F277" s="287"/>
      <c r="G277" s="287"/>
      <c r="H277" s="287"/>
      <c r="I277" s="287"/>
      <c r="J277" s="287"/>
      <c r="K277" s="287"/>
    </row>
    <row r="278" spans="1:11" x14ac:dyDescent="0.25">
      <c r="A278" s="287"/>
      <c r="B278" s="287"/>
      <c r="C278" s="287"/>
      <c r="D278" s="287"/>
      <c r="E278" s="287"/>
      <c r="F278" s="287"/>
      <c r="G278" s="287"/>
      <c r="H278" s="287"/>
      <c r="I278" s="287"/>
      <c r="J278" s="287"/>
      <c r="K278" s="287"/>
    </row>
    <row r="279" spans="1:11" x14ac:dyDescent="0.25">
      <c r="A279" s="287"/>
      <c r="B279" s="287"/>
      <c r="C279" s="287"/>
      <c r="D279" s="287"/>
      <c r="E279" s="287"/>
      <c r="F279" s="287"/>
      <c r="G279" s="287"/>
      <c r="H279" s="287"/>
      <c r="I279" s="287"/>
      <c r="J279" s="287"/>
      <c r="K279" s="287"/>
    </row>
    <row r="280" spans="1:11" x14ac:dyDescent="0.25">
      <c r="A280" s="287"/>
      <c r="B280" s="287"/>
      <c r="C280" s="287"/>
      <c r="D280" s="287"/>
      <c r="E280" s="287"/>
      <c r="F280" s="287"/>
      <c r="G280" s="287"/>
      <c r="H280" s="287"/>
      <c r="I280" s="287"/>
      <c r="J280" s="287"/>
      <c r="K280" s="287"/>
    </row>
    <row r="281" spans="1:11" x14ac:dyDescent="0.25">
      <c r="A281" s="287"/>
      <c r="B281" s="287"/>
      <c r="C281" s="287"/>
      <c r="D281" s="287"/>
      <c r="E281" s="287"/>
      <c r="F281" s="287"/>
      <c r="G281" s="287"/>
      <c r="H281" s="287"/>
      <c r="I281" s="287"/>
      <c r="J281" s="287"/>
      <c r="K281" s="287"/>
    </row>
    <row r="282" spans="1:11" x14ac:dyDescent="0.25">
      <c r="A282" s="287"/>
      <c r="B282" s="287"/>
      <c r="C282" s="287"/>
      <c r="D282" s="287"/>
      <c r="E282" s="287"/>
      <c r="F282" s="287"/>
      <c r="G282" s="287"/>
      <c r="H282" s="287"/>
      <c r="I282" s="287"/>
      <c r="J282" s="287"/>
      <c r="K282" s="287"/>
    </row>
    <row r="283" spans="1:11" x14ac:dyDescent="0.25">
      <c r="A283" s="287"/>
      <c r="B283" s="287"/>
      <c r="C283" s="287"/>
      <c r="D283" s="287"/>
      <c r="E283" s="287"/>
      <c r="F283" s="287"/>
      <c r="G283" s="287"/>
      <c r="H283" s="287"/>
      <c r="I283" s="287"/>
      <c r="J283" s="287"/>
      <c r="K283" s="287"/>
    </row>
    <row r="284" spans="1:11" x14ac:dyDescent="0.25">
      <c r="A284" s="287"/>
      <c r="B284" s="287"/>
      <c r="C284" s="287"/>
      <c r="D284" s="287"/>
      <c r="E284" s="287"/>
      <c r="F284" s="287"/>
      <c r="G284" s="287"/>
      <c r="H284" s="287"/>
      <c r="I284" s="287"/>
      <c r="J284" s="287"/>
      <c r="K284" s="287"/>
    </row>
    <row r="285" spans="1:11" x14ac:dyDescent="0.25">
      <c r="A285" s="287"/>
      <c r="B285" s="287"/>
      <c r="C285" s="287"/>
      <c r="D285" s="287"/>
      <c r="E285" s="287"/>
      <c r="F285" s="287"/>
      <c r="G285" s="287"/>
      <c r="H285" s="287"/>
      <c r="I285" s="287"/>
      <c r="J285" s="287"/>
      <c r="K285" s="287"/>
    </row>
    <row r="286" spans="1:11" x14ac:dyDescent="0.25">
      <c r="A286" s="287"/>
      <c r="B286" s="287"/>
      <c r="C286" s="287"/>
      <c r="D286" s="287"/>
      <c r="E286" s="287"/>
      <c r="F286" s="287"/>
      <c r="G286" s="287"/>
      <c r="H286" s="287"/>
      <c r="I286" s="287"/>
      <c r="J286" s="287"/>
      <c r="K286" s="287"/>
    </row>
    <row r="287" spans="1:11" x14ac:dyDescent="0.25">
      <c r="A287" s="287"/>
      <c r="B287" s="287"/>
      <c r="C287" s="287"/>
      <c r="D287" s="287"/>
      <c r="E287" s="287"/>
      <c r="F287" s="287"/>
      <c r="G287" s="287"/>
      <c r="H287" s="287"/>
      <c r="I287" s="287"/>
      <c r="J287" s="287"/>
      <c r="K287" s="287"/>
    </row>
    <row r="288" spans="1:11" x14ac:dyDescent="0.25">
      <c r="A288" s="287"/>
      <c r="B288" s="287"/>
      <c r="C288" s="287"/>
      <c r="D288" s="287"/>
      <c r="E288" s="287"/>
      <c r="F288" s="287"/>
      <c r="G288" s="287"/>
      <c r="H288" s="287"/>
      <c r="I288" s="287"/>
      <c r="J288" s="287"/>
      <c r="K288" s="287"/>
    </row>
    <row r="289" spans="1:11" x14ac:dyDescent="0.25">
      <c r="A289" s="287"/>
      <c r="B289" s="287"/>
      <c r="C289" s="287"/>
      <c r="D289" s="287"/>
      <c r="E289" s="287"/>
      <c r="F289" s="287"/>
      <c r="G289" s="287"/>
      <c r="H289" s="287"/>
      <c r="I289" s="287"/>
      <c r="J289" s="287"/>
      <c r="K289" s="287"/>
    </row>
    <row r="290" spans="1:11" x14ac:dyDescent="0.25">
      <c r="A290" s="287"/>
      <c r="B290" s="287"/>
      <c r="C290" s="287"/>
      <c r="D290" s="287"/>
      <c r="E290" s="287"/>
      <c r="F290" s="287"/>
      <c r="G290" s="287"/>
      <c r="H290" s="287"/>
      <c r="I290" s="287"/>
      <c r="J290" s="287"/>
      <c r="K290" s="287"/>
    </row>
    <row r="291" spans="1:11" x14ac:dyDescent="0.25">
      <c r="A291" s="287"/>
      <c r="B291" s="287"/>
      <c r="C291" s="287"/>
      <c r="D291" s="287"/>
      <c r="E291" s="287"/>
      <c r="F291" s="287"/>
      <c r="G291" s="287"/>
      <c r="H291" s="287"/>
      <c r="I291" s="287"/>
      <c r="J291" s="287"/>
      <c r="K291" s="287"/>
    </row>
    <row r="292" spans="1:11" x14ac:dyDescent="0.25">
      <c r="A292" s="287"/>
      <c r="B292" s="287"/>
      <c r="C292" s="287"/>
      <c r="D292" s="287"/>
      <c r="E292" s="287"/>
      <c r="F292" s="287"/>
      <c r="G292" s="287"/>
      <c r="H292" s="287"/>
      <c r="I292" s="287"/>
      <c r="J292" s="287"/>
      <c r="K292" s="287"/>
    </row>
    <row r="293" spans="1:11" x14ac:dyDescent="0.25">
      <c r="A293" s="287"/>
      <c r="B293" s="287"/>
      <c r="C293" s="287"/>
      <c r="D293" s="287"/>
      <c r="E293" s="287"/>
      <c r="F293" s="287"/>
      <c r="G293" s="287"/>
      <c r="H293" s="287"/>
      <c r="I293" s="287"/>
      <c r="J293" s="287"/>
      <c r="K293" s="287"/>
    </row>
    <row r="294" spans="1:11" x14ac:dyDescent="0.25">
      <c r="A294" s="287"/>
      <c r="B294" s="287"/>
      <c r="C294" s="287"/>
      <c r="D294" s="287"/>
      <c r="E294" s="287"/>
      <c r="F294" s="287"/>
      <c r="G294" s="287"/>
      <c r="H294" s="287"/>
      <c r="I294" s="287"/>
      <c r="J294" s="287"/>
      <c r="K294" s="287"/>
    </row>
    <row r="295" spans="1:11" x14ac:dyDescent="0.25">
      <c r="A295" s="287"/>
      <c r="B295" s="287"/>
      <c r="C295" s="287"/>
      <c r="D295" s="287"/>
      <c r="E295" s="287"/>
      <c r="F295" s="287"/>
      <c r="G295" s="287"/>
      <c r="H295" s="287"/>
      <c r="I295" s="287"/>
      <c r="J295" s="287"/>
      <c r="K295" s="287"/>
    </row>
    <row r="296" spans="1:11" x14ac:dyDescent="0.25">
      <c r="A296" s="287"/>
      <c r="B296" s="287"/>
      <c r="C296" s="287"/>
      <c r="D296" s="287"/>
      <c r="E296" s="287"/>
      <c r="F296" s="287"/>
      <c r="G296" s="287"/>
      <c r="H296" s="287"/>
      <c r="I296" s="287"/>
      <c r="J296" s="287"/>
      <c r="K296" s="287"/>
    </row>
    <row r="297" spans="1:11" x14ac:dyDescent="0.25">
      <c r="A297" s="287"/>
      <c r="B297" s="287"/>
      <c r="C297" s="287"/>
      <c r="D297" s="287"/>
      <c r="E297" s="287"/>
      <c r="F297" s="287"/>
      <c r="G297" s="287"/>
      <c r="H297" s="287"/>
      <c r="I297" s="287"/>
      <c r="J297" s="287"/>
      <c r="K297" s="287"/>
    </row>
    <row r="298" spans="1:11" x14ac:dyDescent="0.25">
      <c r="A298" s="287"/>
      <c r="B298" s="287"/>
      <c r="C298" s="287"/>
      <c r="D298" s="287"/>
      <c r="E298" s="287"/>
      <c r="F298" s="287"/>
      <c r="G298" s="287"/>
      <c r="H298" s="287"/>
      <c r="I298" s="287"/>
      <c r="J298" s="287"/>
      <c r="K298" s="287"/>
    </row>
    <row r="299" spans="1:11" x14ac:dyDescent="0.25">
      <c r="A299" s="287"/>
      <c r="B299" s="287"/>
      <c r="C299" s="287"/>
      <c r="D299" s="287"/>
      <c r="E299" s="287"/>
      <c r="F299" s="287"/>
      <c r="G299" s="287"/>
      <c r="H299" s="287"/>
      <c r="I299" s="287"/>
      <c r="J299" s="287"/>
      <c r="K299" s="287"/>
    </row>
    <row r="300" spans="1:11" ht="15.75" thickBot="1" x14ac:dyDescent="0.3">
      <c r="A300" s="347" t="s">
        <v>576</v>
      </c>
      <c r="B300" s="287"/>
      <c r="C300" s="287"/>
      <c r="D300" s="287"/>
      <c r="E300" s="287"/>
      <c r="F300" s="287"/>
      <c r="G300" s="287"/>
      <c r="H300" s="287"/>
      <c r="I300" s="287"/>
      <c r="J300" s="287"/>
      <c r="K300" s="287"/>
    </row>
    <row r="301" spans="1:11" ht="51" x14ac:dyDescent="0.25">
      <c r="A301" s="351" t="s">
        <v>577</v>
      </c>
      <c r="B301" s="364" t="s">
        <v>578</v>
      </c>
      <c r="C301" s="364" t="s">
        <v>579</v>
      </c>
      <c r="D301" s="364" t="s">
        <v>580</v>
      </c>
      <c r="E301" s="364" t="s">
        <v>581</v>
      </c>
      <c r="F301" s="364" t="s">
        <v>582</v>
      </c>
      <c r="G301" s="364" t="s">
        <v>583</v>
      </c>
      <c r="H301" s="364" t="s">
        <v>584</v>
      </c>
      <c r="I301" s="364" t="s">
        <v>585</v>
      </c>
      <c r="J301" s="357" t="s">
        <v>586</v>
      </c>
      <c r="K301" s="287"/>
    </row>
    <row r="302" spans="1:11" x14ac:dyDescent="0.25">
      <c r="A302" s="365" t="s">
        <v>587</v>
      </c>
      <c r="B302" s="366">
        <v>404190</v>
      </c>
      <c r="C302" s="366">
        <v>405759</v>
      </c>
      <c r="D302" s="367">
        <f>+(((C302/B302)^(1/10)-1))</f>
        <v>3.8750734746773041E-4</v>
      </c>
      <c r="E302" s="342"/>
      <c r="F302" s="342"/>
      <c r="G302" s="342"/>
      <c r="H302" s="368"/>
      <c r="I302" s="368"/>
      <c r="J302" s="369"/>
      <c r="K302" s="287"/>
    </row>
    <row r="303" spans="1:11" x14ac:dyDescent="0.25">
      <c r="A303" s="354" t="s">
        <v>314</v>
      </c>
      <c r="B303" s="342">
        <v>3166</v>
      </c>
      <c r="C303" s="342">
        <v>2924.9992951070099</v>
      </c>
      <c r="D303" s="370">
        <f>+(((C303/B303)^(1/10)-1))</f>
        <v>-7.8862115496955987E-3</v>
      </c>
      <c r="E303" s="342">
        <f>+C303*$D$238+C303</f>
        <v>2924.9992951070099</v>
      </c>
      <c r="F303" s="342">
        <f>+E303*$D$238+E303</f>
        <v>2924.9992951070099</v>
      </c>
      <c r="G303" s="342">
        <f>+F303*$D$238+F303</f>
        <v>2924.9992951070099</v>
      </c>
      <c r="H303" s="342">
        <f>+G303*0.035</f>
        <v>102.37497532874535</v>
      </c>
      <c r="I303" s="371">
        <v>17</v>
      </c>
      <c r="J303" s="342">
        <f>+H303*I303/1000</f>
        <v>1.740374580588671</v>
      </c>
      <c r="K303" s="287"/>
    </row>
    <row r="304" spans="1:11" x14ac:dyDescent="0.25">
      <c r="A304" s="354" t="s">
        <v>588</v>
      </c>
      <c r="B304" s="342">
        <v>7321</v>
      </c>
      <c r="C304" s="342">
        <v>6180</v>
      </c>
      <c r="D304" s="370">
        <f t="shared" ref="D304:D306" si="15">+(((C304/B304)^(1/10)-1))</f>
        <v>-1.6800142749990088E-2</v>
      </c>
      <c r="E304" s="342">
        <f>+C304*$D$238+C304</f>
        <v>6180</v>
      </c>
      <c r="F304" s="342">
        <f t="shared" ref="F304:G306" si="16">+E304*$D$238+E304</f>
        <v>6180</v>
      </c>
      <c r="G304" s="342">
        <f t="shared" si="16"/>
        <v>6180</v>
      </c>
      <c r="H304" s="342">
        <f t="shared" ref="H304:H306" si="17">+G304*0.035</f>
        <v>216.3</v>
      </c>
      <c r="I304" s="371">
        <v>17</v>
      </c>
      <c r="J304" s="342">
        <f t="shared" ref="J304:J306" si="18">+H304*I304/1000</f>
        <v>3.6771000000000003</v>
      </c>
      <c r="K304" s="287"/>
    </row>
    <row r="305" spans="1:11" x14ac:dyDescent="0.25">
      <c r="A305" s="354" t="s">
        <v>318</v>
      </c>
      <c r="B305" s="342">
        <v>10212</v>
      </c>
      <c r="C305" s="342">
        <v>10757</v>
      </c>
      <c r="D305" s="370">
        <f t="shared" si="15"/>
        <v>5.2128605304140319E-3</v>
      </c>
      <c r="E305" s="342">
        <f>($D$305*C305)+C305</f>
        <v>10813.074740725664</v>
      </c>
      <c r="F305" s="342">
        <f>($D$305*E305)+E305</f>
        <v>10869.44179125401</v>
      </c>
      <c r="G305" s="342">
        <f>($D$305*F305)+F305</f>
        <v>10926.102675355271</v>
      </c>
      <c r="H305" s="342">
        <f>G305*0.035</f>
        <v>382.41359363743453</v>
      </c>
      <c r="I305" s="371">
        <v>17</v>
      </c>
      <c r="J305" s="342">
        <f t="shared" si="18"/>
        <v>6.5010310918363867</v>
      </c>
      <c r="K305" s="287"/>
    </row>
    <row r="306" spans="1:11" ht="15.75" thickBot="1" x14ac:dyDescent="0.3">
      <c r="A306" s="354" t="s">
        <v>323</v>
      </c>
      <c r="B306" s="342">
        <v>5490</v>
      </c>
      <c r="C306" s="342">
        <v>5314</v>
      </c>
      <c r="D306" s="370">
        <f t="shared" si="15"/>
        <v>-3.253038186761148E-3</v>
      </c>
      <c r="E306" s="342">
        <f>+C306*$D$238+C306</f>
        <v>5314</v>
      </c>
      <c r="F306" s="342">
        <f t="shared" si="16"/>
        <v>5314</v>
      </c>
      <c r="G306" s="342">
        <f t="shared" si="16"/>
        <v>5314</v>
      </c>
      <c r="H306" s="342">
        <f t="shared" si="17"/>
        <v>185.99</v>
      </c>
      <c r="I306" s="371">
        <v>17</v>
      </c>
      <c r="J306" s="342">
        <f t="shared" si="18"/>
        <v>3.1618300000000001</v>
      </c>
      <c r="K306" s="287"/>
    </row>
    <row r="307" spans="1:11" ht="15.75" thickBot="1" x14ac:dyDescent="0.3">
      <c r="A307" s="372" t="s">
        <v>239</v>
      </c>
      <c r="B307" s="373">
        <f>SUM(B303:B306)</f>
        <v>26189</v>
      </c>
      <c r="C307" s="373">
        <f>SUM(C303:C306)</f>
        <v>25175.999295107009</v>
      </c>
      <c r="D307" s="374" t="s">
        <v>541</v>
      </c>
      <c r="E307" s="373">
        <f>SUM(E303:E306)</f>
        <v>25232.074035832673</v>
      </c>
      <c r="F307" s="373">
        <f>SUM(F303:F306)</f>
        <v>25288.441086361017</v>
      </c>
      <c r="G307" s="373">
        <f>SUM(G303:G306)</f>
        <v>25345.101970462281</v>
      </c>
      <c r="H307" s="373">
        <f>SUM(H303:H306)</f>
        <v>887.07856896617989</v>
      </c>
      <c r="I307" s="372" t="s">
        <v>541</v>
      </c>
      <c r="J307" s="373">
        <f>SUM(J303:J306)</f>
        <v>15.080335672425058</v>
      </c>
      <c r="K307" s="287"/>
    </row>
    <row r="308" spans="1:11" x14ac:dyDescent="0.25">
      <c r="A308" s="287"/>
      <c r="B308" s="287"/>
      <c r="C308" s="287"/>
      <c r="D308" s="287"/>
      <c r="E308" s="287"/>
      <c r="F308" s="287"/>
      <c r="G308" s="287"/>
      <c r="H308" s="287"/>
      <c r="I308" s="287"/>
      <c r="J308" s="287"/>
      <c r="K308" s="287"/>
    </row>
    <row r="309" spans="1:11" x14ac:dyDescent="0.25">
      <c r="A309" s="287"/>
      <c r="B309" s="287"/>
      <c r="C309" s="287"/>
      <c r="D309" s="287"/>
      <c r="E309" s="287"/>
      <c r="F309" s="287"/>
      <c r="G309" s="287"/>
      <c r="H309" s="287"/>
      <c r="I309" s="287"/>
      <c r="J309" s="287"/>
      <c r="K309" s="287"/>
    </row>
    <row r="310" spans="1:11" x14ac:dyDescent="0.25">
      <c r="A310" s="287"/>
      <c r="B310" s="287"/>
      <c r="C310" s="287"/>
      <c r="D310" s="287"/>
      <c r="E310" s="287"/>
      <c r="F310" s="287"/>
      <c r="G310" s="287"/>
      <c r="H310" s="287"/>
      <c r="I310" s="287"/>
      <c r="J310" s="287"/>
      <c r="K310" s="287"/>
    </row>
    <row r="311" spans="1:11" ht="15.75" thickBot="1" x14ac:dyDescent="0.3">
      <c r="A311" s="287"/>
      <c r="B311" s="287"/>
      <c r="C311" s="287"/>
      <c r="D311" s="287"/>
      <c r="E311" s="287"/>
      <c r="F311" s="287"/>
      <c r="G311" s="287"/>
      <c r="H311" s="287"/>
      <c r="I311" s="287"/>
      <c r="J311" s="287"/>
      <c r="K311" s="287"/>
    </row>
    <row r="312" spans="1:11" ht="15" customHeight="1" x14ac:dyDescent="0.25">
      <c r="A312" s="1710" t="s">
        <v>278</v>
      </c>
      <c r="B312" s="1714" t="s">
        <v>589</v>
      </c>
      <c r="C312" s="287"/>
      <c r="D312" s="287"/>
      <c r="E312" s="287"/>
      <c r="F312" s="287"/>
      <c r="G312" s="287"/>
      <c r="H312" s="287"/>
      <c r="I312" s="313"/>
      <c r="J312" s="313"/>
      <c r="K312" s="313"/>
    </row>
    <row r="313" spans="1:11" ht="15.75" thickBot="1" x14ac:dyDescent="0.3">
      <c r="A313" s="1711"/>
      <c r="B313" s="1715"/>
      <c r="C313" s="287"/>
      <c r="D313" s="287"/>
      <c r="E313" s="287"/>
      <c r="F313" s="287"/>
      <c r="G313" s="287"/>
      <c r="H313" s="287"/>
      <c r="I313" s="313"/>
      <c r="J313" s="313"/>
      <c r="K313" s="313"/>
    </row>
    <row r="314" spans="1:11" x14ac:dyDescent="0.25">
      <c r="A314" s="338" t="s">
        <v>590</v>
      </c>
      <c r="B314" s="342">
        <f>(D242+J307)</f>
        <v>497.48033567242504</v>
      </c>
      <c r="C314" s="287"/>
      <c r="D314" s="287"/>
      <c r="E314" s="287"/>
      <c r="F314" s="287"/>
      <c r="G314" s="287"/>
      <c r="H314" s="287"/>
      <c r="I314" s="313"/>
      <c r="J314" s="313"/>
      <c r="K314" s="313"/>
    </row>
    <row r="315" spans="1:11" x14ac:dyDescent="0.25">
      <c r="A315" s="338" t="s">
        <v>439</v>
      </c>
      <c r="B315" s="342">
        <f>+B314*0.005+B314</f>
        <v>499.96773735078716</v>
      </c>
      <c r="C315" s="287"/>
      <c r="D315" s="287"/>
      <c r="E315" s="287"/>
      <c r="F315" s="287"/>
      <c r="G315" s="287"/>
      <c r="H315" s="287"/>
      <c r="I315" s="313"/>
      <c r="J315" s="313"/>
      <c r="K315" s="313"/>
    </row>
    <row r="316" spans="1:11" x14ac:dyDescent="0.25">
      <c r="A316" s="338" t="s">
        <v>440</v>
      </c>
      <c r="B316" s="342">
        <f>+B315*0.01+B315</f>
        <v>504.96741472429505</v>
      </c>
      <c r="C316" s="287"/>
      <c r="D316" s="287"/>
      <c r="E316" s="287"/>
      <c r="F316" s="287"/>
      <c r="G316" s="287"/>
      <c r="H316" s="287"/>
      <c r="I316" s="313"/>
      <c r="J316" s="313"/>
      <c r="K316" s="313"/>
    </row>
    <row r="317" spans="1:11" x14ac:dyDescent="0.25">
      <c r="A317" s="338" t="s">
        <v>441</v>
      </c>
      <c r="B317" s="342">
        <f>+B316*0.015+B316</f>
        <v>512.54192594515951</v>
      </c>
      <c r="C317" s="287"/>
      <c r="D317" s="287"/>
      <c r="E317" s="287"/>
      <c r="F317" s="287"/>
      <c r="G317" s="287"/>
      <c r="H317" s="287"/>
      <c r="I317" s="313"/>
      <c r="J317" s="313"/>
      <c r="K317" s="313"/>
    </row>
    <row r="318" spans="1:11" x14ac:dyDescent="0.25">
      <c r="A318" s="338" t="s">
        <v>442</v>
      </c>
      <c r="B318" s="342">
        <f>+B317*0.02+B317</f>
        <v>522.79276446406266</v>
      </c>
      <c r="C318" s="287"/>
      <c r="D318" s="287"/>
      <c r="E318" s="287"/>
      <c r="F318" s="287"/>
      <c r="G318" s="287"/>
      <c r="H318" s="287"/>
      <c r="I318" s="313"/>
      <c r="J318" s="313"/>
      <c r="K318" s="313"/>
    </row>
    <row r="319" spans="1:11" x14ac:dyDescent="0.25">
      <c r="A319" s="338" t="s">
        <v>443</v>
      </c>
      <c r="B319" s="342">
        <f>+B318*0.025+B318</f>
        <v>535.86258357566419</v>
      </c>
      <c r="C319" s="287"/>
      <c r="D319" s="287"/>
      <c r="E319" s="287"/>
      <c r="F319" s="287"/>
      <c r="G319" s="287"/>
      <c r="H319" s="287"/>
      <c r="I319" s="313"/>
      <c r="J319" s="313"/>
      <c r="K319" s="313"/>
    </row>
    <row r="320" spans="1:11" x14ac:dyDescent="0.25">
      <c r="A320" s="338" t="s">
        <v>444</v>
      </c>
      <c r="B320" s="342">
        <f>+B319*0.03+B319</f>
        <v>551.93846108293417</v>
      </c>
      <c r="C320" s="287"/>
      <c r="D320" s="287"/>
      <c r="E320" s="287"/>
      <c r="F320" s="287"/>
      <c r="G320" s="287"/>
      <c r="H320" s="287"/>
      <c r="I320" s="313"/>
      <c r="J320" s="313"/>
      <c r="K320" s="313"/>
    </row>
    <row r="321" spans="1:17" x14ac:dyDescent="0.25">
      <c r="A321" s="338" t="s">
        <v>445</v>
      </c>
      <c r="B321" s="342">
        <f>+B320*0.035+B320</f>
        <v>571.2563072208369</v>
      </c>
      <c r="C321" s="287"/>
      <c r="D321" s="287"/>
      <c r="E321" s="287"/>
      <c r="F321" s="287"/>
      <c r="G321" s="287"/>
      <c r="H321" s="287"/>
      <c r="I321" s="313"/>
      <c r="J321" s="313"/>
      <c r="K321" s="313"/>
    </row>
    <row r="322" spans="1:17" x14ac:dyDescent="0.25">
      <c r="A322" s="338" t="s">
        <v>446</v>
      </c>
      <c r="B322" s="342">
        <f>+B321*0.04+B321</f>
        <v>594.10655950967043</v>
      </c>
      <c r="C322" s="287"/>
      <c r="D322" s="287"/>
      <c r="E322" s="287"/>
      <c r="F322" s="287"/>
      <c r="G322" s="287"/>
      <c r="H322" s="287"/>
      <c r="I322" s="313"/>
      <c r="J322" s="313"/>
      <c r="K322" s="313"/>
    </row>
    <row r="323" spans="1:17" x14ac:dyDescent="0.25">
      <c r="A323" s="338" t="s">
        <v>447</v>
      </c>
      <c r="B323" s="342">
        <f>+B322*0.045+B322</f>
        <v>620.84135468760564</v>
      </c>
      <c r="C323" s="287"/>
      <c r="D323" s="287"/>
      <c r="E323" s="287"/>
      <c r="F323" s="287"/>
      <c r="G323" s="287"/>
      <c r="H323" s="287"/>
      <c r="I323" s="313"/>
      <c r="J323" s="313"/>
      <c r="K323" s="313"/>
    </row>
    <row r="324" spans="1:17" x14ac:dyDescent="0.25">
      <c r="A324" s="338" t="s">
        <v>448</v>
      </c>
      <c r="B324" s="342">
        <f>+B323*0.05+B323</f>
        <v>651.88342242198587</v>
      </c>
      <c r="C324" s="287"/>
      <c r="D324" s="287"/>
      <c r="E324" s="287"/>
      <c r="F324" s="287"/>
      <c r="G324" s="287"/>
      <c r="H324" s="287"/>
      <c r="I324" s="313"/>
      <c r="J324" s="313"/>
      <c r="K324" s="313"/>
    </row>
    <row r="325" spans="1:17" x14ac:dyDescent="0.25">
      <c r="A325" s="338" t="s">
        <v>591</v>
      </c>
      <c r="B325" s="342">
        <f t="shared" ref="B325:B327" si="19">+B324*0.05+B324</f>
        <v>684.47759354308516</v>
      </c>
      <c r="C325" s="287"/>
      <c r="D325" s="287"/>
      <c r="E325" s="287"/>
      <c r="F325" s="287"/>
      <c r="G325" s="287"/>
      <c r="H325" s="287"/>
      <c r="I325" s="287"/>
      <c r="J325" s="287"/>
      <c r="K325" s="287"/>
    </row>
    <row r="326" spans="1:17" x14ac:dyDescent="0.25">
      <c r="A326" s="338" t="s">
        <v>592</v>
      </c>
      <c r="B326" s="342">
        <f t="shared" si="19"/>
        <v>718.70147322023945</v>
      </c>
      <c r="C326" s="287"/>
      <c r="D326" s="287"/>
      <c r="E326" s="287"/>
      <c r="F326" s="287"/>
      <c r="G326" s="287"/>
      <c r="H326" s="287"/>
      <c r="I326" s="287"/>
      <c r="J326" s="287"/>
      <c r="K326" s="287"/>
    </row>
    <row r="327" spans="1:17" ht="15.75" thickBot="1" x14ac:dyDescent="0.3">
      <c r="A327" s="343" t="s">
        <v>593</v>
      </c>
      <c r="B327" s="346">
        <f t="shared" si="19"/>
        <v>754.63654688125143</v>
      </c>
      <c r="C327" s="287"/>
      <c r="D327" s="287"/>
      <c r="E327" s="287"/>
      <c r="F327" s="287"/>
      <c r="G327" s="287"/>
      <c r="H327" s="287"/>
      <c r="I327" s="287"/>
      <c r="J327" s="287"/>
      <c r="K327" s="287"/>
    </row>
    <row r="328" spans="1:17" ht="15.75" thickBot="1" x14ac:dyDescent="0.3">
      <c r="A328" s="287"/>
      <c r="B328" s="287"/>
      <c r="C328" s="287"/>
      <c r="D328" s="287"/>
      <c r="E328" s="287"/>
      <c r="F328" s="287"/>
      <c r="G328" s="287"/>
      <c r="H328" s="287"/>
      <c r="I328" s="287"/>
      <c r="J328" s="287"/>
      <c r="K328" s="287"/>
    </row>
    <row r="329" spans="1:17" x14ac:dyDescent="0.25">
      <c r="A329" s="287"/>
      <c r="B329" s="1716" t="s">
        <v>278</v>
      </c>
      <c r="C329" s="1717"/>
      <c r="D329" s="393" t="s">
        <v>590</v>
      </c>
      <c r="E329" s="393" t="s">
        <v>439</v>
      </c>
      <c r="F329" s="393" t="s">
        <v>440</v>
      </c>
      <c r="G329" s="393" t="s">
        <v>441</v>
      </c>
      <c r="H329" s="393" t="s">
        <v>442</v>
      </c>
      <c r="I329" s="393" t="s">
        <v>443</v>
      </c>
      <c r="J329" s="393" t="s">
        <v>444</v>
      </c>
      <c r="K329" s="393" t="s">
        <v>445</v>
      </c>
      <c r="L329" s="393" t="s">
        <v>446</v>
      </c>
      <c r="M329" s="393" t="s">
        <v>447</v>
      </c>
      <c r="N329" s="393" t="s">
        <v>448</v>
      </c>
      <c r="O329" s="393" t="s">
        <v>591</v>
      </c>
      <c r="P329" s="393" t="s">
        <v>592</v>
      </c>
      <c r="Q329" s="394" t="s">
        <v>593</v>
      </c>
    </row>
    <row r="330" spans="1:17" ht="15.75" thickBot="1" x14ac:dyDescent="0.3">
      <c r="A330" s="287"/>
      <c r="B330" s="1704" t="s">
        <v>589</v>
      </c>
      <c r="C330" s="1705"/>
      <c r="D330" s="395">
        <f>B314</f>
        <v>497.48033567242504</v>
      </c>
      <c r="E330" s="395">
        <f>+D330*0.005+D330</f>
        <v>499.96773735078716</v>
      </c>
      <c r="F330" s="395">
        <f>+E330*0.01+E330</f>
        <v>504.96741472429505</v>
      </c>
      <c r="G330" s="395">
        <f>+F330*0.015+F330</f>
        <v>512.54192594515951</v>
      </c>
      <c r="H330" s="395">
        <f>+G330*0.02+G330</f>
        <v>522.79276446406266</v>
      </c>
      <c r="I330" s="395">
        <f>+H330*0.025+H330</f>
        <v>535.86258357566419</v>
      </c>
      <c r="J330" s="395">
        <f>+I330*0.03+I330</f>
        <v>551.93846108293417</v>
      </c>
      <c r="K330" s="395">
        <f>+J330*0.035+J330</f>
        <v>571.2563072208369</v>
      </c>
      <c r="L330" s="395">
        <f>+K330*0.04+K330</f>
        <v>594.10655950967043</v>
      </c>
      <c r="M330" s="395">
        <f>+L330*0.045+L330</f>
        <v>620.84135468760564</v>
      </c>
      <c r="N330" s="395">
        <f>+M330*0.05+M330</f>
        <v>651.88342242198587</v>
      </c>
      <c r="O330" s="395">
        <f>+N330*0.05+N330</f>
        <v>684.47759354308516</v>
      </c>
      <c r="P330" s="395">
        <f>+O330*0.05+O330</f>
        <v>718.70147322023945</v>
      </c>
      <c r="Q330" s="396">
        <f>+P330*0.05+P330</f>
        <v>754.63654688125143</v>
      </c>
    </row>
    <row r="331" spans="1:17" x14ac:dyDescent="0.25">
      <c r="A331" s="287"/>
      <c r="B331" s="287"/>
      <c r="C331" s="287"/>
      <c r="D331" s="287"/>
      <c r="E331" s="287"/>
      <c r="F331" s="287"/>
      <c r="G331" s="287"/>
      <c r="H331" s="287"/>
      <c r="I331" s="287"/>
      <c r="J331" s="287"/>
      <c r="K331" s="287"/>
    </row>
  </sheetData>
  <mergeCells count="18">
    <mergeCell ref="A156:D156"/>
    <mergeCell ref="A65:K65"/>
    <mergeCell ref="A66:K66"/>
    <mergeCell ref="A67:K67"/>
    <mergeCell ref="A140:K140"/>
    <mergeCell ref="A141:K141"/>
    <mergeCell ref="B330:C330"/>
    <mergeCell ref="C179:G179"/>
    <mergeCell ref="C180:G180"/>
    <mergeCell ref="C190:G190"/>
    <mergeCell ref="A201:B201"/>
    <mergeCell ref="D201:D202"/>
    <mergeCell ref="A228:K228"/>
    <mergeCell ref="C240:D240"/>
    <mergeCell ref="A312:A313"/>
    <mergeCell ref="B312:B313"/>
    <mergeCell ref="B329:C329"/>
    <mergeCell ref="H201:H20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"/>
  <sheetViews>
    <sheetView workbookViewId="0">
      <selection activeCell="O8" sqref="O8"/>
    </sheetView>
  </sheetViews>
  <sheetFormatPr baseColWidth="10" defaultRowHeight="15" x14ac:dyDescent="0.25"/>
  <cols>
    <col min="2" max="2" width="37" customWidth="1"/>
  </cols>
  <sheetData>
    <row r="1" spans="1:17" x14ac:dyDescent="0.25">
      <c r="A1" s="381"/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</row>
    <row r="2" spans="1:17" ht="15.75" thickBot="1" x14ac:dyDescent="0.3">
      <c r="A2" s="381"/>
      <c r="B2" s="1730" t="s">
        <v>594</v>
      </c>
      <c r="C2" s="1730"/>
      <c r="D2" s="1730"/>
      <c r="E2" s="1730"/>
      <c r="F2" s="1730"/>
      <c r="G2" s="1730"/>
      <c r="H2" s="1730"/>
      <c r="I2" s="1730"/>
      <c r="J2" s="1730"/>
      <c r="K2" s="1730"/>
      <c r="L2" s="1730"/>
      <c r="M2" s="381"/>
      <c r="N2" s="381"/>
      <c r="O2" s="381"/>
      <c r="P2" s="381"/>
      <c r="Q2" s="381"/>
    </row>
    <row r="3" spans="1:17" ht="27" x14ac:dyDescent="0.25">
      <c r="A3" s="381"/>
      <c r="B3" s="1342" t="s">
        <v>459</v>
      </c>
      <c r="C3" s="1343" t="s">
        <v>439</v>
      </c>
      <c r="D3" s="1343" t="s">
        <v>440</v>
      </c>
      <c r="E3" s="1343" t="s">
        <v>441</v>
      </c>
      <c r="F3" s="1343" t="s">
        <v>442</v>
      </c>
      <c r="G3" s="1343" t="s">
        <v>443</v>
      </c>
      <c r="H3" s="1343" t="s">
        <v>444</v>
      </c>
      <c r="I3" s="1343" t="s">
        <v>445</v>
      </c>
      <c r="J3" s="1343" t="s">
        <v>446</v>
      </c>
      <c r="K3" s="1343" t="s">
        <v>447</v>
      </c>
      <c r="L3" s="1344" t="s">
        <v>448</v>
      </c>
      <c r="M3" s="381"/>
      <c r="N3" s="381"/>
      <c r="O3" s="381"/>
      <c r="P3" s="381"/>
      <c r="Q3" s="381"/>
    </row>
    <row r="4" spans="1:17" x14ac:dyDescent="0.25">
      <c r="A4" s="381"/>
      <c r="B4" s="1963" t="s">
        <v>1883</v>
      </c>
      <c r="C4" s="384">
        <v>406703.32197856286</v>
      </c>
      <c r="D4" s="384">
        <v>406860.92250406911</v>
      </c>
      <c r="E4" s="384">
        <v>407018.58410093695</v>
      </c>
      <c r="F4" s="384">
        <v>407176.30679283198</v>
      </c>
      <c r="G4" s="384">
        <v>407334.09060342895</v>
      </c>
      <c r="H4" s="384">
        <v>407491.93555641186</v>
      </c>
      <c r="I4" s="384">
        <v>407649.84167547384</v>
      </c>
      <c r="J4" s="384">
        <v>407807.80898431712</v>
      </c>
      <c r="K4" s="384">
        <v>407965.83750665328</v>
      </c>
      <c r="L4" s="400">
        <v>408123.92726620293</v>
      </c>
      <c r="M4" s="385"/>
      <c r="N4" s="381"/>
      <c r="O4" s="381"/>
      <c r="P4" s="381"/>
      <c r="Q4" s="381"/>
    </row>
    <row r="5" spans="1:17" ht="45.75" customHeight="1" x14ac:dyDescent="0.25">
      <c r="A5" s="381"/>
      <c r="B5" s="1963" t="s">
        <v>1884</v>
      </c>
      <c r="C5" s="384">
        <v>280962.13740513503</v>
      </c>
      <c r="D5" s="384">
        <v>284110.36262119981</v>
      </c>
      <c r="E5" s="384">
        <v>287293.86419906432</v>
      </c>
      <c r="F5" s="384">
        <v>290513.03741594532</v>
      </c>
      <c r="G5" s="384">
        <v>293768.28197820357</v>
      </c>
      <c r="H5" s="384">
        <v>297060.00207097281</v>
      </c>
      <c r="I5" s="384">
        <v>300388.60640834522</v>
      </c>
      <c r="J5" s="384">
        <v>303754.50828411907</v>
      </c>
      <c r="K5" s="384">
        <v>307158.12562311505</v>
      </c>
      <c r="L5" s="400">
        <v>310599.88103306759</v>
      </c>
      <c r="M5" s="385"/>
      <c r="N5" s="381"/>
      <c r="O5" s="381"/>
      <c r="P5" s="381"/>
      <c r="Q5" s="381"/>
    </row>
    <row r="6" spans="1:17" ht="72" customHeight="1" x14ac:dyDescent="0.25">
      <c r="A6" s="381"/>
      <c r="B6" s="1963" t="s">
        <v>1885</v>
      </c>
      <c r="C6" s="384">
        <v>252308.40902882599</v>
      </c>
      <c r="D6" s="384">
        <v>255135.56468355583</v>
      </c>
      <c r="E6" s="384">
        <v>257994.39906483595</v>
      </c>
      <c r="F6" s="384">
        <v>260885.2671378114</v>
      </c>
      <c r="G6" s="384">
        <v>263808.5278450675</v>
      </c>
      <c r="H6" s="384">
        <v>266764.54415119789</v>
      </c>
      <c r="I6" s="384">
        <v>269753.68308787205</v>
      </c>
      <c r="J6" s="384">
        <v>272776.31579940737</v>
      </c>
      <c r="K6" s="384">
        <v>275832.81758885208</v>
      </c>
      <c r="L6" s="400">
        <v>278923.56796458439</v>
      </c>
      <c r="M6" s="385"/>
      <c r="N6" s="381"/>
      <c r="O6" s="381"/>
      <c r="P6" s="381"/>
      <c r="Q6" s="381"/>
    </row>
    <row r="7" spans="1:17" ht="73.5" customHeight="1" x14ac:dyDescent="0.25">
      <c r="A7" s="381"/>
      <c r="B7" s="1963" t="s">
        <v>1886</v>
      </c>
      <c r="C7" s="384">
        <v>251511.64493297701</v>
      </c>
      <c r="D7" s="384">
        <v>254329.87271991305</v>
      </c>
      <c r="E7" s="384">
        <v>257179.67919522783</v>
      </c>
      <c r="F7" s="384">
        <v>260061.4182031228</v>
      </c>
      <c r="G7" s="384">
        <v>262975.44755267934</v>
      </c>
      <c r="H7" s="384">
        <v>265922.12906228617</v>
      </c>
      <c r="I7" s="384">
        <v>268901.82860456436</v>
      </c>
      <c r="J7" s="384">
        <v>271914.91615179559</v>
      </c>
      <c r="K7" s="384">
        <v>274961.76582185947</v>
      </c>
      <c r="L7" s="400">
        <v>278042.75592468574</v>
      </c>
      <c r="M7" s="385"/>
      <c r="N7" s="381"/>
      <c r="O7" s="381"/>
      <c r="P7" s="381"/>
      <c r="Q7" s="381"/>
    </row>
    <row r="8" spans="1:17" ht="78" customHeight="1" x14ac:dyDescent="0.25">
      <c r="A8" s="381"/>
      <c r="B8" s="1963" t="s">
        <v>1887</v>
      </c>
      <c r="C8" s="384">
        <v>201209.315946382</v>
      </c>
      <c r="D8" s="384">
        <v>203463.89817593043</v>
      </c>
      <c r="E8" s="384">
        <v>205743.74335618227</v>
      </c>
      <c r="F8" s="384">
        <v>208049.13456249825</v>
      </c>
      <c r="G8" s="384">
        <v>210380.35804214346</v>
      </c>
      <c r="H8" s="384">
        <v>212737.70324982895</v>
      </c>
      <c r="I8" s="384">
        <v>215121.46288365149</v>
      </c>
      <c r="J8" s="384">
        <v>217531.93292143647</v>
      </c>
      <c r="K8" s="384">
        <v>219969.41265748758</v>
      </c>
      <c r="L8" s="400">
        <v>222434.20473974859</v>
      </c>
      <c r="M8" s="386"/>
      <c r="N8" s="1231"/>
      <c r="O8" s="381"/>
      <c r="P8" s="381"/>
      <c r="Q8" s="381"/>
    </row>
    <row r="9" spans="1:17" ht="98.25" customHeight="1" thickBot="1" x14ac:dyDescent="0.3">
      <c r="A9" s="381"/>
      <c r="B9" s="1345" t="s">
        <v>1620</v>
      </c>
      <c r="C9" s="1346">
        <v>2164.0382399999999</v>
      </c>
      <c r="D9" s="1346">
        <v>2165.0764799999997</v>
      </c>
      <c r="E9" s="1346">
        <v>2166.1147199999996</v>
      </c>
      <c r="F9" s="1346">
        <v>2167.1529599999994</v>
      </c>
      <c r="G9" s="1346">
        <v>2168.1911999999993</v>
      </c>
      <c r="H9" s="1346">
        <v>2169.2294399999992</v>
      </c>
      <c r="I9" s="1346">
        <v>2170.267679999999</v>
      </c>
      <c r="J9" s="1346">
        <v>2171.3059199999989</v>
      </c>
      <c r="K9" s="1346">
        <v>2172.3441599999987</v>
      </c>
      <c r="L9" s="1347">
        <v>2173.3823999999986</v>
      </c>
      <c r="N9" s="381"/>
      <c r="O9" s="381"/>
      <c r="P9" s="381"/>
      <c r="Q9" s="381"/>
    </row>
    <row r="10" spans="1:17" x14ac:dyDescent="0.25">
      <c r="A10" s="381"/>
      <c r="B10" s="381"/>
      <c r="C10" s="381"/>
      <c r="D10" s="381"/>
      <c r="E10" s="381"/>
      <c r="F10" s="381"/>
      <c r="G10" s="381"/>
      <c r="H10" s="381"/>
      <c r="I10" s="381"/>
      <c r="J10" s="381"/>
      <c r="K10" s="381"/>
      <c r="L10" s="381"/>
      <c r="M10" s="381"/>
      <c r="N10" s="381"/>
      <c r="O10" s="381"/>
      <c r="P10" s="381"/>
      <c r="Q10" s="381"/>
    </row>
    <row r="11" spans="1:17" x14ac:dyDescent="0.25">
      <c r="A11" s="381"/>
      <c r="B11" s="1724" t="s">
        <v>600</v>
      </c>
      <c r="C11" s="1724"/>
      <c r="D11" s="1724"/>
      <c r="E11" s="1724"/>
      <c r="F11" s="1724"/>
      <c r="G11" s="1724"/>
      <c r="H11" s="1724"/>
      <c r="I11" s="1724"/>
      <c r="J11" s="1724"/>
      <c r="K11" s="1724"/>
      <c r="L11" s="1724"/>
      <c r="M11" s="387"/>
      <c r="N11" s="381"/>
      <c r="O11" s="381"/>
      <c r="P11" s="381"/>
      <c r="Q11" s="381"/>
    </row>
    <row r="12" spans="1:17" ht="27" x14ac:dyDescent="0.25">
      <c r="A12" s="381"/>
      <c r="B12" s="382" t="s">
        <v>459</v>
      </c>
      <c r="C12" s="382" t="s">
        <v>439</v>
      </c>
      <c r="D12" s="382" t="s">
        <v>440</v>
      </c>
      <c r="E12" s="382" t="s">
        <v>441</v>
      </c>
      <c r="F12" s="382" t="s">
        <v>442</v>
      </c>
      <c r="G12" s="382" t="s">
        <v>443</v>
      </c>
      <c r="H12" s="382" t="s">
        <v>444</v>
      </c>
      <c r="I12" s="382" t="s">
        <v>445</v>
      </c>
      <c r="J12" s="382" t="s">
        <v>446</v>
      </c>
      <c r="K12" s="382" t="s">
        <v>447</v>
      </c>
      <c r="L12" s="382" t="s">
        <v>448</v>
      </c>
      <c r="M12" s="381"/>
      <c r="N12" s="381"/>
      <c r="O12" s="381"/>
      <c r="P12" s="381"/>
      <c r="Q12" s="381"/>
    </row>
    <row r="13" spans="1:17" ht="27" x14ac:dyDescent="0.25">
      <c r="A13" s="381"/>
      <c r="B13" s="383" t="s">
        <v>595</v>
      </c>
      <c r="C13" s="384">
        <f>+'[1]Datos Básicos'!G32</f>
        <v>120734.96158128347</v>
      </c>
      <c r="D13" s="384">
        <f t="shared" ref="D13:L13" si="0">+(C13*$M$13)+C13</f>
        <v>120734.96158128347</v>
      </c>
      <c r="E13" s="384">
        <f t="shared" si="0"/>
        <v>120734.96158128347</v>
      </c>
      <c r="F13" s="384">
        <f t="shared" si="0"/>
        <v>120734.96158128347</v>
      </c>
      <c r="G13" s="384">
        <f t="shared" si="0"/>
        <v>120734.96158128347</v>
      </c>
      <c r="H13" s="384">
        <f t="shared" si="0"/>
        <v>120734.96158128347</v>
      </c>
      <c r="I13" s="384">
        <f t="shared" si="0"/>
        <v>120734.96158128347</v>
      </c>
      <c r="J13" s="384">
        <f t="shared" si="0"/>
        <v>120734.96158128347</v>
      </c>
      <c r="K13" s="384">
        <f t="shared" si="0"/>
        <v>120734.96158128347</v>
      </c>
      <c r="L13" s="384">
        <f t="shared" si="0"/>
        <v>120734.96158128347</v>
      </c>
      <c r="M13" s="385">
        <f>+M4</f>
        <v>0</v>
      </c>
      <c r="N13" s="381"/>
      <c r="O13" s="381"/>
      <c r="P13" s="381"/>
      <c r="Q13" s="381"/>
    </row>
    <row r="14" spans="1:17" ht="27" x14ac:dyDescent="0.25">
      <c r="A14" s="381"/>
      <c r="B14" s="383" t="s">
        <v>596</v>
      </c>
      <c r="C14" s="384">
        <f>+'[1]Datos Básicos'!G55</f>
        <v>81782.056574228904</v>
      </c>
      <c r="D14" s="384">
        <f t="shared" ref="D14:L14" si="1">+(C14*$M$14)+C14</f>
        <v>81782.056574228904</v>
      </c>
      <c r="E14" s="384">
        <f t="shared" si="1"/>
        <v>81782.056574228904</v>
      </c>
      <c r="F14" s="384">
        <f t="shared" si="1"/>
        <v>81782.056574228904</v>
      </c>
      <c r="G14" s="384">
        <f t="shared" si="1"/>
        <v>81782.056574228904</v>
      </c>
      <c r="H14" s="384">
        <f t="shared" si="1"/>
        <v>81782.056574228904</v>
      </c>
      <c r="I14" s="384">
        <f t="shared" si="1"/>
        <v>81782.056574228904</v>
      </c>
      <c r="J14" s="384">
        <f t="shared" si="1"/>
        <v>81782.056574228904</v>
      </c>
      <c r="K14" s="384">
        <f t="shared" si="1"/>
        <v>81782.056574228904</v>
      </c>
      <c r="L14" s="384">
        <f t="shared" si="1"/>
        <v>81782.056574228904</v>
      </c>
      <c r="M14" s="385">
        <f>+M5</f>
        <v>0</v>
      </c>
      <c r="N14" s="381"/>
      <c r="O14" s="381"/>
      <c r="P14" s="381"/>
      <c r="Q14" s="381"/>
    </row>
    <row r="15" spans="1:17" ht="40.5" x14ac:dyDescent="0.25">
      <c r="A15" s="381"/>
      <c r="B15" s="383" t="s">
        <v>597</v>
      </c>
      <c r="C15" s="384">
        <f>+'[1]Datos Básicos'!P69</f>
        <v>229.35103725842006</v>
      </c>
      <c r="D15" s="384">
        <f t="shared" ref="D15:L15" si="2">+(C15*$M$15)+C15</f>
        <v>229.35103725842006</v>
      </c>
      <c r="E15" s="384">
        <f t="shared" si="2"/>
        <v>229.35103725842006</v>
      </c>
      <c r="F15" s="384">
        <f t="shared" si="2"/>
        <v>229.35103725842006</v>
      </c>
      <c r="G15" s="384">
        <f t="shared" si="2"/>
        <v>229.35103725842006</v>
      </c>
      <c r="H15" s="384">
        <f t="shared" si="2"/>
        <v>229.35103725842006</v>
      </c>
      <c r="I15" s="384">
        <f t="shared" si="2"/>
        <v>229.35103725842006</v>
      </c>
      <c r="J15" s="384">
        <f t="shared" si="2"/>
        <v>229.35103725842006</v>
      </c>
      <c r="K15" s="384">
        <f t="shared" si="2"/>
        <v>229.35103725842006</v>
      </c>
      <c r="L15" s="384">
        <f t="shared" si="2"/>
        <v>229.35103725842006</v>
      </c>
      <c r="M15" s="385">
        <f>+M6</f>
        <v>0</v>
      </c>
      <c r="N15" s="381"/>
      <c r="O15" s="381"/>
      <c r="P15" s="381"/>
      <c r="Q15" s="381"/>
    </row>
    <row r="16" spans="1:17" ht="40.5" x14ac:dyDescent="0.25">
      <c r="A16" s="381"/>
      <c r="B16" s="383" t="s">
        <v>598</v>
      </c>
      <c r="C16" s="384">
        <f>+'[1]Datos Básicos'!P70</f>
        <v>72398.413719286487</v>
      </c>
      <c r="D16" s="384">
        <f t="shared" ref="D16:L16" si="3">+(C16*$M$16)+C16</f>
        <v>72398.413719286487</v>
      </c>
      <c r="E16" s="384">
        <f t="shared" si="3"/>
        <v>72398.413719286487</v>
      </c>
      <c r="F16" s="384">
        <f t="shared" si="3"/>
        <v>72398.413719286487</v>
      </c>
      <c r="G16" s="384">
        <f t="shared" si="3"/>
        <v>72398.413719286487</v>
      </c>
      <c r="H16" s="384">
        <f t="shared" si="3"/>
        <v>72398.413719286487</v>
      </c>
      <c r="I16" s="384">
        <f t="shared" si="3"/>
        <v>72398.413719286487</v>
      </c>
      <c r="J16" s="384">
        <f t="shared" si="3"/>
        <v>72398.413719286487</v>
      </c>
      <c r="K16" s="384">
        <f t="shared" si="3"/>
        <v>72398.413719286487</v>
      </c>
      <c r="L16" s="384">
        <f t="shared" si="3"/>
        <v>72398.413719286487</v>
      </c>
      <c r="M16" s="385">
        <f>+M7</f>
        <v>0</v>
      </c>
      <c r="N16" s="381"/>
      <c r="O16" s="381"/>
      <c r="P16" s="381"/>
      <c r="Q16" s="381"/>
    </row>
    <row r="17" spans="1:17" ht="40.5" x14ac:dyDescent="0.25">
      <c r="A17" s="381"/>
      <c r="B17" s="383" t="s">
        <v>599</v>
      </c>
      <c r="C17" s="384">
        <f>C8/'[1]Datos Básicos'!O62</f>
        <v>59887.594158946726</v>
      </c>
      <c r="D17" s="384">
        <f>+(C17*$M$17)+C17</f>
        <v>59887.594158946726</v>
      </c>
      <c r="E17" s="384">
        <f t="shared" ref="E17:L17" si="4">+(D17*$M$17)+D17</f>
        <v>59887.594158946726</v>
      </c>
      <c r="F17" s="384">
        <f t="shared" si="4"/>
        <v>59887.594158946726</v>
      </c>
      <c r="G17" s="384">
        <f t="shared" si="4"/>
        <v>59887.594158946726</v>
      </c>
      <c r="H17" s="384">
        <f t="shared" si="4"/>
        <v>59887.594158946726</v>
      </c>
      <c r="I17" s="384">
        <f t="shared" si="4"/>
        <v>59887.594158946726</v>
      </c>
      <c r="J17" s="384">
        <f t="shared" si="4"/>
        <v>59887.594158946726</v>
      </c>
      <c r="K17" s="384">
        <f t="shared" si="4"/>
        <v>59887.594158946726</v>
      </c>
      <c r="L17" s="384">
        <f t="shared" si="4"/>
        <v>59887.594158946726</v>
      </c>
      <c r="M17" s="386">
        <f>+M8</f>
        <v>0</v>
      </c>
      <c r="N17" s="381"/>
      <c r="O17" s="381"/>
      <c r="P17" s="381"/>
      <c r="Q17" s="381"/>
    </row>
    <row r="18" spans="1:17" x14ac:dyDescent="0.25">
      <c r="A18" s="381"/>
      <c r="B18" s="381"/>
      <c r="C18" s="381"/>
      <c r="D18" s="381"/>
      <c r="E18" s="381"/>
      <c r="F18" s="381"/>
      <c r="G18" s="381"/>
      <c r="H18" s="381"/>
      <c r="I18" s="381"/>
      <c r="J18" s="381"/>
      <c r="K18" s="381"/>
      <c r="L18" s="381"/>
      <c r="M18" s="381"/>
      <c r="N18" s="381"/>
      <c r="O18" s="381"/>
      <c r="P18" s="381"/>
      <c r="Q18" s="381"/>
    </row>
    <row r="19" spans="1:17" x14ac:dyDescent="0.25">
      <c r="A19" s="381"/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</row>
    <row r="20" spans="1:17" x14ac:dyDescent="0.25">
      <c r="A20" s="381"/>
      <c r="B20" s="1724" t="s">
        <v>601</v>
      </c>
      <c r="C20" s="1724"/>
      <c r="D20" s="1724"/>
      <c r="E20" s="1724"/>
      <c r="F20" s="1724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</row>
    <row r="21" spans="1:17" ht="40.5" x14ac:dyDescent="0.25">
      <c r="A21" s="381"/>
      <c r="B21" s="1731" t="s">
        <v>602</v>
      </c>
      <c r="C21" s="1731"/>
      <c r="D21" s="1731"/>
      <c r="E21" s="382" t="s">
        <v>603</v>
      </c>
      <c r="F21" s="382" t="s">
        <v>604</v>
      </c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</row>
    <row r="22" spans="1:17" x14ac:dyDescent="0.25">
      <c r="A22" s="381"/>
      <c r="B22" s="1723" t="s">
        <v>605</v>
      </c>
      <c r="C22" s="1723"/>
      <c r="D22" s="1723"/>
      <c r="E22" s="388">
        <f>+M16</f>
        <v>0</v>
      </c>
      <c r="F22" s="389">
        <f>+'[1]Datos Básicos'!AO82</f>
        <v>7.9551028728975703</v>
      </c>
      <c r="G22" s="381"/>
      <c r="H22" s="381"/>
      <c r="I22" s="381"/>
      <c r="J22" s="381"/>
      <c r="K22" s="381"/>
      <c r="L22" s="381"/>
      <c r="M22" s="381"/>
      <c r="N22" s="381"/>
      <c r="O22" s="381"/>
      <c r="P22" s="381"/>
      <c r="Q22" s="381"/>
    </row>
    <row r="23" spans="1:17" x14ac:dyDescent="0.25">
      <c r="A23" s="381"/>
      <c r="B23" s="1723" t="s">
        <v>606</v>
      </c>
      <c r="C23" s="1723"/>
      <c r="D23" s="1723"/>
      <c r="E23" s="388">
        <f>+E22</f>
        <v>0</v>
      </c>
      <c r="F23" s="389">
        <f>+'[1]Datos Básicos'!AO83</f>
        <v>5.0587329273032386</v>
      </c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</row>
    <row r="24" spans="1:17" x14ac:dyDescent="0.25">
      <c r="A24" s="381"/>
      <c r="B24" s="1723" t="s">
        <v>607</v>
      </c>
      <c r="C24" s="1723"/>
      <c r="D24" s="1723"/>
      <c r="E24" s="388">
        <f>+E23</f>
        <v>0</v>
      </c>
      <c r="F24" s="389">
        <f>+'[1]Datos Básicos'!AO84</f>
        <v>3.9835074930588501</v>
      </c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</row>
    <row r="25" spans="1:17" x14ac:dyDescent="0.25">
      <c r="A25" s="381"/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</row>
    <row r="26" spans="1:17" x14ac:dyDescent="0.25">
      <c r="A26" s="381"/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1"/>
      <c r="O26" s="381"/>
      <c r="P26" s="381"/>
      <c r="Q26" s="381"/>
    </row>
    <row r="27" spans="1:17" x14ac:dyDescent="0.25">
      <c r="A27" s="381"/>
      <c r="B27" s="1724" t="s">
        <v>608</v>
      </c>
      <c r="C27" s="1724"/>
      <c r="D27" s="1724"/>
      <c r="E27" s="1724"/>
      <c r="F27" s="1724"/>
      <c r="G27" s="1724"/>
      <c r="H27" s="1724"/>
      <c r="I27" s="1724"/>
      <c r="J27" s="1724"/>
      <c r="K27" s="1724"/>
      <c r="L27" s="1724"/>
      <c r="M27" s="381"/>
      <c r="N27" s="381"/>
      <c r="O27" s="381"/>
      <c r="P27" s="381"/>
      <c r="Q27" s="381"/>
    </row>
    <row r="28" spans="1:17" x14ac:dyDescent="0.25">
      <c r="A28" s="381"/>
      <c r="B28" s="382" t="s">
        <v>609</v>
      </c>
      <c r="C28" s="382" t="s">
        <v>439</v>
      </c>
      <c r="D28" s="382" t="s">
        <v>440</v>
      </c>
      <c r="E28" s="382" t="s">
        <v>441</v>
      </c>
      <c r="F28" s="382" t="s">
        <v>442</v>
      </c>
      <c r="G28" s="382" t="s">
        <v>443</v>
      </c>
      <c r="H28" s="382" t="s">
        <v>444</v>
      </c>
      <c r="I28" s="382" t="s">
        <v>445</v>
      </c>
      <c r="J28" s="382" t="s">
        <v>446</v>
      </c>
      <c r="K28" s="382" t="s">
        <v>447</v>
      </c>
      <c r="L28" s="382" t="s">
        <v>448</v>
      </c>
      <c r="M28" s="381"/>
      <c r="N28" s="381"/>
      <c r="O28" s="381"/>
      <c r="P28" s="381"/>
      <c r="Q28" s="381"/>
    </row>
    <row r="29" spans="1:17" ht="27" x14ac:dyDescent="0.25">
      <c r="A29" s="381"/>
      <c r="B29" s="383" t="s">
        <v>610</v>
      </c>
      <c r="C29" s="384">
        <f>+C4*'[1]Datos Básicos'!$AO$85/1000</f>
        <v>6912.8759821787498</v>
      </c>
      <c r="D29" s="384">
        <f>+D4*'[1]Datos Básicos'!$AO$85/1000</f>
        <v>6915.5547724139778</v>
      </c>
      <c r="E29" s="384">
        <f>+E4*'[1]Datos Básicos'!$AO$85/1000</f>
        <v>6918.2346007001033</v>
      </c>
      <c r="F29" s="384">
        <f>+F4*'[1]Datos Básicos'!$AO$85/1000</f>
        <v>6920.9154674393803</v>
      </c>
      <c r="G29" s="384">
        <f>+G4*'[1]Datos Básicos'!$AO$85/1000</f>
        <v>6923.5973730342166</v>
      </c>
      <c r="H29" s="384">
        <f>+H4*'[1]Datos Básicos'!$AO$85/1000</f>
        <v>6926.2803178871745</v>
      </c>
      <c r="I29" s="384">
        <f>+I4*'[1]Datos Básicos'!$AO$85/1000</f>
        <v>6928.9643024009783</v>
      </c>
      <c r="J29" s="384">
        <f>+J4*'[1]Datos Básicos'!$AO$85/1000</f>
        <v>6931.6493269784987</v>
      </c>
      <c r="K29" s="384">
        <f>+K4*'[1]Datos Básicos'!$AO$85/1000</f>
        <v>6934.3353920227737</v>
      </c>
      <c r="L29" s="384">
        <f>+L4*'[1]Datos Básicos'!$AO$85/1000</f>
        <v>6937.0224979369887</v>
      </c>
      <c r="M29" s="381"/>
      <c r="N29" s="381"/>
      <c r="O29" s="381"/>
      <c r="P29" s="381"/>
      <c r="Q29" s="381"/>
    </row>
    <row r="30" spans="1:17" ht="27" x14ac:dyDescent="0.25">
      <c r="A30" s="381"/>
      <c r="B30" s="383" t="s">
        <v>611</v>
      </c>
      <c r="C30" s="384">
        <f>+C5*'[1]Datos Básicos'!$AO$85/1000</f>
        <v>4775.609901883071</v>
      </c>
      <c r="D30" s="384">
        <f>+D5*'[1]Datos Básicos'!$AO$85/1000</f>
        <v>4829.1213666450203</v>
      </c>
      <c r="E30" s="384">
        <f>+E5*'[1]Datos Básicos'!$AO$85/1000</f>
        <v>4883.2324358386177</v>
      </c>
      <c r="F30" s="384">
        <f>+F5*'[1]Datos Básicos'!$AO$85/1000</f>
        <v>4937.9498281264114</v>
      </c>
      <c r="G30" s="384">
        <f>+G5*'[1]Datos Básicos'!$AO$85/1000</f>
        <v>4993.2803374546311</v>
      </c>
      <c r="H30" s="384">
        <f>+H5*'[1]Datos Básicos'!$AO$85/1000</f>
        <v>5049.2308338967505</v>
      </c>
      <c r="I30" s="384">
        <f>+I5*'[1]Datos Básicos'!$AO$85/1000</f>
        <v>5105.8082645065033</v>
      </c>
      <c r="J30" s="384">
        <f>+J5*'[1]Datos Básicos'!$AO$85/1000</f>
        <v>5163.019654180458</v>
      </c>
      <c r="K30" s="384">
        <f>+K5*'[1]Datos Básicos'!$AO$85/1000</f>
        <v>5220.8721065302634</v>
      </c>
      <c r="L30" s="384">
        <f>+L5*'[1]Datos Básicos'!$AO$85/1000</f>
        <v>5279.37280476466</v>
      </c>
      <c r="M30" s="381"/>
      <c r="N30" s="381"/>
      <c r="O30" s="381"/>
      <c r="P30" s="381"/>
      <c r="Q30" s="381"/>
    </row>
    <row r="31" spans="1:17" ht="27" x14ac:dyDescent="0.25">
      <c r="A31" s="381"/>
      <c r="B31" s="383" t="s">
        <v>612</v>
      </c>
      <c r="C31" s="384">
        <f>+C6*'[1]Datos Básicos'!$AO$85/1000</f>
        <v>4288.5726440391309</v>
      </c>
      <c r="D31" s="384">
        <f>+D6*'[1]Datos Básicos'!$AO$85/1000</f>
        <v>4336.626779246054</v>
      </c>
      <c r="E31" s="384">
        <f>+E6*'[1]Datos Básicos'!$AO$85/1000</f>
        <v>4385.2193686432456</v>
      </c>
      <c r="F31" s="384">
        <f>+F6*'[1]Datos Básicos'!$AO$85/1000</f>
        <v>4434.3564456951335</v>
      </c>
      <c r="G31" s="384">
        <f>+G6*'[1]Datos Básicos'!$AO$85/1000</f>
        <v>4484.0441114720625</v>
      </c>
      <c r="H31" s="384">
        <f>+H6*'[1]Datos Básicos'!$AO$85/1000</f>
        <v>4534.2885354078335</v>
      </c>
      <c r="I31" s="384">
        <f>+I6*'[1]Datos Básicos'!$AO$85/1000</f>
        <v>4585.0959560657338</v>
      </c>
      <c r="J31" s="384">
        <f>+J6*'[1]Datos Básicos'!$AO$85/1000</f>
        <v>4636.4726819131365</v>
      </c>
      <c r="K31" s="384">
        <f>+K6*'[1]Datos Básicos'!$AO$85/1000</f>
        <v>4688.4250921047906</v>
      </c>
      <c r="L31" s="384">
        <f>+L6*'[1]Datos Básicos'!$AO$85/1000</f>
        <v>4740.9596372748838</v>
      </c>
      <c r="M31" s="381"/>
      <c r="N31" s="381"/>
      <c r="O31" s="381"/>
      <c r="P31" s="381"/>
      <c r="Q31" s="381"/>
    </row>
    <row r="32" spans="1:17" ht="27" x14ac:dyDescent="0.25">
      <c r="A32" s="381"/>
      <c r="B32" s="383" t="s">
        <v>613</v>
      </c>
      <c r="C32" s="384">
        <f>+C7*'[1]Datos Básicos'!$AO$85/1000</f>
        <v>4275.0297711782414</v>
      </c>
      <c r="D32" s="384">
        <f>+D7*'[1]Datos Básicos'!$AO$85/1000</f>
        <v>4322.9321563513977</v>
      </c>
      <c r="E32" s="384">
        <f>+E7*'[1]Datos Básicos'!$AO$85/1000</f>
        <v>4371.3712953316763</v>
      </c>
      <c r="F32" s="384">
        <f>+F7*'[1]Datos Básicos'!$AO$85/1000</f>
        <v>4420.3532025304457</v>
      </c>
      <c r="G32" s="384">
        <f>+G7*'[1]Datos Básicos'!$AO$85/1000</f>
        <v>4469.8839597514916</v>
      </c>
      <c r="H32" s="384">
        <f>+H7*'[1]Datos Básicos'!$AO$85/1000</f>
        <v>4519.9697169461797</v>
      </c>
      <c r="I32" s="384">
        <f>+I7*'[1]Datos Básicos'!$AO$85/1000</f>
        <v>4570.6166929770516</v>
      </c>
      <c r="J32" s="384">
        <f>+J7*'[1]Datos Básicos'!$AO$85/1000</f>
        <v>4621.8311763899856</v>
      </c>
      <c r="K32" s="384">
        <f>+K7*'[1]Datos Básicos'!$AO$85/1000</f>
        <v>4673.619526195017</v>
      </c>
      <c r="L32" s="384">
        <f>+L7*'[1]Datos Básicos'!$AO$85/1000</f>
        <v>4725.9881726558897</v>
      </c>
      <c r="M32" s="381"/>
      <c r="N32" s="381"/>
      <c r="O32" s="381"/>
      <c r="P32" s="381"/>
      <c r="Q32" s="381"/>
    </row>
    <row r="33" spans="1:17" ht="27" x14ac:dyDescent="0.25">
      <c r="A33" s="381"/>
      <c r="B33" s="383" t="s">
        <v>614</v>
      </c>
      <c r="C33" s="384">
        <f>+C8*'[1]Datos Básicos'!$AO$85/1000</f>
        <v>3420.0238169426007</v>
      </c>
      <c r="D33" s="384">
        <f>+D8*'[1]Datos Básicos'!$AO$85/1000</f>
        <v>3458.345725081118</v>
      </c>
      <c r="E33" s="384">
        <f>+E8*'[1]Datos Básicos'!$AO$85/1000</f>
        <v>3497.0970362653416</v>
      </c>
      <c r="F33" s="384">
        <f>+F8*'[1]Datos Básicos'!$AO$85/1000</f>
        <v>3536.2825620243561</v>
      </c>
      <c r="G33" s="384">
        <f>+G8*'[1]Datos Básicos'!$AO$85/1000</f>
        <v>3575.9071678011933</v>
      </c>
      <c r="H33" s="384">
        <f>+H8*'[1]Datos Básicos'!$AO$85/1000</f>
        <v>3615.9757735569442</v>
      </c>
      <c r="I33" s="384">
        <f>+I8*'[1]Datos Básicos'!$AO$85/1000</f>
        <v>3656.493354381641</v>
      </c>
      <c r="J33" s="384">
        <f>+J8*'[1]Datos Básicos'!$AO$85/1000</f>
        <v>3697.4649411119885</v>
      </c>
      <c r="K33" s="384">
        <f>+K8*'[1]Datos Básicos'!$AO$85/1000</f>
        <v>3738.8956209560133</v>
      </c>
      <c r="L33" s="384">
        <f>+L8*'[1]Datos Básicos'!$AO$85/1000</f>
        <v>3780.7905381247119</v>
      </c>
      <c r="M33" s="381"/>
      <c r="N33" s="381"/>
      <c r="O33" s="381"/>
      <c r="P33" s="381"/>
      <c r="Q33" s="381"/>
    </row>
    <row r="34" spans="1:17" x14ac:dyDescent="0.25">
      <c r="A34" s="381"/>
      <c r="B34" s="381"/>
      <c r="C34" s="381"/>
      <c r="D34" s="381"/>
      <c r="E34" s="381"/>
      <c r="F34" s="381"/>
      <c r="G34" s="381"/>
      <c r="H34" s="381"/>
      <c r="I34" s="381"/>
      <c r="J34" s="381"/>
      <c r="K34" s="381"/>
      <c r="L34" s="381"/>
      <c r="M34" s="381"/>
      <c r="N34" s="381"/>
      <c r="O34" s="381"/>
      <c r="P34" s="381"/>
      <c r="Q34" s="381"/>
    </row>
    <row r="35" spans="1:17" x14ac:dyDescent="0.25">
      <c r="A35" s="381"/>
      <c r="B35" s="381"/>
      <c r="C35" s="381"/>
      <c r="D35" s="381"/>
      <c r="E35" s="381"/>
      <c r="F35" s="381"/>
      <c r="G35" s="381"/>
      <c r="H35" s="381"/>
      <c r="I35" s="381"/>
      <c r="J35" s="381"/>
      <c r="K35" s="381"/>
      <c r="L35" s="381"/>
      <c r="M35" s="381"/>
      <c r="N35" s="381"/>
      <c r="O35" s="381"/>
      <c r="P35" s="381"/>
      <c r="Q35" s="381"/>
    </row>
    <row r="36" spans="1:17" x14ac:dyDescent="0.25">
      <c r="A36" s="381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81"/>
      <c r="P36" s="381"/>
      <c r="Q36" s="381"/>
    </row>
    <row r="37" spans="1:17" x14ac:dyDescent="0.25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81"/>
      <c r="P37" s="381"/>
      <c r="Q37" s="381"/>
    </row>
    <row r="38" spans="1:17" x14ac:dyDescent="0.25">
      <c r="A38" s="381"/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</row>
    <row r="39" spans="1:17" x14ac:dyDescent="0.25">
      <c r="A39" s="381"/>
      <c r="B39" s="381"/>
      <c r="C39" s="381"/>
      <c r="D39" s="381"/>
      <c r="E39" s="381"/>
      <c r="F39" s="381"/>
      <c r="G39" s="381"/>
      <c r="H39" s="381"/>
      <c r="I39" s="381"/>
      <c r="J39" s="381"/>
      <c r="K39" s="381"/>
      <c r="L39" s="381"/>
      <c r="M39" s="381"/>
      <c r="N39" s="381"/>
      <c r="O39" s="381"/>
      <c r="P39" s="381"/>
      <c r="Q39" s="381"/>
    </row>
    <row r="40" spans="1:17" x14ac:dyDescent="0.25">
      <c r="A40" s="381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81"/>
      <c r="P40" s="381"/>
      <c r="Q40" s="381"/>
    </row>
    <row r="41" spans="1:17" x14ac:dyDescent="0.25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81"/>
      <c r="P41" s="381"/>
      <c r="Q41" s="381"/>
    </row>
    <row r="42" spans="1:17" x14ac:dyDescent="0.25">
      <c r="A42" s="381"/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</row>
    <row r="43" spans="1:17" x14ac:dyDescent="0.25">
      <c r="A43" s="381"/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</row>
    <row r="44" spans="1:17" x14ac:dyDescent="0.25">
      <c r="A44" s="381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81"/>
      <c r="P44" s="381"/>
      <c r="Q44" s="381"/>
    </row>
    <row r="45" spans="1:17" x14ac:dyDescent="0.25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81"/>
      <c r="P45" s="381"/>
      <c r="Q45" s="381"/>
    </row>
    <row r="46" spans="1:17" x14ac:dyDescent="0.25">
      <c r="A46" s="381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</row>
    <row r="47" spans="1:17" x14ac:dyDescent="0.25">
      <c r="A47" s="381"/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</row>
    <row r="48" spans="1:17" x14ac:dyDescent="0.25">
      <c r="A48" s="381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</row>
    <row r="49" spans="1:17" x14ac:dyDescent="0.25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81"/>
      <c r="P49" s="381"/>
      <c r="Q49" s="381"/>
    </row>
    <row r="50" spans="1:17" x14ac:dyDescent="0.25">
      <c r="A50" s="381"/>
      <c r="B50" s="381"/>
      <c r="C50" s="381"/>
      <c r="D50" s="381"/>
      <c r="E50" s="381"/>
      <c r="F50" s="381"/>
      <c r="G50" s="381"/>
      <c r="H50" s="381"/>
      <c r="I50" s="381"/>
      <c r="J50" s="381"/>
      <c r="K50" s="381"/>
      <c r="L50" s="381"/>
      <c r="M50" s="381"/>
      <c r="N50" s="381"/>
      <c r="O50" s="381"/>
      <c r="P50" s="381"/>
      <c r="Q50" s="381"/>
    </row>
    <row r="51" spans="1:17" x14ac:dyDescent="0.25">
      <c r="A51" s="381"/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</row>
    <row r="52" spans="1:17" x14ac:dyDescent="0.25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</row>
    <row r="53" spans="1:17" x14ac:dyDescent="0.25">
      <c r="A53" s="381"/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1"/>
      <c r="M53" s="381"/>
      <c r="N53" s="381"/>
      <c r="O53" s="381"/>
      <c r="P53" s="381"/>
      <c r="Q53" s="381"/>
    </row>
    <row r="54" spans="1:17" x14ac:dyDescent="0.25">
      <c r="A54" s="381"/>
      <c r="B54" s="381"/>
      <c r="C54" s="381"/>
      <c r="D54" s="381"/>
      <c r="E54" s="381"/>
      <c r="F54" s="381"/>
      <c r="G54" s="381"/>
      <c r="H54" s="381"/>
      <c r="I54" s="381"/>
      <c r="J54" s="381"/>
      <c r="K54" s="381"/>
      <c r="L54" s="381"/>
      <c r="M54" s="381"/>
      <c r="N54" s="381"/>
      <c r="O54" s="381"/>
      <c r="P54" s="381"/>
      <c r="Q54" s="381"/>
    </row>
    <row r="55" spans="1:17" x14ac:dyDescent="0.25">
      <c r="A55" s="381"/>
      <c r="B55" s="1724" t="s">
        <v>615</v>
      </c>
      <c r="C55" s="1724"/>
      <c r="D55" s="1724"/>
      <c r="E55" s="1724"/>
      <c r="F55" s="1724"/>
      <c r="G55" s="1724"/>
      <c r="H55" s="1724"/>
      <c r="I55" s="1724"/>
      <c r="J55" s="1724"/>
      <c r="K55" s="1724"/>
      <c r="L55" s="1724"/>
      <c r="M55" s="381"/>
      <c r="N55" s="381"/>
      <c r="O55" s="381"/>
      <c r="P55" s="381"/>
      <c r="Q55" s="381"/>
    </row>
    <row r="56" spans="1:17" x14ac:dyDescent="0.25">
      <c r="A56" s="381"/>
      <c r="B56" s="382" t="s">
        <v>609</v>
      </c>
      <c r="C56" s="382" t="s">
        <v>439</v>
      </c>
      <c r="D56" s="382" t="s">
        <v>440</v>
      </c>
      <c r="E56" s="382" t="s">
        <v>441</v>
      </c>
      <c r="F56" s="382" t="s">
        <v>442</v>
      </c>
      <c r="G56" s="382" t="s">
        <v>443</v>
      </c>
      <c r="H56" s="382" t="s">
        <v>444</v>
      </c>
      <c r="I56" s="382" t="s">
        <v>445</v>
      </c>
      <c r="J56" s="382" t="s">
        <v>446</v>
      </c>
      <c r="K56" s="382" t="s">
        <v>447</v>
      </c>
      <c r="L56" s="382" t="s">
        <v>448</v>
      </c>
      <c r="M56" s="381"/>
      <c r="N56" s="381"/>
      <c r="O56" s="381"/>
      <c r="P56" s="381"/>
      <c r="Q56" s="381"/>
    </row>
    <row r="57" spans="1:17" ht="27" x14ac:dyDescent="0.25">
      <c r="A57" s="381"/>
      <c r="B57" s="383" t="s">
        <v>613</v>
      </c>
      <c r="C57" s="384">
        <f>+C32</f>
        <v>4275.0297711782414</v>
      </c>
      <c r="D57" s="384">
        <f t="shared" ref="D57:L58" si="5">+D32</f>
        <v>4322.9321563513977</v>
      </c>
      <c r="E57" s="384">
        <f t="shared" si="5"/>
        <v>4371.3712953316763</v>
      </c>
      <c r="F57" s="384">
        <f t="shared" si="5"/>
        <v>4420.3532025304457</v>
      </c>
      <c r="G57" s="384">
        <f t="shared" si="5"/>
        <v>4469.8839597514916</v>
      </c>
      <c r="H57" s="384">
        <f t="shared" si="5"/>
        <v>4519.9697169461797</v>
      </c>
      <c r="I57" s="384">
        <f t="shared" si="5"/>
        <v>4570.6166929770516</v>
      </c>
      <c r="J57" s="384">
        <f t="shared" si="5"/>
        <v>4621.8311763899856</v>
      </c>
      <c r="K57" s="384">
        <f t="shared" si="5"/>
        <v>4673.619526195017</v>
      </c>
      <c r="L57" s="384">
        <f t="shared" si="5"/>
        <v>4725.9881726558897</v>
      </c>
      <c r="M57" s="381"/>
      <c r="N57" s="381"/>
      <c r="O57" s="381"/>
      <c r="P57" s="381"/>
      <c r="Q57" s="381"/>
    </row>
    <row r="58" spans="1:17" ht="27" x14ac:dyDescent="0.25">
      <c r="A58" s="381"/>
      <c r="B58" s="383" t="s">
        <v>614</v>
      </c>
      <c r="C58" s="384">
        <f>+C33</f>
        <v>3420.0238169426007</v>
      </c>
      <c r="D58" s="384">
        <f t="shared" si="5"/>
        <v>3458.345725081118</v>
      </c>
      <c r="E58" s="384">
        <f t="shared" si="5"/>
        <v>3497.0970362653416</v>
      </c>
      <c r="F58" s="384">
        <f t="shared" si="5"/>
        <v>3536.2825620243561</v>
      </c>
      <c r="G58" s="384">
        <f t="shared" si="5"/>
        <v>3575.9071678011933</v>
      </c>
      <c r="H58" s="384">
        <f t="shared" si="5"/>
        <v>3615.9757735569442</v>
      </c>
      <c r="I58" s="384">
        <f t="shared" si="5"/>
        <v>3656.493354381641</v>
      </c>
      <c r="J58" s="384">
        <f t="shared" si="5"/>
        <v>3697.4649411119885</v>
      </c>
      <c r="K58" s="384">
        <f t="shared" si="5"/>
        <v>3738.8956209560133</v>
      </c>
      <c r="L58" s="384">
        <f t="shared" si="5"/>
        <v>3780.7905381247119</v>
      </c>
      <c r="M58" s="381"/>
      <c r="N58" s="381"/>
      <c r="O58" s="381"/>
      <c r="P58" s="381"/>
      <c r="Q58" s="381"/>
    </row>
    <row r="59" spans="1:17" x14ac:dyDescent="0.25">
      <c r="A59" s="381"/>
      <c r="B59" s="383" t="s">
        <v>616</v>
      </c>
      <c r="C59" s="390">
        <f>+C58/C57</f>
        <v>0.80000000000000182</v>
      </c>
      <c r="D59" s="390">
        <f t="shared" ref="D59:L59" si="6">+D58/D57</f>
        <v>0.79999999999999993</v>
      </c>
      <c r="E59" s="390">
        <f t="shared" si="6"/>
        <v>0.80000000000000016</v>
      </c>
      <c r="F59" s="390">
        <f t="shared" si="6"/>
        <v>0.79999999999999993</v>
      </c>
      <c r="G59" s="390">
        <f t="shared" si="6"/>
        <v>0.8</v>
      </c>
      <c r="H59" s="390">
        <f t="shared" si="6"/>
        <v>0.80000000000000016</v>
      </c>
      <c r="I59" s="390">
        <f t="shared" si="6"/>
        <v>0.79999999999999993</v>
      </c>
      <c r="J59" s="390">
        <f t="shared" si="6"/>
        <v>0.8</v>
      </c>
      <c r="K59" s="390">
        <f t="shared" si="6"/>
        <v>0.79999999999999993</v>
      </c>
      <c r="L59" s="390">
        <f t="shared" si="6"/>
        <v>0.8</v>
      </c>
      <c r="M59" s="391">
        <f>+AVERAGE(C59:L59)</f>
        <v>0.80000000000000016</v>
      </c>
      <c r="N59" s="381"/>
      <c r="O59" s="381"/>
      <c r="P59" s="381"/>
      <c r="Q59" s="381"/>
    </row>
    <row r="60" spans="1:17" x14ac:dyDescent="0.25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81"/>
      <c r="P60" s="381"/>
      <c r="Q60" s="381"/>
    </row>
    <row r="61" spans="1:17" x14ac:dyDescent="0.25">
      <c r="A61" s="381"/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</row>
    <row r="62" spans="1:17" ht="15.75" thickBot="1" x14ac:dyDescent="0.3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</row>
    <row r="63" spans="1:17" x14ac:dyDescent="0.25">
      <c r="A63" s="1725" t="s">
        <v>617</v>
      </c>
      <c r="B63" s="1726"/>
      <c r="C63" s="1726"/>
      <c r="D63" s="1726"/>
      <c r="E63" s="1726"/>
      <c r="F63" s="1726"/>
      <c r="G63" s="1726"/>
      <c r="H63" s="1726"/>
      <c r="I63" s="1726"/>
      <c r="J63" s="1726"/>
      <c r="K63" s="1727"/>
      <c r="L63" s="203"/>
    </row>
    <row r="64" spans="1:17" x14ac:dyDescent="0.25">
      <c r="A64" s="397"/>
      <c r="B64" s="382" t="s">
        <v>439</v>
      </c>
      <c r="C64" s="382" t="s">
        <v>440</v>
      </c>
      <c r="D64" s="382" t="s">
        <v>441</v>
      </c>
      <c r="E64" s="382" t="s">
        <v>442</v>
      </c>
      <c r="F64" s="382" t="s">
        <v>443</v>
      </c>
      <c r="G64" s="382" t="s">
        <v>444</v>
      </c>
      <c r="H64" s="382" t="s">
        <v>445</v>
      </c>
      <c r="I64" s="382" t="s">
        <v>446</v>
      </c>
      <c r="J64" s="382" t="s">
        <v>447</v>
      </c>
      <c r="K64" s="398" t="s">
        <v>448</v>
      </c>
      <c r="L64" s="203"/>
    </row>
    <row r="65" spans="1:12" x14ac:dyDescent="0.25">
      <c r="A65" s="399" t="s">
        <v>618</v>
      </c>
      <c r="B65" s="384">
        <f>OFERTA!B317</f>
        <v>512.54192594515951</v>
      </c>
      <c r="C65" s="384">
        <f>OFERTA!B319</f>
        <v>535.86258357566419</v>
      </c>
      <c r="D65" s="384">
        <f>OFERTA!B320</f>
        <v>551.93846108293417</v>
      </c>
      <c r="E65" s="384">
        <f>OFERTA!B321</f>
        <v>571.2563072208369</v>
      </c>
      <c r="F65" s="384">
        <f>OFERTA!B322</f>
        <v>594.10655950967043</v>
      </c>
      <c r="G65" s="384">
        <f>OFERTA!B323</f>
        <v>620.84135468760564</v>
      </c>
      <c r="H65" s="384">
        <f>OFERTA!B324</f>
        <v>651.88342242198587</v>
      </c>
      <c r="I65" s="384">
        <f>OFERTA!B325</f>
        <v>684.47759354308516</v>
      </c>
      <c r="J65" s="384">
        <f>OFERTA!B326</f>
        <v>718.70147322023945</v>
      </c>
      <c r="K65" s="400">
        <f>OFERTA!B327</f>
        <v>754.63654688125143</v>
      </c>
      <c r="L65" s="203"/>
    </row>
    <row r="66" spans="1:12" ht="27" x14ac:dyDescent="0.25">
      <c r="A66" s="399" t="s">
        <v>619</v>
      </c>
      <c r="B66" s="384">
        <f>E57</f>
        <v>4371.3712953316763</v>
      </c>
      <c r="C66" s="384">
        <f>B66+(B66*$M$16)</f>
        <v>4371.3712953316763</v>
      </c>
      <c r="D66" s="384">
        <f t="shared" ref="D66:K66" si="7">C66+(C66*$M$16)</f>
        <v>4371.3712953316763</v>
      </c>
      <c r="E66" s="384">
        <f t="shared" si="7"/>
        <v>4371.3712953316763</v>
      </c>
      <c r="F66" s="384">
        <f t="shared" si="7"/>
        <v>4371.3712953316763</v>
      </c>
      <c r="G66" s="384">
        <f t="shared" si="7"/>
        <v>4371.3712953316763</v>
      </c>
      <c r="H66" s="384">
        <f t="shared" si="7"/>
        <v>4371.3712953316763</v>
      </c>
      <c r="I66" s="384">
        <f t="shared" si="7"/>
        <v>4371.3712953316763</v>
      </c>
      <c r="J66" s="384">
        <f t="shared" si="7"/>
        <v>4371.3712953316763</v>
      </c>
      <c r="K66" s="384">
        <f t="shared" si="7"/>
        <v>4371.3712953316763</v>
      </c>
      <c r="L66" s="203"/>
    </row>
    <row r="67" spans="1:12" x14ac:dyDescent="0.25">
      <c r="A67" s="401" t="s">
        <v>620</v>
      </c>
      <c r="B67" s="392">
        <f>+B65-B66</f>
        <v>-3858.8293693865166</v>
      </c>
      <c r="C67" s="392">
        <f t="shared" ref="C67:K67" si="8">+C65-C66</f>
        <v>-3835.508711756012</v>
      </c>
      <c r="D67" s="392">
        <f t="shared" si="8"/>
        <v>-3819.432834248742</v>
      </c>
      <c r="E67" s="392">
        <f t="shared" si="8"/>
        <v>-3800.1149881108395</v>
      </c>
      <c r="F67" s="392">
        <f t="shared" si="8"/>
        <v>-3777.2647358220056</v>
      </c>
      <c r="G67" s="392">
        <f t="shared" si="8"/>
        <v>-3750.5299406440708</v>
      </c>
      <c r="H67" s="392">
        <f t="shared" si="8"/>
        <v>-3719.4878729096904</v>
      </c>
      <c r="I67" s="392">
        <f t="shared" si="8"/>
        <v>-3686.893701788591</v>
      </c>
      <c r="J67" s="392">
        <f t="shared" si="8"/>
        <v>-3652.6698221114366</v>
      </c>
      <c r="K67" s="402">
        <f t="shared" si="8"/>
        <v>-3616.7347484504248</v>
      </c>
      <c r="L67" s="203"/>
    </row>
    <row r="68" spans="1:12" x14ac:dyDescent="0.25">
      <c r="A68" s="403"/>
      <c r="B68" s="404"/>
      <c r="C68" s="404"/>
      <c r="D68" s="404"/>
      <c r="E68" s="404"/>
      <c r="F68" s="404"/>
      <c r="G68" s="404"/>
      <c r="H68" s="404"/>
      <c r="I68" s="404"/>
      <c r="J68" s="404"/>
      <c r="K68" s="405"/>
      <c r="L68" s="203"/>
    </row>
    <row r="69" spans="1:12" x14ac:dyDescent="0.25">
      <c r="A69" s="403"/>
      <c r="B69" s="404"/>
      <c r="C69" s="404"/>
      <c r="D69" s="404"/>
      <c r="E69" s="404"/>
      <c r="F69" s="404"/>
      <c r="G69" s="404"/>
      <c r="H69" s="404"/>
      <c r="I69" s="404"/>
      <c r="J69" s="404"/>
      <c r="K69" s="405"/>
      <c r="L69" s="203"/>
    </row>
    <row r="70" spans="1:12" x14ac:dyDescent="0.25">
      <c r="A70" s="403"/>
      <c r="B70" s="404"/>
      <c r="C70" s="404"/>
      <c r="D70" s="404"/>
      <c r="E70" s="404"/>
      <c r="F70" s="404"/>
      <c r="G70" s="404"/>
      <c r="H70" s="404"/>
      <c r="I70" s="404"/>
      <c r="J70" s="404"/>
      <c r="K70" s="405"/>
      <c r="L70" s="203"/>
    </row>
    <row r="71" spans="1:12" x14ac:dyDescent="0.25">
      <c r="A71" s="403"/>
      <c r="B71" s="404"/>
      <c r="C71" s="404"/>
      <c r="D71" s="404"/>
      <c r="E71" s="404"/>
      <c r="F71" s="404"/>
      <c r="G71" s="404"/>
      <c r="H71" s="404"/>
      <c r="I71" s="404"/>
      <c r="J71" s="404"/>
      <c r="K71" s="405"/>
      <c r="L71" s="203"/>
    </row>
    <row r="72" spans="1:12" x14ac:dyDescent="0.25">
      <c r="A72" s="403"/>
      <c r="B72" s="404"/>
      <c r="C72" s="404"/>
      <c r="D72" s="404"/>
      <c r="E72" s="404"/>
      <c r="F72" s="404"/>
      <c r="G72" s="404"/>
      <c r="H72" s="404"/>
      <c r="I72" s="404"/>
      <c r="J72" s="404"/>
      <c r="K72" s="405"/>
      <c r="L72" s="203"/>
    </row>
    <row r="73" spans="1:12" x14ac:dyDescent="0.25">
      <c r="A73" s="403"/>
      <c r="B73" s="404"/>
      <c r="C73" s="404"/>
      <c r="D73" s="404"/>
      <c r="E73" s="404"/>
      <c r="F73" s="404"/>
      <c r="G73" s="404"/>
      <c r="H73" s="404"/>
      <c r="I73" s="404"/>
      <c r="J73" s="404"/>
      <c r="K73" s="405"/>
      <c r="L73" s="203"/>
    </row>
    <row r="74" spans="1:12" x14ac:dyDescent="0.25">
      <c r="A74" s="403"/>
      <c r="B74" s="404"/>
      <c r="C74" s="404"/>
      <c r="D74" s="404"/>
      <c r="E74" s="404"/>
      <c r="F74" s="404"/>
      <c r="G74" s="404"/>
      <c r="H74" s="404"/>
      <c r="I74" s="404"/>
      <c r="J74" s="404"/>
      <c r="K74" s="405"/>
      <c r="L74" s="203"/>
    </row>
    <row r="75" spans="1:12" x14ac:dyDescent="0.25">
      <c r="A75" s="403"/>
      <c r="B75" s="404"/>
      <c r="C75" s="404"/>
      <c r="D75" s="404"/>
      <c r="E75" s="404"/>
      <c r="F75" s="404"/>
      <c r="G75" s="404"/>
      <c r="H75" s="404"/>
      <c r="I75" s="404"/>
      <c r="J75" s="404"/>
      <c r="K75" s="405"/>
      <c r="L75" s="203"/>
    </row>
    <row r="76" spans="1:12" x14ac:dyDescent="0.25">
      <c r="A76" s="403"/>
      <c r="B76" s="404"/>
      <c r="C76" s="404"/>
      <c r="D76" s="404"/>
      <c r="E76" s="404"/>
      <c r="F76" s="404"/>
      <c r="G76" s="404"/>
      <c r="H76" s="404"/>
      <c r="I76" s="404"/>
      <c r="J76" s="404"/>
      <c r="K76" s="405"/>
      <c r="L76" s="203"/>
    </row>
    <row r="77" spans="1:12" x14ac:dyDescent="0.25">
      <c r="A77" s="403"/>
      <c r="B77" s="404"/>
      <c r="C77" s="404"/>
      <c r="D77" s="404"/>
      <c r="E77" s="404"/>
      <c r="F77" s="404"/>
      <c r="G77" s="404"/>
      <c r="H77" s="404"/>
      <c r="I77" s="404"/>
      <c r="J77" s="404"/>
      <c r="K77" s="405"/>
      <c r="L77" s="203"/>
    </row>
    <row r="78" spans="1:12" x14ac:dyDescent="0.25">
      <c r="A78" s="403"/>
      <c r="B78" s="404"/>
      <c r="C78" s="404"/>
      <c r="D78" s="404"/>
      <c r="E78" s="404"/>
      <c r="F78" s="404"/>
      <c r="G78" s="404"/>
      <c r="H78" s="404"/>
      <c r="I78" s="404"/>
      <c r="J78" s="404"/>
      <c r="K78" s="405"/>
      <c r="L78" s="203"/>
    </row>
    <row r="79" spans="1:12" x14ac:dyDescent="0.25">
      <c r="A79" s="403"/>
      <c r="B79" s="404"/>
      <c r="C79" s="404"/>
      <c r="D79" s="404"/>
      <c r="E79" s="404"/>
      <c r="F79" s="404"/>
      <c r="G79" s="404"/>
      <c r="H79" s="404"/>
      <c r="I79" s="404"/>
      <c r="J79" s="404"/>
      <c r="K79" s="405"/>
      <c r="L79" s="203"/>
    </row>
    <row r="80" spans="1:12" x14ac:dyDescent="0.25">
      <c r="A80" s="403"/>
      <c r="B80" s="404"/>
      <c r="C80" s="404"/>
      <c r="D80" s="404"/>
      <c r="E80" s="404"/>
      <c r="F80" s="404"/>
      <c r="G80" s="404"/>
      <c r="H80" s="404"/>
      <c r="I80" s="404"/>
      <c r="J80" s="404"/>
      <c r="K80" s="405"/>
      <c r="L80" s="203"/>
    </row>
    <row r="81" spans="1:12" x14ac:dyDescent="0.25">
      <c r="A81" s="403"/>
      <c r="B81" s="404"/>
      <c r="C81" s="404"/>
      <c r="D81" s="404"/>
      <c r="E81" s="404"/>
      <c r="F81" s="404"/>
      <c r="G81" s="404"/>
      <c r="H81" s="404"/>
      <c r="I81" s="404"/>
      <c r="J81" s="404"/>
      <c r="K81" s="405"/>
      <c r="L81" s="203"/>
    </row>
    <row r="82" spans="1:12" x14ac:dyDescent="0.25">
      <c r="A82" s="403"/>
      <c r="B82" s="404"/>
      <c r="C82" s="404"/>
      <c r="D82" s="404"/>
      <c r="E82" s="404"/>
      <c r="F82" s="404"/>
      <c r="G82" s="404"/>
      <c r="H82" s="404"/>
      <c r="I82" s="404"/>
      <c r="J82" s="404"/>
      <c r="K82" s="405"/>
      <c r="L82" s="203"/>
    </row>
    <row r="83" spans="1:12" x14ac:dyDescent="0.25">
      <c r="A83" s="403"/>
      <c r="B83" s="404"/>
      <c r="C83" s="404"/>
      <c r="D83" s="404"/>
      <c r="E83" s="404"/>
      <c r="F83" s="404"/>
      <c r="G83" s="404"/>
      <c r="H83" s="404"/>
      <c r="I83" s="404"/>
      <c r="J83" s="404"/>
      <c r="K83" s="405"/>
      <c r="L83" s="203"/>
    </row>
    <row r="84" spans="1:12" x14ac:dyDescent="0.25">
      <c r="A84" s="403"/>
      <c r="B84" s="404"/>
      <c r="C84" s="404"/>
      <c r="D84" s="404"/>
      <c r="E84" s="404"/>
      <c r="F84" s="404"/>
      <c r="G84" s="404"/>
      <c r="H84" s="404"/>
      <c r="I84" s="404"/>
      <c r="J84" s="404"/>
      <c r="K84" s="405"/>
      <c r="L84" s="203"/>
    </row>
    <row r="85" spans="1:12" x14ac:dyDescent="0.25">
      <c r="A85" s="403"/>
      <c r="B85" s="404"/>
      <c r="C85" s="404"/>
      <c r="D85" s="404"/>
      <c r="E85" s="404"/>
      <c r="F85" s="404"/>
      <c r="G85" s="404"/>
      <c r="H85" s="404"/>
      <c r="I85" s="404"/>
      <c r="J85" s="404"/>
      <c r="K85" s="405"/>
      <c r="L85" s="203"/>
    </row>
    <row r="86" spans="1:12" x14ac:dyDescent="0.25">
      <c r="A86" s="403"/>
      <c r="B86" s="404"/>
      <c r="C86" s="404"/>
      <c r="D86" s="404"/>
      <c r="E86" s="404"/>
      <c r="F86" s="404"/>
      <c r="G86" s="404"/>
      <c r="H86" s="404"/>
      <c r="I86" s="404"/>
      <c r="J86" s="404"/>
      <c r="K86" s="405"/>
      <c r="L86" s="203"/>
    </row>
    <row r="87" spans="1:12" x14ac:dyDescent="0.25">
      <c r="A87" s="403"/>
      <c r="B87" s="404"/>
      <c r="C87" s="404"/>
      <c r="D87" s="404"/>
      <c r="E87" s="404"/>
      <c r="F87" s="404"/>
      <c r="G87" s="404"/>
      <c r="H87" s="404"/>
      <c r="I87" s="404"/>
      <c r="J87" s="404"/>
      <c r="K87" s="405"/>
      <c r="L87" s="203"/>
    </row>
    <row r="88" spans="1:12" x14ac:dyDescent="0.25">
      <c r="A88" s="403"/>
      <c r="B88" s="404"/>
      <c r="C88" s="404"/>
      <c r="D88" s="404"/>
      <c r="E88" s="404"/>
      <c r="F88" s="404"/>
      <c r="G88" s="404"/>
      <c r="H88" s="404"/>
      <c r="I88" s="404"/>
      <c r="J88" s="404"/>
      <c r="K88" s="405"/>
      <c r="L88" s="203"/>
    </row>
    <row r="89" spans="1:12" x14ac:dyDescent="0.25">
      <c r="A89" s="403"/>
      <c r="B89" s="404"/>
      <c r="C89" s="404"/>
      <c r="D89" s="404"/>
      <c r="E89" s="404"/>
      <c r="F89" s="404"/>
      <c r="G89" s="404"/>
      <c r="H89" s="404"/>
      <c r="I89" s="404"/>
      <c r="J89" s="404"/>
      <c r="K89" s="405"/>
      <c r="L89" s="203"/>
    </row>
    <row r="90" spans="1:12" x14ac:dyDescent="0.25">
      <c r="A90" s="403"/>
      <c r="B90" s="404"/>
      <c r="C90" s="404"/>
      <c r="D90" s="404"/>
      <c r="E90" s="404"/>
      <c r="F90" s="404"/>
      <c r="G90" s="404"/>
      <c r="H90" s="404"/>
      <c r="I90" s="404"/>
      <c r="J90" s="404"/>
      <c r="K90" s="405"/>
      <c r="L90" s="203"/>
    </row>
    <row r="91" spans="1:12" x14ac:dyDescent="0.25">
      <c r="A91" s="1728" t="s">
        <v>621</v>
      </c>
      <c r="B91" s="1724"/>
      <c r="C91" s="1724"/>
      <c r="D91" s="1724"/>
      <c r="E91" s="1724"/>
      <c r="F91" s="1724"/>
      <c r="G91" s="1724"/>
      <c r="H91" s="1724"/>
      <c r="I91" s="1724"/>
      <c r="J91" s="1724"/>
      <c r="K91" s="1729"/>
      <c r="L91" s="203"/>
    </row>
    <row r="92" spans="1:12" x14ac:dyDescent="0.25">
      <c r="A92" s="397"/>
      <c r="B92" s="382" t="s">
        <v>439</v>
      </c>
      <c r="C92" s="382" t="s">
        <v>440</v>
      </c>
      <c r="D92" s="382" t="s">
        <v>441</v>
      </c>
      <c r="E92" s="382" t="s">
        <v>442</v>
      </c>
      <c r="F92" s="382" t="s">
        <v>443</v>
      </c>
      <c r="G92" s="382" t="s">
        <v>444</v>
      </c>
      <c r="H92" s="382" t="s">
        <v>445</v>
      </c>
      <c r="I92" s="382" t="s">
        <v>446</v>
      </c>
      <c r="J92" s="382" t="s">
        <v>447</v>
      </c>
      <c r="K92" s="398" t="s">
        <v>448</v>
      </c>
      <c r="L92" s="203"/>
    </row>
    <row r="93" spans="1:12" x14ac:dyDescent="0.25">
      <c r="A93" s="399" t="s">
        <v>620</v>
      </c>
      <c r="B93" s="384">
        <f>-B67</f>
        <v>3858.8293693865166</v>
      </c>
      <c r="C93" s="384">
        <f t="shared" ref="C93:K93" si="9">-C67</f>
        <v>3835.508711756012</v>
      </c>
      <c r="D93" s="384">
        <f t="shared" si="9"/>
        <v>3819.432834248742</v>
      </c>
      <c r="E93" s="384">
        <f t="shared" si="9"/>
        <v>3800.1149881108395</v>
      </c>
      <c r="F93" s="384">
        <f t="shared" si="9"/>
        <v>3777.2647358220056</v>
      </c>
      <c r="G93" s="384">
        <f t="shared" si="9"/>
        <v>3750.5299406440708</v>
      </c>
      <c r="H93" s="384">
        <f t="shared" si="9"/>
        <v>3719.4878729096904</v>
      </c>
      <c r="I93" s="384">
        <f t="shared" si="9"/>
        <v>3686.893701788591</v>
      </c>
      <c r="J93" s="384">
        <f t="shared" si="9"/>
        <v>3652.6698221114366</v>
      </c>
      <c r="K93" s="400">
        <f t="shared" si="9"/>
        <v>3616.7347484504248</v>
      </c>
      <c r="L93" s="203"/>
    </row>
    <row r="94" spans="1:12" ht="40.5" x14ac:dyDescent="0.25">
      <c r="A94" s="399" t="s">
        <v>622</v>
      </c>
      <c r="B94" s="390">
        <f>$M$59</f>
        <v>0.80000000000000016</v>
      </c>
      <c r="C94" s="390">
        <f>B94</f>
        <v>0.80000000000000016</v>
      </c>
      <c r="D94" s="390">
        <f t="shared" ref="D94:K94" si="10">C94</f>
        <v>0.80000000000000016</v>
      </c>
      <c r="E94" s="390">
        <f t="shared" si="10"/>
        <v>0.80000000000000016</v>
      </c>
      <c r="F94" s="390">
        <f t="shared" si="10"/>
        <v>0.80000000000000016</v>
      </c>
      <c r="G94" s="390">
        <f t="shared" si="10"/>
        <v>0.80000000000000016</v>
      </c>
      <c r="H94" s="390">
        <f t="shared" si="10"/>
        <v>0.80000000000000016</v>
      </c>
      <c r="I94" s="390">
        <f t="shared" si="10"/>
        <v>0.80000000000000016</v>
      </c>
      <c r="J94" s="390">
        <f t="shared" si="10"/>
        <v>0.80000000000000016</v>
      </c>
      <c r="K94" s="406">
        <f t="shared" si="10"/>
        <v>0.80000000000000016</v>
      </c>
      <c r="L94" s="203"/>
    </row>
    <row r="95" spans="1:12" x14ac:dyDescent="0.25">
      <c r="A95" s="401" t="s">
        <v>620</v>
      </c>
      <c r="B95" s="392">
        <f>+B93*B94</f>
        <v>3087.0634955092141</v>
      </c>
      <c r="C95" s="392">
        <f t="shared" ref="C95:K95" si="11">+C93*C94</f>
        <v>3068.4069694048103</v>
      </c>
      <c r="D95" s="392">
        <f t="shared" si="11"/>
        <v>3055.5462673989941</v>
      </c>
      <c r="E95" s="392">
        <f t="shared" si="11"/>
        <v>3040.0919904886723</v>
      </c>
      <c r="F95" s="392">
        <f t="shared" si="11"/>
        <v>3021.8117886576051</v>
      </c>
      <c r="G95" s="392">
        <f t="shared" si="11"/>
        <v>3000.423952515257</v>
      </c>
      <c r="H95" s="392">
        <f t="shared" si="11"/>
        <v>2975.5902983277529</v>
      </c>
      <c r="I95" s="392">
        <f t="shared" si="11"/>
        <v>2949.5149614308734</v>
      </c>
      <c r="J95" s="392">
        <f t="shared" si="11"/>
        <v>2922.1358576891498</v>
      </c>
      <c r="K95" s="402">
        <f t="shared" si="11"/>
        <v>2893.3877987603405</v>
      </c>
      <c r="L95" s="203"/>
    </row>
    <row r="96" spans="1:12" x14ac:dyDescent="0.25">
      <c r="A96" s="403"/>
      <c r="B96" s="404"/>
      <c r="C96" s="404"/>
      <c r="D96" s="404"/>
      <c r="E96" s="404"/>
      <c r="F96" s="404"/>
      <c r="G96" s="404"/>
      <c r="H96" s="404"/>
      <c r="I96" s="404"/>
      <c r="J96" s="404"/>
      <c r="K96" s="405"/>
      <c r="L96" s="203"/>
    </row>
    <row r="97" spans="1:12" x14ac:dyDescent="0.25">
      <c r="A97" s="403"/>
      <c r="B97" s="404"/>
      <c r="C97" s="404"/>
      <c r="D97" s="404"/>
      <c r="E97" s="404"/>
      <c r="F97" s="404"/>
      <c r="G97" s="404"/>
      <c r="H97" s="404"/>
      <c r="I97" s="404"/>
      <c r="J97" s="404"/>
      <c r="K97" s="405"/>
      <c r="L97" s="203"/>
    </row>
    <row r="98" spans="1:12" x14ac:dyDescent="0.25">
      <c r="A98" s="403"/>
      <c r="B98" s="404"/>
      <c r="C98" s="404"/>
      <c r="D98" s="404"/>
      <c r="E98" s="404"/>
      <c r="F98" s="404"/>
      <c r="G98" s="404"/>
      <c r="H98" s="404"/>
      <c r="I98" s="404"/>
      <c r="J98" s="404"/>
      <c r="K98" s="405"/>
      <c r="L98" s="203"/>
    </row>
    <row r="99" spans="1:12" x14ac:dyDescent="0.25">
      <c r="A99" s="403"/>
      <c r="B99" s="404"/>
      <c r="C99" s="404"/>
      <c r="D99" s="404"/>
      <c r="E99" s="404"/>
      <c r="F99" s="404"/>
      <c r="G99" s="404"/>
      <c r="H99" s="404"/>
      <c r="I99" s="404"/>
      <c r="J99" s="404"/>
      <c r="K99" s="405"/>
      <c r="L99" s="203"/>
    </row>
    <row r="100" spans="1:12" x14ac:dyDescent="0.25">
      <c r="A100" s="403"/>
      <c r="B100" s="404"/>
      <c r="C100" s="404"/>
      <c r="D100" s="404"/>
      <c r="E100" s="404"/>
      <c r="F100" s="404"/>
      <c r="G100" s="404"/>
      <c r="H100" s="404"/>
      <c r="I100" s="404"/>
      <c r="J100" s="404"/>
      <c r="K100" s="405"/>
      <c r="L100" s="203"/>
    </row>
    <row r="101" spans="1:12" x14ac:dyDescent="0.25">
      <c r="A101" s="403"/>
      <c r="B101" s="404"/>
      <c r="C101" s="404"/>
      <c r="D101" s="404"/>
      <c r="E101" s="404"/>
      <c r="F101" s="404"/>
      <c r="G101" s="404"/>
      <c r="H101" s="404"/>
      <c r="I101" s="404"/>
      <c r="J101" s="404"/>
      <c r="K101" s="405"/>
      <c r="L101" s="203"/>
    </row>
    <row r="102" spans="1:12" x14ac:dyDescent="0.25">
      <c r="A102" s="403"/>
      <c r="B102" s="404"/>
      <c r="C102" s="404"/>
      <c r="D102" s="404"/>
      <c r="E102" s="404"/>
      <c r="F102" s="404"/>
      <c r="G102" s="404"/>
      <c r="H102" s="404"/>
      <c r="I102" s="404"/>
      <c r="J102" s="404"/>
      <c r="K102" s="405"/>
      <c r="L102" s="203"/>
    </row>
    <row r="103" spans="1:12" x14ac:dyDescent="0.25">
      <c r="A103" s="403"/>
      <c r="B103" s="404"/>
      <c r="C103" s="404"/>
      <c r="D103" s="404"/>
      <c r="E103" s="404"/>
      <c r="F103" s="404"/>
      <c r="G103" s="404"/>
      <c r="H103" s="404"/>
      <c r="I103" s="404"/>
      <c r="J103" s="404"/>
      <c r="K103" s="405"/>
      <c r="L103" s="203"/>
    </row>
    <row r="104" spans="1:12" x14ac:dyDescent="0.25">
      <c r="A104" s="403"/>
      <c r="B104" s="404"/>
      <c r="C104" s="404"/>
      <c r="D104" s="404"/>
      <c r="E104" s="404"/>
      <c r="F104" s="404"/>
      <c r="G104" s="404"/>
      <c r="H104" s="404"/>
      <c r="I104" s="404"/>
      <c r="J104" s="404"/>
      <c r="K104" s="405"/>
      <c r="L104" s="203"/>
    </row>
    <row r="105" spans="1:12" x14ac:dyDescent="0.25">
      <c r="A105" s="403"/>
      <c r="B105" s="404"/>
      <c r="C105" s="404"/>
      <c r="D105" s="404"/>
      <c r="E105" s="404"/>
      <c r="F105" s="404"/>
      <c r="G105" s="404"/>
      <c r="H105" s="404"/>
      <c r="I105" s="404"/>
      <c r="J105" s="404"/>
      <c r="K105" s="405"/>
      <c r="L105" s="203"/>
    </row>
    <row r="106" spans="1:12" x14ac:dyDescent="0.25">
      <c r="A106" s="403"/>
      <c r="B106" s="404"/>
      <c r="C106" s="404"/>
      <c r="D106" s="404"/>
      <c r="E106" s="404"/>
      <c r="F106" s="404"/>
      <c r="G106" s="404"/>
      <c r="H106" s="404"/>
      <c r="I106" s="404"/>
      <c r="J106" s="404"/>
      <c r="K106" s="405"/>
      <c r="L106" s="203"/>
    </row>
    <row r="107" spans="1:12" x14ac:dyDescent="0.25">
      <c r="A107" s="403"/>
      <c r="B107" s="404"/>
      <c r="C107" s="404"/>
      <c r="D107" s="404"/>
      <c r="E107" s="404"/>
      <c r="F107" s="404"/>
      <c r="G107" s="404"/>
      <c r="H107" s="404"/>
      <c r="I107" s="404"/>
      <c r="J107" s="404"/>
      <c r="K107" s="405"/>
      <c r="L107" s="203"/>
    </row>
    <row r="108" spans="1:12" x14ac:dyDescent="0.25">
      <c r="A108" s="403"/>
      <c r="B108" s="404"/>
      <c r="C108" s="404"/>
      <c r="D108" s="404"/>
      <c r="E108" s="404"/>
      <c r="F108" s="404"/>
      <c r="G108" s="404"/>
      <c r="H108" s="404"/>
      <c r="I108" s="404"/>
      <c r="J108" s="404"/>
      <c r="K108" s="405"/>
      <c r="L108" s="203"/>
    </row>
    <row r="109" spans="1:12" x14ac:dyDescent="0.25">
      <c r="A109" s="403"/>
      <c r="B109" s="404"/>
      <c r="C109" s="404"/>
      <c r="D109" s="404"/>
      <c r="E109" s="404"/>
      <c r="F109" s="404"/>
      <c r="G109" s="404"/>
      <c r="H109" s="404"/>
      <c r="I109" s="404"/>
      <c r="J109" s="404"/>
      <c r="K109" s="405"/>
      <c r="L109" s="203"/>
    </row>
    <row r="110" spans="1:12" x14ac:dyDescent="0.25">
      <c r="A110" s="403"/>
      <c r="B110" s="404"/>
      <c r="C110" s="404"/>
      <c r="D110" s="404"/>
      <c r="E110" s="404"/>
      <c r="F110" s="404"/>
      <c r="G110" s="404"/>
      <c r="H110" s="404"/>
      <c r="I110" s="404"/>
      <c r="J110" s="404"/>
      <c r="K110" s="405"/>
      <c r="L110" s="203"/>
    </row>
    <row r="111" spans="1:12" x14ac:dyDescent="0.25">
      <c r="A111" s="403"/>
      <c r="B111" s="404"/>
      <c r="C111" s="404"/>
      <c r="D111" s="404"/>
      <c r="E111" s="404"/>
      <c r="F111" s="404"/>
      <c r="G111" s="404"/>
      <c r="H111" s="404"/>
      <c r="I111" s="404"/>
      <c r="J111" s="404"/>
      <c r="K111" s="405"/>
      <c r="L111" s="203"/>
    </row>
    <row r="112" spans="1:12" x14ac:dyDescent="0.25">
      <c r="A112" s="403"/>
      <c r="B112" s="404"/>
      <c r="C112" s="404"/>
      <c r="D112" s="404"/>
      <c r="E112" s="404"/>
      <c r="F112" s="404"/>
      <c r="G112" s="404"/>
      <c r="H112" s="404"/>
      <c r="I112" s="404"/>
      <c r="J112" s="404"/>
      <c r="K112" s="405"/>
      <c r="L112" s="203"/>
    </row>
    <row r="113" spans="1:12" x14ac:dyDescent="0.25">
      <c r="A113" s="403"/>
      <c r="B113" s="404"/>
      <c r="C113" s="404"/>
      <c r="D113" s="404"/>
      <c r="E113" s="404"/>
      <c r="F113" s="404"/>
      <c r="G113" s="404"/>
      <c r="H113" s="404"/>
      <c r="I113" s="404"/>
      <c r="J113" s="404"/>
      <c r="K113" s="405"/>
      <c r="L113" s="203"/>
    </row>
    <row r="114" spans="1:12" x14ac:dyDescent="0.25">
      <c r="A114" s="403"/>
      <c r="B114" s="404"/>
      <c r="C114" s="404"/>
      <c r="D114" s="404"/>
      <c r="E114" s="404"/>
      <c r="F114" s="404"/>
      <c r="G114" s="404"/>
      <c r="H114" s="404"/>
      <c r="I114" s="404"/>
      <c r="J114" s="404"/>
      <c r="K114" s="405"/>
      <c r="L114" s="203"/>
    </row>
    <row r="115" spans="1:12" x14ac:dyDescent="0.25">
      <c r="A115" s="403"/>
      <c r="B115" s="404"/>
      <c r="C115" s="404"/>
      <c r="D115" s="404"/>
      <c r="E115" s="404"/>
      <c r="F115" s="404"/>
      <c r="G115" s="404"/>
      <c r="H115" s="404"/>
      <c r="I115" s="404"/>
      <c r="J115" s="404"/>
      <c r="K115" s="405"/>
      <c r="L115" s="203"/>
    </row>
    <row r="116" spans="1:12" x14ac:dyDescent="0.25">
      <c r="A116" s="403"/>
      <c r="B116" s="404"/>
      <c r="C116" s="404"/>
      <c r="D116" s="404"/>
      <c r="E116" s="404"/>
      <c r="F116" s="404"/>
      <c r="G116" s="404"/>
      <c r="H116" s="404"/>
      <c r="I116" s="404"/>
      <c r="J116" s="404"/>
      <c r="K116" s="405"/>
      <c r="L116" s="203"/>
    </row>
    <row r="117" spans="1:12" ht="15.75" thickBot="1" x14ac:dyDescent="0.3">
      <c r="A117" s="407"/>
      <c r="B117" s="408"/>
      <c r="C117" s="408"/>
      <c r="D117" s="408"/>
      <c r="E117" s="408"/>
      <c r="F117" s="408"/>
      <c r="G117" s="408"/>
      <c r="H117" s="408"/>
      <c r="I117" s="408"/>
      <c r="J117" s="408"/>
      <c r="K117" s="409"/>
      <c r="L117" s="203"/>
    </row>
    <row r="118" spans="1:12" x14ac:dyDescent="0.25">
      <c r="A118" s="203"/>
      <c r="B118" s="203"/>
      <c r="C118" s="203"/>
      <c r="D118" s="203"/>
      <c r="E118" s="203"/>
      <c r="F118" s="203"/>
      <c r="G118" s="203"/>
      <c r="H118" s="203"/>
      <c r="I118" s="203"/>
      <c r="J118" s="203"/>
      <c r="K118" s="203"/>
      <c r="L118" s="203"/>
    </row>
    <row r="119" spans="1:12" x14ac:dyDescent="0.25">
      <c r="A119" s="203"/>
      <c r="B119" s="203"/>
      <c r="C119" s="203"/>
      <c r="D119" s="203"/>
      <c r="E119" s="203"/>
      <c r="F119" s="203"/>
      <c r="G119" s="203"/>
      <c r="H119" s="203"/>
      <c r="I119" s="203"/>
      <c r="J119" s="203"/>
      <c r="K119" s="203"/>
      <c r="L119" s="203"/>
    </row>
    <row r="120" spans="1:12" x14ac:dyDescent="0.25">
      <c r="A120" s="203"/>
      <c r="B120" s="203"/>
      <c r="C120" s="203"/>
      <c r="D120" s="203"/>
      <c r="E120" s="203"/>
      <c r="F120" s="203"/>
      <c r="G120" s="203"/>
      <c r="H120" s="203"/>
      <c r="I120" s="203"/>
      <c r="J120" s="203"/>
      <c r="K120" s="203"/>
      <c r="L120" s="203"/>
    </row>
    <row r="121" spans="1:12" x14ac:dyDescent="0.25">
      <c r="A121" s="203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</row>
    <row r="122" spans="1:12" x14ac:dyDescent="0.25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</row>
    <row r="123" spans="1:12" x14ac:dyDescent="0.25">
      <c r="A123" s="203"/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</row>
    <row r="124" spans="1:12" x14ac:dyDescent="0.25">
      <c r="A124" s="203"/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</row>
    <row r="125" spans="1:12" x14ac:dyDescent="0.25">
      <c r="A125" s="203"/>
      <c r="B125" s="203"/>
      <c r="C125" s="203"/>
      <c r="D125" s="203"/>
      <c r="E125" s="203"/>
      <c r="F125" s="203"/>
      <c r="G125" s="203"/>
      <c r="H125" s="203"/>
      <c r="I125" s="203"/>
      <c r="J125" s="203"/>
      <c r="K125" s="203"/>
      <c r="L125" s="203"/>
    </row>
    <row r="126" spans="1:12" x14ac:dyDescent="0.25">
      <c r="A126" s="203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</row>
    <row r="127" spans="1:12" x14ac:dyDescent="0.25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</row>
    <row r="128" spans="1:12" x14ac:dyDescent="0.25">
      <c r="A128" s="203"/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</row>
    <row r="129" spans="1:12" x14ac:dyDescent="0.25">
      <c r="A129" s="203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</row>
    <row r="130" spans="1:12" x14ac:dyDescent="0.25">
      <c r="A130" s="203"/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</row>
    <row r="131" spans="1:12" x14ac:dyDescent="0.25">
      <c r="A131" s="203"/>
      <c r="B131" s="203"/>
      <c r="C131" s="203"/>
      <c r="D131" s="203"/>
      <c r="E131" s="203"/>
      <c r="F131" s="203"/>
      <c r="G131" s="203"/>
      <c r="H131" s="203"/>
      <c r="I131" s="203"/>
      <c r="J131" s="203"/>
      <c r="K131" s="203"/>
      <c r="L131" s="203"/>
    </row>
    <row r="132" spans="1:12" x14ac:dyDescent="0.25">
      <c r="A132" s="203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</row>
    <row r="133" spans="1:12" x14ac:dyDescent="0.25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</row>
    <row r="134" spans="1:12" x14ac:dyDescent="0.25">
      <c r="A134" s="203"/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</row>
    <row r="135" spans="1:12" x14ac:dyDescent="0.25">
      <c r="A135" s="203"/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</row>
    <row r="136" spans="1:12" x14ac:dyDescent="0.25">
      <c r="A136" s="203"/>
      <c r="B136" s="203"/>
      <c r="C136" s="203"/>
      <c r="D136" s="203"/>
      <c r="E136" s="203"/>
      <c r="F136" s="203"/>
      <c r="G136" s="203"/>
      <c r="H136" s="203"/>
      <c r="I136" s="203"/>
      <c r="J136" s="203"/>
      <c r="K136" s="203"/>
      <c r="L136" s="203"/>
    </row>
    <row r="137" spans="1:12" x14ac:dyDescent="0.25">
      <c r="A137" s="203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</row>
    <row r="138" spans="1:12" x14ac:dyDescent="0.25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</row>
    <row r="139" spans="1:12" x14ac:dyDescent="0.25">
      <c r="A139" s="203"/>
      <c r="B139" s="203"/>
      <c r="C139" s="203"/>
      <c r="D139" s="203"/>
      <c r="E139" s="203"/>
      <c r="F139" s="203"/>
      <c r="G139" s="203"/>
      <c r="H139" s="203"/>
      <c r="I139" s="203"/>
      <c r="J139" s="203"/>
      <c r="K139" s="203"/>
      <c r="L139" s="203"/>
    </row>
  </sheetData>
  <mergeCells count="11">
    <mergeCell ref="B23:D23"/>
    <mergeCell ref="B2:L2"/>
    <mergeCell ref="B11:L11"/>
    <mergeCell ref="B20:F20"/>
    <mergeCell ref="B21:D21"/>
    <mergeCell ref="B22:D22"/>
    <mergeCell ref="B24:D24"/>
    <mergeCell ref="B27:L27"/>
    <mergeCell ref="B55:L55"/>
    <mergeCell ref="A63:K63"/>
    <mergeCell ref="A91:K9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115" zoomScaleNormal="115" workbookViewId="0">
      <selection activeCell="F19" sqref="F19"/>
    </sheetView>
  </sheetViews>
  <sheetFormatPr baseColWidth="10" defaultRowHeight="15" x14ac:dyDescent="0.25"/>
  <cols>
    <col min="1" max="1" width="14.85546875" customWidth="1"/>
    <col min="2" max="2" width="14" customWidth="1"/>
    <col min="3" max="3" width="12.7109375" customWidth="1"/>
    <col min="4" max="4" width="17.140625" customWidth="1"/>
    <col min="5" max="5" width="14.42578125" customWidth="1"/>
    <col min="6" max="6" width="13" customWidth="1"/>
    <col min="7" max="7" width="10.7109375" customWidth="1"/>
    <col min="8" max="8" width="9.140625" customWidth="1"/>
    <col min="9" max="9" width="14" customWidth="1"/>
    <col min="10" max="10" width="13.7109375" customWidth="1"/>
    <col min="11" max="11" width="14" customWidth="1"/>
  </cols>
  <sheetData>
    <row r="1" spans="1:11" ht="42.75" customHeight="1" x14ac:dyDescent="0.25">
      <c r="A1" s="1088" t="s">
        <v>1345</v>
      </c>
      <c r="B1" s="1088" t="s">
        <v>1346</v>
      </c>
      <c r="C1" s="1088" t="s">
        <v>1350</v>
      </c>
      <c r="D1" s="1088" t="s">
        <v>1347</v>
      </c>
      <c r="E1" s="1090" t="s">
        <v>1359</v>
      </c>
      <c r="F1" s="1092" t="s">
        <v>1353</v>
      </c>
      <c r="G1" s="1093" t="s">
        <v>1354</v>
      </c>
      <c r="H1" s="1102" t="s">
        <v>1355</v>
      </c>
      <c r="I1" s="1092" t="s">
        <v>1356</v>
      </c>
      <c r="J1" s="1093" t="s">
        <v>1357</v>
      </c>
      <c r="K1" s="1094" t="s">
        <v>1358</v>
      </c>
    </row>
    <row r="2" spans="1:11" ht="30" x14ac:dyDescent="0.25">
      <c r="A2" s="1086" t="s">
        <v>1348</v>
      </c>
      <c r="B2" s="1086" t="s">
        <v>1349</v>
      </c>
      <c r="C2" s="1087" t="s">
        <v>338</v>
      </c>
      <c r="D2" s="1087">
        <v>8451.4675502542395</v>
      </c>
      <c r="E2" s="1091" t="s">
        <v>1351</v>
      </c>
      <c r="F2" s="1095">
        <v>4</v>
      </c>
      <c r="G2" s="1089">
        <v>6</v>
      </c>
      <c r="H2" s="1103">
        <v>7</v>
      </c>
      <c r="I2" s="1095">
        <f>$D$2*F2</f>
        <v>33805.870201016958</v>
      </c>
      <c r="J2" s="1089">
        <f t="shared" ref="J2:K2" si="0">$D$2*G2</f>
        <v>50708.805301525441</v>
      </c>
      <c r="K2" s="1096">
        <f t="shared" si="0"/>
        <v>59160.272851779679</v>
      </c>
    </row>
    <row r="3" spans="1:11" x14ac:dyDescent="0.25">
      <c r="A3" s="1086"/>
      <c r="B3" s="1086" t="s">
        <v>1352</v>
      </c>
      <c r="C3" s="1086" t="s">
        <v>338</v>
      </c>
      <c r="D3" s="1086">
        <f>426320/4</f>
        <v>106580</v>
      </c>
      <c r="E3" s="1091" t="s">
        <v>300</v>
      </c>
      <c r="F3" s="1097">
        <v>12</v>
      </c>
      <c r="G3" s="2">
        <v>12</v>
      </c>
      <c r="H3" s="39">
        <v>12</v>
      </c>
      <c r="I3" s="1097">
        <v>12</v>
      </c>
      <c r="J3" s="2">
        <v>12</v>
      </c>
      <c r="K3" s="1098">
        <v>12</v>
      </c>
    </row>
    <row r="4" spans="1:11" ht="15.75" thickBot="1" x14ac:dyDescent="0.3">
      <c r="F4" s="1099">
        <f>F2*F3</f>
        <v>48</v>
      </c>
      <c r="G4" s="1100">
        <f t="shared" ref="G4:K4" si="1">G2*G3</f>
        <v>72</v>
      </c>
      <c r="H4" s="1104">
        <f t="shared" si="1"/>
        <v>84</v>
      </c>
      <c r="I4" s="1105">
        <f t="shared" si="1"/>
        <v>405670.44241220353</v>
      </c>
      <c r="J4" s="423">
        <f t="shared" si="1"/>
        <v>608505.66361830523</v>
      </c>
      <c r="K4" s="1106">
        <f t="shared" si="1"/>
        <v>709923.27422135614</v>
      </c>
    </row>
    <row r="5" spans="1:11" x14ac:dyDescent="0.25">
      <c r="I5" s="1097">
        <v>4</v>
      </c>
      <c r="J5" s="2">
        <v>4</v>
      </c>
      <c r="K5" s="1098">
        <v>4</v>
      </c>
    </row>
    <row r="6" spans="1:11" ht="15.75" thickBot="1" x14ac:dyDescent="0.3">
      <c r="G6" t="s">
        <v>1360</v>
      </c>
      <c r="I6" s="1107">
        <f>I4/I5</f>
        <v>101417.61060305088</v>
      </c>
      <c r="J6" s="1100">
        <f t="shared" ref="J6:K6" si="2">J4/J5</f>
        <v>152126.41590457631</v>
      </c>
      <c r="K6" s="1101">
        <f t="shared" si="2"/>
        <v>177480.81855533904</v>
      </c>
    </row>
    <row r="7" spans="1:11" x14ac:dyDescent="0.25">
      <c r="G7" t="s">
        <v>1361</v>
      </c>
      <c r="I7" s="422">
        <f>I6/2</f>
        <v>50708.805301525441</v>
      </c>
    </row>
    <row r="8" spans="1:11" x14ac:dyDescent="0.25">
      <c r="G8" t="s">
        <v>1362</v>
      </c>
      <c r="I8" s="422">
        <f>I7/7</f>
        <v>7244.1150430750631</v>
      </c>
    </row>
    <row r="9" spans="1:11" x14ac:dyDescent="0.25">
      <c r="G9" t="s">
        <v>1363</v>
      </c>
      <c r="I9" s="422">
        <f>I8/5</f>
        <v>1448.8230086150127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5"/>
  <sheetViews>
    <sheetView topLeftCell="A13" workbookViewId="0">
      <selection activeCell="C31" sqref="C31:D31"/>
    </sheetView>
  </sheetViews>
  <sheetFormatPr baseColWidth="10" defaultRowHeight="15" x14ac:dyDescent="0.25"/>
  <cols>
    <col min="1" max="1" width="3.5703125" customWidth="1"/>
    <col min="2" max="2" width="43.42578125" customWidth="1"/>
    <col min="3" max="3" width="8.7109375" customWidth="1"/>
    <col min="4" max="4" width="70.140625" customWidth="1"/>
    <col min="5" max="5" width="8.85546875" customWidth="1"/>
    <col min="6" max="6" width="6.140625" customWidth="1"/>
    <col min="7" max="7" width="7" customWidth="1"/>
    <col min="8" max="8" width="7.140625" customWidth="1"/>
    <col min="9" max="10" width="6.85546875" customWidth="1"/>
    <col min="11" max="11" width="7.7109375" customWidth="1"/>
    <col min="12" max="12" width="7.28515625" customWidth="1"/>
    <col min="13" max="13" width="7.5703125" customWidth="1"/>
    <col min="14" max="14" width="7.140625" customWidth="1"/>
  </cols>
  <sheetData>
    <row r="2" spans="2:15" ht="15.75" thickBot="1" x14ac:dyDescent="0.3">
      <c r="B2" t="s">
        <v>1640</v>
      </c>
    </row>
    <row r="3" spans="2:15" x14ac:dyDescent="0.25">
      <c r="B3" s="1741" t="s">
        <v>1473</v>
      </c>
      <c r="C3" s="1742"/>
      <c r="D3" s="1369" t="s">
        <v>895</v>
      </c>
      <c r="E3" s="1369" t="s">
        <v>439</v>
      </c>
      <c r="F3" s="1369" t="s">
        <v>440</v>
      </c>
      <c r="G3" s="1369" t="s">
        <v>441</v>
      </c>
      <c r="H3" s="1369" t="s">
        <v>442</v>
      </c>
      <c r="I3" s="1369" t="s">
        <v>443</v>
      </c>
      <c r="J3" s="1369" t="s">
        <v>444</v>
      </c>
      <c r="K3" s="1369" t="s">
        <v>445</v>
      </c>
      <c r="L3" s="1369" t="s">
        <v>446</v>
      </c>
      <c r="M3" s="1369" t="s">
        <v>447</v>
      </c>
      <c r="N3" s="1370" t="s">
        <v>448</v>
      </c>
    </row>
    <row r="4" spans="2:15" x14ac:dyDescent="0.25">
      <c r="B4" s="1740" t="str">
        <f>DEMANDA!R99</f>
        <v xml:space="preserve">Servicios Institucionales </v>
      </c>
      <c r="C4" s="1740"/>
      <c r="D4" s="1" t="str">
        <f>DEMANDA!S99</f>
        <v>Atenciones/año</v>
      </c>
      <c r="E4" s="1355">
        <f>DEMANDA!T99</f>
        <v>2164.0382399999999</v>
      </c>
      <c r="F4" s="1355">
        <f>DEMANDA!U99</f>
        <v>2165.0764799999997</v>
      </c>
      <c r="G4" s="1355">
        <f>DEMANDA!V99</f>
        <v>2166.1147199999996</v>
      </c>
      <c r="H4" s="1355">
        <f>DEMANDA!W99</f>
        <v>2167.1529599999994</v>
      </c>
      <c r="I4" s="1355">
        <f>DEMANDA!X99</f>
        <v>2168.1911999999993</v>
      </c>
      <c r="J4" s="1355">
        <f>DEMANDA!Y99</f>
        <v>2169.2294399999992</v>
      </c>
      <c r="K4" s="1355">
        <f>DEMANDA!Z99</f>
        <v>2170.267679999999</v>
      </c>
      <c r="L4" s="1355">
        <f>DEMANDA!AA99</f>
        <v>2171.3059199999989</v>
      </c>
      <c r="M4" s="1355">
        <f>DEMANDA!AB99</f>
        <v>2172.3441599999987</v>
      </c>
      <c r="N4" s="1355">
        <f>DEMANDA!AC99</f>
        <v>2173.3823999999986</v>
      </c>
    </row>
    <row r="6" spans="2:15" ht="15.75" thickBot="1" x14ac:dyDescent="0.3">
      <c r="B6" t="s">
        <v>618</v>
      </c>
      <c r="E6" s="1194"/>
      <c r="F6" s="1194"/>
      <c r="G6" s="1194"/>
      <c r="H6" s="1194"/>
      <c r="I6" s="1194"/>
      <c r="J6" s="1194"/>
      <c r="K6" s="1194"/>
      <c r="L6" s="1194"/>
      <c r="M6" s="1194"/>
      <c r="N6" s="1194"/>
    </row>
    <row r="7" spans="2:15" x14ac:dyDescent="0.25">
      <c r="B7" s="1741" t="s">
        <v>1473</v>
      </c>
      <c r="C7" s="1742"/>
      <c r="D7" s="1369" t="s">
        <v>895</v>
      </c>
      <c r="E7" s="1369" t="s">
        <v>439</v>
      </c>
      <c r="F7" s="1369" t="s">
        <v>440</v>
      </c>
      <c r="G7" s="1369" t="s">
        <v>441</v>
      </c>
      <c r="H7" s="1369" t="s">
        <v>442</v>
      </c>
      <c r="I7" s="1369" t="s">
        <v>443</v>
      </c>
      <c r="J7" s="1369" t="s">
        <v>444</v>
      </c>
      <c r="K7" s="1369" t="s">
        <v>445</v>
      </c>
      <c r="L7" s="1369" t="s">
        <v>446</v>
      </c>
      <c r="M7" s="1369" t="s">
        <v>447</v>
      </c>
      <c r="N7" s="1370" t="s">
        <v>448</v>
      </c>
    </row>
    <row r="8" spans="2:15" x14ac:dyDescent="0.25">
      <c r="B8" s="1740" t="str">
        <f>B4</f>
        <v xml:space="preserve">Servicios Institucionales </v>
      </c>
      <c r="C8" s="1740"/>
      <c r="D8" s="1" t="str">
        <f>D4</f>
        <v>Atenciones/año</v>
      </c>
      <c r="E8" s="1355">
        <f>DEMANDA!T103</f>
        <v>0</v>
      </c>
      <c r="F8" s="1355">
        <f>DEMANDA!U103</f>
        <v>0</v>
      </c>
      <c r="G8" s="1355">
        <f>DEMANDA!V103</f>
        <v>0</v>
      </c>
      <c r="H8" s="1355">
        <f>DEMANDA!W103</f>
        <v>0</v>
      </c>
      <c r="I8" s="1355">
        <f>DEMANDA!X103</f>
        <v>0</v>
      </c>
      <c r="J8" s="1355">
        <f>DEMANDA!Y103</f>
        <v>0</v>
      </c>
      <c r="K8" s="1355">
        <f>DEMANDA!Z103</f>
        <v>0</v>
      </c>
      <c r="L8" s="1355">
        <f>DEMANDA!AA103</f>
        <v>0</v>
      </c>
      <c r="M8" s="1355">
        <f>DEMANDA!AB103</f>
        <v>0</v>
      </c>
      <c r="N8" s="1355">
        <f>DEMANDA!AC103</f>
        <v>0</v>
      </c>
    </row>
    <row r="10" spans="2:15" ht="15.75" thickBot="1" x14ac:dyDescent="0.3">
      <c r="B10" t="s">
        <v>620</v>
      </c>
    </row>
    <row r="11" spans="2:15" x14ac:dyDescent="0.25">
      <c r="B11" s="1741" t="s">
        <v>1473</v>
      </c>
      <c r="C11" s="1742"/>
      <c r="D11" s="1369" t="s">
        <v>895</v>
      </c>
      <c r="E11" s="1369" t="s">
        <v>439</v>
      </c>
      <c r="F11" s="1369" t="s">
        <v>440</v>
      </c>
      <c r="G11" s="1369" t="s">
        <v>441</v>
      </c>
      <c r="H11" s="1369" t="s">
        <v>442</v>
      </c>
      <c r="I11" s="1369" t="s">
        <v>443</v>
      </c>
      <c r="J11" s="1369" t="s">
        <v>444</v>
      </c>
      <c r="K11" s="1369" t="s">
        <v>445</v>
      </c>
      <c r="L11" s="1369" t="s">
        <v>446</v>
      </c>
      <c r="M11" s="1369" t="s">
        <v>447</v>
      </c>
      <c r="N11" s="1370" t="s">
        <v>448</v>
      </c>
    </row>
    <row r="12" spans="2:15" x14ac:dyDescent="0.25">
      <c r="B12" s="1740" t="str">
        <f>B8</f>
        <v xml:space="preserve">Servicios Institucionales </v>
      </c>
      <c r="C12" s="1740"/>
      <c r="D12" s="1" t="str">
        <f>D8</f>
        <v>Atenciones/año</v>
      </c>
      <c r="E12" s="1355">
        <f>E8-E4</f>
        <v>-2164.0382399999999</v>
      </c>
      <c r="F12" s="1355">
        <f t="shared" ref="F12:N12" si="0">F8-F4</f>
        <v>-2165.0764799999997</v>
      </c>
      <c r="G12" s="1355">
        <f t="shared" si="0"/>
        <v>-2166.1147199999996</v>
      </c>
      <c r="H12" s="1355">
        <f t="shared" si="0"/>
        <v>-2167.1529599999994</v>
      </c>
      <c r="I12" s="1355">
        <f t="shared" si="0"/>
        <v>-2168.1911999999993</v>
      </c>
      <c r="J12" s="1355">
        <f t="shared" si="0"/>
        <v>-2169.2294399999992</v>
      </c>
      <c r="K12" s="1355">
        <f t="shared" si="0"/>
        <v>-2170.267679999999</v>
      </c>
      <c r="L12" s="1355">
        <f t="shared" si="0"/>
        <v>-2171.3059199999989</v>
      </c>
      <c r="M12" s="1355">
        <f t="shared" si="0"/>
        <v>-2172.3441599999987</v>
      </c>
      <c r="N12" s="1355">
        <f t="shared" si="0"/>
        <v>-2173.3823999999986</v>
      </c>
    </row>
    <row r="15" spans="2:15" ht="15.75" thickBot="1" x14ac:dyDescent="0.3">
      <c r="B15" t="s">
        <v>1640</v>
      </c>
    </row>
    <row r="16" spans="2:15" ht="42.75" customHeight="1" thickBot="1" x14ac:dyDescent="0.3">
      <c r="B16" s="1362" t="s">
        <v>1473</v>
      </c>
      <c r="C16" s="1735" t="s">
        <v>844</v>
      </c>
      <c r="D16" s="1735"/>
      <c r="E16" s="1363" t="s">
        <v>895</v>
      </c>
      <c r="F16" s="1363" t="s">
        <v>439</v>
      </c>
      <c r="G16" s="1363" t="s">
        <v>440</v>
      </c>
      <c r="H16" s="1363" t="s">
        <v>441</v>
      </c>
      <c r="I16" s="1363" t="s">
        <v>442</v>
      </c>
      <c r="J16" s="1363" t="s">
        <v>443</v>
      </c>
      <c r="K16" s="1363" t="s">
        <v>444</v>
      </c>
      <c r="L16" s="1363" t="s">
        <v>445</v>
      </c>
      <c r="M16" s="1363" t="s">
        <v>446</v>
      </c>
      <c r="N16" s="1363" t="s">
        <v>447</v>
      </c>
      <c r="O16" s="1364" t="s">
        <v>448</v>
      </c>
    </row>
    <row r="17" spans="2:15" ht="15.75" customHeight="1" x14ac:dyDescent="0.25">
      <c r="B17" s="1732" t="s">
        <v>1621</v>
      </c>
      <c r="C17" s="1736" t="s">
        <v>1622</v>
      </c>
      <c r="D17" s="1736"/>
      <c r="E17" s="1359" t="s">
        <v>647</v>
      </c>
      <c r="F17" s="1360">
        <v>2</v>
      </c>
      <c r="G17" s="1360">
        <v>2</v>
      </c>
      <c r="H17" s="1360">
        <v>2</v>
      </c>
      <c r="I17" s="1360">
        <v>2</v>
      </c>
      <c r="J17" s="1360">
        <v>2</v>
      </c>
      <c r="K17" s="1360">
        <v>2</v>
      </c>
      <c r="L17" s="1360">
        <v>2</v>
      </c>
      <c r="M17" s="1360">
        <v>2</v>
      </c>
      <c r="N17" s="1360">
        <v>2</v>
      </c>
      <c r="O17" s="1361">
        <v>2</v>
      </c>
    </row>
    <row r="18" spans="2:15" ht="15.75" customHeight="1" x14ac:dyDescent="0.25">
      <c r="B18" s="1733"/>
      <c r="C18" s="1734" t="s">
        <v>1623</v>
      </c>
      <c r="D18" s="1734"/>
      <c r="E18" s="1348" t="s">
        <v>647</v>
      </c>
      <c r="F18" s="728">
        <v>1</v>
      </c>
      <c r="G18" s="728">
        <v>1</v>
      </c>
      <c r="H18" s="728">
        <v>1</v>
      </c>
      <c r="I18" s="728">
        <v>1</v>
      </c>
      <c r="J18" s="728">
        <v>1</v>
      </c>
      <c r="K18" s="728">
        <v>1</v>
      </c>
      <c r="L18" s="728">
        <v>1</v>
      </c>
      <c r="M18" s="728">
        <v>1</v>
      </c>
      <c r="N18" s="728">
        <v>1</v>
      </c>
      <c r="O18" s="1349">
        <v>1</v>
      </c>
    </row>
    <row r="19" spans="2:15" ht="15.75" customHeight="1" x14ac:dyDescent="0.25">
      <c r="B19" s="1733" t="s">
        <v>1624</v>
      </c>
      <c r="C19" s="1734" t="s">
        <v>1625</v>
      </c>
      <c r="D19" s="1734"/>
      <c r="E19" s="1348" t="s">
        <v>647</v>
      </c>
      <c r="F19" s="728">
        <v>1</v>
      </c>
      <c r="G19" s="728">
        <v>1</v>
      </c>
      <c r="H19" s="728">
        <v>1</v>
      </c>
      <c r="I19" s="728">
        <v>1</v>
      </c>
      <c r="J19" s="728">
        <v>1</v>
      </c>
      <c r="K19" s="728">
        <v>1</v>
      </c>
      <c r="L19" s="728">
        <v>1</v>
      </c>
      <c r="M19" s="728">
        <v>1</v>
      </c>
      <c r="N19" s="728">
        <v>1</v>
      </c>
      <c r="O19" s="1349">
        <v>1</v>
      </c>
    </row>
    <row r="20" spans="2:15" ht="15.75" customHeight="1" x14ac:dyDescent="0.25">
      <c r="B20" s="1733"/>
      <c r="C20" s="1734" t="s">
        <v>1626</v>
      </c>
      <c r="D20" s="1734"/>
      <c r="E20" s="1348" t="s">
        <v>647</v>
      </c>
      <c r="F20" s="728">
        <v>1</v>
      </c>
      <c r="G20" s="728">
        <v>1</v>
      </c>
      <c r="H20" s="728">
        <v>1</v>
      </c>
      <c r="I20" s="728">
        <v>1</v>
      </c>
      <c r="J20" s="728">
        <v>1</v>
      </c>
      <c r="K20" s="728">
        <v>1</v>
      </c>
      <c r="L20" s="728">
        <v>1</v>
      </c>
      <c r="M20" s="728">
        <v>1</v>
      </c>
      <c r="N20" s="728">
        <v>1</v>
      </c>
      <c r="O20" s="1349">
        <v>1</v>
      </c>
    </row>
    <row r="21" spans="2:15" ht="15.75" customHeight="1" x14ac:dyDescent="0.25">
      <c r="B21" s="1733"/>
      <c r="C21" s="1734" t="s">
        <v>1627</v>
      </c>
      <c r="D21" s="1734"/>
      <c r="E21" s="1348" t="s">
        <v>647</v>
      </c>
      <c r="F21" s="728">
        <v>1</v>
      </c>
      <c r="G21" s="728">
        <v>1</v>
      </c>
      <c r="H21" s="728">
        <v>1</v>
      </c>
      <c r="I21" s="728">
        <v>1</v>
      </c>
      <c r="J21" s="728">
        <v>1</v>
      </c>
      <c r="K21" s="728">
        <v>1</v>
      </c>
      <c r="L21" s="728">
        <v>1</v>
      </c>
      <c r="M21" s="728">
        <v>1</v>
      </c>
      <c r="N21" s="728">
        <v>1</v>
      </c>
      <c r="O21" s="1349">
        <v>1</v>
      </c>
    </row>
    <row r="22" spans="2:15" ht="15.75" customHeight="1" x14ac:dyDescent="0.25">
      <c r="B22" s="1733" t="s">
        <v>1628</v>
      </c>
      <c r="C22" s="1734" t="s">
        <v>1366</v>
      </c>
      <c r="D22" s="1734"/>
      <c r="E22" s="1348" t="s">
        <v>647</v>
      </c>
      <c r="F22" s="728">
        <v>2</v>
      </c>
      <c r="G22" s="728">
        <v>2</v>
      </c>
      <c r="H22" s="728">
        <v>2</v>
      </c>
      <c r="I22" s="728">
        <v>2</v>
      </c>
      <c r="J22" s="728">
        <v>2</v>
      </c>
      <c r="K22" s="728">
        <v>2</v>
      </c>
      <c r="L22" s="728">
        <v>2</v>
      </c>
      <c r="M22" s="728">
        <v>2</v>
      </c>
      <c r="N22" s="728">
        <v>2</v>
      </c>
      <c r="O22" s="1349">
        <v>2</v>
      </c>
    </row>
    <row r="23" spans="2:15" ht="15.75" customHeight="1" x14ac:dyDescent="0.25">
      <c r="B23" s="1733"/>
      <c r="C23" s="1734" t="s">
        <v>1367</v>
      </c>
      <c r="D23" s="1734"/>
      <c r="E23" s="1348" t="s">
        <v>647</v>
      </c>
      <c r="F23" s="728">
        <v>1</v>
      </c>
      <c r="G23" s="728">
        <v>1</v>
      </c>
      <c r="H23" s="728">
        <v>1</v>
      </c>
      <c r="I23" s="728">
        <v>1</v>
      </c>
      <c r="J23" s="728">
        <v>1</v>
      </c>
      <c r="K23" s="728">
        <v>1</v>
      </c>
      <c r="L23" s="728">
        <v>1</v>
      </c>
      <c r="M23" s="728">
        <v>1</v>
      </c>
      <c r="N23" s="728">
        <v>1</v>
      </c>
      <c r="O23" s="1349">
        <v>1</v>
      </c>
    </row>
    <row r="24" spans="2:15" ht="15.75" customHeight="1" x14ac:dyDescent="0.25">
      <c r="B24" s="1733" t="s">
        <v>1629</v>
      </c>
      <c r="C24" s="1734" t="s">
        <v>1368</v>
      </c>
      <c r="D24" s="1734"/>
      <c r="E24" s="1348" t="s">
        <v>647</v>
      </c>
      <c r="F24" s="728">
        <v>22</v>
      </c>
      <c r="G24" s="728">
        <v>22</v>
      </c>
      <c r="H24" s="728">
        <v>22</v>
      </c>
      <c r="I24" s="728">
        <v>22</v>
      </c>
      <c r="J24" s="728">
        <v>22</v>
      </c>
      <c r="K24" s="728">
        <v>22</v>
      </c>
      <c r="L24" s="728">
        <v>22</v>
      </c>
      <c r="M24" s="728">
        <v>22</v>
      </c>
      <c r="N24" s="728">
        <v>22</v>
      </c>
      <c r="O24" s="1349">
        <v>22</v>
      </c>
    </row>
    <row r="25" spans="2:15" ht="15.75" customHeight="1" x14ac:dyDescent="0.25">
      <c r="B25" s="1733"/>
      <c r="C25" s="1734" t="s">
        <v>1630</v>
      </c>
      <c r="D25" s="1734"/>
      <c r="E25" s="1348" t="s">
        <v>647</v>
      </c>
      <c r="F25" s="728">
        <v>1</v>
      </c>
      <c r="G25" s="728">
        <v>1</v>
      </c>
      <c r="H25" s="728">
        <v>1</v>
      </c>
      <c r="I25" s="728">
        <v>1</v>
      </c>
      <c r="J25" s="728">
        <v>1</v>
      </c>
      <c r="K25" s="728">
        <v>1</v>
      </c>
      <c r="L25" s="728">
        <v>1</v>
      </c>
      <c r="M25" s="728">
        <v>1</v>
      </c>
      <c r="N25" s="728">
        <v>1</v>
      </c>
      <c r="O25" s="1349">
        <v>1</v>
      </c>
    </row>
    <row r="26" spans="2:15" ht="15.75" customHeight="1" x14ac:dyDescent="0.25">
      <c r="B26" s="1733" t="s">
        <v>1007</v>
      </c>
      <c r="C26" s="1734" t="s">
        <v>1369</v>
      </c>
      <c r="D26" s="1734"/>
      <c r="E26" s="1348" t="s">
        <v>1631</v>
      </c>
      <c r="F26" s="728">
        <v>6</v>
      </c>
      <c r="G26" s="728">
        <v>6</v>
      </c>
      <c r="H26" s="728">
        <v>6</v>
      </c>
      <c r="I26" s="728">
        <v>6</v>
      </c>
      <c r="J26" s="728">
        <v>6</v>
      </c>
      <c r="K26" s="728">
        <v>6</v>
      </c>
      <c r="L26" s="728">
        <v>6</v>
      </c>
      <c r="M26" s="728">
        <v>6</v>
      </c>
      <c r="N26" s="728">
        <v>6</v>
      </c>
      <c r="O26" s="1349">
        <v>6</v>
      </c>
    </row>
    <row r="27" spans="2:15" ht="15.75" customHeight="1" x14ac:dyDescent="0.25">
      <c r="B27" s="1733"/>
      <c r="C27" s="1734" t="s">
        <v>1632</v>
      </c>
      <c r="D27" s="1734"/>
      <c r="E27" s="1348" t="s">
        <v>1631</v>
      </c>
      <c r="F27" s="728">
        <v>6</v>
      </c>
      <c r="G27" s="728">
        <v>6</v>
      </c>
      <c r="H27" s="728">
        <v>6</v>
      </c>
      <c r="I27" s="728">
        <v>6</v>
      </c>
      <c r="J27" s="728">
        <v>6</v>
      </c>
      <c r="K27" s="728">
        <v>6</v>
      </c>
      <c r="L27" s="728">
        <v>6</v>
      </c>
      <c r="M27" s="728">
        <v>6</v>
      </c>
      <c r="N27" s="728">
        <v>6</v>
      </c>
      <c r="O27" s="1349">
        <v>6</v>
      </c>
    </row>
    <row r="28" spans="2:15" ht="15.75" customHeight="1" x14ac:dyDescent="0.25">
      <c r="B28" s="1733" t="s">
        <v>1633</v>
      </c>
      <c r="C28" s="1734" t="s">
        <v>1371</v>
      </c>
      <c r="D28" s="1734"/>
      <c r="E28" s="1348" t="s">
        <v>1634</v>
      </c>
      <c r="F28" s="728">
        <v>1</v>
      </c>
      <c r="G28" s="728">
        <v>1</v>
      </c>
      <c r="H28" s="728">
        <v>1</v>
      </c>
      <c r="I28" s="728">
        <v>1</v>
      </c>
      <c r="J28" s="728">
        <v>1</v>
      </c>
      <c r="K28" s="728">
        <v>1</v>
      </c>
      <c r="L28" s="728">
        <v>1</v>
      </c>
      <c r="M28" s="728">
        <v>1</v>
      </c>
      <c r="N28" s="728">
        <v>1</v>
      </c>
      <c r="O28" s="1349">
        <v>1</v>
      </c>
    </row>
    <row r="29" spans="2:15" ht="15.75" customHeight="1" x14ac:dyDescent="0.25">
      <c r="B29" s="1733"/>
      <c r="C29" s="1734" t="s">
        <v>1372</v>
      </c>
      <c r="D29" s="1734"/>
      <c r="E29" s="1348" t="s">
        <v>1634</v>
      </c>
      <c r="F29" s="728">
        <v>1</v>
      </c>
      <c r="G29" s="728">
        <v>1</v>
      </c>
      <c r="H29" s="728">
        <v>1</v>
      </c>
      <c r="I29" s="728">
        <v>1</v>
      </c>
      <c r="J29" s="728">
        <v>1</v>
      </c>
      <c r="K29" s="728">
        <v>1</v>
      </c>
      <c r="L29" s="728">
        <v>1</v>
      </c>
      <c r="M29" s="728">
        <v>1</v>
      </c>
      <c r="N29" s="728">
        <v>1</v>
      </c>
      <c r="O29" s="1349">
        <v>1</v>
      </c>
    </row>
    <row r="30" spans="2:15" ht="15.75" customHeight="1" x14ac:dyDescent="0.25">
      <c r="B30" s="1733"/>
      <c r="C30" s="1734" t="s">
        <v>1373</v>
      </c>
      <c r="D30" s="1734"/>
      <c r="E30" s="1348" t="s">
        <v>1634</v>
      </c>
      <c r="F30" s="728">
        <v>1</v>
      </c>
      <c r="G30" s="728">
        <v>1</v>
      </c>
      <c r="H30" s="728">
        <v>1</v>
      </c>
      <c r="I30" s="728">
        <v>1</v>
      </c>
      <c r="J30" s="728">
        <v>1</v>
      </c>
      <c r="K30" s="728">
        <v>1</v>
      </c>
      <c r="L30" s="728">
        <v>1</v>
      </c>
      <c r="M30" s="728">
        <v>1</v>
      </c>
      <c r="N30" s="728">
        <v>1</v>
      </c>
      <c r="O30" s="1349">
        <v>1</v>
      </c>
    </row>
    <row r="31" spans="2:15" ht="15.75" customHeight="1" x14ac:dyDescent="0.25">
      <c r="B31" s="1733"/>
      <c r="C31" s="1734" t="s">
        <v>1374</v>
      </c>
      <c r="D31" s="1734"/>
      <c r="E31" s="1348" t="s">
        <v>1634</v>
      </c>
      <c r="F31" s="728">
        <v>1</v>
      </c>
      <c r="G31" s="728">
        <v>1</v>
      </c>
      <c r="H31" s="728">
        <v>1</v>
      </c>
      <c r="I31" s="728">
        <v>1</v>
      </c>
      <c r="J31" s="728">
        <v>1</v>
      </c>
      <c r="K31" s="728">
        <v>1</v>
      </c>
      <c r="L31" s="728">
        <v>1</v>
      </c>
      <c r="M31" s="728">
        <v>1</v>
      </c>
      <c r="N31" s="728">
        <v>1</v>
      </c>
      <c r="O31" s="1349">
        <v>1</v>
      </c>
    </row>
    <row r="32" spans="2:15" ht="15.75" customHeight="1" x14ac:dyDescent="0.25">
      <c r="B32" s="1733"/>
      <c r="C32" s="1734" t="s">
        <v>1375</v>
      </c>
      <c r="D32" s="1734"/>
      <c r="E32" s="1348" t="s">
        <v>1634</v>
      </c>
      <c r="F32" s="728">
        <v>1</v>
      </c>
      <c r="G32" s="728">
        <v>1</v>
      </c>
      <c r="H32" s="728">
        <v>1</v>
      </c>
      <c r="I32" s="728">
        <v>1</v>
      </c>
      <c r="J32" s="728">
        <v>1</v>
      </c>
      <c r="K32" s="728">
        <v>1</v>
      </c>
      <c r="L32" s="728">
        <v>1</v>
      </c>
      <c r="M32" s="728">
        <v>1</v>
      </c>
      <c r="N32" s="728">
        <v>1</v>
      </c>
      <c r="O32" s="1349">
        <v>1</v>
      </c>
    </row>
    <row r="33" spans="2:15" ht="15.75" customHeight="1" x14ac:dyDescent="0.25">
      <c r="B33" s="1733"/>
      <c r="C33" s="1734" t="s">
        <v>1376</v>
      </c>
      <c r="D33" s="1734"/>
      <c r="E33" s="1348" t="s">
        <v>1634</v>
      </c>
      <c r="F33" s="728">
        <v>1</v>
      </c>
      <c r="G33" s="728">
        <v>1</v>
      </c>
      <c r="H33" s="728">
        <v>1</v>
      </c>
      <c r="I33" s="728">
        <v>1</v>
      </c>
      <c r="J33" s="728">
        <v>1</v>
      </c>
      <c r="K33" s="728">
        <v>1</v>
      </c>
      <c r="L33" s="728">
        <v>1</v>
      </c>
      <c r="M33" s="728">
        <v>1</v>
      </c>
      <c r="N33" s="728">
        <v>1</v>
      </c>
      <c r="O33" s="1349">
        <v>1</v>
      </c>
    </row>
    <row r="34" spans="2:15" ht="15.75" customHeight="1" x14ac:dyDescent="0.25">
      <c r="B34" s="1733" t="s">
        <v>1635</v>
      </c>
      <c r="C34" s="1734" t="s">
        <v>1377</v>
      </c>
      <c r="D34" s="1734"/>
      <c r="E34" s="1348" t="s">
        <v>1634</v>
      </c>
      <c r="F34" s="728">
        <v>1</v>
      </c>
      <c r="G34" s="728">
        <v>1</v>
      </c>
      <c r="H34" s="728">
        <v>1</v>
      </c>
      <c r="I34" s="728">
        <v>1</v>
      </c>
      <c r="J34" s="728">
        <v>1</v>
      </c>
      <c r="K34" s="728">
        <v>1</v>
      </c>
      <c r="L34" s="728">
        <v>1</v>
      </c>
      <c r="M34" s="728">
        <v>1</v>
      </c>
      <c r="N34" s="728">
        <v>1</v>
      </c>
      <c r="O34" s="1349">
        <v>1</v>
      </c>
    </row>
    <row r="35" spans="2:15" ht="15.75" customHeight="1" x14ac:dyDescent="0.25">
      <c r="B35" s="1733"/>
      <c r="C35" s="1734" t="s">
        <v>1378</v>
      </c>
      <c r="D35" s="1734"/>
      <c r="E35" s="1348" t="s">
        <v>1634</v>
      </c>
      <c r="F35" s="728">
        <v>1</v>
      </c>
      <c r="G35" s="728">
        <v>1</v>
      </c>
      <c r="H35" s="728">
        <v>1</v>
      </c>
      <c r="I35" s="728">
        <v>1</v>
      </c>
      <c r="J35" s="728">
        <v>1</v>
      </c>
      <c r="K35" s="728">
        <v>1</v>
      </c>
      <c r="L35" s="728">
        <v>1</v>
      </c>
      <c r="M35" s="728">
        <v>1</v>
      </c>
      <c r="N35" s="728">
        <v>1</v>
      </c>
      <c r="O35" s="1349">
        <v>1</v>
      </c>
    </row>
    <row r="36" spans="2:15" ht="15.75" customHeight="1" x14ac:dyDescent="0.25">
      <c r="B36" s="1733" t="s">
        <v>1636</v>
      </c>
      <c r="C36" s="1734" t="s">
        <v>1002</v>
      </c>
      <c r="D36" s="1734"/>
      <c r="E36" s="1348" t="s">
        <v>689</v>
      </c>
      <c r="F36" s="728">
        <v>1</v>
      </c>
      <c r="G36" s="728">
        <v>1</v>
      </c>
      <c r="H36" s="728">
        <v>1</v>
      </c>
      <c r="I36" s="728">
        <v>1</v>
      </c>
      <c r="J36" s="728">
        <v>1</v>
      </c>
      <c r="K36" s="728">
        <v>1</v>
      </c>
      <c r="L36" s="728">
        <v>1</v>
      </c>
      <c r="M36" s="728">
        <v>1</v>
      </c>
      <c r="N36" s="728">
        <v>1</v>
      </c>
      <c r="O36" s="1349">
        <v>1</v>
      </c>
    </row>
    <row r="37" spans="2:15" ht="15.75" customHeight="1" x14ac:dyDescent="0.25">
      <c r="B37" s="1733"/>
      <c r="C37" s="1734" t="s">
        <v>1004</v>
      </c>
      <c r="D37" s="1734"/>
      <c r="E37" s="1350" t="s">
        <v>689</v>
      </c>
      <c r="F37" s="728">
        <v>1</v>
      </c>
      <c r="G37" s="728">
        <v>1</v>
      </c>
      <c r="H37" s="728">
        <v>1</v>
      </c>
      <c r="I37" s="728">
        <v>1</v>
      </c>
      <c r="J37" s="728">
        <v>1</v>
      </c>
      <c r="K37" s="728">
        <v>1</v>
      </c>
      <c r="L37" s="728">
        <v>1</v>
      </c>
      <c r="M37" s="728">
        <v>1</v>
      </c>
      <c r="N37" s="728">
        <v>1</v>
      </c>
      <c r="O37" s="1349">
        <v>1</v>
      </c>
    </row>
    <row r="38" spans="2:15" ht="15.75" customHeight="1" x14ac:dyDescent="0.25">
      <c r="B38" s="1733"/>
      <c r="C38" s="1734" t="s">
        <v>1323</v>
      </c>
      <c r="D38" s="1734"/>
      <c r="E38" s="1350" t="s">
        <v>689</v>
      </c>
      <c r="F38" s="728">
        <v>1</v>
      </c>
      <c r="G38" s="728">
        <v>1</v>
      </c>
      <c r="H38" s="728">
        <v>1</v>
      </c>
      <c r="I38" s="728">
        <v>1</v>
      </c>
      <c r="J38" s="728">
        <v>1</v>
      </c>
      <c r="K38" s="728">
        <v>1</v>
      </c>
      <c r="L38" s="728">
        <v>1</v>
      </c>
      <c r="M38" s="728">
        <v>1</v>
      </c>
      <c r="N38" s="728">
        <v>1</v>
      </c>
      <c r="O38" s="1349">
        <v>1</v>
      </c>
    </row>
    <row r="39" spans="2:15" ht="15.75" customHeight="1" x14ac:dyDescent="0.25">
      <c r="B39" s="1733"/>
      <c r="C39" s="1734" t="s">
        <v>1005</v>
      </c>
      <c r="D39" s="1734"/>
      <c r="E39" s="1350" t="s">
        <v>689</v>
      </c>
      <c r="F39" s="728">
        <v>1</v>
      </c>
      <c r="G39" s="728">
        <v>1</v>
      </c>
      <c r="H39" s="728">
        <v>1</v>
      </c>
      <c r="I39" s="728">
        <v>1</v>
      </c>
      <c r="J39" s="728">
        <v>1</v>
      </c>
      <c r="K39" s="728">
        <v>1</v>
      </c>
      <c r="L39" s="728">
        <v>1</v>
      </c>
      <c r="M39" s="728">
        <v>1</v>
      </c>
      <c r="N39" s="728">
        <v>1</v>
      </c>
      <c r="O39" s="1349">
        <v>1</v>
      </c>
    </row>
    <row r="40" spans="2:15" ht="15.75" customHeight="1" x14ac:dyDescent="0.25">
      <c r="B40" s="1733"/>
      <c r="C40" s="1734" t="s">
        <v>1006</v>
      </c>
      <c r="D40" s="1734"/>
      <c r="E40" s="1350" t="s">
        <v>647</v>
      </c>
      <c r="F40" s="728">
        <v>2</v>
      </c>
      <c r="G40" s="728">
        <v>2</v>
      </c>
      <c r="H40" s="728">
        <v>2</v>
      </c>
      <c r="I40" s="728">
        <v>2</v>
      </c>
      <c r="J40" s="728">
        <v>2</v>
      </c>
      <c r="K40" s="728">
        <v>2</v>
      </c>
      <c r="L40" s="728">
        <v>2</v>
      </c>
      <c r="M40" s="728">
        <v>2</v>
      </c>
      <c r="N40" s="728">
        <v>2</v>
      </c>
      <c r="O40" s="1349">
        <v>2</v>
      </c>
    </row>
    <row r="41" spans="2:15" ht="15.75" customHeight="1" x14ac:dyDescent="0.25">
      <c r="B41" s="1733" t="s">
        <v>1637</v>
      </c>
      <c r="C41" s="1734" t="s">
        <v>1146</v>
      </c>
      <c r="D41" s="1734"/>
      <c r="E41" s="1348" t="s">
        <v>1370</v>
      </c>
      <c r="F41" s="728">
        <v>3</v>
      </c>
      <c r="G41" s="728">
        <v>3</v>
      </c>
      <c r="H41" s="728">
        <v>3</v>
      </c>
      <c r="I41" s="728">
        <v>3</v>
      </c>
      <c r="J41" s="728">
        <v>3</v>
      </c>
      <c r="K41" s="728">
        <v>3</v>
      </c>
      <c r="L41" s="728">
        <v>3</v>
      </c>
      <c r="M41" s="728">
        <v>3</v>
      </c>
      <c r="N41" s="728">
        <v>3</v>
      </c>
      <c r="O41" s="1349">
        <v>3</v>
      </c>
    </row>
    <row r="42" spans="2:15" ht="15.75" customHeight="1" x14ac:dyDescent="0.25">
      <c r="B42" s="1733"/>
      <c r="C42" s="1734" t="s">
        <v>1147</v>
      </c>
      <c r="D42" s="1734"/>
      <c r="E42" s="1348" t="s">
        <v>1370</v>
      </c>
      <c r="F42" s="728">
        <v>3</v>
      </c>
      <c r="G42" s="728">
        <v>3</v>
      </c>
      <c r="H42" s="728">
        <v>3</v>
      </c>
      <c r="I42" s="728">
        <v>3</v>
      </c>
      <c r="J42" s="728">
        <v>3</v>
      </c>
      <c r="K42" s="728">
        <v>3</v>
      </c>
      <c r="L42" s="728">
        <v>3</v>
      </c>
      <c r="M42" s="728">
        <v>3</v>
      </c>
      <c r="N42" s="728">
        <v>3</v>
      </c>
      <c r="O42" s="1349">
        <v>3</v>
      </c>
    </row>
    <row r="43" spans="2:15" ht="15.75" customHeight="1" x14ac:dyDescent="0.25">
      <c r="B43" s="1733"/>
      <c r="C43" s="1734" t="s">
        <v>1148</v>
      </c>
      <c r="D43" s="1734"/>
      <c r="E43" s="1348" t="s">
        <v>1370</v>
      </c>
      <c r="F43" s="728">
        <v>3</v>
      </c>
      <c r="G43" s="728">
        <v>3</v>
      </c>
      <c r="H43" s="728">
        <v>3</v>
      </c>
      <c r="I43" s="728">
        <v>3</v>
      </c>
      <c r="J43" s="728">
        <v>3</v>
      </c>
      <c r="K43" s="728">
        <v>3</v>
      </c>
      <c r="L43" s="728">
        <v>3</v>
      </c>
      <c r="M43" s="728">
        <v>3</v>
      </c>
      <c r="N43" s="728">
        <v>3</v>
      </c>
      <c r="O43" s="1349">
        <v>3</v>
      </c>
    </row>
    <row r="44" spans="2:15" ht="15.75" customHeight="1" x14ac:dyDescent="0.25">
      <c r="B44" s="1733" t="s">
        <v>1638</v>
      </c>
      <c r="C44" s="1734" t="s">
        <v>1128</v>
      </c>
      <c r="D44" s="1734"/>
      <c r="E44" s="1348" t="s">
        <v>1370</v>
      </c>
      <c r="F44" s="728">
        <v>3</v>
      </c>
      <c r="G44" s="728">
        <v>3</v>
      </c>
      <c r="H44" s="728">
        <v>3</v>
      </c>
      <c r="I44" s="728">
        <v>3</v>
      </c>
      <c r="J44" s="728">
        <v>3</v>
      </c>
      <c r="K44" s="728">
        <v>3</v>
      </c>
      <c r="L44" s="728">
        <v>3</v>
      </c>
      <c r="M44" s="728">
        <v>3</v>
      </c>
      <c r="N44" s="728">
        <v>3</v>
      </c>
      <c r="O44" s="1349">
        <v>3</v>
      </c>
    </row>
    <row r="45" spans="2:15" ht="15.75" customHeight="1" x14ac:dyDescent="0.25">
      <c r="B45" s="1733"/>
      <c r="C45" s="1734" t="s">
        <v>1133</v>
      </c>
      <c r="D45" s="1734"/>
      <c r="E45" s="1350" t="s">
        <v>1370</v>
      </c>
      <c r="F45" s="728">
        <v>3</v>
      </c>
      <c r="G45" s="728">
        <v>3</v>
      </c>
      <c r="H45" s="728">
        <v>3</v>
      </c>
      <c r="I45" s="728">
        <v>3</v>
      </c>
      <c r="J45" s="728">
        <v>3</v>
      </c>
      <c r="K45" s="728">
        <v>3</v>
      </c>
      <c r="L45" s="728">
        <v>3</v>
      </c>
      <c r="M45" s="728">
        <v>3</v>
      </c>
      <c r="N45" s="728">
        <v>3</v>
      </c>
      <c r="O45" s="1349">
        <v>3</v>
      </c>
    </row>
    <row r="46" spans="2:15" ht="15.75" customHeight="1" x14ac:dyDescent="0.25">
      <c r="B46" s="1733"/>
      <c r="C46" s="1734" t="s">
        <v>1129</v>
      </c>
      <c r="D46" s="1734"/>
      <c r="E46" s="1350" t="s">
        <v>647</v>
      </c>
      <c r="F46" s="728">
        <v>1</v>
      </c>
      <c r="G46" s="728">
        <v>1</v>
      </c>
      <c r="H46" s="728">
        <v>1</v>
      </c>
      <c r="I46" s="728">
        <v>1</v>
      </c>
      <c r="J46" s="728">
        <v>1</v>
      </c>
      <c r="K46" s="728">
        <v>1</v>
      </c>
      <c r="L46" s="728">
        <v>1</v>
      </c>
      <c r="M46" s="728">
        <v>1</v>
      </c>
      <c r="N46" s="728">
        <v>1</v>
      </c>
      <c r="O46" s="1349">
        <v>1</v>
      </c>
    </row>
    <row r="47" spans="2:15" ht="26.25" thickBot="1" x14ac:dyDescent="0.3">
      <c r="B47" s="1351" t="s">
        <v>1639</v>
      </c>
      <c r="C47" s="1737" t="s">
        <v>1379</v>
      </c>
      <c r="D47" s="1737"/>
      <c r="E47" s="1352" t="s">
        <v>689</v>
      </c>
      <c r="F47" s="1353">
        <v>1</v>
      </c>
      <c r="G47" s="1353">
        <v>1</v>
      </c>
      <c r="H47" s="1353">
        <v>1</v>
      </c>
      <c r="I47" s="1353">
        <v>1</v>
      </c>
      <c r="J47" s="1353">
        <v>1</v>
      </c>
      <c r="K47" s="1353">
        <v>1</v>
      </c>
      <c r="L47" s="1353">
        <v>1</v>
      </c>
      <c r="M47" s="1353">
        <v>1</v>
      </c>
      <c r="N47" s="1353">
        <v>1</v>
      </c>
      <c r="O47" s="1354">
        <v>1</v>
      </c>
    </row>
    <row r="49" spans="2:15" ht="15.75" thickBot="1" x14ac:dyDescent="0.3">
      <c r="B49" t="s">
        <v>618</v>
      </c>
    </row>
    <row r="50" spans="2:15" ht="45" customHeight="1" thickBot="1" x14ac:dyDescent="0.3">
      <c r="B50" s="1366" t="s">
        <v>1364</v>
      </c>
      <c r="C50" s="1738" t="s">
        <v>1365</v>
      </c>
      <c r="D50" s="1739"/>
      <c r="E50" s="1367" t="str">
        <f>E16</f>
        <v>Unidad de Medida</v>
      </c>
      <c r="F50" s="1367" t="str">
        <f t="shared" ref="F50:O50" si="1">F16</f>
        <v>Año 1</v>
      </c>
      <c r="G50" s="1367" t="str">
        <f t="shared" si="1"/>
        <v>Año 2</v>
      </c>
      <c r="H50" s="1367" t="str">
        <f t="shared" si="1"/>
        <v>Año 3</v>
      </c>
      <c r="I50" s="1367" t="str">
        <f t="shared" si="1"/>
        <v>Año 4</v>
      </c>
      <c r="J50" s="1367" t="str">
        <f t="shared" si="1"/>
        <v>Año 5</v>
      </c>
      <c r="K50" s="1367" t="str">
        <f t="shared" si="1"/>
        <v>Año 6</v>
      </c>
      <c r="L50" s="1367" t="str">
        <f t="shared" si="1"/>
        <v>Año 7</v>
      </c>
      <c r="M50" s="1367" t="str">
        <f t="shared" si="1"/>
        <v>Año 8</v>
      </c>
      <c r="N50" s="1367" t="str">
        <f t="shared" si="1"/>
        <v>Año 9</v>
      </c>
      <c r="O50" s="1368" t="str">
        <f t="shared" si="1"/>
        <v>Año 10</v>
      </c>
    </row>
    <row r="51" spans="2:15" ht="25.5" customHeight="1" x14ac:dyDescent="0.25">
      <c r="B51" s="1732" t="s">
        <v>1621</v>
      </c>
      <c r="C51" s="1736" t="s">
        <v>1622</v>
      </c>
      <c r="D51" s="1736"/>
      <c r="E51" s="1359" t="s">
        <v>647</v>
      </c>
      <c r="F51" s="1365">
        <v>2</v>
      </c>
      <c r="G51" s="1365">
        <v>2</v>
      </c>
      <c r="H51" s="1365">
        <v>2</v>
      </c>
      <c r="I51" s="1365">
        <v>2</v>
      </c>
      <c r="J51" s="1365">
        <v>2</v>
      </c>
      <c r="K51" s="1365">
        <v>2</v>
      </c>
      <c r="L51" s="1365">
        <v>2</v>
      </c>
      <c r="M51" s="1365">
        <v>2</v>
      </c>
      <c r="N51" s="1365">
        <v>2</v>
      </c>
      <c r="O51" s="1365">
        <v>2</v>
      </c>
    </row>
    <row r="52" spans="2:15" x14ac:dyDescent="0.25">
      <c r="B52" s="1733"/>
      <c r="C52" s="1734" t="s">
        <v>1623</v>
      </c>
      <c r="D52" s="1734"/>
      <c r="E52" s="1348" t="s">
        <v>647</v>
      </c>
      <c r="F52" s="1108">
        <v>0</v>
      </c>
      <c r="G52" s="1108">
        <v>0</v>
      </c>
      <c r="H52" s="1108">
        <v>0</v>
      </c>
      <c r="I52" s="1108">
        <v>0</v>
      </c>
      <c r="J52" s="1108">
        <v>0</v>
      </c>
      <c r="K52" s="1108">
        <v>0</v>
      </c>
      <c r="L52" s="1108">
        <v>0</v>
      </c>
      <c r="M52" s="1108">
        <v>0</v>
      </c>
      <c r="N52" s="1108">
        <v>0</v>
      </c>
      <c r="O52" s="1108">
        <v>0</v>
      </c>
    </row>
    <row r="53" spans="2:15" x14ac:dyDescent="0.25">
      <c r="B53" s="1733" t="s">
        <v>1624</v>
      </c>
      <c r="C53" s="1734" t="s">
        <v>1625</v>
      </c>
      <c r="D53" s="1734"/>
      <c r="E53" s="1348" t="s">
        <v>647</v>
      </c>
      <c r="F53" s="1108">
        <v>0</v>
      </c>
      <c r="G53" s="1108">
        <v>0</v>
      </c>
      <c r="H53" s="1108">
        <v>0</v>
      </c>
      <c r="I53" s="1108">
        <v>0</v>
      </c>
      <c r="J53" s="1108">
        <v>0</v>
      </c>
      <c r="K53" s="1108">
        <v>0</v>
      </c>
      <c r="L53" s="1108">
        <v>0</v>
      </c>
      <c r="M53" s="1108">
        <v>0</v>
      </c>
      <c r="N53" s="1108">
        <v>0</v>
      </c>
      <c r="O53" s="1108">
        <v>0</v>
      </c>
    </row>
    <row r="54" spans="2:15" ht="15" customHeight="1" x14ac:dyDescent="0.25">
      <c r="B54" s="1733"/>
      <c r="C54" s="1734" t="s">
        <v>1626</v>
      </c>
      <c r="D54" s="1734"/>
      <c r="E54" s="1348" t="s">
        <v>647</v>
      </c>
      <c r="F54" s="1108">
        <v>0</v>
      </c>
      <c r="G54" s="1108">
        <v>0</v>
      </c>
      <c r="H54" s="1108">
        <v>0</v>
      </c>
      <c r="I54" s="1108">
        <v>0</v>
      </c>
      <c r="J54" s="1108">
        <v>0</v>
      </c>
      <c r="K54" s="1108">
        <v>0</v>
      </c>
      <c r="L54" s="1108">
        <v>0</v>
      </c>
      <c r="M54" s="1108">
        <v>0</v>
      </c>
      <c r="N54" s="1108">
        <v>0</v>
      </c>
      <c r="O54" s="1108">
        <v>0</v>
      </c>
    </row>
    <row r="55" spans="2:15" x14ac:dyDescent="0.25">
      <c r="B55" s="1733"/>
      <c r="C55" s="1734" t="s">
        <v>1627</v>
      </c>
      <c r="D55" s="1734"/>
      <c r="E55" s="1348" t="s">
        <v>647</v>
      </c>
      <c r="F55" s="1108">
        <v>0</v>
      </c>
      <c r="G55" s="1108">
        <v>0</v>
      </c>
      <c r="H55" s="1108">
        <v>0</v>
      </c>
      <c r="I55" s="1108">
        <v>0</v>
      </c>
      <c r="J55" s="1108">
        <v>0</v>
      </c>
      <c r="K55" s="1108">
        <v>0</v>
      </c>
      <c r="L55" s="1108">
        <v>0</v>
      </c>
      <c r="M55" s="1108">
        <v>0</v>
      </c>
      <c r="N55" s="1108">
        <v>0</v>
      </c>
      <c r="O55" s="1108">
        <v>0</v>
      </c>
    </row>
    <row r="56" spans="2:15" x14ac:dyDescent="0.25">
      <c r="B56" s="1733" t="s">
        <v>1628</v>
      </c>
      <c r="C56" s="1734" t="s">
        <v>1366</v>
      </c>
      <c r="D56" s="1734"/>
      <c r="E56" s="1348" t="s">
        <v>647</v>
      </c>
      <c r="F56" s="1108">
        <v>0</v>
      </c>
      <c r="G56" s="1108">
        <v>0</v>
      </c>
      <c r="H56" s="1108">
        <v>0</v>
      </c>
      <c r="I56" s="1108">
        <v>0</v>
      </c>
      <c r="J56" s="1108">
        <v>0</v>
      </c>
      <c r="K56" s="1108">
        <v>0</v>
      </c>
      <c r="L56" s="1108">
        <v>0</v>
      </c>
      <c r="M56" s="1108">
        <v>0</v>
      </c>
      <c r="N56" s="1108">
        <v>0</v>
      </c>
      <c r="O56" s="1108">
        <v>0</v>
      </c>
    </row>
    <row r="57" spans="2:15" ht="15" customHeight="1" x14ac:dyDescent="0.25">
      <c r="B57" s="1733"/>
      <c r="C57" s="1734" t="s">
        <v>1367</v>
      </c>
      <c r="D57" s="1734"/>
      <c r="E57" s="1348" t="s">
        <v>647</v>
      </c>
      <c r="F57" s="1108">
        <v>0</v>
      </c>
      <c r="G57" s="1108">
        <v>0</v>
      </c>
      <c r="H57" s="1108">
        <v>0</v>
      </c>
      <c r="I57" s="1108">
        <v>0</v>
      </c>
      <c r="J57" s="1108">
        <v>0</v>
      </c>
      <c r="K57" s="1108">
        <v>0</v>
      </c>
      <c r="L57" s="1108">
        <v>0</v>
      </c>
      <c r="M57" s="1108">
        <v>0</v>
      </c>
      <c r="N57" s="1108">
        <v>0</v>
      </c>
      <c r="O57" s="1108">
        <v>0</v>
      </c>
    </row>
    <row r="58" spans="2:15" x14ac:dyDescent="0.25">
      <c r="B58" s="1733" t="s">
        <v>1629</v>
      </c>
      <c r="C58" s="1734" t="s">
        <v>1368</v>
      </c>
      <c r="D58" s="1734"/>
      <c r="E58" s="1348" t="s">
        <v>647</v>
      </c>
      <c r="F58" s="1108">
        <v>0</v>
      </c>
      <c r="G58" s="1108">
        <v>0</v>
      </c>
      <c r="H58" s="1108">
        <v>0</v>
      </c>
      <c r="I58" s="1108">
        <v>0</v>
      </c>
      <c r="J58" s="1108">
        <v>0</v>
      </c>
      <c r="K58" s="1108">
        <v>0</v>
      </c>
      <c r="L58" s="1108">
        <v>0</v>
      </c>
      <c r="M58" s="1108">
        <v>0</v>
      </c>
      <c r="N58" s="1108">
        <v>0</v>
      </c>
      <c r="O58" s="1108">
        <v>0</v>
      </c>
    </row>
    <row r="59" spans="2:15" ht="15" customHeight="1" x14ac:dyDescent="0.25">
      <c r="B59" s="1733"/>
      <c r="C59" s="1734" t="s">
        <v>1630</v>
      </c>
      <c r="D59" s="1734"/>
      <c r="E59" s="1348" t="s">
        <v>647</v>
      </c>
      <c r="F59" s="1108">
        <v>0</v>
      </c>
      <c r="G59" s="1108">
        <v>0</v>
      </c>
      <c r="H59" s="1108">
        <v>0</v>
      </c>
      <c r="I59" s="1108">
        <v>0</v>
      </c>
      <c r="J59" s="1108">
        <v>0</v>
      </c>
      <c r="K59" s="1108">
        <v>0</v>
      </c>
      <c r="L59" s="1108">
        <v>0</v>
      </c>
      <c r="M59" s="1108">
        <v>0</v>
      </c>
      <c r="N59" s="1108">
        <v>0</v>
      </c>
      <c r="O59" s="1108">
        <v>0</v>
      </c>
    </row>
    <row r="60" spans="2:15" x14ac:dyDescent="0.25">
      <c r="B60" s="1733" t="s">
        <v>1007</v>
      </c>
      <c r="C60" s="1734" t="s">
        <v>1369</v>
      </c>
      <c r="D60" s="1734"/>
      <c r="E60" s="1348" t="s">
        <v>1631</v>
      </c>
      <c r="F60" s="1108">
        <v>0</v>
      </c>
      <c r="G60" s="1108">
        <v>0</v>
      </c>
      <c r="H60" s="1108">
        <v>0</v>
      </c>
      <c r="I60" s="1108">
        <v>0</v>
      </c>
      <c r="J60" s="1108">
        <v>0</v>
      </c>
      <c r="K60" s="1108">
        <v>0</v>
      </c>
      <c r="L60" s="1108">
        <v>0</v>
      </c>
      <c r="M60" s="1108">
        <v>0</v>
      </c>
      <c r="N60" s="1108">
        <v>0</v>
      </c>
      <c r="O60" s="1108">
        <v>0</v>
      </c>
    </row>
    <row r="61" spans="2:15" ht="15" customHeight="1" x14ac:dyDescent="0.25">
      <c r="B61" s="1733"/>
      <c r="C61" s="1734" t="s">
        <v>1632</v>
      </c>
      <c r="D61" s="1734"/>
      <c r="E61" s="1348" t="s">
        <v>1631</v>
      </c>
      <c r="F61" s="1108">
        <v>0</v>
      </c>
      <c r="G61" s="1108">
        <v>0</v>
      </c>
      <c r="H61" s="1108">
        <v>0</v>
      </c>
      <c r="I61" s="1108">
        <v>0</v>
      </c>
      <c r="J61" s="1108">
        <v>0</v>
      </c>
      <c r="K61" s="1108">
        <v>0</v>
      </c>
      <c r="L61" s="1108">
        <v>0</v>
      </c>
      <c r="M61" s="1108">
        <v>0</v>
      </c>
      <c r="N61" s="1108">
        <v>0</v>
      </c>
      <c r="O61" s="1108">
        <v>0</v>
      </c>
    </row>
    <row r="62" spans="2:15" x14ac:dyDescent="0.25">
      <c r="B62" s="1733" t="s">
        <v>1633</v>
      </c>
      <c r="C62" s="1734" t="s">
        <v>1371</v>
      </c>
      <c r="D62" s="1734"/>
      <c r="E62" s="1348" t="s">
        <v>1634</v>
      </c>
      <c r="F62" s="1108">
        <v>0</v>
      </c>
      <c r="G62" s="1108">
        <v>0</v>
      </c>
      <c r="H62" s="1108">
        <v>0</v>
      </c>
      <c r="I62" s="1108">
        <v>0</v>
      </c>
      <c r="J62" s="1108">
        <v>0</v>
      </c>
      <c r="K62" s="1108">
        <v>0</v>
      </c>
      <c r="L62" s="1108">
        <v>0</v>
      </c>
      <c r="M62" s="1108">
        <v>0</v>
      </c>
      <c r="N62" s="1108">
        <v>0</v>
      </c>
      <c r="O62" s="1108">
        <v>0</v>
      </c>
    </row>
    <row r="63" spans="2:15" ht="15" customHeight="1" x14ac:dyDescent="0.25">
      <c r="B63" s="1733"/>
      <c r="C63" s="1734" t="s">
        <v>1372</v>
      </c>
      <c r="D63" s="1734"/>
      <c r="E63" s="1348" t="s">
        <v>1634</v>
      </c>
      <c r="F63" s="1108">
        <v>0</v>
      </c>
      <c r="G63" s="1108">
        <v>0</v>
      </c>
      <c r="H63" s="1108">
        <v>0</v>
      </c>
      <c r="I63" s="1108">
        <v>0</v>
      </c>
      <c r="J63" s="1108">
        <v>0</v>
      </c>
      <c r="K63" s="1108">
        <v>0</v>
      </c>
      <c r="L63" s="1108">
        <v>0</v>
      </c>
      <c r="M63" s="1108">
        <v>0</v>
      </c>
      <c r="N63" s="1108">
        <v>0</v>
      </c>
      <c r="O63" s="1108">
        <v>0</v>
      </c>
    </row>
    <row r="64" spans="2:15" x14ac:dyDescent="0.25">
      <c r="B64" s="1733"/>
      <c r="C64" s="1734" t="s">
        <v>1373</v>
      </c>
      <c r="D64" s="1734"/>
      <c r="E64" s="1348" t="s">
        <v>1634</v>
      </c>
      <c r="F64" s="1108">
        <v>0</v>
      </c>
      <c r="G64" s="1108">
        <v>0</v>
      </c>
      <c r="H64" s="1108">
        <v>0</v>
      </c>
      <c r="I64" s="1108">
        <v>0</v>
      </c>
      <c r="J64" s="1108">
        <v>0</v>
      </c>
      <c r="K64" s="1108">
        <v>0</v>
      </c>
      <c r="L64" s="1108">
        <v>0</v>
      </c>
      <c r="M64" s="1108">
        <v>0</v>
      </c>
      <c r="N64" s="1108">
        <v>0</v>
      </c>
      <c r="O64" s="1108">
        <v>0</v>
      </c>
    </row>
    <row r="65" spans="2:15" x14ac:dyDescent="0.25">
      <c r="B65" s="1733"/>
      <c r="C65" s="1734" t="s">
        <v>1374</v>
      </c>
      <c r="D65" s="1734"/>
      <c r="E65" s="1348" t="s">
        <v>1634</v>
      </c>
      <c r="F65" s="1108">
        <v>0</v>
      </c>
      <c r="G65" s="1108">
        <v>0</v>
      </c>
      <c r="H65" s="1108">
        <v>0</v>
      </c>
      <c r="I65" s="1108">
        <v>0</v>
      </c>
      <c r="J65" s="1108">
        <v>0</v>
      </c>
      <c r="K65" s="1108">
        <v>0</v>
      </c>
      <c r="L65" s="1108">
        <v>0</v>
      </c>
      <c r="M65" s="1108">
        <v>0</v>
      </c>
      <c r="N65" s="1108">
        <v>0</v>
      </c>
      <c r="O65" s="1108">
        <v>0</v>
      </c>
    </row>
    <row r="66" spans="2:15" x14ac:dyDescent="0.25">
      <c r="B66" s="1733"/>
      <c r="C66" s="1734" t="s">
        <v>1375</v>
      </c>
      <c r="D66" s="1734"/>
      <c r="E66" s="1348" t="s">
        <v>1634</v>
      </c>
      <c r="F66" s="1108">
        <v>0</v>
      </c>
      <c r="G66" s="1108">
        <v>0</v>
      </c>
      <c r="H66" s="1108">
        <v>0</v>
      </c>
      <c r="I66" s="1108">
        <v>0</v>
      </c>
      <c r="J66" s="1108">
        <v>0</v>
      </c>
      <c r="K66" s="1108">
        <v>0</v>
      </c>
      <c r="L66" s="1108">
        <v>0</v>
      </c>
      <c r="M66" s="1108">
        <v>0</v>
      </c>
      <c r="N66" s="1108">
        <v>0</v>
      </c>
      <c r="O66" s="1108">
        <v>0</v>
      </c>
    </row>
    <row r="67" spans="2:15" x14ac:dyDescent="0.25">
      <c r="B67" s="1733"/>
      <c r="C67" s="1734" t="s">
        <v>1376</v>
      </c>
      <c r="D67" s="1734"/>
      <c r="E67" s="1348" t="s">
        <v>1634</v>
      </c>
      <c r="F67" s="1108">
        <v>0</v>
      </c>
      <c r="G67" s="1108">
        <v>0</v>
      </c>
      <c r="H67" s="1108">
        <v>0</v>
      </c>
      <c r="I67" s="1108">
        <v>0</v>
      </c>
      <c r="J67" s="1108">
        <v>0</v>
      </c>
      <c r="K67" s="1108">
        <v>0</v>
      </c>
      <c r="L67" s="1108">
        <v>0</v>
      </c>
      <c r="M67" s="1108">
        <v>0</v>
      </c>
      <c r="N67" s="1108">
        <v>0</v>
      </c>
      <c r="O67" s="1108">
        <v>0</v>
      </c>
    </row>
    <row r="68" spans="2:15" x14ac:dyDescent="0.25">
      <c r="B68" s="1733" t="s">
        <v>1635</v>
      </c>
      <c r="C68" s="1734" t="s">
        <v>1377</v>
      </c>
      <c r="D68" s="1734"/>
      <c r="E68" s="1348" t="s">
        <v>1634</v>
      </c>
      <c r="F68" s="1108">
        <v>0</v>
      </c>
      <c r="G68" s="1108">
        <v>0</v>
      </c>
      <c r="H68" s="1108">
        <v>0</v>
      </c>
      <c r="I68" s="1108">
        <v>0</v>
      </c>
      <c r="J68" s="1108">
        <v>0</v>
      </c>
      <c r="K68" s="1108">
        <v>0</v>
      </c>
      <c r="L68" s="1108">
        <v>0</v>
      </c>
      <c r="M68" s="1108">
        <v>0</v>
      </c>
      <c r="N68" s="1108">
        <v>0</v>
      </c>
      <c r="O68" s="1108">
        <v>0</v>
      </c>
    </row>
    <row r="69" spans="2:15" ht="15" customHeight="1" x14ac:dyDescent="0.25">
      <c r="B69" s="1733"/>
      <c r="C69" s="1734" t="s">
        <v>1378</v>
      </c>
      <c r="D69" s="1734"/>
      <c r="E69" s="1348" t="s">
        <v>1634</v>
      </c>
      <c r="F69" s="1108">
        <v>0</v>
      </c>
      <c r="G69" s="1108">
        <v>0</v>
      </c>
      <c r="H69" s="1108">
        <v>0</v>
      </c>
      <c r="I69" s="1108">
        <v>0</v>
      </c>
      <c r="J69" s="1108">
        <v>0</v>
      </c>
      <c r="K69" s="1108">
        <v>0</v>
      </c>
      <c r="L69" s="1108">
        <v>0</v>
      </c>
      <c r="M69" s="1108">
        <v>0</v>
      </c>
      <c r="N69" s="1108">
        <v>0</v>
      </c>
      <c r="O69" s="1108">
        <v>0</v>
      </c>
    </row>
    <row r="70" spans="2:15" x14ac:dyDescent="0.25">
      <c r="B70" s="1733" t="s">
        <v>1636</v>
      </c>
      <c r="C70" s="1734" t="s">
        <v>1002</v>
      </c>
      <c r="D70" s="1734"/>
      <c r="E70" s="1348" t="s">
        <v>689</v>
      </c>
      <c r="F70" s="1108">
        <v>0</v>
      </c>
      <c r="G70" s="1108">
        <v>0</v>
      </c>
      <c r="H70" s="1108">
        <v>0</v>
      </c>
      <c r="I70" s="1108">
        <v>0</v>
      </c>
      <c r="J70" s="1108">
        <v>0</v>
      </c>
      <c r="K70" s="1108">
        <v>0</v>
      </c>
      <c r="L70" s="1108">
        <v>0</v>
      </c>
      <c r="M70" s="1108">
        <v>0</v>
      </c>
      <c r="N70" s="1108">
        <v>0</v>
      </c>
      <c r="O70" s="1108">
        <v>0</v>
      </c>
    </row>
    <row r="71" spans="2:15" x14ac:dyDescent="0.25">
      <c r="B71" s="1733"/>
      <c r="C71" s="1734" t="s">
        <v>1004</v>
      </c>
      <c r="D71" s="1734"/>
      <c r="E71" s="1350" t="s">
        <v>689</v>
      </c>
      <c r="F71" s="1108">
        <v>0</v>
      </c>
      <c r="G71" s="1108">
        <v>0</v>
      </c>
      <c r="H71" s="1108">
        <v>0</v>
      </c>
      <c r="I71" s="1108">
        <v>0</v>
      </c>
      <c r="J71" s="1108">
        <v>0</v>
      </c>
      <c r="K71" s="1108">
        <v>0</v>
      </c>
      <c r="L71" s="1108">
        <v>0</v>
      </c>
      <c r="M71" s="1108">
        <v>0</v>
      </c>
      <c r="N71" s="1108">
        <v>0</v>
      </c>
      <c r="O71" s="1108">
        <v>0</v>
      </c>
    </row>
    <row r="72" spans="2:15" x14ac:dyDescent="0.25">
      <c r="B72" s="1733"/>
      <c r="C72" s="1734" t="s">
        <v>1323</v>
      </c>
      <c r="D72" s="1734"/>
      <c r="E72" s="1350" t="s">
        <v>689</v>
      </c>
      <c r="F72" s="1108">
        <v>0</v>
      </c>
      <c r="G72" s="1108">
        <v>0</v>
      </c>
      <c r="H72" s="1108">
        <v>0</v>
      </c>
      <c r="I72" s="1108">
        <v>0</v>
      </c>
      <c r="J72" s="1108">
        <v>0</v>
      </c>
      <c r="K72" s="1108">
        <v>0</v>
      </c>
      <c r="L72" s="1108">
        <v>0</v>
      </c>
      <c r="M72" s="1108">
        <v>0</v>
      </c>
      <c r="N72" s="1108">
        <v>0</v>
      </c>
      <c r="O72" s="1108">
        <v>0</v>
      </c>
    </row>
    <row r="73" spans="2:15" x14ac:dyDescent="0.25">
      <c r="B73" s="1733"/>
      <c r="C73" s="1734" t="s">
        <v>1005</v>
      </c>
      <c r="D73" s="1734"/>
      <c r="E73" s="1350" t="s">
        <v>689</v>
      </c>
      <c r="F73" s="1108">
        <v>0</v>
      </c>
      <c r="G73" s="1108">
        <v>0</v>
      </c>
      <c r="H73" s="1108">
        <v>0</v>
      </c>
      <c r="I73" s="1108">
        <v>0</v>
      </c>
      <c r="J73" s="1108">
        <v>0</v>
      </c>
      <c r="K73" s="1108">
        <v>0</v>
      </c>
      <c r="L73" s="1108">
        <v>0</v>
      </c>
      <c r="M73" s="1108">
        <v>0</v>
      </c>
      <c r="N73" s="1108">
        <v>0</v>
      </c>
      <c r="O73" s="1108">
        <v>0</v>
      </c>
    </row>
    <row r="74" spans="2:15" x14ac:dyDescent="0.25">
      <c r="B74" s="1733"/>
      <c r="C74" s="1734" t="s">
        <v>1006</v>
      </c>
      <c r="D74" s="1734"/>
      <c r="E74" s="1350" t="s">
        <v>647</v>
      </c>
      <c r="F74" s="1108">
        <v>0</v>
      </c>
      <c r="G74" s="1108">
        <v>0</v>
      </c>
      <c r="H74" s="1108">
        <v>0</v>
      </c>
      <c r="I74" s="1108">
        <v>0</v>
      </c>
      <c r="J74" s="1108">
        <v>0</v>
      </c>
      <c r="K74" s="1108">
        <v>0</v>
      </c>
      <c r="L74" s="1108">
        <v>0</v>
      </c>
      <c r="M74" s="1108">
        <v>0</v>
      </c>
      <c r="N74" s="1108">
        <v>0</v>
      </c>
      <c r="O74" s="1108">
        <v>0</v>
      </c>
    </row>
    <row r="75" spans="2:15" x14ac:dyDescent="0.25">
      <c r="B75" s="1733" t="s">
        <v>1637</v>
      </c>
      <c r="C75" s="1734" t="s">
        <v>1146</v>
      </c>
      <c r="D75" s="1734"/>
      <c r="E75" s="1348" t="s">
        <v>1370</v>
      </c>
      <c r="F75" s="1108">
        <v>0</v>
      </c>
      <c r="G75" s="1108">
        <v>0</v>
      </c>
      <c r="H75" s="1108">
        <v>0</v>
      </c>
      <c r="I75" s="1108">
        <v>0</v>
      </c>
      <c r="J75" s="1108">
        <v>0</v>
      </c>
      <c r="K75" s="1108">
        <v>0</v>
      </c>
      <c r="L75" s="1108">
        <v>0</v>
      </c>
      <c r="M75" s="1108">
        <v>0</v>
      </c>
      <c r="N75" s="1108">
        <v>0</v>
      </c>
      <c r="O75" s="1108">
        <v>0</v>
      </c>
    </row>
    <row r="76" spans="2:15" ht="15" customHeight="1" x14ac:dyDescent="0.25">
      <c r="B76" s="1733"/>
      <c r="C76" s="1734" t="s">
        <v>1147</v>
      </c>
      <c r="D76" s="1734"/>
      <c r="E76" s="1348" t="s">
        <v>1370</v>
      </c>
      <c r="F76" s="1108">
        <v>0</v>
      </c>
      <c r="G76" s="1108">
        <v>0</v>
      </c>
      <c r="H76" s="1108">
        <v>0</v>
      </c>
      <c r="I76" s="1108">
        <v>0</v>
      </c>
      <c r="J76" s="1108">
        <v>0</v>
      </c>
      <c r="K76" s="1108">
        <v>0</v>
      </c>
      <c r="L76" s="1108">
        <v>0</v>
      </c>
      <c r="M76" s="1108">
        <v>0</v>
      </c>
      <c r="N76" s="1108">
        <v>0</v>
      </c>
      <c r="O76" s="1108">
        <v>0</v>
      </c>
    </row>
    <row r="77" spans="2:15" x14ac:dyDescent="0.25">
      <c r="B77" s="1733"/>
      <c r="C77" s="1734" t="s">
        <v>1148</v>
      </c>
      <c r="D77" s="1734"/>
      <c r="E77" s="1348" t="s">
        <v>1370</v>
      </c>
      <c r="F77" s="1108">
        <v>0</v>
      </c>
      <c r="G77" s="1108">
        <v>0</v>
      </c>
      <c r="H77" s="1108">
        <v>0</v>
      </c>
      <c r="I77" s="1108">
        <v>0</v>
      </c>
      <c r="J77" s="1108">
        <v>0</v>
      </c>
      <c r="K77" s="1108">
        <v>0</v>
      </c>
      <c r="L77" s="1108">
        <v>0</v>
      </c>
      <c r="M77" s="1108">
        <v>0</v>
      </c>
      <c r="N77" s="1108">
        <v>0</v>
      </c>
      <c r="O77" s="1108">
        <v>0</v>
      </c>
    </row>
    <row r="78" spans="2:15" x14ac:dyDescent="0.25">
      <c r="B78" s="1733" t="s">
        <v>1638</v>
      </c>
      <c r="C78" s="1734" t="s">
        <v>1128</v>
      </c>
      <c r="D78" s="1734"/>
      <c r="E78" s="1348" t="s">
        <v>1370</v>
      </c>
      <c r="F78" s="1108">
        <v>0</v>
      </c>
      <c r="G78" s="1108">
        <v>0</v>
      </c>
      <c r="H78" s="1108">
        <v>0</v>
      </c>
      <c r="I78" s="1108">
        <v>0</v>
      </c>
      <c r="J78" s="1108">
        <v>0</v>
      </c>
      <c r="K78" s="1108">
        <v>0</v>
      </c>
      <c r="L78" s="1108">
        <v>0</v>
      </c>
      <c r="M78" s="1108">
        <v>0</v>
      </c>
      <c r="N78" s="1108">
        <v>0</v>
      </c>
      <c r="O78" s="1108">
        <v>0</v>
      </c>
    </row>
    <row r="79" spans="2:15" x14ac:dyDescent="0.25">
      <c r="B79" s="1733"/>
      <c r="C79" s="1734" t="s">
        <v>1133</v>
      </c>
      <c r="D79" s="1734"/>
      <c r="E79" s="1350" t="s">
        <v>1370</v>
      </c>
      <c r="F79" s="1108">
        <v>0</v>
      </c>
      <c r="G79" s="1108">
        <v>0</v>
      </c>
      <c r="H79" s="1108">
        <v>0</v>
      </c>
      <c r="I79" s="1108">
        <v>0</v>
      </c>
      <c r="J79" s="1108">
        <v>0</v>
      </c>
      <c r="K79" s="1108">
        <v>0</v>
      </c>
      <c r="L79" s="1108">
        <v>0</v>
      </c>
      <c r="M79" s="1108">
        <v>0</v>
      </c>
      <c r="N79" s="1108">
        <v>0</v>
      </c>
      <c r="O79" s="1108">
        <v>0</v>
      </c>
    </row>
    <row r="80" spans="2:15" x14ac:dyDescent="0.25">
      <c r="B80" s="1733"/>
      <c r="C80" s="1734" t="s">
        <v>1129</v>
      </c>
      <c r="D80" s="1734"/>
      <c r="E80" s="1350" t="s">
        <v>647</v>
      </c>
      <c r="F80" s="1108">
        <v>0</v>
      </c>
      <c r="G80" s="1108">
        <v>0</v>
      </c>
      <c r="H80" s="1108">
        <v>0</v>
      </c>
      <c r="I80" s="1108">
        <v>0</v>
      </c>
      <c r="J80" s="1108">
        <v>0</v>
      </c>
      <c r="K80" s="1108">
        <v>0</v>
      </c>
      <c r="L80" s="1108">
        <v>0</v>
      </c>
      <c r="M80" s="1108">
        <v>0</v>
      </c>
      <c r="N80" s="1108">
        <v>0</v>
      </c>
      <c r="O80" s="1108">
        <v>0</v>
      </c>
    </row>
    <row r="81" spans="2:15" ht="21.75" customHeight="1" thickBot="1" x14ac:dyDescent="0.3">
      <c r="B81" s="1351" t="s">
        <v>1639</v>
      </c>
      <c r="C81" s="1737" t="s">
        <v>1379</v>
      </c>
      <c r="D81" s="1737"/>
      <c r="E81" s="1352" t="s">
        <v>689</v>
      </c>
      <c r="F81" s="1108">
        <v>0</v>
      </c>
      <c r="G81" s="1108">
        <v>0</v>
      </c>
      <c r="H81" s="1108">
        <v>0</v>
      </c>
      <c r="I81" s="1108">
        <v>0</v>
      </c>
      <c r="J81" s="1108">
        <v>0</v>
      </c>
      <c r="K81" s="1108">
        <v>0</v>
      </c>
      <c r="L81" s="1108">
        <v>0</v>
      </c>
      <c r="M81" s="1108">
        <v>0</v>
      </c>
      <c r="N81" s="1108">
        <v>0</v>
      </c>
      <c r="O81" s="1108">
        <v>0</v>
      </c>
    </row>
    <row r="82" spans="2:15" ht="21.75" customHeight="1" x14ac:dyDescent="0.25">
      <c r="B82" s="1356"/>
      <c r="C82" s="1356"/>
      <c r="D82" s="1356"/>
      <c r="E82" s="1357"/>
      <c r="F82" s="1358"/>
      <c r="G82" s="1358"/>
      <c r="H82" s="1358"/>
      <c r="I82" s="1358"/>
      <c r="J82" s="1358"/>
      <c r="K82" s="1358"/>
      <c r="L82" s="1358"/>
      <c r="M82" s="1358"/>
      <c r="N82" s="1358"/>
      <c r="O82" s="1358"/>
    </row>
    <row r="83" spans="2:15" ht="15.75" thickBot="1" x14ac:dyDescent="0.3">
      <c r="B83" t="s">
        <v>620</v>
      </c>
    </row>
    <row r="84" spans="2:15" ht="45" customHeight="1" thickBot="1" x14ac:dyDescent="0.3">
      <c r="B84" s="1366" t="s">
        <v>1364</v>
      </c>
      <c r="C84" s="1738" t="s">
        <v>1365</v>
      </c>
      <c r="D84" s="1739"/>
      <c r="E84" s="1367" t="str">
        <f>E50</f>
        <v>Unidad de Medida</v>
      </c>
      <c r="F84" s="1367" t="str">
        <f>F50</f>
        <v>Año 1</v>
      </c>
      <c r="G84" s="1367" t="str">
        <f t="shared" ref="G84:O84" si="2">G50</f>
        <v>Año 2</v>
      </c>
      <c r="H84" s="1367" t="str">
        <f t="shared" si="2"/>
        <v>Año 3</v>
      </c>
      <c r="I84" s="1367" t="str">
        <f t="shared" si="2"/>
        <v>Año 4</v>
      </c>
      <c r="J84" s="1367" t="str">
        <f t="shared" si="2"/>
        <v>Año 5</v>
      </c>
      <c r="K84" s="1367" t="str">
        <f t="shared" si="2"/>
        <v>Año 6</v>
      </c>
      <c r="L84" s="1367" t="str">
        <f t="shared" si="2"/>
        <v>Año 7</v>
      </c>
      <c r="M84" s="1367" t="str">
        <f t="shared" si="2"/>
        <v>Año 8</v>
      </c>
      <c r="N84" s="1367" t="str">
        <f t="shared" si="2"/>
        <v>Año 9</v>
      </c>
      <c r="O84" s="1368" t="str">
        <f t="shared" si="2"/>
        <v>Año 10</v>
      </c>
    </row>
    <row r="85" spans="2:15" x14ac:dyDescent="0.25">
      <c r="B85" s="1732" t="s">
        <v>1621</v>
      </c>
      <c r="C85" s="1736" t="s">
        <v>1622</v>
      </c>
      <c r="D85" s="1736"/>
      <c r="E85" s="1359" t="s">
        <v>647</v>
      </c>
      <c r="F85" s="1365">
        <f>F51-F17</f>
        <v>0</v>
      </c>
      <c r="G85" s="1365">
        <f t="shared" ref="G85:O85" si="3">G51-G17</f>
        <v>0</v>
      </c>
      <c r="H85" s="1365">
        <f t="shared" si="3"/>
        <v>0</v>
      </c>
      <c r="I85" s="1365">
        <f t="shared" si="3"/>
        <v>0</v>
      </c>
      <c r="J85" s="1365">
        <f t="shared" si="3"/>
        <v>0</v>
      </c>
      <c r="K85" s="1365">
        <f t="shared" si="3"/>
        <v>0</v>
      </c>
      <c r="L85" s="1365">
        <f t="shared" si="3"/>
        <v>0</v>
      </c>
      <c r="M85" s="1365">
        <f t="shared" si="3"/>
        <v>0</v>
      </c>
      <c r="N85" s="1365">
        <f t="shared" si="3"/>
        <v>0</v>
      </c>
      <c r="O85" s="1365">
        <f t="shared" si="3"/>
        <v>0</v>
      </c>
    </row>
    <row r="86" spans="2:15" x14ac:dyDescent="0.25">
      <c r="B86" s="1733"/>
      <c r="C86" s="1734" t="s">
        <v>1623</v>
      </c>
      <c r="D86" s="1734"/>
      <c r="E86" s="1348" t="s">
        <v>647</v>
      </c>
      <c r="F86" s="1108">
        <f t="shared" ref="F86:O86" si="4">F52-F18</f>
        <v>-1</v>
      </c>
      <c r="G86" s="1108">
        <f t="shared" si="4"/>
        <v>-1</v>
      </c>
      <c r="H86" s="1108">
        <f t="shared" si="4"/>
        <v>-1</v>
      </c>
      <c r="I86" s="1108">
        <f t="shared" si="4"/>
        <v>-1</v>
      </c>
      <c r="J86" s="1108">
        <f t="shared" si="4"/>
        <v>-1</v>
      </c>
      <c r="K86" s="1108">
        <f t="shared" si="4"/>
        <v>-1</v>
      </c>
      <c r="L86" s="1108">
        <f t="shared" si="4"/>
        <v>-1</v>
      </c>
      <c r="M86" s="1108">
        <f t="shared" si="4"/>
        <v>-1</v>
      </c>
      <c r="N86" s="1108">
        <f t="shared" si="4"/>
        <v>-1</v>
      </c>
      <c r="O86" s="1108">
        <f t="shared" si="4"/>
        <v>-1</v>
      </c>
    </row>
    <row r="87" spans="2:15" ht="15" customHeight="1" x14ac:dyDescent="0.25">
      <c r="B87" s="1733" t="s">
        <v>1624</v>
      </c>
      <c r="C87" s="1734" t="s">
        <v>1625</v>
      </c>
      <c r="D87" s="1734"/>
      <c r="E87" s="1348" t="s">
        <v>647</v>
      </c>
      <c r="F87" s="1108">
        <f t="shared" ref="F87:O87" si="5">F53-F19</f>
        <v>-1</v>
      </c>
      <c r="G87" s="1108">
        <f t="shared" si="5"/>
        <v>-1</v>
      </c>
      <c r="H87" s="1108">
        <f t="shared" si="5"/>
        <v>-1</v>
      </c>
      <c r="I87" s="1108">
        <f t="shared" si="5"/>
        <v>-1</v>
      </c>
      <c r="J87" s="1108">
        <f t="shared" si="5"/>
        <v>-1</v>
      </c>
      <c r="K87" s="1108">
        <f t="shared" si="5"/>
        <v>-1</v>
      </c>
      <c r="L87" s="1108">
        <f t="shared" si="5"/>
        <v>-1</v>
      </c>
      <c r="M87" s="1108">
        <f t="shared" si="5"/>
        <v>-1</v>
      </c>
      <c r="N87" s="1108">
        <f t="shared" si="5"/>
        <v>-1</v>
      </c>
      <c r="O87" s="1108">
        <f t="shared" si="5"/>
        <v>-1</v>
      </c>
    </row>
    <row r="88" spans="2:15" x14ac:dyDescent="0.25">
      <c r="B88" s="1733"/>
      <c r="C88" s="1734" t="s">
        <v>1626</v>
      </c>
      <c r="D88" s="1734"/>
      <c r="E88" s="1348" t="s">
        <v>647</v>
      </c>
      <c r="F88" s="1108">
        <f t="shared" ref="F88:O88" si="6">F54-F20</f>
        <v>-1</v>
      </c>
      <c r="G88" s="1108">
        <f t="shared" si="6"/>
        <v>-1</v>
      </c>
      <c r="H88" s="1108">
        <f t="shared" si="6"/>
        <v>-1</v>
      </c>
      <c r="I88" s="1108">
        <f t="shared" si="6"/>
        <v>-1</v>
      </c>
      <c r="J88" s="1108">
        <f t="shared" si="6"/>
        <v>-1</v>
      </c>
      <c r="K88" s="1108">
        <f t="shared" si="6"/>
        <v>-1</v>
      </c>
      <c r="L88" s="1108">
        <f t="shared" si="6"/>
        <v>-1</v>
      </c>
      <c r="M88" s="1108">
        <f t="shared" si="6"/>
        <v>-1</v>
      </c>
      <c r="N88" s="1108">
        <f t="shared" si="6"/>
        <v>-1</v>
      </c>
      <c r="O88" s="1108">
        <f t="shared" si="6"/>
        <v>-1</v>
      </c>
    </row>
    <row r="89" spans="2:15" x14ac:dyDescent="0.25">
      <c r="B89" s="1733"/>
      <c r="C89" s="1734" t="s">
        <v>1627</v>
      </c>
      <c r="D89" s="1734"/>
      <c r="E89" s="1348" t="s">
        <v>647</v>
      </c>
      <c r="F89" s="1108">
        <f t="shared" ref="F89:O89" si="7">F55-F21</f>
        <v>-1</v>
      </c>
      <c r="G89" s="1108">
        <f t="shared" si="7"/>
        <v>-1</v>
      </c>
      <c r="H89" s="1108">
        <f t="shared" si="7"/>
        <v>-1</v>
      </c>
      <c r="I89" s="1108">
        <f t="shared" si="7"/>
        <v>-1</v>
      </c>
      <c r="J89" s="1108">
        <f t="shared" si="7"/>
        <v>-1</v>
      </c>
      <c r="K89" s="1108">
        <f t="shared" si="7"/>
        <v>-1</v>
      </c>
      <c r="L89" s="1108">
        <f t="shared" si="7"/>
        <v>-1</v>
      </c>
      <c r="M89" s="1108">
        <f t="shared" si="7"/>
        <v>-1</v>
      </c>
      <c r="N89" s="1108">
        <f t="shared" si="7"/>
        <v>-1</v>
      </c>
      <c r="O89" s="1108">
        <f t="shared" si="7"/>
        <v>-1</v>
      </c>
    </row>
    <row r="90" spans="2:15" ht="15" customHeight="1" x14ac:dyDescent="0.25">
      <c r="B90" s="1733" t="s">
        <v>1628</v>
      </c>
      <c r="C90" s="1734" t="s">
        <v>1366</v>
      </c>
      <c r="D90" s="1734"/>
      <c r="E90" s="1348" t="s">
        <v>647</v>
      </c>
      <c r="F90" s="1108">
        <f t="shared" ref="F90:O90" si="8">F56-F22</f>
        <v>-2</v>
      </c>
      <c r="G90" s="1108">
        <f t="shared" si="8"/>
        <v>-2</v>
      </c>
      <c r="H90" s="1108">
        <f t="shared" si="8"/>
        <v>-2</v>
      </c>
      <c r="I90" s="1108">
        <f t="shared" si="8"/>
        <v>-2</v>
      </c>
      <c r="J90" s="1108">
        <f t="shared" si="8"/>
        <v>-2</v>
      </c>
      <c r="K90" s="1108">
        <f t="shared" si="8"/>
        <v>-2</v>
      </c>
      <c r="L90" s="1108">
        <f t="shared" si="8"/>
        <v>-2</v>
      </c>
      <c r="M90" s="1108">
        <f t="shared" si="8"/>
        <v>-2</v>
      </c>
      <c r="N90" s="1108">
        <f t="shared" si="8"/>
        <v>-2</v>
      </c>
      <c r="O90" s="1108">
        <f t="shared" si="8"/>
        <v>-2</v>
      </c>
    </row>
    <row r="91" spans="2:15" x14ac:dyDescent="0.25">
      <c r="B91" s="1733"/>
      <c r="C91" s="1734" t="s">
        <v>1367</v>
      </c>
      <c r="D91" s="1734"/>
      <c r="E91" s="1348" t="s">
        <v>647</v>
      </c>
      <c r="F91" s="1108">
        <f t="shared" ref="F91:O91" si="9">F57-F23</f>
        <v>-1</v>
      </c>
      <c r="G91" s="1108">
        <f t="shared" si="9"/>
        <v>-1</v>
      </c>
      <c r="H91" s="1108">
        <f t="shared" si="9"/>
        <v>-1</v>
      </c>
      <c r="I91" s="1108">
        <f t="shared" si="9"/>
        <v>-1</v>
      </c>
      <c r="J91" s="1108">
        <f t="shared" si="9"/>
        <v>-1</v>
      </c>
      <c r="K91" s="1108">
        <f t="shared" si="9"/>
        <v>-1</v>
      </c>
      <c r="L91" s="1108">
        <f t="shared" si="9"/>
        <v>-1</v>
      </c>
      <c r="M91" s="1108">
        <f t="shared" si="9"/>
        <v>-1</v>
      </c>
      <c r="N91" s="1108">
        <f t="shared" si="9"/>
        <v>-1</v>
      </c>
      <c r="O91" s="1108">
        <f t="shared" si="9"/>
        <v>-1</v>
      </c>
    </row>
    <row r="92" spans="2:15" ht="15" customHeight="1" x14ac:dyDescent="0.25">
      <c r="B92" s="1733" t="s">
        <v>1629</v>
      </c>
      <c r="C92" s="1734" t="s">
        <v>1368</v>
      </c>
      <c r="D92" s="1734"/>
      <c r="E92" s="1348" t="s">
        <v>647</v>
      </c>
      <c r="F92" s="1108">
        <f t="shared" ref="F92:O92" si="10">F58-F24</f>
        <v>-22</v>
      </c>
      <c r="G92" s="1108">
        <f t="shared" si="10"/>
        <v>-22</v>
      </c>
      <c r="H92" s="1108">
        <f t="shared" si="10"/>
        <v>-22</v>
      </c>
      <c r="I92" s="1108">
        <f t="shared" si="10"/>
        <v>-22</v>
      </c>
      <c r="J92" s="1108">
        <f t="shared" si="10"/>
        <v>-22</v>
      </c>
      <c r="K92" s="1108">
        <f t="shared" si="10"/>
        <v>-22</v>
      </c>
      <c r="L92" s="1108">
        <f t="shared" si="10"/>
        <v>-22</v>
      </c>
      <c r="M92" s="1108">
        <f t="shared" si="10"/>
        <v>-22</v>
      </c>
      <c r="N92" s="1108">
        <f t="shared" si="10"/>
        <v>-22</v>
      </c>
      <c r="O92" s="1108">
        <f t="shared" si="10"/>
        <v>-22</v>
      </c>
    </row>
    <row r="93" spans="2:15" x14ac:dyDescent="0.25">
      <c r="B93" s="1733"/>
      <c r="C93" s="1734" t="s">
        <v>1630</v>
      </c>
      <c r="D93" s="1734"/>
      <c r="E93" s="1348" t="s">
        <v>647</v>
      </c>
      <c r="F93" s="1108">
        <f t="shared" ref="F93:O93" si="11">F59-F25</f>
        <v>-1</v>
      </c>
      <c r="G93" s="1108">
        <f t="shared" si="11"/>
        <v>-1</v>
      </c>
      <c r="H93" s="1108">
        <f t="shared" si="11"/>
        <v>-1</v>
      </c>
      <c r="I93" s="1108">
        <f t="shared" si="11"/>
        <v>-1</v>
      </c>
      <c r="J93" s="1108">
        <f t="shared" si="11"/>
        <v>-1</v>
      </c>
      <c r="K93" s="1108">
        <f t="shared" si="11"/>
        <v>-1</v>
      </c>
      <c r="L93" s="1108">
        <f t="shared" si="11"/>
        <v>-1</v>
      </c>
      <c r="M93" s="1108">
        <f t="shared" si="11"/>
        <v>-1</v>
      </c>
      <c r="N93" s="1108">
        <f t="shared" si="11"/>
        <v>-1</v>
      </c>
      <c r="O93" s="1108">
        <f t="shared" si="11"/>
        <v>-1</v>
      </c>
    </row>
    <row r="94" spans="2:15" ht="15" customHeight="1" x14ac:dyDescent="0.25">
      <c r="B94" s="1733" t="s">
        <v>1007</v>
      </c>
      <c r="C94" s="1734" t="s">
        <v>1369</v>
      </c>
      <c r="D94" s="1734"/>
      <c r="E94" s="1348" t="s">
        <v>1631</v>
      </c>
      <c r="F94" s="1108">
        <f t="shared" ref="F94:O94" si="12">F60-F26</f>
        <v>-6</v>
      </c>
      <c r="G94" s="1108">
        <f t="shared" si="12"/>
        <v>-6</v>
      </c>
      <c r="H94" s="1108">
        <f t="shared" si="12"/>
        <v>-6</v>
      </c>
      <c r="I94" s="1108">
        <f t="shared" si="12"/>
        <v>-6</v>
      </c>
      <c r="J94" s="1108">
        <f t="shared" si="12"/>
        <v>-6</v>
      </c>
      <c r="K94" s="1108">
        <f t="shared" si="12"/>
        <v>-6</v>
      </c>
      <c r="L94" s="1108">
        <f t="shared" si="12"/>
        <v>-6</v>
      </c>
      <c r="M94" s="1108">
        <f t="shared" si="12"/>
        <v>-6</v>
      </c>
      <c r="N94" s="1108">
        <f t="shared" si="12"/>
        <v>-6</v>
      </c>
      <c r="O94" s="1108">
        <f t="shared" si="12"/>
        <v>-6</v>
      </c>
    </row>
    <row r="95" spans="2:15" x14ac:dyDescent="0.25">
      <c r="B95" s="1733"/>
      <c r="C95" s="1734" t="s">
        <v>1632</v>
      </c>
      <c r="D95" s="1734"/>
      <c r="E95" s="1348" t="s">
        <v>1631</v>
      </c>
      <c r="F95" s="1108">
        <f t="shared" ref="F95:O95" si="13">F61-F27</f>
        <v>-6</v>
      </c>
      <c r="G95" s="1108">
        <f t="shared" si="13"/>
        <v>-6</v>
      </c>
      <c r="H95" s="1108">
        <f t="shared" si="13"/>
        <v>-6</v>
      </c>
      <c r="I95" s="1108">
        <f t="shared" si="13"/>
        <v>-6</v>
      </c>
      <c r="J95" s="1108">
        <f t="shared" si="13"/>
        <v>-6</v>
      </c>
      <c r="K95" s="1108">
        <f t="shared" si="13"/>
        <v>-6</v>
      </c>
      <c r="L95" s="1108">
        <f t="shared" si="13"/>
        <v>-6</v>
      </c>
      <c r="M95" s="1108">
        <f t="shared" si="13"/>
        <v>-6</v>
      </c>
      <c r="N95" s="1108">
        <f t="shared" si="13"/>
        <v>-6</v>
      </c>
      <c r="O95" s="1108">
        <f t="shared" si="13"/>
        <v>-6</v>
      </c>
    </row>
    <row r="96" spans="2:15" ht="15" customHeight="1" x14ac:dyDescent="0.25">
      <c r="B96" s="1733" t="s">
        <v>1633</v>
      </c>
      <c r="C96" s="1734" t="s">
        <v>1371</v>
      </c>
      <c r="D96" s="1734"/>
      <c r="E96" s="1348" t="s">
        <v>1634</v>
      </c>
      <c r="F96" s="1108">
        <f t="shared" ref="F96:O96" si="14">F62-F28</f>
        <v>-1</v>
      </c>
      <c r="G96" s="1108">
        <f t="shared" si="14"/>
        <v>-1</v>
      </c>
      <c r="H96" s="1108">
        <f t="shared" si="14"/>
        <v>-1</v>
      </c>
      <c r="I96" s="1108">
        <f t="shared" si="14"/>
        <v>-1</v>
      </c>
      <c r="J96" s="1108">
        <f t="shared" si="14"/>
        <v>-1</v>
      </c>
      <c r="K96" s="1108">
        <f t="shared" si="14"/>
        <v>-1</v>
      </c>
      <c r="L96" s="1108">
        <f t="shared" si="14"/>
        <v>-1</v>
      </c>
      <c r="M96" s="1108">
        <f t="shared" si="14"/>
        <v>-1</v>
      </c>
      <c r="N96" s="1108">
        <f t="shared" si="14"/>
        <v>-1</v>
      </c>
      <c r="O96" s="1108">
        <f t="shared" si="14"/>
        <v>-1</v>
      </c>
    </row>
    <row r="97" spans="2:15" x14ac:dyDescent="0.25">
      <c r="B97" s="1733"/>
      <c r="C97" s="1734" t="s">
        <v>1372</v>
      </c>
      <c r="D97" s="1734"/>
      <c r="E97" s="1348" t="s">
        <v>1634</v>
      </c>
      <c r="F97" s="1108">
        <f t="shared" ref="F97:O97" si="15">F63-F29</f>
        <v>-1</v>
      </c>
      <c r="G97" s="1108">
        <f t="shared" si="15"/>
        <v>-1</v>
      </c>
      <c r="H97" s="1108">
        <f t="shared" si="15"/>
        <v>-1</v>
      </c>
      <c r="I97" s="1108">
        <f t="shared" si="15"/>
        <v>-1</v>
      </c>
      <c r="J97" s="1108">
        <f t="shared" si="15"/>
        <v>-1</v>
      </c>
      <c r="K97" s="1108">
        <f t="shared" si="15"/>
        <v>-1</v>
      </c>
      <c r="L97" s="1108">
        <f t="shared" si="15"/>
        <v>-1</v>
      </c>
      <c r="M97" s="1108">
        <f t="shared" si="15"/>
        <v>-1</v>
      </c>
      <c r="N97" s="1108">
        <f t="shared" si="15"/>
        <v>-1</v>
      </c>
      <c r="O97" s="1108">
        <f t="shared" si="15"/>
        <v>-1</v>
      </c>
    </row>
    <row r="98" spans="2:15" x14ac:dyDescent="0.25">
      <c r="B98" s="1733"/>
      <c r="C98" s="1734" t="s">
        <v>1373</v>
      </c>
      <c r="D98" s="1734"/>
      <c r="E98" s="1348" t="s">
        <v>1634</v>
      </c>
      <c r="F98" s="1108">
        <f t="shared" ref="F98:O98" si="16">F64-F30</f>
        <v>-1</v>
      </c>
      <c r="G98" s="1108">
        <f t="shared" si="16"/>
        <v>-1</v>
      </c>
      <c r="H98" s="1108">
        <f t="shared" si="16"/>
        <v>-1</v>
      </c>
      <c r="I98" s="1108">
        <f t="shared" si="16"/>
        <v>-1</v>
      </c>
      <c r="J98" s="1108">
        <f t="shared" si="16"/>
        <v>-1</v>
      </c>
      <c r="K98" s="1108">
        <f t="shared" si="16"/>
        <v>-1</v>
      </c>
      <c r="L98" s="1108">
        <f t="shared" si="16"/>
        <v>-1</v>
      </c>
      <c r="M98" s="1108">
        <f t="shared" si="16"/>
        <v>-1</v>
      </c>
      <c r="N98" s="1108">
        <f t="shared" si="16"/>
        <v>-1</v>
      </c>
      <c r="O98" s="1108">
        <f t="shared" si="16"/>
        <v>-1</v>
      </c>
    </row>
    <row r="99" spans="2:15" x14ac:dyDescent="0.25">
      <c r="B99" s="1733"/>
      <c r="C99" s="1734" t="s">
        <v>1374</v>
      </c>
      <c r="D99" s="1734"/>
      <c r="E99" s="1348" t="s">
        <v>1634</v>
      </c>
      <c r="F99" s="1108">
        <f t="shared" ref="F99:O99" si="17">F65-F31</f>
        <v>-1</v>
      </c>
      <c r="G99" s="1108">
        <f t="shared" si="17"/>
        <v>-1</v>
      </c>
      <c r="H99" s="1108">
        <f t="shared" si="17"/>
        <v>-1</v>
      </c>
      <c r="I99" s="1108">
        <f t="shared" si="17"/>
        <v>-1</v>
      </c>
      <c r="J99" s="1108">
        <f t="shared" si="17"/>
        <v>-1</v>
      </c>
      <c r="K99" s="1108">
        <f t="shared" si="17"/>
        <v>-1</v>
      </c>
      <c r="L99" s="1108">
        <f t="shared" si="17"/>
        <v>-1</v>
      </c>
      <c r="M99" s="1108">
        <f t="shared" si="17"/>
        <v>-1</v>
      </c>
      <c r="N99" s="1108">
        <f t="shared" si="17"/>
        <v>-1</v>
      </c>
      <c r="O99" s="1108">
        <f t="shared" si="17"/>
        <v>-1</v>
      </c>
    </row>
    <row r="100" spans="2:15" x14ac:dyDescent="0.25">
      <c r="B100" s="1733"/>
      <c r="C100" s="1734" t="s">
        <v>1375</v>
      </c>
      <c r="D100" s="1734"/>
      <c r="E100" s="1348" t="s">
        <v>1634</v>
      </c>
      <c r="F100" s="1108">
        <f t="shared" ref="F100:O100" si="18">F66-F32</f>
        <v>-1</v>
      </c>
      <c r="G100" s="1108">
        <f t="shared" si="18"/>
        <v>-1</v>
      </c>
      <c r="H100" s="1108">
        <f t="shared" si="18"/>
        <v>-1</v>
      </c>
      <c r="I100" s="1108">
        <f t="shared" si="18"/>
        <v>-1</v>
      </c>
      <c r="J100" s="1108">
        <f t="shared" si="18"/>
        <v>-1</v>
      </c>
      <c r="K100" s="1108">
        <f t="shared" si="18"/>
        <v>-1</v>
      </c>
      <c r="L100" s="1108">
        <f t="shared" si="18"/>
        <v>-1</v>
      </c>
      <c r="M100" s="1108">
        <f t="shared" si="18"/>
        <v>-1</v>
      </c>
      <c r="N100" s="1108">
        <f t="shared" si="18"/>
        <v>-1</v>
      </c>
      <c r="O100" s="1108">
        <f t="shared" si="18"/>
        <v>-1</v>
      </c>
    </row>
    <row r="101" spans="2:15" x14ac:dyDescent="0.25">
      <c r="B101" s="1733"/>
      <c r="C101" s="1734" t="s">
        <v>1376</v>
      </c>
      <c r="D101" s="1734"/>
      <c r="E101" s="1348" t="s">
        <v>1634</v>
      </c>
      <c r="F101" s="1108">
        <f t="shared" ref="F101:O101" si="19">F67-F33</f>
        <v>-1</v>
      </c>
      <c r="G101" s="1108">
        <f t="shared" si="19"/>
        <v>-1</v>
      </c>
      <c r="H101" s="1108">
        <f t="shared" si="19"/>
        <v>-1</v>
      </c>
      <c r="I101" s="1108">
        <f t="shared" si="19"/>
        <v>-1</v>
      </c>
      <c r="J101" s="1108">
        <f t="shared" si="19"/>
        <v>-1</v>
      </c>
      <c r="K101" s="1108">
        <f t="shared" si="19"/>
        <v>-1</v>
      </c>
      <c r="L101" s="1108">
        <f t="shared" si="19"/>
        <v>-1</v>
      </c>
      <c r="M101" s="1108">
        <f t="shared" si="19"/>
        <v>-1</v>
      </c>
      <c r="N101" s="1108">
        <f t="shared" si="19"/>
        <v>-1</v>
      </c>
      <c r="O101" s="1108">
        <f t="shared" si="19"/>
        <v>-1</v>
      </c>
    </row>
    <row r="102" spans="2:15" ht="15" customHeight="1" x14ac:dyDescent="0.25">
      <c r="B102" s="1733" t="s">
        <v>1635</v>
      </c>
      <c r="C102" s="1734" t="s">
        <v>1377</v>
      </c>
      <c r="D102" s="1734"/>
      <c r="E102" s="1348" t="s">
        <v>1634</v>
      </c>
      <c r="F102" s="1108">
        <f t="shared" ref="F102:O102" si="20">F68-F34</f>
        <v>-1</v>
      </c>
      <c r="G102" s="1108">
        <f t="shared" si="20"/>
        <v>-1</v>
      </c>
      <c r="H102" s="1108">
        <f t="shared" si="20"/>
        <v>-1</v>
      </c>
      <c r="I102" s="1108">
        <f t="shared" si="20"/>
        <v>-1</v>
      </c>
      <c r="J102" s="1108">
        <f t="shared" si="20"/>
        <v>-1</v>
      </c>
      <c r="K102" s="1108">
        <f t="shared" si="20"/>
        <v>-1</v>
      </c>
      <c r="L102" s="1108">
        <f t="shared" si="20"/>
        <v>-1</v>
      </c>
      <c r="M102" s="1108">
        <f t="shared" si="20"/>
        <v>-1</v>
      </c>
      <c r="N102" s="1108">
        <f t="shared" si="20"/>
        <v>-1</v>
      </c>
      <c r="O102" s="1108">
        <f t="shared" si="20"/>
        <v>-1</v>
      </c>
    </row>
    <row r="103" spans="2:15" x14ac:dyDescent="0.25">
      <c r="B103" s="1733"/>
      <c r="C103" s="1734" t="s">
        <v>1378</v>
      </c>
      <c r="D103" s="1734"/>
      <c r="E103" s="1348" t="s">
        <v>1634</v>
      </c>
      <c r="F103" s="1108">
        <f t="shared" ref="F103:O103" si="21">F69-F35</f>
        <v>-1</v>
      </c>
      <c r="G103" s="1108">
        <f t="shared" si="21"/>
        <v>-1</v>
      </c>
      <c r="H103" s="1108">
        <f t="shared" si="21"/>
        <v>-1</v>
      </c>
      <c r="I103" s="1108">
        <f t="shared" si="21"/>
        <v>-1</v>
      </c>
      <c r="J103" s="1108">
        <f t="shared" si="21"/>
        <v>-1</v>
      </c>
      <c r="K103" s="1108">
        <f t="shared" si="21"/>
        <v>-1</v>
      </c>
      <c r="L103" s="1108">
        <f t="shared" si="21"/>
        <v>-1</v>
      </c>
      <c r="M103" s="1108">
        <f t="shared" si="21"/>
        <v>-1</v>
      </c>
      <c r="N103" s="1108">
        <f t="shared" si="21"/>
        <v>-1</v>
      </c>
      <c r="O103" s="1108">
        <f t="shared" si="21"/>
        <v>-1</v>
      </c>
    </row>
    <row r="104" spans="2:15" x14ac:dyDescent="0.25">
      <c r="B104" s="1733" t="s">
        <v>1636</v>
      </c>
      <c r="C104" s="1734" t="s">
        <v>1002</v>
      </c>
      <c r="D104" s="1734"/>
      <c r="E104" s="1348" t="s">
        <v>689</v>
      </c>
      <c r="F104" s="1108">
        <f t="shared" ref="F104:O104" si="22">F70-F36</f>
        <v>-1</v>
      </c>
      <c r="G104" s="1108">
        <f t="shared" si="22"/>
        <v>-1</v>
      </c>
      <c r="H104" s="1108">
        <f t="shared" si="22"/>
        <v>-1</v>
      </c>
      <c r="I104" s="1108">
        <f t="shared" si="22"/>
        <v>-1</v>
      </c>
      <c r="J104" s="1108">
        <f t="shared" si="22"/>
        <v>-1</v>
      </c>
      <c r="K104" s="1108">
        <f t="shared" si="22"/>
        <v>-1</v>
      </c>
      <c r="L104" s="1108">
        <f t="shared" si="22"/>
        <v>-1</v>
      </c>
      <c r="M104" s="1108">
        <f t="shared" si="22"/>
        <v>-1</v>
      </c>
      <c r="N104" s="1108">
        <f t="shared" si="22"/>
        <v>-1</v>
      </c>
      <c r="O104" s="1108">
        <f t="shared" si="22"/>
        <v>-1</v>
      </c>
    </row>
    <row r="105" spans="2:15" x14ac:dyDescent="0.25">
      <c r="B105" s="1733"/>
      <c r="C105" s="1734" t="s">
        <v>1004</v>
      </c>
      <c r="D105" s="1734"/>
      <c r="E105" s="1350" t="s">
        <v>689</v>
      </c>
      <c r="F105" s="1108">
        <f t="shared" ref="F105:O105" si="23">F71-F37</f>
        <v>-1</v>
      </c>
      <c r="G105" s="1108">
        <f t="shared" si="23"/>
        <v>-1</v>
      </c>
      <c r="H105" s="1108">
        <f t="shared" si="23"/>
        <v>-1</v>
      </c>
      <c r="I105" s="1108">
        <f t="shared" si="23"/>
        <v>-1</v>
      </c>
      <c r="J105" s="1108">
        <f t="shared" si="23"/>
        <v>-1</v>
      </c>
      <c r="K105" s="1108">
        <f t="shared" si="23"/>
        <v>-1</v>
      </c>
      <c r="L105" s="1108">
        <f t="shared" si="23"/>
        <v>-1</v>
      </c>
      <c r="M105" s="1108">
        <f t="shared" si="23"/>
        <v>-1</v>
      </c>
      <c r="N105" s="1108">
        <f t="shared" si="23"/>
        <v>-1</v>
      </c>
      <c r="O105" s="1108">
        <f t="shared" si="23"/>
        <v>-1</v>
      </c>
    </row>
    <row r="106" spans="2:15" x14ac:dyDescent="0.25">
      <c r="B106" s="1733"/>
      <c r="C106" s="1734" t="s">
        <v>1323</v>
      </c>
      <c r="D106" s="1734"/>
      <c r="E106" s="1350" t="s">
        <v>689</v>
      </c>
      <c r="F106" s="1108">
        <f t="shared" ref="F106:O106" si="24">F72-F38</f>
        <v>-1</v>
      </c>
      <c r="G106" s="1108">
        <f t="shared" si="24"/>
        <v>-1</v>
      </c>
      <c r="H106" s="1108">
        <f t="shared" si="24"/>
        <v>-1</v>
      </c>
      <c r="I106" s="1108">
        <f t="shared" si="24"/>
        <v>-1</v>
      </c>
      <c r="J106" s="1108">
        <f t="shared" si="24"/>
        <v>-1</v>
      </c>
      <c r="K106" s="1108">
        <f t="shared" si="24"/>
        <v>-1</v>
      </c>
      <c r="L106" s="1108">
        <f t="shared" si="24"/>
        <v>-1</v>
      </c>
      <c r="M106" s="1108">
        <f t="shared" si="24"/>
        <v>-1</v>
      </c>
      <c r="N106" s="1108">
        <f t="shared" si="24"/>
        <v>-1</v>
      </c>
      <c r="O106" s="1108">
        <f t="shared" si="24"/>
        <v>-1</v>
      </c>
    </row>
    <row r="107" spans="2:15" x14ac:dyDescent="0.25">
      <c r="B107" s="1733"/>
      <c r="C107" s="1734" t="s">
        <v>1005</v>
      </c>
      <c r="D107" s="1734"/>
      <c r="E107" s="1350" t="s">
        <v>689</v>
      </c>
      <c r="F107" s="1108">
        <f t="shared" ref="F107:O107" si="25">F73-F39</f>
        <v>-1</v>
      </c>
      <c r="G107" s="1108">
        <f t="shared" si="25"/>
        <v>-1</v>
      </c>
      <c r="H107" s="1108">
        <f t="shared" si="25"/>
        <v>-1</v>
      </c>
      <c r="I107" s="1108">
        <f t="shared" si="25"/>
        <v>-1</v>
      </c>
      <c r="J107" s="1108">
        <f t="shared" si="25"/>
        <v>-1</v>
      </c>
      <c r="K107" s="1108">
        <f t="shared" si="25"/>
        <v>-1</v>
      </c>
      <c r="L107" s="1108">
        <f t="shared" si="25"/>
        <v>-1</v>
      </c>
      <c r="M107" s="1108">
        <f t="shared" si="25"/>
        <v>-1</v>
      </c>
      <c r="N107" s="1108">
        <f t="shared" si="25"/>
        <v>-1</v>
      </c>
      <c r="O107" s="1108">
        <f t="shared" si="25"/>
        <v>-1</v>
      </c>
    </row>
    <row r="108" spans="2:15" x14ac:dyDescent="0.25">
      <c r="B108" s="1733"/>
      <c r="C108" s="1734" t="s">
        <v>1006</v>
      </c>
      <c r="D108" s="1734"/>
      <c r="E108" s="1350" t="s">
        <v>647</v>
      </c>
      <c r="F108" s="1108">
        <f t="shared" ref="F108:O108" si="26">F74-F40</f>
        <v>-2</v>
      </c>
      <c r="G108" s="1108">
        <f t="shared" si="26"/>
        <v>-2</v>
      </c>
      <c r="H108" s="1108">
        <f t="shared" si="26"/>
        <v>-2</v>
      </c>
      <c r="I108" s="1108">
        <f t="shared" si="26"/>
        <v>-2</v>
      </c>
      <c r="J108" s="1108">
        <f t="shared" si="26"/>
        <v>-2</v>
      </c>
      <c r="K108" s="1108">
        <f t="shared" si="26"/>
        <v>-2</v>
      </c>
      <c r="L108" s="1108">
        <f t="shared" si="26"/>
        <v>-2</v>
      </c>
      <c r="M108" s="1108">
        <f t="shared" si="26"/>
        <v>-2</v>
      </c>
      <c r="N108" s="1108">
        <f t="shared" si="26"/>
        <v>-2</v>
      </c>
      <c r="O108" s="1108">
        <f t="shared" si="26"/>
        <v>-2</v>
      </c>
    </row>
    <row r="109" spans="2:15" ht="15" customHeight="1" x14ac:dyDescent="0.25">
      <c r="B109" s="1733" t="s">
        <v>1637</v>
      </c>
      <c r="C109" s="1734" t="s">
        <v>1146</v>
      </c>
      <c r="D109" s="1734"/>
      <c r="E109" s="1348" t="s">
        <v>1370</v>
      </c>
      <c r="F109" s="1108">
        <f t="shared" ref="F109:O109" si="27">F75-F41</f>
        <v>-3</v>
      </c>
      <c r="G109" s="1108">
        <f t="shared" si="27"/>
        <v>-3</v>
      </c>
      <c r="H109" s="1108">
        <f t="shared" si="27"/>
        <v>-3</v>
      </c>
      <c r="I109" s="1108">
        <f t="shared" si="27"/>
        <v>-3</v>
      </c>
      <c r="J109" s="1108">
        <f t="shared" si="27"/>
        <v>-3</v>
      </c>
      <c r="K109" s="1108">
        <f t="shared" si="27"/>
        <v>-3</v>
      </c>
      <c r="L109" s="1108">
        <f t="shared" si="27"/>
        <v>-3</v>
      </c>
      <c r="M109" s="1108">
        <f t="shared" si="27"/>
        <v>-3</v>
      </c>
      <c r="N109" s="1108">
        <f t="shared" si="27"/>
        <v>-3</v>
      </c>
      <c r="O109" s="1108">
        <f t="shared" si="27"/>
        <v>-3</v>
      </c>
    </row>
    <row r="110" spans="2:15" x14ac:dyDescent="0.25">
      <c r="B110" s="1733"/>
      <c r="C110" s="1734" t="s">
        <v>1147</v>
      </c>
      <c r="D110" s="1734"/>
      <c r="E110" s="1348" t="s">
        <v>1370</v>
      </c>
      <c r="F110" s="1108">
        <f t="shared" ref="F110:O110" si="28">F76-F42</f>
        <v>-3</v>
      </c>
      <c r="G110" s="1108">
        <f t="shared" si="28"/>
        <v>-3</v>
      </c>
      <c r="H110" s="1108">
        <f t="shared" si="28"/>
        <v>-3</v>
      </c>
      <c r="I110" s="1108">
        <f t="shared" si="28"/>
        <v>-3</v>
      </c>
      <c r="J110" s="1108">
        <f t="shared" si="28"/>
        <v>-3</v>
      </c>
      <c r="K110" s="1108">
        <f t="shared" si="28"/>
        <v>-3</v>
      </c>
      <c r="L110" s="1108">
        <f t="shared" si="28"/>
        <v>-3</v>
      </c>
      <c r="M110" s="1108">
        <f t="shared" si="28"/>
        <v>-3</v>
      </c>
      <c r="N110" s="1108">
        <f t="shared" si="28"/>
        <v>-3</v>
      </c>
      <c r="O110" s="1108">
        <f t="shared" si="28"/>
        <v>-3</v>
      </c>
    </row>
    <row r="111" spans="2:15" x14ac:dyDescent="0.25">
      <c r="B111" s="1733"/>
      <c r="C111" s="1734" t="s">
        <v>1148</v>
      </c>
      <c r="D111" s="1734"/>
      <c r="E111" s="1348" t="s">
        <v>1370</v>
      </c>
      <c r="F111" s="1108">
        <f t="shared" ref="F111:O111" si="29">F77-F43</f>
        <v>-3</v>
      </c>
      <c r="G111" s="1108">
        <f t="shared" si="29"/>
        <v>-3</v>
      </c>
      <c r="H111" s="1108">
        <f t="shared" si="29"/>
        <v>-3</v>
      </c>
      <c r="I111" s="1108">
        <f t="shared" si="29"/>
        <v>-3</v>
      </c>
      <c r="J111" s="1108">
        <f t="shared" si="29"/>
        <v>-3</v>
      </c>
      <c r="K111" s="1108">
        <f t="shared" si="29"/>
        <v>-3</v>
      </c>
      <c r="L111" s="1108">
        <f t="shared" si="29"/>
        <v>-3</v>
      </c>
      <c r="M111" s="1108">
        <f t="shared" si="29"/>
        <v>-3</v>
      </c>
      <c r="N111" s="1108">
        <f t="shared" si="29"/>
        <v>-3</v>
      </c>
      <c r="O111" s="1108">
        <f t="shared" si="29"/>
        <v>-3</v>
      </c>
    </row>
    <row r="112" spans="2:15" x14ac:dyDescent="0.25">
      <c r="B112" s="1733" t="s">
        <v>1638</v>
      </c>
      <c r="C112" s="1734" t="s">
        <v>1128</v>
      </c>
      <c r="D112" s="1734"/>
      <c r="E112" s="1348" t="s">
        <v>1370</v>
      </c>
      <c r="F112" s="1108">
        <f t="shared" ref="F112:O112" si="30">F78-F44</f>
        <v>-3</v>
      </c>
      <c r="G112" s="1108">
        <f t="shared" si="30"/>
        <v>-3</v>
      </c>
      <c r="H112" s="1108">
        <f t="shared" si="30"/>
        <v>-3</v>
      </c>
      <c r="I112" s="1108">
        <f t="shared" si="30"/>
        <v>-3</v>
      </c>
      <c r="J112" s="1108">
        <f t="shared" si="30"/>
        <v>-3</v>
      </c>
      <c r="K112" s="1108">
        <f t="shared" si="30"/>
        <v>-3</v>
      </c>
      <c r="L112" s="1108">
        <f t="shared" si="30"/>
        <v>-3</v>
      </c>
      <c r="M112" s="1108">
        <f t="shared" si="30"/>
        <v>-3</v>
      </c>
      <c r="N112" s="1108">
        <f t="shared" si="30"/>
        <v>-3</v>
      </c>
      <c r="O112" s="1108">
        <f t="shared" si="30"/>
        <v>-3</v>
      </c>
    </row>
    <row r="113" spans="2:15" x14ac:dyDescent="0.25">
      <c r="B113" s="1733"/>
      <c r="C113" s="1734" t="s">
        <v>1133</v>
      </c>
      <c r="D113" s="1734"/>
      <c r="E113" s="1350" t="s">
        <v>1370</v>
      </c>
      <c r="F113" s="1108">
        <f t="shared" ref="F113:O113" si="31">F79-F45</f>
        <v>-3</v>
      </c>
      <c r="G113" s="1108">
        <f t="shared" si="31"/>
        <v>-3</v>
      </c>
      <c r="H113" s="1108">
        <f t="shared" si="31"/>
        <v>-3</v>
      </c>
      <c r="I113" s="1108">
        <f t="shared" si="31"/>
        <v>-3</v>
      </c>
      <c r="J113" s="1108">
        <f t="shared" si="31"/>
        <v>-3</v>
      </c>
      <c r="K113" s="1108">
        <f t="shared" si="31"/>
        <v>-3</v>
      </c>
      <c r="L113" s="1108">
        <f t="shared" si="31"/>
        <v>-3</v>
      </c>
      <c r="M113" s="1108">
        <f t="shared" si="31"/>
        <v>-3</v>
      </c>
      <c r="N113" s="1108">
        <f t="shared" si="31"/>
        <v>-3</v>
      </c>
      <c r="O113" s="1108">
        <f t="shared" si="31"/>
        <v>-3</v>
      </c>
    </row>
    <row r="114" spans="2:15" x14ac:dyDescent="0.25">
      <c r="B114" s="1733"/>
      <c r="C114" s="1734" t="s">
        <v>1129</v>
      </c>
      <c r="D114" s="1734"/>
      <c r="E114" s="1350" t="s">
        <v>647</v>
      </c>
      <c r="F114" s="1108">
        <f t="shared" ref="F114:O114" si="32">F80-F46</f>
        <v>-1</v>
      </c>
      <c r="G114" s="1108">
        <f t="shared" si="32"/>
        <v>-1</v>
      </c>
      <c r="H114" s="1108">
        <f t="shared" si="32"/>
        <v>-1</v>
      </c>
      <c r="I114" s="1108">
        <f t="shared" si="32"/>
        <v>-1</v>
      </c>
      <c r="J114" s="1108">
        <f t="shared" si="32"/>
        <v>-1</v>
      </c>
      <c r="K114" s="1108">
        <f t="shared" si="32"/>
        <v>-1</v>
      </c>
      <c r="L114" s="1108">
        <f t="shared" si="32"/>
        <v>-1</v>
      </c>
      <c r="M114" s="1108">
        <f t="shared" si="32"/>
        <v>-1</v>
      </c>
      <c r="N114" s="1108">
        <f t="shared" si="32"/>
        <v>-1</v>
      </c>
      <c r="O114" s="1108">
        <f t="shared" si="32"/>
        <v>-1</v>
      </c>
    </row>
    <row r="115" spans="2:15" ht="26.25" thickBot="1" x14ac:dyDescent="0.3">
      <c r="B115" s="1351" t="s">
        <v>1639</v>
      </c>
      <c r="C115" s="1737" t="s">
        <v>1379</v>
      </c>
      <c r="D115" s="1737"/>
      <c r="E115" s="1352" t="s">
        <v>689</v>
      </c>
      <c r="F115" s="1108">
        <f t="shared" ref="F115:O115" si="33">F81-F47</f>
        <v>-1</v>
      </c>
      <c r="G115" s="1108">
        <f t="shared" si="33"/>
        <v>-1</v>
      </c>
      <c r="H115" s="1108">
        <f t="shared" si="33"/>
        <v>-1</v>
      </c>
      <c r="I115" s="1108">
        <f t="shared" si="33"/>
        <v>-1</v>
      </c>
      <c r="J115" s="1108">
        <f t="shared" si="33"/>
        <v>-1</v>
      </c>
      <c r="K115" s="1108">
        <f t="shared" si="33"/>
        <v>-1</v>
      </c>
      <c r="L115" s="1108">
        <f t="shared" si="33"/>
        <v>-1</v>
      </c>
      <c r="M115" s="1108">
        <f t="shared" si="33"/>
        <v>-1</v>
      </c>
      <c r="N115" s="1108">
        <f t="shared" si="33"/>
        <v>-1</v>
      </c>
      <c r="O115" s="1108">
        <f t="shared" si="33"/>
        <v>-1</v>
      </c>
    </row>
  </sheetData>
  <mergeCells count="132">
    <mergeCell ref="B4:C4"/>
    <mergeCell ref="B7:C7"/>
    <mergeCell ref="B8:C8"/>
    <mergeCell ref="B11:C11"/>
    <mergeCell ref="B12:C12"/>
    <mergeCell ref="C112:D112"/>
    <mergeCell ref="C113:D113"/>
    <mergeCell ref="C114:D114"/>
    <mergeCell ref="C115:D115"/>
    <mergeCell ref="B3:C3"/>
    <mergeCell ref="B112:B114"/>
    <mergeCell ref="C107:D107"/>
    <mergeCell ref="C108:D108"/>
    <mergeCell ref="C109:D109"/>
    <mergeCell ref="C110:D110"/>
    <mergeCell ref="C111:D111"/>
    <mergeCell ref="C102:D102"/>
    <mergeCell ref="C103:D103"/>
    <mergeCell ref="C104:D104"/>
    <mergeCell ref="C105:D105"/>
    <mergeCell ref="C106:D106"/>
    <mergeCell ref="C97:D97"/>
    <mergeCell ref="C98:D98"/>
    <mergeCell ref="C99:D99"/>
    <mergeCell ref="C100:D100"/>
    <mergeCell ref="C101:D101"/>
    <mergeCell ref="C92:D92"/>
    <mergeCell ref="C93:D93"/>
    <mergeCell ref="C94:D94"/>
    <mergeCell ref="C95:D95"/>
    <mergeCell ref="C96:D96"/>
    <mergeCell ref="C87:D87"/>
    <mergeCell ref="C88:D88"/>
    <mergeCell ref="C89:D89"/>
    <mergeCell ref="C90:D90"/>
    <mergeCell ref="C91:D91"/>
    <mergeCell ref="C81:D81"/>
    <mergeCell ref="C50:D50"/>
    <mergeCell ref="C84:D84"/>
    <mergeCell ref="C85:D85"/>
    <mergeCell ref="C86:D86"/>
    <mergeCell ref="C75:D75"/>
    <mergeCell ref="C76:D76"/>
    <mergeCell ref="C77:D77"/>
    <mergeCell ref="C60:D60"/>
    <mergeCell ref="C61:D61"/>
    <mergeCell ref="B78:B80"/>
    <mergeCell ref="C78:D78"/>
    <mergeCell ref="C79:D79"/>
    <mergeCell ref="C80:D80"/>
    <mergeCell ref="C68:D68"/>
    <mergeCell ref="C69:D69"/>
    <mergeCell ref="B70:B74"/>
    <mergeCell ref="C70:D70"/>
    <mergeCell ref="C71:D71"/>
    <mergeCell ref="C72:D72"/>
    <mergeCell ref="C73:D73"/>
    <mergeCell ref="C74:D74"/>
    <mergeCell ref="B68:B69"/>
    <mergeCell ref="B75:B77"/>
    <mergeCell ref="B62:B67"/>
    <mergeCell ref="C62:D62"/>
    <mergeCell ref="C63:D63"/>
    <mergeCell ref="C64:D64"/>
    <mergeCell ref="C65:D65"/>
    <mergeCell ref="C66:D66"/>
    <mergeCell ref="C67:D67"/>
    <mergeCell ref="C56:D56"/>
    <mergeCell ref="C57:D57"/>
    <mergeCell ref="B58:B59"/>
    <mergeCell ref="C58:D58"/>
    <mergeCell ref="C59:D59"/>
    <mergeCell ref="B56:B57"/>
    <mergeCell ref="B60:B61"/>
    <mergeCell ref="C47:D47"/>
    <mergeCell ref="B51:B52"/>
    <mergeCell ref="C51:D51"/>
    <mergeCell ref="C52:D52"/>
    <mergeCell ref="B53:B55"/>
    <mergeCell ref="C53:D53"/>
    <mergeCell ref="C54:D54"/>
    <mergeCell ref="C55:D55"/>
    <mergeCell ref="C41:D41"/>
    <mergeCell ref="C42:D42"/>
    <mergeCell ref="C43:D43"/>
    <mergeCell ref="B44:B46"/>
    <mergeCell ref="C44:D44"/>
    <mergeCell ref="C45:D45"/>
    <mergeCell ref="C46:D46"/>
    <mergeCell ref="B41:B43"/>
    <mergeCell ref="C34:D34"/>
    <mergeCell ref="C35:D35"/>
    <mergeCell ref="B36:B40"/>
    <mergeCell ref="C36:D36"/>
    <mergeCell ref="C37:D37"/>
    <mergeCell ref="C38:D38"/>
    <mergeCell ref="C39:D39"/>
    <mergeCell ref="C40:D40"/>
    <mergeCell ref="C26:D26"/>
    <mergeCell ref="C27:D27"/>
    <mergeCell ref="B28:B33"/>
    <mergeCell ref="C28:D28"/>
    <mergeCell ref="C29:D29"/>
    <mergeCell ref="C30:D30"/>
    <mergeCell ref="C31:D31"/>
    <mergeCell ref="C32:D32"/>
    <mergeCell ref="C33:D33"/>
    <mergeCell ref="B26:B27"/>
    <mergeCell ref="B34:B35"/>
    <mergeCell ref="C22:D22"/>
    <mergeCell ref="C23:D23"/>
    <mergeCell ref="B24:B25"/>
    <mergeCell ref="C24:D24"/>
    <mergeCell ref="C25:D25"/>
    <mergeCell ref="C16:D16"/>
    <mergeCell ref="B17:B18"/>
    <mergeCell ref="C17:D17"/>
    <mergeCell ref="C18:D18"/>
    <mergeCell ref="B19:B21"/>
    <mergeCell ref="C19:D19"/>
    <mergeCell ref="C20:D20"/>
    <mergeCell ref="C21:D21"/>
    <mergeCell ref="B22:B23"/>
    <mergeCell ref="B85:B86"/>
    <mergeCell ref="B87:B89"/>
    <mergeCell ref="B90:B91"/>
    <mergeCell ref="B92:B93"/>
    <mergeCell ref="B94:B95"/>
    <mergeCell ref="B96:B101"/>
    <mergeCell ref="B102:B103"/>
    <mergeCell ref="B104:B108"/>
    <mergeCell ref="B109:B1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Generalidades</vt:lpstr>
      <vt:lpstr>Area de Estudio</vt:lpstr>
      <vt:lpstr>TC% CONS PERCAP</vt:lpstr>
      <vt:lpstr>HOR-EVA</vt:lpstr>
      <vt:lpstr>DEMANDA</vt:lpstr>
      <vt:lpstr>OFERTA</vt:lpstr>
      <vt:lpstr>Dem_Ofe</vt:lpstr>
      <vt:lpstr>BENEFICIARIOS</vt:lpstr>
      <vt:lpstr>BRECHA</vt:lpstr>
      <vt:lpstr>ANA TECNICO</vt:lpstr>
      <vt:lpstr>PPGG</vt:lpstr>
      <vt:lpstr>COSTOS1</vt:lpstr>
      <vt:lpstr>GG</vt:lpstr>
      <vt:lpstr>GSUPERVISION</vt:lpstr>
      <vt:lpstr>GGESTION</vt:lpstr>
      <vt:lpstr>GLIQUIDACION</vt:lpstr>
      <vt:lpstr>GEXPTEC</vt:lpstr>
      <vt:lpstr>O &amp; M</vt:lpstr>
      <vt:lpstr>Flujo de Costos Privados</vt:lpstr>
      <vt:lpstr>Evaluacion social</vt:lpstr>
      <vt:lpstr>EVALUACIÓN SOCIAL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SOFTCONSIS</dc:creator>
  <cp:lastModifiedBy>JOSEPH SALAS</cp:lastModifiedBy>
  <dcterms:created xsi:type="dcterms:W3CDTF">2019-10-04T21:07:21Z</dcterms:created>
  <dcterms:modified xsi:type="dcterms:W3CDTF">2020-07-09T14:52:15Z</dcterms:modified>
</cp:coreProperties>
</file>