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7.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trlProps/ctrlProp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harts/chartEx6.xml" ContentType="application/vnd.ms-office.chartex+xml"/>
  <Override PartName="/xl/charts/style6.xml" ContentType="application/vnd.ms-office.chartstyle+xml"/>
  <Override PartName="/xl/charts/colors6.xml" ContentType="application/vnd.ms-office.chartcolorstyle+xml"/>
  <Override PartName="/xl/charts/chartEx7.xml" ContentType="application/vnd.ms-office.chartex+xml"/>
  <Override PartName="/xl/charts/style7.xml" ContentType="application/vnd.ms-office.chartstyle+xml"/>
  <Override PartName="/xl/charts/colors7.xml" ContentType="application/vnd.ms-office.chartcolorstyle+xml"/>
  <Override PartName="/xl/charts/chartEx8.xml" ContentType="application/vnd.ms-office.chartex+xml"/>
  <Override PartName="/xl/charts/style8.xml" ContentType="application/vnd.ms-office.chartstyle+xml"/>
  <Override PartName="/xl/charts/colors8.xml" ContentType="application/vnd.ms-office.chartcolorstyle+xml"/>
  <Override PartName="/xl/charts/chartEx9.xml" ContentType="application/vnd.ms-office.chartex+xml"/>
  <Override PartName="/xl/charts/style9.xml" ContentType="application/vnd.ms-office.chartstyle+xml"/>
  <Override PartName="/xl/charts/colors9.xml" ContentType="application/vnd.ms-office.chartcolorstyle+xml"/>
  <Override PartName="/xl/charts/chartEx10.xml" ContentType="application/vnd.ms-office.chartex+xml"/>
  <Override PartName="/xl/charts/style10.xml" ContentType="application/vnd.ms-office.chartstyle+xml"/>
  <Override PartName="/xl/charts/colors10.xml" ContentType="application/vnd.ms-office.chartcolorstyle+xml"/>
  <Override PartName="/xl/charts/chartEx11.xml" ContentType="application/vnd.ms-office.chartex+xml"/>
  <Override PartName="/xl/charts/style11.xml" ContentType="application/vnd.ms-office.chartstyle+xml"/>
  <Override PartName="/xl/charts/colors11.xml" ContentType="application/vnd.ms-office.chartcolorstyle+xml"/>
  <Override PartName="/xl/drawings/drawing10.xml" ContentType="application/vnd.openxmlformats-officedocument.drawing+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Ex12.xml" ContentType="application/vnd.ms-office.chartex+xml"/>
  <Override PartName="/xl/charts/style12.xml" ContentType="application/vnd.ms-office.chartstyle+xml"/>
  <Override PartName="/xl/charts/colors12.xml" ContentType="application/vnd.ms-office.chartcolorstyle+xml"/>
  <Override PartName="/xl/charts/chartEx13.xml" ContentType="application/vnd.ms-office.chartex+xml"/>
  <Override PartName="/xl/charts/style13.xml" ContentType="application/vnd.ms-office.chartstyle+xml"/>
  <Override PartName="/xl/charts/colors13.xml" ContentType="application/vnd.ms-office.chartcolorstyle+xml"/>
  <Override PartName="/xl/charts/chartEx14.xml" ContentType="application/vnd.ms-office.chartex+xml"/>
  <Override PartName="/xl/charts/style14.xml" ContentType="application/vnd.ms-office.chartstyle+xml"/>
  <Override PartName="/xl/charts/colors14.xml" ContentType="application/vnd.ms-office.chartcolorstyle+xml"/>
  <Override PartName="/xl/charts/chartEx15.xml" ContentType="application/vnd.ms-office.chartex+xml"/>
  <Override PartName="/xl/charts/style15.xml" ContentType="application/vnd.ms-office.chartstyle+xml"/>
  <Override PartName="/xl/charts/colors15.xml" ContentType="application/vnd.ms-office.chartcolorstyle+xml"/>
  <Override PartName="/xl/charts/chart1.xml" ContentType="application/vnd.openxmlformats-officedocument.drawingml.chart+xml"/>
  <Override PartName="/xl/charts/style16.xml" ContentType="application/vnd.ms-office.chartstyle+xml"/>
  <Override PartName="/xl/charts/colors16.xml" ContentType="application/vnd.ms-office.chartcolorstyle+xml"/>
  <Override PartName="/xl/charts/chart2.xml" ContentType="application/vnd.openxmlformats-officedocument.drawingml.chart+xml"/>
  <Override PartName="/xl/charts/style17.xml" ContentType="application/vnd.ms-office.chartstyle+xml"/>
  <Override PartName="/xl/charts/colors17.xml" ContentType="application/vnd.ms-office.chartcolorstyle+xml"/>
  <Override PartName="/xl/charts/chartEx16.xml" ContentType="application/vnd.ms-office.chartex+xml"/>
  <Override PartName="/xl/charts/style18.xml" ContentType="application/vnd.ms-office.chartstyle+xml"/>
  <Override PartName="/xl/charts/colors18.xml" ContentType="application/vnd.ms-office.chartcolorstyle+xml"/>
  <Override PartName="/xl/charts/chartEx17.xml" ContentType="application/vnd.ms-office.chartex+xml"/>
  <Override PartName="/xl/charts/style19.xml" ContentType="application/vnd.ms-office.chartstyle+xml"/>
  <Override PartName="/xl/charts/colors19.xml" ContentType="application/vnd.ms-office.chartcolorstyle+xml"/>
  <Override PartName="/xl/charts/chartEx18.xml" ContentType="application/vnd.ms-office.chartex+xml"/>
  <Override PartName="/xl/charts/style20.xml" ContentType="application/vnd.ms-office.chartstyle+xml"/>
  <Override PartName="/xl/charts/colors20.xml" ContentType="application/vnd.ms-office.chartcolorstyle+xml"/>
  <Override PartName="/xl/charts/chartEx19.xml" ContentType="application/vnd.ms-office.chartex+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charts/chart3.xml" ContentType="application/vnd.openxmlformats-officedocument.drawingml.chart+xml"/>
  <Override PartName="/xl/charts/style22.xml" ContentType="application/vnd.ms-office.chartstyle+xml"/>
  <Override PartName="/xl/charts/colors22.xml" ContentType="application/vnd.ms-office.chartcolorstyle+xml"/>
  <Override PartName="/xl/charts/chartEx20.xml" ContentType="application/vnd.ms-office.chartex+xml"/>
  <Override PartName="/xl/charts/style23.xml" ContentType="application/vnd.ms-office.chartstyle+xml"/>
  <Override PartName="/xl/charts/colors23.xml" ContentType="application/vnd.ms-office.chartcolorstyle+xml"/>
  <Override PartName="/xl/charts/chartEx21.xml" ContentType="application/vnd.ms-office.chartex+xml"/>
  <Override PartName="/xl/charts/style24.xml" ContentType="application/vnd.ms-office.chartstyle+xml"/>
  <Override PartName="/xl/charts/colors24.xml" ContentType="application/vnd.ms-office.chartcolorstyle+xml"/>
  <Override PartName="/xl/charts/chart4.xml" ContentType="application/vnd.openxmlformats-officedocument.drawingml.chart+xml"/>
  <Override PartName="/xl/charts/style25.xml" ContentType="application/vnd.ms-office.chartstyle+xml"/>
  <Override PartName="/xl/charts/colors25.xml" ContentType="application/vnd.ms-office.chartcolorstyle+xml"/>
  <Override PartName="/xl/charts/chartEx22.xml" ContentType="application/vnd.ms-office.chartex+xml"/>
  <Override PartName="/xl/charts/style26.xml" ContentType="application/vnd.ms-office.chartstyle+xml"/>
  <Override PartName="/xl/charts/colors26.xml" ContentType="application/vnd.ms-office.chartcolorstyle+xml"/>
  <Override PartName="/xl/charts/chartEx23.xml" ContentType="application/vnd.ms-office.chartex+xml"/>
  <Override PartName="/xl/charts/style27.xml" ContentType="application/vnd.ms-office.chartstyle+xml"/>
  <Override PartName="/xl/charts/colors27.xml" ContentType="application/vnd.ms-office.chartcolorstyle+xml"/>
  <Override PartName="/xl/charts/chart5.xml" ContentType="application/vnd.openxmlformats-officedocument.drawingml.chart+xml"/>
  <Override PartName="/xl/charts/style28.xml" ContentType="application/vnd.ms-office.chartstyle+xml"/>
  <Override PartName="/xl/charts/colors28.xml" ContentType="application/vnd.ms-office.chartcolorstyle+xml"/>
  <Override PartName="/xl/charts/chart6.xml" ContentType="application/vnd.openxmlformats-officedocument.drawingml.chart+xml"/>
  <Override PartName="/xl/charts/style29.xml" ContentType="application/vnd.ms-office.chartstyle+xml"/>
  <Override PartName="/xl/charts/colors29.xml" ContentType="application/vnd.ms-office.chartcolorstyle+xml"/>
  <Override PartName="/xl/charts/chart7.xml" ContentType="application/vnd.openxmlformats-officedocument.drawingml.chart+xml"/>
  <Override PartName="/xl/charts/style30.xml" ContentType="application/vnd.ms-office.chartstyle+xml"/>
  <Override PartName="/xl/charts/colors30.xml" ContentType="application/vnd.ms-office.chartcolorsty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hidePivotFieldList="1" defaultThemeVersion="166925"/>
  <mc:AlternateContent xmlns:mc="http://schemas.openxmlformats.org/markup-compatibility/2006">
    <mc:Choice Requires="x15">
      <x15ac:absPath xmlns:x15ac="http://schemas.microsoft.com/office/spreadsheetml/2010/11/ac" url="C:\Users\7rp\ORNL Dropbox\Chris Price\AM Tools\Submitted to RCR\"/>
    </mc:Choice>
  </mc:AlternateContent>
  <xr:revisionPtr revIDLastSave="0" documentId="13_ncr:1_{9117CB7D-253B-4A9A-BA28-622ADE06E899}" xr6:coauthVersionLast="47" xr6:coauthVersionMax="47" xr10:uidLastSave="{00000000-0000-0000-0000-000000000000}"/>
  <bookViews>
    <workbookView xWindow="-120" yWindow="-120" windowWidth="29040" windowHeight="15840" xr2:uid="{EB027605-FE50-4EF3-AEEA-D345F3E41E47}"/>
  </bookViews>
  <sheets>
    <sheet name="Disclaimer" sheetId="30" r:id="rId1"/>
    <sheet name="Overview" sheetId="20" r:id="rId2"/>
    <sheet name="Scenarios" sheetId="22" r:id="rId3"/>
    <sheet name="1. TEA Variables" sheetId="35" r:id="rId4"/>
    <sheet name="2. Geometry" sheetId="12" r:id="rId5"/>
    <sheet name="3. Material" sheetId="2" r:id="rId6"/>
    <sheet name="4. Printing" sheetId="36" r:id="rId7"/>
    <sheet name="5. Post Processing" sheetId="37" r:id="rId8"/>
    <sheet name="6. Machining" sheetId="38" r:id="rId9"/>
    <sheet name="7. Results" sheetId="14" r:id="rId10"/>
    <sheet name="8. Comparison" sheetId="19" r:id="rId11"/>
    <sheet name="PRNT Backend" sheetId="23" r:id="rId12"/>
    <sheet name="PP Backend" sheetId="24" r:id="rId13"/>
    <sheet name="MCN Backend" sheetId="25" r:id="rId14"/>
    <sheet name="TEA Backend" sheetId="29" r:id="rId15"/>
    <sheet name="Printers" sheetId="28" state="hidden" r:id="rId16"/>
    <sheet name="Materials" sheetId="27" state="hidden" r:id="rId17"/>
    <sheet name="Saved Scenarios" sheetId="17" r:id="rId18"/>
  </sheets>
  <definedNames>
    <definedName name="_xlnm._FilterDatabase" localSheetId="15" hidden="1">Printers!$K$10:$U$60</definedName>
    <definedName name="_xlchart.v1.0" hidden="1">'PRNT Backend'!$E$152:$E$159</definedName>
    <definedName name="_xlchart.v1.1" hidden="1">'PRNT Backend'!$G$152:$G$159</definedName>
    <definedName name="_xlchart.v1.10" hidden="1">'MCN Backend'!$E$96:$E$97</definedName>
    <definedName name="_xlchart.v1.11" hidden="1">'MCN Backend'!$G$96:$G$97</definedName>
    <definedName name="_xlchart.v1.12" hidden="1">'MCN Backend'!$E$96:$E$97</definedName>
    <definedName name="_xlchart.v1.13" hidden="1">'MCN Backend'!$G$96:$G$97</definedName>
    <definedName name="_xlchart.v1.14" hidden="1">'MCN Backend'!$E$101:$E$107</definedName>
    <definedName name="_xlchart.v1.15" hidden="1">'MCN Backend'!$G$101:$G$107</definedName>
    <definedName name="_xlchart.v1.16" hidden="1">'MCN Backend'!$E$101:$E$107</definedName>
    <definedName name="_xlchart.v1.17" hidden="1">'MCN Backend'!$G$101:$G$107</definedName>
    <definedName name="_xlchart.v1.18" hidden="1">'MCN Backend'!$E$96:$E$97</definedName>
    <definedName name="_xlchart.v1.19" hidden="1">'MCN Backend'!$G$96:$G$97</definedName>
    <definedName name="_xlchart.v1.2" hidden="1">'PRNT Backend'!$E$146:$E$148</definedName>
    <definedName name="_xlchart.v1.20" hidden="1">'MCN Backend'!$E$101:$E$107</definedName>
    <definedName name="_xlchart.v1.21" hidden="1">'MCN Backend'!$G$101:$G$107</definedName>
    <definedName name="_xlchart.v1.22" hidden="1">'TEA Backend'!$P$8:$P$10</definedName>
    <definedName name="_xlchart.v1.23" hidden="1">'TEA Backend'!$R$8:$R$10</definedName>
    <definedName name="_xlchart.v1.24" hidden="1">'TEA Backend'!$L$8:$L$11</definedName>
    <definedName name="_xlchart.v1.25" hidden="1">'TEA Backend'!$N$8:$N$11</definedName>
    <definedName name="_xlchart.v1.26" hidden="1">'TEA Backend'!$L$15:$L$22</definedName>
    <definedName name="_xlchart.v1.27" hidden="1">'TEA Backend'!$N$15:$N$22</definedName>
    <definedName name="_xlchart.v1.28" hidden="1">'TEA Backend'!$L$26:$L$33</definedName>
    <definedName name="_xlchart.v1.29" hidden="1">'TEA Backend'!$N$26:$N$33</definedName>
    <definedName name="_xlchart.v1.3" hidden="1">'PRNT Backend'!$G$146:$G$148</definedName>
    <definedName name="_xlchart.v1.30" hidden="1">'TEA Backend'!$P$37:$P$38</definedName>
    <definedName name="_xlchart.v1.31" hidden="1">'TEA Backend'!$R$37:$R$38</definedName>
    <definedName name="_xlchart.v1.32" hidden="1">'TEA Backend'!$L$37:$L$44</definedName>
    <definedName name="_xlchart.v1.33" hidden="1">'TEA Backend'!$N$37:$N$44</definedName>
    <definedName name="_xlchart.v1.34" hidden="1">'TEA Backend'!$P$26:$P$29</definedName>
    <definedName name="_xlchart.v1.35" hidden="1">'TEA Backend'!$R$26:$R$29</definedName>
    <definedName name="_xlchart.v1.36" hidden="1">'TEA Backend'!$P$15:$P$17</definedName>
    <definedName name="_xlchart.v1.37" hidden="1">'TEA Backend'!$R$15:$R$17</definedName>
    <definedName name="_xlchart.v1.38" hidden="1">'Saved Scenarios'!$P$14:$P$16</definedName>
    <definedName name="_xlchart.v1.39" hidden="1">'Saved Scenarios'!$R$14:$R$16</definedName>
    <definedName name="_xlchart.v1.4" hidden="1">'PP Backend'!$E$93:$E$98</definedName>
    <definedName name="_xlchart.v1.40" hidden="1">'Saved Scenarios'!$T$8:$T$11</definedName>
    <definedName name="_xlchart.v1.41" hidden="1">'Saved Scenarios'!$V$8:$V$11</definedName>
    <definedName name="_xlchart.v1.42" hidden="1">'Saved Scenarios'!$P$8:$P$11</definedName>
    <definedName name="_xlchart.v1.43" hidden="1">'Saved Scenarios'!$R$8:$R$11</definedName>
    <definedName name="_xlchart.v1.44" hidden="1">'Saved Scenarios'!$T$14:$T$16</definedName>
    <definedName name="_xlchart.v1.45" hidden="1">'Saved Scenarios'!$V$14:$V$16</definedName>
    <definedName name="_xlchart.v1.5" hidden="1">'PP Backend'!$G$93:$G$98</definedName>
    <definedName name="_xlchart.v1.6" hidden="1">'PP Backend'!$E$86:$E$89</definedName>
    <definedName name="_xlchart.v1.7" hidden="1">'PP Backend'!$G$86:$G$89</definedName>
    <definedName name="_xlchart.v1.8" hidden="1">'PP Backend'!$E$86:$E$89</definedName>
    <definedName name="_xlchart.v1.9" hidden="1">'PP Backend'!$G$86:$G$89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2" i="23" l="1"/>
  <c r="F5" i="23" l="1"/>
  <c r="G12" i="23"/>
  <c r="B28" i="22"/>
  <c r="B27" i="22"/>
  <c r="B26" i="22"/>
  <c r="B25" i="22"/>
  <c r="B24" i="22"/>
  <c r="B23" i="22"/>
  <c r="B22" i="22"/>
  <c r="B21" i="22"/>
  <c r="B20" i="22"/>
  <c r="B19" i="22"/>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O183" i="17"/>
  <c r="O184" i="17"/>
  <c r="O185" i="17"/>
  <c r="O186" i="17"/>
  <c r="O187" i="17"/>
  <c r="O188" i="17"/>
  <c r="O189" i="17"/>
  <c r="O190" i="17"/>
  <c r="O191" i="17"/>
  <c r="O192" i="17"/>
  <c r="O193" i="17"/>
  <c r="O194" i="17"/>
  <c r="O195" i="17"/>
  <c r="O196" i="17"/>
  <c r="O197" i="17"/>
  <c r="O198" i="17"/>
  <c r="O199" i="17"/>
  <c r="O200" i="17"/>
  <c r="O201" i="17"/>
  <c r="O202" i="17"/>
  <c r="O203" i="17"/>
  <c r="O204" i="17"/>
  <c r="O205" i="17"/>
  <c r="O206" i="17"/>
  <c r="O207" i="17"/>
  <c r="O208" i="17"/>
  <c r="O209" i="17"/>
  <c r="O210" i="17"/>
  <c r="O211" i="17"/>
  <c r="O212" i="17"/>
  <c r="O213" i="17"/>
  <c r="O214" i="17"/>
  <c r="O215" i="17"/>
  <c r="O216" i="17"/>
  <c r="O217" i="17"/>
  <c r="O218" i="17"/>
  <c r="O219" i="17"/>
  <c r="O220" i="17"/>
  <c r="O221" i="17"/>
  <c r="O222" i="17"/>
  <c r="O223" i="17"/>
  <c r="O224" i="17"/>
  <c r="O225" i="17"/>
  <c r="O226" i="17"/>
  <c r="O2" i="17"/>
  <c r="M22" i="36" l="1"/>
  <c r="M21" i="36"/>
  <c r="M20" i="36"/>
  <c r="M19" i="36"/>
  <c r="M18" i="36"/>
  <c r="M17" i="36"/>
  <c r="L22" i="36"/>
  <c r="L21" i="36"/>
  <c r="L20" i="36"/>
  <c r="L19" i="36"/>
  <c r="L18" i="36"/>
  <c r="L17" i="36"/>
  <c r="M16" i="36"/>
  <c r="L16" i="36"/>
  <c r="U2" i="17"/>
  <c r="Q2" i="17"/>
  <c r="D17" i="36" l="1"/>
  <c r="D22" i="36"/>
  <c r="D20" i="36"/>
  <c r="D16" i="36"/>
  <c r="D18" i="36"/>
  <c r="D21" i="36"/>
  <c r="D19" i="36"/>
  <c r="Q19" i="17"/>
  <c r="R19" i="17"/>
  <c r="C2" i="17" l="1"/>
  <c r="C28" i="22" l="1"/>
  <c r="C27" i="22"/>
  <c r="C26" i="22"/>
  <c r="C25" i="22"/>
  <c r="C24" i="22"/>
  <c r="C23" i="22"/>
  <c r="C22" i="22"/>
  <c r="C21" i="22"/>
  <c r="C20" i="22"/>
  <c r="C19" i="22"/>
  <c r="F5" i="25"/>
  <c r="F5" i="24"/>
  <c r="C7" i="22" l="1"/>
  <c r="C114" i="17" l="1"/>
  <c r="G23" i="25"/>
  <c r="F23" i="25" s="1"/>
  <c r="C6" i="17"/>
  <c r="G15" i="24"/>
  <c r="F15" i="24" s="1"/>
  <c r="G43" i="23"/>
  <c r="F43" i="23" s="1"/>
  <c r="C5" i="17"/>
  <c r="C4" i="17"/>
  <c r="N234" i="17" l="1"/>
  <c r="M234" i="17"/>
  <c r="L234" i="17"/>
  <c r="K234" i="17"/>
  <c r="J234" i="17"/>
  <c r="I234" i="17"/>
  <c r="H234" i="17"/>
  <c r="G234" i="17"/>
  <c r="F234" i="17"/>
  <c r="E234" i="17"/>
  <c r="D234" i="17"/>
  <c r="O234" i="17" s="1"/>
  <c r="N233" i="17"/>
  <c r="M233" i="17"/>
  <c r="L233" i="17"/>
  <c r="K233" i="17"/>
  <c r="J233" i="17"/>
  <c r="I233" i="17"/>
  <c r="H233" i="17"/>
  <c r="G233" i="17"/>
  <c r="F233" i="17"/>
  <c r="E233" i="17"/>
  <c r="D233" i="17"/>
  <c r="O233" i="17" s="1"/>
  <c r="N232" i="17"/>
  <c r="M232" i="17"/>
  <c r="L232" i="17"/>
  <c r="K232" i="17"/>
  <c r="J232" i="17"/>
  <c r="I232" i="17"/>
  <c r="H232" i="17"/>
  <c r="G232" i="17"/>
  <c r="F232" i="17"/>
  <c r="E232" i="17"/>
  <c r="D232" i="17"/>
  <c r="N231" i="17"/>
  <c r="M231" i="17"/>
  <c r="L231" i="17"/>
  <c r="K231" i="17"/>
  <c r="J231" i="17"/>
  <c r="I231" i="17"/>
  <c r="H231" i="17"/>
  <c r="G231" i="17"/>
  <c r="F231" i="17"/>
  <c r="E231" i="17"/>
  <c r="D231" i="17"/>
  <c r="N230" i="17"/>
  <c r="M230" i="17"/>
  <c r="L230" i="17"/>
  <c r="K230" i="17"/>
  <c r="J230" i="17"/>
  <c r="I230" i="17"/>
  <c r="H230" i="17"/>
  <c r="G230" i="17"/>
  <c r="F230" i="17"/>
  <c r="E230" i="17"/>
  <c r="D230" i="17"/>
  <c r="O230" i="17" s="1"/>
  <c r="N229" i="17"/>
  <c r="M229" i="17"/>
  <c r="L229" i="17"/>
  <c r="K229" i="17"/>
  <c r="J229" i="17"/>
  <c r="I229" i="17"/>
  <c r="H229" i="17"/>
  <c r="G229" i="17"/>
  <c r="F229" i="17"/>
  <c r="E229" i="17"/>
  <c r="D229" i="17"/>
  <c r="N228" i="17"/>
  <c r="M228" i="17"/>
  <c r="L228" i="17"/>
  <c r="K228" i="17"/>
  <c r="J228" i="17"/>
  <c r="I228" i="17"/>
  <c r="H228" i="17"/>
  <c r="G228" i="17"/>
  <c r="F228" i="17"/>
  <c r="E228" i="17"/>
  <c r="D228" i="17"/>
  <c r="N227" i="17"/>
  <c r="M227" i="17"/>
  <c r="L227" i="17"/>
  <c r="K227" i="17"/>
  <c r="J227" i="17"/>
  <c r="I227" i="17"/>
  <c r="H227" i="17"/>
  <c r="G227" i="17"/>
  <c r="F227" i="17"/>
  <c r="D227" i="17"/>
  <c r="O227" i="17" s="1"/>
  <c r="C149" i="17"/>
  <c r="C148" i="17"/>
  <c r="C147" i="17"/>
  <c r="C146" i="17"/>
  <c r="C145" i="17"/>
  <c r="C144" i="17"/>
  <c r="C143" i="17"/>
  <c r="C142" i="17"/>
  <c r="C141" i="17"/>
  <c r="C140" i="17"/>
  <c r="C139" i="17"/>
  <c r="C138" i="17"/>
  <c r="C137" i="17"/>
  <c r="C136" i="17"/>
  <c r="C133" i="17"/>
  <c r="C132" i="17"/>
  <c r="C131" i="17"/>
  <c r="C130" i="17"/>
  <c r="C129" i="17"/>
  <c r="C127" i="17"/>
  <c r="C126" i="17"/>
  <c r="C125" i="17"/>
  <c r="C124" i="17"/>
  <c r="C123" i="17"/>
  <c r="C122" i="17"/>
  <c r="C121" i="17"/>
  <c r="C120" i="17"/>
  <c r="C119" i="17"/>
  <c r="C118" i="17"/>
  <c r="C117" i="17"/>
  <c r="C115" i="17"/>
  <c r="C113" i="17"/>
  <c r="C111" i="17"/>
  <c r="C109" i="17"/>
  <c r="C108" i="17"/>
  <c r="C107" i="17"/>
  <c r="C106" i="17"/>
  <c r="C105" i="17"/>
  <c r="C104" i="17"/>
  <c r="C103" i="17"/>
  <c r="C102" i="17"/>
  <c r="C101" i="17"/>
  <c r="C100" i="17"/>
  <c r="C99" i="17"/>
  <c r="C98" i="17"/>
  <c r="C97" i="17"/>
  <c r="C96" i="17"/>
  <c r="C95" i="17"/>
  <c r="C93"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21" i="17"/>
  <c r="C20" i="17"/>
  <c r="C19" i="17"/>
  <c r="C18" i="17"/>
  <c r="C17" i="17"/>
  <c r="C16" i="17"/>
  <c r="C15" i="17"/>
  <c r="C14" i="17"/>
  <c r="C13" i="17"/>
  <c r="C12" i="17"/>
  <c r="C11" i="17"/>
  <c r="C10" i="17"/>
  <c r="C9" i="17"/>
  <c r="C8" i="17"/>
  <c r="C7" i="17"/>
  <c r="S32" i="27"/>
  <c r="S31" i="27"/>
  <c r="S30" i="27"/>
  <c r="S29" i="27"/>
  <c r="S28" i="27"/>
  <c r="S27" i="27"/>
  <c r="S26" i="27"/>
  <c r="S25" i="27"/>
  <c r="S24" i="27"/>
  <c r="S23" i="27"/>
  <c r="S22" i="27"/>
  <c r="S21" i="27"/>
  <c r="S20" i="27"/>
  <c r="S19" i="27"/>
  <c r="S18" i="27"/>
  <c r="S17" i="27"/>
  <c r="S16" i="27"/>
  <c r="S15" i="27"/>
  <c r="S14" i="27"/>
  <c r="S13" i="27"/>
  <c r="S12" i="27"/>
  <c r="S11" i="27"/>
  <c r="S10" i="27"/>
  <c r="S9" i="27"/>
  <c r="S8" i="27"/>
  <c r="S7" i="27"/>
  <c r="S6" i="27"/>
  <c r="S5" i="27"/>
  <c r="S4" i="27"/>
  <c r="S3" i="27"/>
  <c r="S2" i="27"/>
  <c r="G41" i="25"/>
  <c r="F41" i="25" s="1"/>
  <c r="G42" i="25" s="1"/>
  <c r="F42" i="25" s="1"/>
  <c r="G37" i="25"/>
  <c r="F37" i="25" s="1"/>
  <c r="G36" i="25"/>
  <c r="F36" i="25" s="1"/>
  <c r="G35" i="25"/>
  <c r="F35" i="25" s="1"/>
  <c r="G34" i="25"/>
  <c r="F34" i="25" s="1"/>
  <c r="G21" i="29" s="1"/>
  <c r="F21" i="29" s="1"/>
  <c r="G33" i="25"/>
  <c r="F33" i="25" s="1"/>
  <c r="G32" i="25"/>
  <c r="F32" i="25" s="1"/>
  <c r="G31" i="25"/>
  <c r="F31" i="25" s="1"/>
  <c r="G30" i="25"/>
  <c r="F30" i="25" s="1"/>
  <c r="G29" i="25"/>
  <c r="F29" i="25" s="1"/>
  <c r="G28" i="25"/>
  <c r="F28" i="25" s="1"/>
  <c r="G27" i="25"/>
  <c r="F27" i="25" s="1"/>
  <c r="G26" i="25"/>
  <c r="F26" i="25" s="1"/>
  <c r="G25" i="25"/>
  <c r="F25" i="25" s="1"/>
  <c r="G24" i="25"/>
  <c r="F24" i="25" s="1"/>
  <c r="G76" i="25" s="1"/>
  <c r="F76" i="25" s="1"/>
  <c r="G22" i="25"/>
  <c r="F22" i="25" s="1"/>
  <c r="G21" i="25"/>
  <c r="F21" i="25" s="1"/>
  <c r="G20" i="25"/>
  <c r="F20" i="25" s="1"/>
  <c r="G19" i="25"/>
  <c r="F19" i="25" s="1"/>
  <c r="G18" i="25"/>
  <c r="F18" i="25" s="1"/>
  <c r="G17" i="25"/>
  <c r="F17" i="25" s="1"/>
  <c r="F15" i="25"/>
  <c r="C159" i="17" s="1"/>
  <c r="G32" i="24"/>
  <c r="F32" i="24" s="1"/>
  <c r="G33" i="24" s="1"/>
  <c r="F33" i="24" s="1"/>
  <c r="G28" i="24"/>
  <c r="F28" i="24" s="1"/>
  <c r="G27" i="24"/>
  <c r="F27" i="24" s="1"/>
  <c r="G26" i="24"/>
  <c r="F26" i="24" s="1"/>
  <c r="G14" i="29" s="1"/>
  <c r="F14" i="29" s="1"/>
  <c r="G25" i="24"/>
  <c r="F25" i="24" s="1"/>
  <c r="G68" i="24" s="1"/>
  <c r="F68" i="24" s="1"/>
  <c r="G24" i="24"/>
  <c r="F24" i="24" s="1"/>
  <c r="G23" i="24"/>
  <c r="F23" i="24" s="1"/>
  <c r="G22" i="24"/>
  <c r="F22" i="24" s="1"/>
  <c r="G21" i="24"/>
  <c r="F21" i="24" s="1"/>
  <c r="G20" i="24"/>
  <c r="F20" i="24" s="1"/>
  <c r="G19" i="24"/>
  <c r="F19" i="24" s="1"/>
  <c r="G18" i="24"/>
  <c r="F18" i="24" s="1"/>
  <c r="G17" i="24"/>
  <c r="F17" i="24" s="1"/>
  <c r="G16" i="24"/>
  <c r="F16" i="24" s="1"/>
  <c r="G14" i="24"/>
  <c r="F14" i="24" s="1"/>
  <c r="G67" i="24" s="1"/>
  <c r="F67" i="24" s="1"/>
  <c r="G13" i="24"/>
  <c r="F13" i="24" s="1"/>
  <c r="G12" i="24"/>
  <c r="F12" i="24" s="1"/>
  <c r="F11" i="24"/>
  <c r="D14" i="14" s="1"/>
  <c r="G65" i="23"/>
  <c r="F65" i="23" s="1"/>
  <c r="G66" i="23" s="1"/>
  <c r="F66" i="23" s="1"/>
  <c r="G61" i="23"/>
  <c r="F61" i="23" s="1"/>
  <c r="G60" i="23"/>
  <c r="F60" i="23" s="1"/>
  <c r="G59" i="23"/>
  <c r="F59" i="23" s="1"/>
  <c r="G58" i="23"/>
  <c r="F58" i="23" s="1"/>
  <c r="G57" i="23"/>
  <c r="F57" i="23" s="1"/>
  <c r="G5" i="29" s="1"/>
  <c r="F5" i="29" s="1"/>
  <c r="G56" i="23"/>
  <c r="F56" i="23" s="1"/>
  <c r="G55" i="23"/>
  <c r="F55" i="23" s="1"/>
  <c r="G54" i="23"/>
  <c r="F54" i="23" s="1"/>
  <c r="G117" i="23" s="1"/>
  <c r="F117" i="23" s="1"/>
  <c r="G53" i="23"/>
  <c r="F53" i="23" s="1"/>
  <c r="G52" i="23"/>
  <c r="F52" i="23" s="1"/>
  <c r="G51" i="23"/>
  <c r="F51" i="23" s="1"/>
  <c r="G50" i="23"/>
  <c r="F50" i="23" s="1"/>
  <c r="G49" i="23"/>
  <c r="F49" i="23" s="1"/>
  <c r="G48" i="23"/>
  <c r="F48" i="23" s="1"/>
  <c r="G47" i="23"/>
  <c r="F47" i="23" s="1"/>
  <c r="G46" i="23"/>
  <c r="F46" i="23" s="1"/>
  <c r="G45" i="23"/>
  <c r="F45" i="23" s="1"/>
  <c r="F42" i="23"/>
  <c r="G41" i="23"/>
  <c r="F41" i="23" s="1"/>
  <c r="G40" i="23"/>
  <c r="F40" i="23" s="1"/>
  <c r="G39" i="23"/>
  <c r="F39" i="23" s="1"/>
  <c r="G38" i="23"/>
  <c r="F38" i="23" s="1"/>
  <c r="G37" i="23"/>
  <c r="F37" i="23" s="1"/>
  <c r="G36" i="23"/>
  <c r="F36" i="23" s="1"/>
  <c r="G35" i="23"/>
  <c r="F35" i="23" s="1"/>
  <c r="G34" i="23"/>
  <c r="F34" i="23" s="1"/>
  <c r="G33" i="23"/>
  <c r="F33" i="23" s="1"/>
  <c r="G32" i="23"/>
  <c r="F32" i="23" s="1"/>
  <c r="G27" i="23"/>
  <c r="F27" i="23" s="1"/>
  <c r="G26" i="23"/>
  <c r="F26" i="23" s="1"/>
  <c r="G25" i="23"/>
  <c r="F25" i="23" s="1"/>
  <c r="G24" i="23"/>
  <c r="F24" i="23" s="1"/>
  <c r="G23" i="23"/>
  <c r="F23" i="23" s="1"/>
  <c r="D10" i="14" s="1"/>
  <c r="G22" i="23"/>
  <c r="F22" i="23" s="1"/>
  <c r="G21" i="23"/>
  <c r="F21" i="23" s="1"/>
  <c r="G20" i="23"/>
  <c r="F20" i="23" s="1"/>
  <c r="G19" i="23"/>
  <c r="F19" i="23" s="1"/>
  <c r="G18" i="23"/>
  <c r="F18" i="23" s="1"/>
  <c r="G17" i="23"/>
  <c r="F17" i="23" s="1"/>
  <c r="F12" i="23"/>
  <c r="G11" i="23"/>
  <c r="F11" i="23" s="1"/>
  <c r="G10" i="23"/>
  <c r="F10" i="23" s="1"/>
  <c r="G9" i="23"/>
  <c r="F9" i="23" s="1"/>
  <c r="J12" i="14"/>
  <c r="D12" i="14"/>
  <c r="C13" i="37"/>
  <c r="G50" i="24" s="1"/>
  <c r="F50" i="24" s="1"/>
  <c r="G44" i="23"/>
  <c r="F44" i="23" s="1"/>
  <c r="B30" i="2"/>
  <c r="B29" i="2"/>
  <c r="F21" i="2"/>
  <c r="B21" i="2"/>
  <c r="F20" i="2"/>
  <c r="B20" i="2"/>
  <c r="H19" i="2"/>
  <c r="G19" i="2"/>
  <c r="H18" i="2"/>
  <c r="G18" i="2"/>
  <c r="B13" i="2"/>
  <c r="D28" i="12"/>
  <c r="B8" i="12" s="1"/>
  <c r="H21" i="2"/>
  <c r="G20" i="2"/>
  <c r="H20" i="2"/>
  <c r="G21" i="2"/>
  <c r="D19" i="2" l="1"/>
  <c r="G87" i="23"/>
  <c r="O228" i="17"/>
  <c r="O231" i="17"/>
  <c r="O229" i="17"/>
  <c r="O232" i="17"/>
  <c r="F101" i="23"/>
  <c r="D18" i="2"/>
  <c r="D15" i="14"/>
  <c r="G8" i="23"/>
  <c r="B88" i="23" s="1"/>
  <c r="B9" i="12"/>
  <c r="G38" i="25"/>
  <c r="F38" i="25" s="1"/>
  <c r="G22" i="29" s="1"/>
  <c r="F22" i="29" s="1"/>
  <c r="C128" i="17"/>
  <c r="G83" i="25"/>
  <c r="F83" i="25" s="1"/>
  <c r="F105" i="25" s="1"/>
  <c r="C161" i="17"/>
  <c r="F97" i="25"/>
  <c r="G151" i="29"/>
  <c r="F151" i="29" s="1"/>
  <c r="G53" i="25"/>
  <c r="F53" i="25" s="1"/>
  <c r="G49" i="25"/>
  <c r="F49" i="25" s="1"/>
  <c r="G45" i="25"/>
  <c r="F45" i="25" s="1"/>
  <c r="G54" i="25"/>
  <c r="F54" i="25" s="1"/>
  <c r="G56" i="25"/>
  <c r="F56" i="25" s="1"/>
  <c r="G52" i="25"/>
  <c r="F52" i="25" s="1"/>
  <c r="G48" i="25"/>
  <c r="F48" i="25" s="1"/>
  <c r="G44" i="25"/>
  <c r="F44" i="25" s="1"/>
  <c r="G50" i="25"/>
  <c r="F50" i="25" s="1"/>
  <c r="G46" i="25"/>
  <c r="F46" i="25" s="1"/>
  <c r="G55" i="25"/>
  <c r="F55" i="25" s="1"/>
  <c r="G51" i="25"/>
  <c r="F51" i="25" s="1"/>
  <c r="G47" i="25"/>
  <c r="F47" i="25" s="1"/>
  <c r="G43" i="25"/>
  <c r="F43" i="25" s="1"/>
  <c r="G20" i="29"/>
  <c r="F20" i="29" s="1"/>
  <c r="G45" i="24"/>
  <c r="F45" i="24" s="1"/>
  <c r="G41" i="24"/>
  <c r="F41" i="24" s="1"/>
  <c r="G37" i="24"/>
  <c r="F37" i="24" s="1"/>
  <c r="G42" i="24"/>
  <c r="F42" i="24" s="1"/>
  <c r="G44" i="24"/>
  <c r="F44" i="24" s="1"/>
  <c r="G40" i="24"/>
  <c r="F40" i="24" s="1"/>
  <c r="G36" i="24"/>
  <c r="F36" i="24" s="1"/>
  <c r="G43" i="24"/>
  <c r="F43" i="24" s="1"/>
  <c r="G35" i="24"/>
  <c r="F35" i="24" s="1"/>
  <c r="G38" i="24"/>
  <c r="F38" i="24" s="1"/>
  <c r="G47" i="24"/>
  <c r="F47" i="24" s="1"/>
  <c r="G39" i="24"/>
  <c r="F39" i="24" s="1"/>
  <c r="G46" i="24"/>
  <c r="F46" i="24" s="1"/>
  <c r="G34" i="24"/>
  <c r="F34" i="24" s="1"/>
  <c r="G147" i="29"/>
  <c r="F147" i="29" s="1"/>
  <c r="C157" i="17"/>
  <c r="F88" i="24"/>
  <c r="G53" i="24"/>
  <c r="F53" i="24" s="1"/>
  <c r="G65" i="24"/>
  <c r="F65" i="24" s="1"/>
  <c r="C158" i="17"/>
  <c r="F89" i="24"/>
  <c r="G148" i="29"/>
  <c r="F148" i="29" s="1"/>
  <c r="G29" i="24"/>
  <c r="F29" i="24" s="1"/>
  <c r="G15" i="29" s="1"/>
  <c r="F15" i="29" s="1"/>
  <c r="C12" i="36"/>
  <c r="G78" i="23"/>
  <c r="F78" i="23" s="1"/>
  <c r="G74" i="23"/>
  <c r="F74" i="23" s="1"/>
  <c r="G70" i="23"/>
  <c r="F70" i="23" s="1"/>
  <c r="G77" i="23"/>
  <c r="F77" i="23" s="1"/>
  <c r="G69" i="23"/>
  <c r="F69" i="23" s="1"/>
  <c r="G71" i="23"/>
  <c r="F71" i="23" s="1"/>
  <c r="G73" i="23"/>
  <c r="F73" i="23" s="1"/>
  <c r="G79" i="23"/>
  <c r="F79" i="23" s="1"/>
  <c r="G80" i="23"/>
  <c r="F80" i="23" s="1"/>
  <c r="G76" i="23"/>
  <c r="F76" i="23" s="1"/>
  <c r="G72" i="23"/>
  <c r="F72" i="23" s="1"/>
  <c r="G68" i="23"/>
  <c r="F68" i="23" s="1"/>
  <c r="G75" i="23"/>
  <c r="F75" i="23" s="1"/>
  <c r="G67" i="23"/>
  <c r="F67" i="23" s="1"/>
  <c r="G9" i="25"/>
  <c r="F9" i="25" s="1"/>
  <c r="D8" i="14"/>
  <c r="B27" i="23"/>
  <c r="D9" i="14"/>
  <c r="G28" i="23"/>
  <c r="G85" i="23"/>
  <c r="F85" i="23" s="1"/>
  <c r="G89" i="23" s="1"/>
  <c r="F89" i="23" s="1"/>
  <c r="B26" i="23"/>
  <c r="G29" i="23"/>
  <c r="G84" i="23"/>
  <c r="F84" i="23" s="1"/>
  <c r="G102" i="23"/>
  <c r="F102" i="23" s="1"/>
  <c r="G123" i="23"/>
  <c r="F123" i="23" s="1"/>
  <c r="G83" i="23"/>
  <c r="F83" i="23" s="1"/>
  <c r="G62" i="23"/>
  <c r="F62" i="23" s="1"/>
  <c r="G6" i="29" s="1"/>
  <c r="F6" i="29" s="1"/>
  <c r="F87" i="23"/>
  <c r="G132" i="23"/>
  <c r="F132" i="23" s="1"/>
  <c r="F157" i="23" s="1"/>
  <c r="G141" i="29"/>
  <c r="F141" i="29" s="1"/>
  <c r="C151" i="17"/>
  <c r="F146" i="23"/>
  <c r="D11" i="14"/>
  <c r="G119" i="23"/>
  <c r="F119" i="23" s="1"/>
  <c r="C121" i="23"/>
  <c r="C92" i="17"/>
  <c r="C154" i="17"/>
  <c r="I12" i="19" s="1" a="1"/>
  <c r="I12" i="19" s="1"/>
  <c r="G13" i="29"/>
  <c r="F13" i="29" s="1"/>
  <c r="C110" i="17"/>
  <c r="D9" i="19"/>
  <c r="I13" i="19" a="1"/>
  <c r="I13" i="19" s="1"/>
  <c r="I8" i="19"/>
  <c r="I9" i="19"/>
  <c r="D10" i="19"/>
  <c r="I10" i="19"/>
  <c r="D8" i="19"/>
  <c r="D13" i="19" a="1"/>
  <c r="D13" i="19" s="1"/>
  <c r="D20" i="2"/>
  <c r="D21" i="2"/>
  <c r="G12" i="25" l="1"/>
  <c r="F12" i="25" s="1"/>
  <c r="G94" i="23"/>
  <c r="F94" i="23" s="1"/>
  <c r="P3" i="29"/>
  <c r="F8" i="23"/>
  <c r="B87" i="23"/>
  <c r="Q38" i="29"/>
  <c r="G131" i="23"/>
  <c r="F131" i="23" s="1"/>
  <c r="F156" i="23" s="1"/>
  <c r="G82" i="25"/>
  <c r="F82" i="25" s="1"/>
  <c r="F104" i="25" s="1"/>
  <c r="G84" i="25"/>
  <c r="F84" i="25" s="1"/>
  <c r="G91" i="25" s="1"/>
  <c r="F91" i="25" s="1"/>
  <c r="G81" i="25"/>
  <c r="F81" i="25" s="1"/>
  <c r="F103" i="25" s="1"/>
  <c r="G90" i="25"/>
  <c r="F90" i="25" s="1"/>
  <c r="G75" i="24"/>
  <c r="F75" i="24" s="1"/>
  <c r="G81" i="24" s="1"/>
  <c r="F81" i="24" s="1"/>
  <c r="G73" i="24"/>
  <c r="F73" i="24" s="1"/>
  <c r="F95" i="24" s="1"/>
  <c r="G74" i="24"/>
  <c r="F74" i="24" s="1"/>
  <c r="F96" i="24" s="1"/>
  <c r="C155" i="17"/>
  <c r="G145" i="29"/>
  <c r="F145" i="29" s="1"/>
  <c r="Q26" i="29" s="1"/>
  <c r="F86" i="24"/>
  <c r="G133" i="23"/>
  <c r="F133" i="23" s="1"/>
  <c r="G141" i="23" s="1"/>
  <c r="F141" i="23" s="1"/>
  <c r="G140" i="23"/>
  <c r="F140" i="23" s="1"/>
  <c r="G86" i="23"/>
  <c r="F86" i="23" s="1"/>
  <c r="G130" i="23"/>
  <c r="F130" i="23" s="1"/>
  <c r="F155" i="23" s="1"/>
  <c r="F29" i="23"/>
  <c r="D34" i="2"/>
  <c r="D33" i="2"/>
  <c r="F28" i="23"/>
  <c r="C153" i="17"/>
  <c r="F148" i="23"/>
  <c r="G143" i="29"/>
  <c r="F143" i="29" s="1"/>
  <c r="Q17" i="29" s="1"/>
  <c r="Q15" i="29"/>
  <c r="G11" i="25"/>
  <c r="F11" i="25" s="1"/>
  <c r="D12" i="19" a="1"/>
  <c r="D12" i="19" s="1"/>
  <c r="Q28" i="29"/>
  <c r="G27" i="29"/>
  <c r="F27" i="29" s="1"/>
  <c r="Q29" i="29"/>
  <c r="G8" i="25" l="1"/>
  <c r="F8" i="25" s="1"/>
  <c r="C62" i="25" s="1"/>
  <c r="G13" i="23"/>
  <c r="F13" i="23" s="1"/>
  <c r="D14" i="12" s="1"/>
  <c r="R5" i="29"/>
  <c r="Q4" i="29"/>
  <c r="B9" i="23"/>
  <c r="C13" i="23"/>
  <c r="C64" i="17"/>
  <c r="I6" i="19" s="1"/>
  <c r="D6" i="14"/>
  <c r="G88" i="23"/>
  <c r="F88" i="23" s="1"/>
  <c r="G90" i="23" s="1"/>
  <c r="F90" i="23" s="1"/>
  <c r="C91" i="23"/>
  <c r="B10" i="23"/>
  <c r="C90" i="23"/>
  <c r="G139" i="23"/>
  <c r="F139" i="23" s="1"/>
  <c r="G89" i="25"/>
  <c r="F89" i="25" s="1"/>
  <c r="G138" i="23"/>
  <c r="F138" i="23" s="1"/>
  <c r="G79" i="24"/>
  <c r="F79" i="24" s="1"/>
  <c r="G88" i="25"/>
  <c r="F88" i="25" s="1"/>
  <c r="G80" i="24"/>
  <c r="F80" i="24" s="1"/>
  <c r="C162" i="17"/>
  <c r="G91" i="23" l="1"/>
  <c r="G16" i="25"/>
  <c r="F16" i="25" s="1"/>
  <c r="C13" i="38" s="1"/>
  <c r="C64" i="25"/>
  <c r="C63" i="25"/>
  <c r="G97" i="23"/>
  <c r="D6" i="19"/>
  <c r="G93" i="23"/>
  <c r="F93" i="23" s="1"/>
  <c r="G112" i="23" s="1"/>
  <c r="F112" i="23" s="1"/>
  <c r="I6" i="36" s="1"/>
  <c r="G14" i="23"/>
  <c r="F14" i="23" s="1"/>
  <c r="D15" i="12" s="1"/>
  <c r="G95" i="23"/>
  <c r="F95" i="23" s="1"/>
  <c r="G96" i="23" s="1"/>
  <c r="F96" i="23" s="1"/>
  <c r="G8" i="24"/>
  <c r="F8" i="24" s="1"/>
  <c r="I14" i="19"/>
  <c r="D14" i="19"/>
  <c r="G99" i="23" l="1"/>
  <c r="F99" i="23" s="1"/>
  <c r="G121" i="23"/>
  <c r="F121" i="23" s="1"/>
  <c r="G122" i="23" s="1"/>
  <c r="F122" i="23" s="1"/>
  <c r="G51" i="24"/>
  <c r="F51" i="24" s="1"/>
  <c r="G57" i="24" s="1"/>
  <c r="F57" i="24" s="1"/>
  <c r="I8" i="37" s="1"/>
  <c r="D7" i="14"/>
  <c r="C150" i="17"/>
  <c r="I7" i="19" s="1"/>
  <c r="G10" i="25"/>
  <c r="F10" i="25" s="1"/>
  <c r="G92" i="23"/>
  <c r="F92" i="23" s="1"/>
  <c r="G98" i="23" s="1"/>
  <c r="F98" i="23" s="1"/>
  <c r="G100" i="23" s="1"/>
  <c r="F100" i="23" s="1"/>
  <c r="G10" i="29"/>
  <c r="F10" i="29" s="1"/>
  <c r="G113" i="23"/>
  <c r="F113" i="23" s="1"/>
  <c r="I7" i="36" s="1"/>
  <c r="G101" i="23"/>
  <c r="G59" i="25" l="1"/>
  <c r="F59" i="25" s="1"/>
  <c r="I10" i="36"/>
  <c r="G103" i="23"/>
  <c r="F103" i="23" s="1"/>
  <c r="G105" i="23" s="1"/>
  <c r="F105" i="23" s="1"/>
  <c r="D7" i="19"/>
  <c r="G52" i="24"/>
  <c r="F52" i="24" s="1"/>
  <c r="G55" i="24" s="1"/>
  <c r="F55" i="24" s="1"/>
  <c r="G66" i="24"/>
  <c r="F66" i="24" s="1"/>
  <c r="G146" i="29" s="1"/>
  <c r="F146" i="29" s="1"/>
  <c r="G149" i="29" s="1"/>
  <c r="F149" i="29" s="1"/>
  <c r="Q9" i="29" s="1"/>
  <c r="G9" i="29"/>
  <c r="F9" i="29" s="1"/>
  <c r="G59" i="24"/>
  <c r="F59" i="24" s="1"/>
  <c r="G60" i="25" l="1"/>
  <c r="F60" i="25" s="1"/>
  <c r="G61" i="25" s="1"/>
  <c r="F61" i="25" s="1"/>
  <c r="G62" i="25" s="1"/>
  <c r="F62" i="25" s="1"/>
  <c r="G63" i="25" s="1"/>
  <c r="F63" i="25" s="1"/>
  <c r="G64" i="25" s="1"/>
  <c r="F64" i="25" s="1"/>
  <c r="G65" i="25" s="1"/>
  <c r="F65" i="25" s="1"/>
  <c r="G104" i="23"/>
  <c r="F104" i="23" s="1"/>
  <c r="I9" i="36" s="1"/>
  <c r="F87" i="24"/>
  <c r="F90" i="24" s="1"/>
  <c r="G88" i="24" s="1"/>
  <c r="Q27" i="29"/>
  <c r="Q30" i="29" s="1"/>
  <c r="R27" i="29" s="1"/>
  <c r="C156" i="17"/>
  <c r="C233" i="17" s="1"/>
  <c r="U15" i="17" s="1"/>
  <c r="G54" i="24"/>
  <c r="F54" i="24" s="1"/>
  <c r="G58" i="24" s="1"/>
  <c r="F58" i="24" s="1"/>
  <c r="G70" i="24" s="1"/>
  <c r="F70" i="24" s="1"/>
  <c r="G76" i="24" s="1"/>
  <c r="F76" i="24" s="1"/>
  <c r="Q15" i="17"/>
  <c r="I63" i="14"/>
  <c r="J47" i="14"/>
  <c r="G67" i="25" l="1"/>
  <c r="F67" i="25" s="1"/>
  <c r="G66" i="25"/>
  <c r="F66" i="25" s="1"/>
  <c r="I7" i="38" s="1"/>
  <c r="G69" i="25"/>
  <c r="F69" i="25" s="1"/>
  <c r="I8" i="38" s="1"/>
  <c r="G75" i="25"/>
  <c r="F75" i="25" s="1"/>
  <c r="F96" i="25" s="1"/>
  <c r="F98" i="25" s="1"/>
  <c r="G97" i="25" s="1"/>
  <c r="G106" i="23"/>
  <c r="F106" i="23" s="1"/>
  <c r="G129" i="23"/>
  <c r="F129" i="23" s="1"/>
  <c r="G137" i="23" s="1"/>
  <c r="F137" i="23" s="1"/>
  <c r="G118" i="23"/>
  <c r="F118" i="23" s="1"/>
  <c r="C152" i="17" s="1"/>
  <c r="C232" i="17" s="1"/>
  <c r="Q14" i="17" s="1"/>
  <c r="G107" i="23"/>
  <c r="F107" i="23" s="1"/>
  <c r="G108" i="23" s="1"/>
  <c r="F108" i="23" s="1"/>
  <c r="G126" i="23" s="1"/>
  <c r="F93" i="24"/>
  <c r="G56" i="24"/>
  <c r="F56" i="24" s="1"/>
  <c r="G72" i="24" s="1"/>
  <c r="F72" i="24" s="1"/>
  <c r="G78" i="24" s="1"/>
  <c r="F78" i="24" s="1"/>
  <c r="G71" i="24"/>
  <c r="F71" i="24" s="1"/>
  <c r="G77" i="24" s="1"/>
  <c r="F77" i="24" s="1"/>
  <c r="I7" i="37"/>
  <c r="G60" i="24"/>
  <c r="F60" i="24" s="1"/>
  <c r="G61" i="24" s="1"/>
  <c r="F61" i="24" s="1"/>
  <c r="G89" i="24"/>
  <c r="G86" i="24"/>
  <c r="G87" i="24"/>
  <c r="R28" i="29"/>
  <c r="R26" i="29"/>
  <c r="R29" i="29"/>
  <c r="G70" i="25" l="1"/>
  <c r="F70" i="25" s="1"/>
  <c r="G78" i="25" s="1"/>
  <c r="F78" i="25" s="1"/>
  <c r="F101" i="25" s="1"/>
  <c r="G68" i="25"/>
  <c r="F68" i="25" s="1"/>
  <c r="G80" i="25" s="1"/>
  <c r="F80" i="25" s="1"/>
  <c r="F106" i="25" s="1"/>
  <c r="G150" i="29"/>
  <c r="F150" i="29" s="1"/>
  <c r="G152" i="29" s="1"/>
  <c r="F152" i="29" s="1"/>
  <c r="Q10" i="29" s="1"/>
  <c r="K47" i="14" s="1"/>
  <c r="G96" i="25"/>
  <c r="G98" i="25" s="1"/>
  <c r="C160" i="17"/>
  <c r="C234" i="17" s="1"/>
  <c r="U16" i="17" s="1"/>
  <c r="G114" i="23"/>
  <c r="F114" i="23" s="1"/>
  <c r="F147" i="23"/>
  <c r="F149" i="23" s="1"/>
  <c r="G147" i="23" s="1"/>
  <c r="G142" i="29"/>
  <c r="F142" i="29" s="1"/>
  <c r="G144" i="29" s="1"/>
  <c r="F144" i="29" s="1"/>
  <c r="Q8" i="29" s="1"/>
  <c r="I56" i="14" s="1"/>
  <c r="U14" i="17"/>
  <c r="G127" i="23"/>
  <c r="F127" i="23" s="1"/>
  <c r="F153" i="23" s="1"/>
  <c r="F158" i="23"/>
  <c r="F97" i="24"/>
  <c r="G82" i="24"/>
  <c r="F82" i="24" s="1"/>
  <c r="G83" i="24" s="1"/>
  <c r="F83" i="24" s="1"/>
  <c r="F94" i="24"/>
  <c r="G16" i="29"/>
  <c r="F16" i="29" s="1"/>
  <c r="G90" i="24"/>
  <c r="G124" i="23"/>
  <c r="F124" i="23" s="1"/>
  <c r="G125" i="23"/>
  <c r="F125" i="23" s="1"/>
  <c r="F126" i="23"/>
  <c r="G109" i="23"/>
  <c r="G7" i="29"/>
  <c r="F7" i="29" s="1"/>
  <c r="I6" i="37"/>
  <c r="G17" i="29"/>
  <c r="F17" i="29" s="1"/>
  <c r="R30" i="29"/>
  <c r="L4" i="29" l="1"/>
  <c r="N4" i="29" s="1"/>
  <c r="O4" i="29" s="1"/>
  <c r="N55" i="29"/>
  <c r="Q16" i="29"/>
  <c r="Q18" i="29" s="1"/>
  <c r="R17" i="29" s="1"/>
  <c r="G71" i="25"/>
  <c r="F71" i="25" s="1"/>
  <c r="G24" i="29" s="1"/>
  <c r="F24" i="29" s="1"/>
  <c r="G87" i="25"/>
  <c r="F87" i="25" s="1"/>
  <c r="G79" i="25"/>
  <c r="F79" i="25" s="1"/>
  <c r="G86" i="25" s="1"/>
  <c r="F86" i="25" s="1"/>
  <c r="G23" i="29"/>
  <c r="F23" i="29" s="1"/>
  <c r="Q16" i="17"/>
  <c r="Q17" i="17" s="1"/>
  <c r="R14" i="17" s="1"/>
  <c r="G85" i="25"/>
  <c r="F85" i="25" s="1"/>
  <c r="Q11" i="29"/>
  <c r="R10" i="29" s="1"/>
  <c r="I70" i="14"/>
  <c r="Q37" i="29"/>
  <c r="Q39" i="29" s="1"/>
  <c r="R38" i="29" s="1"/>
  <c r="G146" i="23"/>
  <c r="G148" i="23"/>
  <c r="U17" i="17"/>
  <c r="V15" i="17" s="1"/>
  <c r="I47" i="14"/>
  <c r="I49" i="14" s="1"/>
  <c r="G135" i="23"/>
  <c r="F135" i="23" s="1"/>
  <c r="F98" i="24"/>
  <c r="F99" i="24" s="1"/>
  <c r="G98" i="24" s="1"/>
  <c r="G128" i="23"/>
  <c r="F128" i="23" s="1"/>
  <c r="I11" i="36"/>
  <c r="G134" i="23"/>
  <c r="F134" i="23" s="1"/>
  <c r="F152" i="23"/>
  <c r="F109" i="23"/>
  <c r="G8" i="29" s="1"/>
  <c r="F8" i="29" s="1"/>
  <c r="N54" i="29" s="1"/>
  <c r="G115" i="23"/>
  <c r="F115" i="23" s="1"/>
  <c r="I8" i="36" s="1"/>
  <c r="M4" i="29" l="1"/>
  <c r="P4" i="29" s="1"/>
  <c r="L5" i="29"/>
  <c r="O5" i="29" s="1"/>
  <c r="N5" i="29" s="1"/>
  <c r="Q5" i="29" s="1"/>
  <c r="N56" i="29"/>
  <c r="P56" i="29" s="1"/>
  <c r="R56" i="29" s="1"/>
  <c r="R16" i="29"/>
  <c r="R15" i="29"/>
  <c r="R9" i="29"/>
  <c r="R8" i="29"/>
  <c r="R4" i="29"/>
  <c r="I6" i="38"/>
  <c r="G92" i="25"/>
  <c r="F92" i="25" s="1"/>
  <c r="F107" i="25" s="1"/>
  <c r="F102" i="25"/>
  <c r="Q22" i="17"/>
  <c r="D30" i="19"/>
  <c r="R16" i="17"/>
  <c r="R15" i="17"/>
  <c r="R37" i="29"/>
  <c r="R39" i="29" s="1"/>
  <c r="I30" i="19"/>
  <c r="V14" i="17"/>
  <c r="G149" i="23"/>
  <c r="R22" i="17"/>
  <c r="V16" i="17"/>
  <c r="G28" i="29"/>
  <c r="F28" i="29" s="1"/>
  <c r="L3" i="29"/>
  <c r="M3" i="29" s="1"/>
  <c r="N3" i="29" s="1"/>
  <c r="F154" i="23"/>
  <c r="G136" i="23"/>
  <c r="F136" i="23" s="1"/>
  <c r="G142" i="23" s="1"/>
  <c r="F142" i="23" s="1"/>
  <c r="F159" i="23" s="1"/>
  <c r="G96" i="24"/>
  <c r="G95" i="24"/>
  <c r="G97" i="24"/>
  <c r="G93" i="24"/>
  <c r="G94" i="24"/>
  <c r="M5" i="29" l="1"/>
  <c r="P5" i="29" s="1"/>
  <c r="P54" i="29"/>
  <c r="R54" i="29" s="1"/>
  <c r="P55" i="29"/>
  <c r="R55" i="29" s="1"/>
  <c r="R18" i="29"/>
  <c r="R11" i="29"/>
  <c r="G93" i="25"/>
  <c r="F93" i="25" s="1"/>
  <c r="F108" i="25"/>
  <c r="G107" i="25" s="1"/>
  <c r="R17" i="17"/>
  <c r="V17" i="17"/>
  <c r="G29" i="29"/>
  <c r="F29" i="29" s="1"/>
  <c r="Q3" i="29"/>
  <c r="O3" i="29"/>
  <c r="R3" i="29" s="1"/>
  <c r="C163" i="17"/>
  <c r="F160" i="23"/>
  <c r="G159" i="23" s="1"/>
  <c r="G143" i="23"/>
  <c r="F143" i="23" s="1"/>
  <c r="G99" i="24"/>
  <c r="G30" i="29" l="1"/>
  <c r="F30" i="29" s="1"/>
  <c r="G103" i="25"/>
  <c r="G101" i="25"/>
  <c r="G105" i="25"/>
  <c r="G104" i="25"/>
  <c r="G102" i="25"/>
  <c r="G106" i="25"/>
  <c r="G33" i="29"/>
  <c r="F33" i="29" s="1"/>
  <c r="C168" i="17" s="1"/>
  <c r="D16" i="14"/>
  <c r="G32" i="29"/>
  <c r="F32" i="29" s="1"/>
  <c r="M56" i="29" s="1"/>
  <c r="O56" i="29" s="1"/>
  <c r="Q56" i="29" s="1"/>
  <c r="C164" i="17"/>
  <c r="G34" i="29"/>
  <c r="F34" i="29" s="1"/>
  <c r="G42" i="29" s="1"/>
  <c r="G31" i="29"/>
  <c r="F31" i="29" s="1"/>
  <c r="M55" i="29" s="1"/>
  <c r="O55" i="29" s="1"/>
  <c r="Q55" i="29" s="1"/>
  <c r="G35" i="29"/>
  <c r="F35" i="29" s="1"/>
  <c r="G43" i="29" s="1"/>
  <c r="G156" i="23"/>
  <c r="G153" i="23"/>
  <c r="G155" i="23"/>
  <c r="G158" i="23"/>
  <c r="G152" i="23"/>
  <c r="G157" i="23"/>
  <c r="G154" i="23"/>
  <c r="G36" i="29" l="1"/>
  <c r="F36" i="29" s="1"/>
  <c r="C171" i="17" s="1"/>
  <c r="M54" i="29"/>
  <c r="O54" i="29" s="1"/>
  <c r="Q54" i="29" s="1"/>
  <c r="G108" i="25"/>
  <c r="G41" i="29"/>
  <c r="F41" i="29" s="1"/>
  <c r="G66" i="29"/>
  <c r="F66" i="29" s="1"/>
  <c r="G87" i="29" s="1"/>
  <c r="F87" i="29" s="1"/>
  <c r="C167" i="17"/>
  <c r="G50" i="29"/>
  <c r="F50" i="29" s="1"/>
  <c r="C183" i="17" s="1"/>
  <c r="C170" i="17"/>
  <c r="C165" i="17"/>
  <c r="G40" i="29"/>
  <c r="F40" i="29" s="1"/>
  <c r="G39" i="29"/>
  <c r="F39" i="29" s="1"/>
  <c r="C174" i="17" s="1"/>
  <c r="C169" i="17"/>
  <c r="C166" i="17"/>
  <c r="G160" i="23"/>
  <c r="G63" i="29"/>
  <c r="F63" i="29" s="1"/>
  <c r="F42" i="29"/>
  <c r="G65" i="29"/>
  <c r="F65" i="29" s="1"/>
  <c r="G64" i="29"/>
  <c r="F64" i="29" s="1"/>
  <c r="G62" i="29"/>
  <c r="F62" i="29" s="1"/>
  <c r="G68" i="29"/>
  <c r="F68" i="29" s="1"/>
  <c r="G72" i="29"/>
  <c r="F72" i="29" s="1"/>
  <c r="G69" i="29"/>
  <c r="F69" i="29" s="1"/>
  <c r="G71" i="29"/>
  <c r="F71" i="29" s="1"/>
  <c r="F43" i="29"/>
  <c r="G70" i="29"/>
  <c r="F70" i="29" s="1"/>
  <c r="G37" i="29" l="1"/>
  <c r="F37" i="29" s="1"/>
  <c r="C172" i="17" s="1"/>
  <c r="G38" i="29"/>
  <c r="F38" i="29" s="1"/>
  <c r="C173" i="17" s="1"/>
  <c r="G56" i="29"/>
  <c r="F56" i="29" s="1"/>
  <c r="G77" i="29" s="1"/>
  <c r="F77" i="29" s="1"/>
  <c r="G58" i="29"/>
  <c r="F58" i="29" s="1"/>
  <c r="G103" i="29" s="1"/>
  <c r="F103" i="29" s="1"/>
  <c r="M20" i="29" s="1"/>
  <c r="I12" i="14" s="1"/>
  <c r="G59" i="29"/>
  <c r="F59" i="29" s="1"/>
  <c r="G104" i="29" s="1"/>
  <c r="F104" i="29" s="1"/>
  <c r="M22" i="29" s="1"/>
  <c r="I14" i="14" s="1"/>
  <c r="G55" i="29"/>
  <c r="F55" i="29" s="1"/>
  <c r="G100" i="29" s="1"/>
  <c r="F100" i="29" s="1"/>
  <c r="M17" i="29" s="1"/>
  <c r="I9" i="14" s="1"/>
  <c r="G57" i="29"/>
  <c r="F57" i="29" s="1"/>
  <c r="G102" i="29" s="1"/>
  <c r="F102" i="29" s="1"/>
  <c r="M19" i="29" s="1"/>
  <c r="I11" i="14" s="1"/>
  <c r="C199" i="17"/>
  <c r="G111" i="29"/>
  <c r="F111" i="29" s="1"/>
  <c r="M37" i="29" s="1"/>
  <c r="G67" i="29"/>
  <c r="F67" i="29" s="1"/>
  <c r="G88" i="29" s="1"/>
  <c r="F88" i="29" s="1"/>
  <c r="C175" i="17"/>
  <c r="I15" i="19" s="1"/>
  <c r="D17" i="14"/>
  <c r="G60" i="29"/>
  <c r="F60" i="29" s="1"/>
  <c r="G81" i="29" s="1"/>
  <c r="F81" i="29" s="1"/>
  <c r="G49" i="29"/>
  <c r="F49" i="29" s="1"/>
  <c r="G61" i="29" s="1"/>
  <c r="F61" i="29" s="1"/>
  <c r="G109" i="29"/>
  <c r="F109" i="29" s="1"/>
  <c r="M30" i="29" s="1"/>
  <c r="G85" i="29"/>
  <c r="F85" i="29" s="1"/>
  <c r="C197" i="17"/>
  <c r="G115" i="29"/>
  <c r="F115" i="29" s="1"/>
  <c r="M41" i="29" s="1"/>
  <c r="G91" i="29"/>
  <c r="F91" i="29" s="1"/>
  <c r="C203" i="17"/>
  <c r="C204" i="17"/>
  <c r="G92" i="29"/>
  <c r="F92" i="29" s="1"/>
  <c r="G116" i="29"/>
  <c r="F116" i="29" s="1"/>
  <c r="M42" i="29" s="1"/>
  <c r="G86" i="29"/>
  <c r="F86" i="29" s="1"/>
  <c r="G110" i="29"/>
  <c r="F110" i="29" s="1"/>
  <c r="M33" i="29" s="1"/>
  <c r="C198" i="17"/>
  <c r="G132" i="29"/>
  <c r="F132" i="29" s="1"/>
  <c r="C220" i="17"/>
  <c r="C177" i="17"/>
  <c r="M49" i="29"/>
  <c r="N49" i="29" s="1"/>
  <c r="C178" i="17"/>
  <c r="M50" i="29"/>
  <c r="N50" i="29" s="1"/>
  <c r="G93" i="29"/>
  <c r="F93" i="29" s="1"/>
  <c r="C205" i="17"/>
  <c r="G117" i="29"/>
  <c r="F117" i="29" s="1"/>
  <c r="M44" i="29" s="1"/>
  <c r="G84" i="29"/>
  <c r="F84" i="29" s="1"/>
  <c r="C196" i="17"/>
  <c r="G108" i="29"/>
  <c r="F108" i="29" s="1"/>
  <c r="M29" i="29" s="1"/>
  <c r="C195" i="17"/>
  <c r="G107" i="29"/>
  <c r="F107" i="29" s="1"/>
  <c r="M28" i="29" s="1"/>
  <c r="G83" i="29"/>
  <c r="F83" i="29" s="1"/>
  <c r="C201" i="17"/>
  <c r="G89" i="29"/>
  <c r="F89" i="29" s="1"/>
  <c r="G113" i="29"/>
  <c r="F113" i="29" s="1"/>
  <c r="M39" i="29" s="1"/>
  <c r="M48" i="29"/>
  <c r="N48" i="29" s="1"/>
  <c r="C176" i="17"/>
  <c r="C202" i="17"/>
  <c r="G114" i="29"/>
  <c r="F114" i="29" s="1"/>
  <c r="M40" i="29" s="1"/>
  <c r="G90" i="29"/>
  <c r="F90" i="29" s="1"/>
  <c r="G53" i="29" l="1"/>
  <c r="F53" i="29" s="1"/>
  <c r="G74" i="29" s="1"/>
  <c r="F74" i="29" s="1"/>
  <c r="G47" i="29"/>
  <c r="F47" i="29" s="1"/>
  <c r="C180" i="17" s="1"/>
  <c r="G52" i="29"/>
  <c r="F52" i="29" s="1"/>
  <c r="G46" i="29"/>
  <c r="C192" i="17"/>
  <c r="G80" i="29"/>
  <c r="F80" i="29" s="1"/>
  <c r="C213" i="17" s="1"/>
  <c r="C188" i="17"/>
  <c r="G76" i="29"/>
  <c r="F76" i="29" s="1"/>
  <c r="G121" i="29" s="1"/>
  <c r="F121" i="29" s="1"/>
  <c r="G101" i="29"/>
  <c r="F101" i="29" s="1"/>
  <c r="M18" i="29" s="1"/>
  <c r="I10" i="14" s="1"/>
  <c r="C189" i="17"/>
  <c r="G78" i="29"/>
  <c r="F78" i="29" s="1"/>
  <c r="C211" i="17" s="1"/>
  <c r="C190" i="17"/>
  <c r="G79" i="29"/>
  <c r="F79" i="29" s="1"/>
  <c r="G124" i="29" s="1"/>
  <c r="F124" i="29" s="1"/>
  <c r="C191" i="17"/>
  <c r="C200" i="17"/>
  <c r="G112" i="29"/>
  <c r="F112" i="29" s="1"/>
  <c r="M38" i="29" s="1"/>
  <c r="K8" i="14" s="1"/>
  <c r="U5" i="17"/>
  <c r="V5" i="17" s="1"/>
  <c r="Q5" i="17"/>
  <c r="R5" i="17" s="1"/>
  <c r="Q20" i="17"/>
  <c r="R20" i="17"/>
  <c r="D15" i="19"/>
  <c r="U4" i="17"/>
  <c r="V4" i="17" s="1"/>
  <c r="Q4" i="17"/>
  <c r="R4" i="17" s="1"/>
  <c r="U6" i="17"/>
  <c r="V6" i="17" s="1"/>
  <c r="Q6" i="17"/>
  <c r="R6" i="17" s="1"/>
  <c r="C193" i="17"/>
  <c r="G105" i="29"/>
  <c r="F105" i="29" s="1"/>
  <c r="M26" i="29" s="1"/>
  <c r="J7" i="14" s="1"/>
  <c r="C182" i="17"/>
  <c r="K9" i="14"/>
  <c r="G136" i="29"/>
  <c r="F136" i="29" s="1"/>
  <c r="C224" i="17"/>
  <c r="G134" i="29"/>
  <c r="F134" i="29" s="1"/>
  <c r="C222" i="17"/>
  <c r="C217" i="17"/>
  <c r="G129" i="29"/>
  <c r="F129" i="29" s="1"/>
  <c r="K12" i="14"/>
  <c r="C226" i="17"/>
  <c r="G138" i="29"/>
  <c r="F138" i="29" s="1"/>
  <c r="K11" i="14"/>
  <c r="G126" i="29"/>
  <c r="F126" i="29" s="1"/>
  <c r="C214" i="17"/>
  <c r="C216" i="17"/>
  <c r="G128" i="29"/>
  <c r="F128" i="29" s="1"/>
  <c r="J14" i="14"/>
  <c r="G137" i="29"/>
  <c r="F137" i="29" s="1"/>
  <c r="C225" i="17"/>
  <c r="G130" i="29"/>
  <c r="F130" i="29" s="1"/>
  <c r="C218" i="17"/>
  <c r="G122" i="29"/>
  <c r="F122" i="29" s="1"/>
  <c r="C210" i="17"/>
  <c r="J10" i="14"/>
  <c r="C221" i="17"/>
  <c r="G133" i="29"/>
  <c r="F133" i="29" s="1"/>
  <c r="K7" i="14"/>
  <c r="G82" i="29"/>
  <c r="F82" i="29" s="1"/>
  <c r="G106" i="29"/>
  <c r="F106" i="29" s="1"/>
  <c r="M27" i="29" s="1"/>
  <c r="C194" i="17"/>
  <c r="G135" i="29"/>
  <c r="F135" i="29" s="1"/>
  <c r="C223" i="17"/>
  <c r="J9" i="14"/>
  <c r="K14" i="14"/>
  <c r="J11" i="14"/>
  <c r="G131" i="29"/>
  <c r="F131" i="29" s="1"/>
  <c r="C219" i="17"/>
  <c r="K10" i="14"/>
  <c r="C186" i="17" l="1"/>
  <c r="G98" i="29"/>
  <c r="F98" i="29" s="1"/>
  <c r="M15" i="29" s="1"/>
  <c r="G48" i="29"/>
  <c r="G51" i="29" s="1"/>
  <c r="F51" i="29" s="1"/>
  <c r="C184" i="17" s="1"/>
  <c r="F46" i="29"/>
  <c r="G54" i="29" s="1"/>
  <c r="G125" i="29"/>
  <c r="F125" i="29" s="1"/>
  <c r="G123" i="29"/>
  <c r="F123" i="29" s="1"/>
  <c r="C209" i="17"/>
  <c r="C212" i="17"/>
  <c r="M43" i="29"/>
  <c r="K13" i="14" s="1"/>
  <c r="K15" i="14" s="1"/>
  <c r="I38" i="14" s="1"/>
  <c r="M11" i="29"/>
  <c r="C230" i="17"/>
  <c r="C215" i="17"/>
  <c r="C229" i="17" s="1"/>
  <c r="G127" i="29"/>
  <c r="F127" i="29" s="1"/>
  <c r="M10" i="29" s="1"/>
  <c r="C185" i="17"/>
  <c r="G73" i="29"/>
  <c r="F73" i="29" s="1"/>
  <c r="G97" i="29"/>
  <c r="F97" i="29" s="1"/>
  <c r="G119" i="29"/>
  <c r="F119" i="29" s="1"/>
  <c r="C207" i="17"/>
  <c r="J8" i="14"/>
  <c r="F48" i="29" l="1"/>
  <c r="D13" i="14" s="1"/>
  <c r="C179" i="17"/>
  <c r="Q10" i="17"/>
  <c r="U10" i="17"/>
  <c r="U11" i="17"/>
  <c r="Q11" i="17"/>
  <c r="M45" i="29"/>
  <c r="N38" i="29" s="1"/>
  <c r="D11" i="19"/>
  <c r="I11" i="19"/>
  <c r="M32" i="29"/>
  <c r="I7" i="14"/>
  <c r="F54" i="29"/>
  <c r="G118" i="29"/>
  <c r="F118" i="29" s="1"/>
  <c r="M8" i="29" s="1"/>
  <c r="C206" i="17"/>
  <c r="C227" i="17" s="1"/>
  <c r="C181" i="17" l="1"/>
  <c r="U8" i="17"/>
  <c r="Q8" i="17"/>
  <c r="N42" i="29"/>
  <c r="N39" i="29"/>
  <c r="N40" i="29"/>
  <c r="N43" i="29"/>
  <c r="N37" i="29"/>
  <c r="N41" i="29"/>
  <c r="N44" i="29"/>
  <c r="C187" i="17"/>
  <c r="G99" i="29"/>
  <c r="F99" i="29" s="1"/>
  <c r="G75" i="29"/>
  <c r="I6" i="14"/>
  <c r="M34" i="29"/>
  <c r="N32" i="29" s="1"/>
  <c r="J13" i="14"/>
  <c r="J15" i="14" s="1"/>
  <c r="I31" i="14" s="1"/>
  <c r="N45" i="29" l="1"/>
  <c r="F75" i="29"/>
  <c r="G94" i="29"/>
  <c r="F94" i="29" s="1"/>
  <c r="M16" i="29"/>
  <c r="N31" i="29"/>
  <c r="N33" i="29"/>
  <c r="N28" i="29"/>
  <c r="N26" i="29"/>
  <c r="N30" i="29"/>
  <c r="N29" i="29"/>
  <c r="N27" i="29"/>
  <c r="I8" i="14" l="1"/>
  <c r="N34" i="29"/>
  <c r="C208" i="17"/>
  <c r="G120" i="29"/>
  <c r="F120" i="29" s="1"/>
  <c r="M21" i="29" l="1"/>
  <c r="M9" i="29"/>
  <c r="C231" i="17"/>
  <c r="C228" i="17"/>
  <c r="Q9" i="17" l="1"/>
  <c r="U9" i="17"/>
  <c r="M12" i="29"/>
  <c r="I13" i="14"/>
  <c r="M23" i="29"/>
  <c r="U12" i="17" l="1"/>
  <c r="Q12" i="17"/>
  <c r="R9" i="17" s="1"/>
  <c r="I24" i="14"/>
  <c r="I15" i="14"/>
  <c r="N12" i="29"/>
  <c r="D18" i="14"/>
  <c r="I17" i="14" s="1"/>
  <c r="N11" i="29"/>
  <c r="N10" i="29"/>
  <c r="N8" i="29"/>
  <c r="N22" i="29"/>
  <c r="N17" i="29"/>
  <c r="N19" i="29"/>
  <c r="N18" i="29"/>
  <c r="N20" i="29"/>
  <c r="N15" i="29"/>
  <c r="N16" i="29"/>
  <c r="N21" i="29"/>
  <c r="N9" i="29"/>
  <c r="D23" i="19" l="1"/>
  <c r="R11" i="17"/>
  <c r="R10" i="17"/>
  <c r="Q21" i="17"/>
  <c r="R8" i="17"/>
  <c r="V8" i="17"/>
  <c r="R21" i="17"/>
  <c r="V11" i="17"/>
  <c r="V10" i="17"/>
  <c r="V9" i="17"/>
  <c r="N23" i="29"/>
  <c r="I23" i="19"/>
  <c r="R12" i="17" l="1"/>
  <c r="V12" i="1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<sst xmlns="http://schemas.openxmlformats.org/spreadsheetml/2006/main" count="3317" uniqueCount="1655">
  <si>
    <t>Fabrication Geometry:</t>
  </si>
  <si>
    <t>mm</t>
  </si>
  <si>
    <t>Unit</t>
  </si>
  <si>
    <t>Height (H)</t>
  </si>
  <si>
    <t>Part Volume (Vprt)</t>
  </si>
  <si>
    <t>Value</t>
  </si>
  <si>
    <t>Input</t>
  </si>
  <si>
    <t>Output</t>
  </si>
  <si>
    <t>%</t>
  </si>
  <si>
    <r>
      <t>Envelope Volume (V</t>
    </r>
    <r>
      <rPr>
        <vertAlign val="subscript"/>
        <sz val="11"/>
        <color theme="1"/>
        <rFont val="Calibri"/>
        <family val="2"/>
        <scheme val="minor"/>
      </rPr>
      <t>EN</t>
    </r>
    <r>
      <rPr>
        <sz val="11"/>
        <color theme="1"/>
        <rFont val="Calibri"/>
        <family val="2"/>
        <scheme val="minor"/>
      </rPr>
      <t>)</t>
    </r>
  </si>
  <si>
    <t>Specific Material</t>
  </si>
  <si>
    <t>Metal</t>
  </si>
  <si>
    <t>Min</t>
  </si>
  <si>
    <t>Max</t>
  </si>
  <si>
    <t>Manufacturer</t>
  </si>
  <si>
    <t>AM ASTM Process</t>
  </si>
  <si>
    <t>Powder Bed Fusion</t>
  </si>
  <si>
    <t>Material Selection</t>
  </si>
  <si>
    <t>AM Material</t>
  </si>
  <si>
    <t>Energy Cost</t>
  </si>
  <si>
    <t>$/kWh</t>
  </si>
  <si>
    <t>Interest Rate</t>
  </si>
  <si>
    <t>Material Category</t>
  </si>
  <si>
    <t>Stainless Steel 316L</t>
  </si>
  <si>
    <t>Capital Cost</t>
  </si>
  <si>
    <t>Labor Cost</t>
  </si>
  <si>
    <t>Time per Unit Volume</t>
  </si>
  <si>
    <t>Idle Time</t>
  </si>
  <si>
    <t>Energy per Part</t>
  </si>
  <si>
    <t>Post Processing Type:</t>
  </si>
  <si>
    <t>Finishing</t>
  </si>
  <si>
    <t>Spindle Speed</t>
  </si>
  <si>
    <t>Feed Rate</t>
  </si>
  <si>
    <t>Equipment Life</t>
  </si>
  <si>
    <t>Depth of Cut</t>
  </si>
  <si>
    <t>Material Removal Rate</t>
  </si>
  <si>
    <t>Volume of Material Removed</t>
  </si>
  <si>
    <t>Comparison</t>
  </si>
  <si>
    <t>Post Processing Inputs</t>
  </si>
  <si>
    <t>Saved Scenarios</t>
  </si>
  <si>
    <t>Name of Current Scenario:</t>
  </si>
  <si>
    <t>Date</t>
  </si>
  <si>
    <t>---</t>
  </si>
  <si>
    <t>Scenario Selection</t>
  </si>
  <si>
    <t>General AM Process</t>
  </si>
  <si>
    <t>Inialization Data</t>
  </si>
  <si>
    <t>Units/Formulas</t>
  </si>
  <si>
    <t>Notation</t>
  </si>
  <si>
    <t>Override</t>
  </si>
  <si>
    <t>Notes:</t>
  </si>
  <si>
    <t>Envelope Volume</t>
  </si>
  <si>
    <t>Buildplate Size (x)</t>
  </si>
  <si>
    <t>Buildplate Size (y)</t>
  </si>
  <si>
    <t>Deposition Rate</t>
  </si>
  <si>
    <t>Layer Height</t>
  </si>
  <si>
    <t>Percent Change Geometry</t>
  </si>
  <si>
    <t>Assumed Yield (Deposition)</t>
  </si>
  <si>
    <t>Boundary from Edge</t>
  </si>
  <si>
    <t>Boundary from Parts</t>
  </si>
  <si>
    <t>Calculations</t>
  </si>
  <si>
    <t># of parts per row</t>
  </si>
  <si>
    <t># of parts per column</t>
  </si>
  <si>
    <t>Total # of Parts</t>
  </si>
  <si>
    <t>Total Number of Layers</t>
  </si>
  <si>
    <t>(hr)</t>
  </si>
  <si>
    <t>Cylinder</t>
  </si>
  <si>
    <t>Cuboid</t>
  </si>
  <si>
    <t>Post Processing</t>
  </si>
  <si>
    <t>Energy Per Part</t>
  </si>
  <si>
    <t>Shape Selection</t>
  </si>
  <si>
    <t>Envelope Utilization</t>
  </si>
  <si>
    <t>Formula</t>
  </si>
  <si>
    <t>Maraging Steel 18Ni300</t>
  </si>
  <si>
    <t>Stainless Steel 17-4PH</t>
  </si>
  <si>
    <t>H188</t>
  </si>
  <si>
    <t>Au</t>
  </si>
  <si>
    <t>Resin</t>
  </si>
  <si>
    <t>ABS</t>
  </si>
  <si>
    <t>PETG</t>
  </si>
  <si>
    <t>PLA</t>
  </si>
  <si>
    <t>PEEK</t>
  </si>
  <si>
    <t>TPE</t>
  </si>
  <si>
    <t>ASA</t>
  </si>
  <si>
    <t>PETG - CF</t>
  </si>
  <si>
    <t>PC - ASA</t>
  </si>
  <si>
    <t>PETG - ESD</t>
  </si>
  <si>
    <t>PEKK - ESD</t>
  </si>
  <si>
    <t>Ultem - ESD</t>
  </si>
  <si>
    <t>PA11 Nylon</t>
  </si>
  <si>
    <t>AISI Steel 4140</t>
  </si>
  <si>
    <t>Stainless Steel 420</t>
  </si>
  <si>
    <t>Stainless Steel 430L</t>
  </si>
  <si>
    <t>MM509</t>
  </si>
  <si>
    <t>INC622</t>
  </si>
  <si>
    <t>INC625</t>
  </si>
  <si>
    <t>A694</t>
  </si>
  <si>
    <t>INC713</t>
  </si>
  <si>
    <t>INC718</t>
  </si>
  <si>
    <t>INC214</t>
  </si>
  <si>
    <t>Pt950</t>
  </si>
  <si>
    <t>Stainless Steel A205</t>
  </si>
  <si>
    <t>Tool Steel A2</t>
  </si>
  <si>
    <t>Al7050</t>
  </si>
  <si>
    <t>ABS - CF</t>
  </si>
  <si>
    <t>ABS - ESD</t>
  </si>
  <si>
    <t>PP</t>
  </si>
  <si>
    <t>CuCrZr</t>
  </si>
  <si>
    <t>PA12 Nylon</t>
  </si>
  <si>
    <t>PA12 - ESD</t>
  </si>
  <si>
    <t>TPU</t>
  </si>
  <si>
    <t>AlSi10Mg</t>
  </si>
  <si>
    <t>AlSi12</t>
  </si>
  <si>
    <t>Al6061</t>
  </si>
  <si>
    <t>Stainless Steel 15-5PH</t>
  </si>
  <si>
    <t>Al2024</t>
  </si>
  <si>
    <t>H230</t>
  </si>
  <si>
    <t>Al7075</t>
  </si>
  <si>
    <t>CoCrMo</t>
  </si>
  <si>
    <t>NiTi</t>
  </si>
  <si>
    <t>INC738</t>
  </si>
  <si>
    <t>SA M247</t>
  </si>
  <si>
    <t>INC939</t>
  </si>
  <si>
    <t>CoCr</t>
  </si>
  <si>
    <t>Ti6Al4V</t>
  </si>
  <si>
    <t>PA6 Nylon</t>
  </si>
  <si>
    <t>PVA</t>
  </si>
  <si>
    <t>PA12 - GF</t>
  </si>
  <si>
    <t>M789</t>
  </si>
  <si>
    <t>PA - CF</t>
  </si>
  <si>
    <t>Stainless Steel 304L</t>
  </si>
  <si>
    <t>Stainless Steel 440</t>
  </si>
  <si>
    <t>Tool Steel H13</t>
  </si>
  <si>
    <t>Invar 36</t>
  </si>
  <si>
    <t>Ti64</t>
  </si>
  <si>
    <t>Ag</t>
  </si>
  <si>
    <t>AlSi7Mg</t>
  </si>
  <si>
    <t>CPTi</t>
  </si>
  <si>
    <t>Cu</t>
  </si>
  <si>
    <t>CuAlNiFe</t>
  </si>
  <si>
    <t>Tool Steel M2</t>
  </si>
  <si>
    <t>Ni</t>
  </si>
  <si>
    <t>Sn</t>
  </si>
  <si>
    <t>WCCo</t>
  </si>
  <si>
    <t>Zn</t>
  </si>
  <si>
    <t>HIPS</t>
  </si>
  <si>
    <t>PET</t>
  </si>
  <si>
    <t>PC - CF</t>
  </si>
  <si>
    <t>PA - GF</t>
  </si>
  <si>
    <t>PEKK</t>
  </si>
  <si>
    <t>TA15</t>
  </si>
  <si>
    <t>PC - GF</t>
  </si>
  <si>
    <t>PP - GF</t>
  </si>
  <si>
    <t>PC</t>
  </si>
  <si>
    <t>ULTEM 1010</t>
  </si>
  <si>
    <t>ULTEM 9085</t>
  </si>
  <si>
    <t>PEEK - CF</t>
  </si>
  <si>
    <t>PA11 - GF</t>
  </si>
  <si>
    <t>PA12 - CF</t>
  </si>
  <si>
    <t>PA12 - MF</t>
  </si>
  <si>
    <t>PA6 - CF</t>
  </si>
  <si>
    <t>PA6 - GF</t>
  </si>
  <si>
    <t>PA - ESD</t>
  </si>
  <si>
    <t>PC - ABS</t>
  </si>
  <si>
    <t>PC - ABS - GF</t>
  </si>
  <si>
    <t>POM - ESD</t>
  </si>
  <si>
    <t>Stainless Steel 630</t>
  </si>
  <si>
    <t>AlSi9Cu3</t>
  </si>
  <si>
    <t>INC617</t>
  </si>
  <si>
    <t>Tungsten Bronze</t>
  </si>
  <si>
    <t>PA6 - MF</t>
  </si>
  <si>
    <t>Stainless Steel 410</t>
  </si>
  <si>
    <t>PLA - ESD</t>
  </si>
  <si>
    <t>PP - ESD</t>
  </si>
  <si>
    <t>H4365</t>
  </si>
  <si>
    <t>230A</t>
  </si>
  <si>
    <t>PA11 - CF</t>
  </si>
  <si>
    <t>PET - CF</t>
  </si>
  <si>
    <t>PEEK - GF</t>
  </si>
  <si>
    <t>PA - MF</t>
  </si>
  <si>
    <t>PEI</t>
  </si>
  <si>
    <t>PC - PBT</t>
  </si>
  <si>
    <t>POM</t>
  </si>
  <si>
    <t>PBT</t>
  </si>
  <si>
    <t>PP - CF</t>
  </si>
  <si>
    <t/>
  </si>
  <si>
    <t>C263</t>
  </si>
  <si>
    <t>Polymer</t>
  </si>
  <si>
    <t>Composite</t>
  </si>
  <si>
    <t>Directed Energy Deposition</t>
  </si>
  <si>
    <t>Binder Jetting</t>
  </si>
  <si>
    <t>Material Extrusion</t>
  </si>
  <si>
    <t>TiAl6V4</t>
  </si>
  <si>
    <t>Vat Photopolymerization</t>
  </si>
  <si>
    <t>Polymers</t>
  </si>
  <si>
    <t>Composites</t>
  </si>
  <si>
    <t>Nickel Alloy</t>
  </si>
  <si>
    <t>Gold</t>
  </si>
  <si>
    <t>Steel Alloy</t>
  </si>
  <si>
    <t>Stainless Steel Alloy</t>
  </si>
  <si>
    <t>Silver</t>
  </si>
  <si>
    <t>Aluminum Alloy</t>
  </si>
  <si>
    <t>Copper</t>
  </si>
  <si>
    <t>Copper Alloy</t>
  </si>
  <si>
    <t>Cobalt Alloy</t>
  </si>
  <si>
    <t>Titanium</t>
  </si>
  <si>
    <t>Zinc</t>
  </si>
  <si>
    <t>Titanium Alloy</t>
  </si>
  <si>
    <t>Nickel</t>
  </si>
  <si>
    <t>Nickel-Titanium Alloy</t>
  </si>
  <si>
    <t>Platinum</t>
  </si>
  <si>
    <t>Tin</t>
  </si>
  <si>
    <t>Tunsten-Bronze Alloy</t>
  </si>
  <si>
    <t>Composite Types</t>
  </si>
  <si>
    <t>Glass Fiber</t>
  </si>
  <si>
    <t>Carbon Fiber</t>
  </si>
  <si>
    <t>Nylon</t>
  </si>
  <si>
    <t>Other</t>
  </si>
  <si>
    <t>Fiber Type</t>
  </si>
  <si>
    <t>PC - ESD</t>
  </si>
  <si>
    <t>Multi Fiber</t>
  </si>
  <si>
    <t>ESD Fiber</t>
  </si>
  <si>
    <t>Material Dropdown</t>
  </si>
  <si>
    <t>Polymer Dropdown</t>
  </si>
  <si>
    <t>Fiber Dropdown</t>
  </si>
  <si>
    <t>Mineral Fiber</t>
  </si>
  <si>
    <t>Density (g/cm3)</t>
  </si>
  <si>
    <t>Cost per kg</t>
  </si>
  <si>
    <t>Value(s)</t>
  </si>
  <si>
    <t>$/kg</t>
  </si>
  <si>
    <t>g/cm^3</t>
  </si>
  <si>
    <t>Fiber Cost</t>
  </si>
  <si>
    <t>Fiber Density</t>
  </si>
  <si>
    <t>Metal Dropdown</t>
  </si>
  <si>
    <t>Fiber Fraction (by Weight)</t>
  </si>
  <si>
    <t>AM Materials Company</t>
  </si>
  <si>
    <t>Composite Material Cost</t>
  </si>
  <si>
    <t>Material Type</t>
  </si>
  <si>
    <t>Metal, Polymer, Composite</t>
  </si>
  <si>
    <t>Composite Material Density</t>
  </si>
  <si>
    <t>Final Material Cost</t>
  </si>
  <si>
    <t>Final Material Density</t>
  </si>
  <si>
    <t>https://commons.wikimedia.org/wiki/File:ABS_granule.jpg</t>
  </si>
  <si>
    <t>https://commons.wikimedia.org/wiki/File:Enameled-Round-Copper-Wire_32510-360x480_(4999892055).jpg</t>
  </si>
  <si>
    <t>https://commons.wikimedia.org/wiki/File:GF_Schlichte_TF_MH_HC1.jpg</t>
  </si>
  <si>
    <t>Type</t>
  </si>
  <si>
    <t>Db_Fiber</t>
  </si>
  <si>
    <t>Fibers</t>
  </si>
  <si>
    <t>^^ Added this column for future use</t>
  </si>
  <si>
    <t>Lookup</t>
  </si>
  <si>
    <t>m/min</t>
  </si>
  <si>
    <t>$</t>
  </si>
  <si>
    <t>W</t>
  </si>
  <si>
    <t>g/hr</t>
  </si>
  <si>
    <t>hr</t>
  </si>
  <si>
    <t>Buildplate X Dimension</t>
  </si>
  <si>
    <t>Buildplate Y Dimension</t>
  </si>
  <si>
    <t>Percent Change in Geometry</t>
  </si>
  <si>
    <t>Miscellaneous Costs</t>
  </si>
  <si>
    <t>Material Jetting</t>
  </si>
  <si>
    <t>Sheet Lamination</t>
  </si>
  <si>
    <t>ASTM Process</t>
  </si>
  <si>
    <t>Material</t>
  </si>
  <si>
    <t>Metal Print Dropdown</t>
  </si>
  <si>
    <t>Polymer Print Dropdown</t>
  </si>
  <si>
    <t>Db_Printers</t>
  </si>
  <si>
    <t>Annual DEP Operating Hours</t>
  </si>
  <si>
    <t>Tooling Cost</t>
  </si>
  <si>
    <t>Usable Build X</t>
  </si>
  <si>
    <t>Usable Build Y</t>
  </si>
  <si>
    <t>Printed Volume</t>
  </si>
  <si>
    <t>Build Box Volume</t>
  </si>
  <si>
    <t>Printed Mass</t>
  </si>
  <si>
    <t>Ignores fiber fraction if not composite</t>
  </si>
  <si>
    <t>Can part fit?</t>
  </si>
  <si>
    <t>Scan Width</t>
  </si>
  <si>
    <t>Printed Cross-sectional Area</t>
  </si>
  <si>
    <t>Fixed Time Per Layer</t>
  </si>
  <si>
    <t>s</t>
  </si>
  <si>
    <t>Fix Time Per Layer</t>
  </si>
  <si>
    <t>DEP Maximum Input</t>
  </si>
  <si>
    <t>DEP Maximum Output</t>
  </si>
  <si>
    <t>Setup Time</t>
  </si>
  <si>
    <t>Per Layer Time (powder processes)</t>
  </si>
  <si>
    <t>Printing Output</t>
  </si>
  <si>
    <t>days/yr</t>
  </si>
  <si>
    <t>hr/day</t>
  </si>
  <si>
    <t>Yes/No</t>
  </si>
  <si>
    <t>Avg Operating Hours Per Day</t>
  </si>
  <si>
    <t>Avg Annual Operating Days</t>
  </si>
  <si>
    <t>$/hr</t>
  </si>
  <si>
    <t>yr</t>
  </si>
  <si>
    <t>ft^2</t>
  </si>
  <si>
    <t>#</t>
  </si>
  <si>
    <t>Breakdown Time</t>
  </si>
  <si>
    <t>Per Layer Gap Time (dep processes)</t>
  </si>
  <si>
    <t>Per Layer Time (dep processes)</t>
  </si>
  <si>
    <t>Printing Process Yield</t>
  </si>
  <si>
    <t>Required Floorspace</t>
  </si>
  <si>
    <t>Number of parts per batch</t>
  </si>
  <si>
    <t>Does the part fit?</t>
  </si>
  <si>
    <t>Time to Print</t>
  </si>
  <si>
    <t>Max Input</t>
  </si>
  <si>
    <t>Max Output</t>
  </si>
  <si>
    <t>Capital</t>
  </si>
  <si>
    <t>Energy</t>
  </si>
  <si>
    <t>Labor</t>
  </si>
  <si>
    <t>Know Composite Cost?</t>
  </si>
  <si>
    <t>No</t>
  </si>
  <si>
    <t>Per Batch Material Volume Used</t>
  </si>
  <si>
    <t>Per Batch Material Mass Used</t>
  </si>
  <si>
    <t>Is Composite Precompounded?</t>
  </si>
  <si>
    <t>parts/hr</t>
  </si>
  <si>
    <t>Setup</t>
  </si>
  <si>
    <t>Breakdown</t>
  </si>
  <si>
    <t>Printing Sheet Results</t>
  </si>
  <si>
    <t>Does at least one part fit in X,Y, and Z dimensions?</t>
  </si>
  <si>
    <t>Building Life</t>
  </si>
  <si>
    <t>Number of Operators</t>
  </si>
  <si>
    <t>Miscellaneous Cost</t>
  </si>
  <si>
    <t>Overhead</t>
  </si>
  <si>
    <t>Tax Rate</t>
  </si>
  <si>
    <t>&gt;&gt;&gt;&gt;&gt;&gt;&gt;&gt;&gt;&gt;&gt;&gt;&gt;&gt;&gt;&gt;&gt;&gt;&gt;&gt;&gt;&gt;&gt;&gt;&gt;&gt;&gt;&gt;&gt;&gt;&gt;&gt;&gt;&gt;&gt;&gt;&gt;&gt;&gt;&gt;&gt;&gt;&gt;&gt;&gt;&gt;&gt;&gt;&gt;&gt;&gt;&gt;&gt;&gt;&gt;&gt; TIME BREAKDOWN &lt;&lt;&lt;&lt;&lt;&lt;&lt;&lt;&lt;&lt;&lt;&lt;&lt;&lt;&lt;&lt;&lt;&lt;&lt;&lt;&lt;&lt;&lt;&lt;&lt;&lt;&lt;&lt;&lt;&lt;&lt;&lt;&lt;&lt;&lt;&lt;&lt;&lt;&lt;&lt;&lt;&lt;&lt;&lt;&lt;&lt;&lt;&lt;&lt;&lt;&lt;&lt;&lt;&lt;&lt;&lt;</t>
  </si>
  <si>
    <t>&gt;&gt;&gt;&gt;&gt;&gt;&gt;&gt;&gt;&gt;&gt;&gt;&gt;&gt;&gt;&gt;&gt;&gt;&gt;&gt;&gt;&gt;&gt;&gt;&gt;&gt;&gt;&gt;&gt;&gt;&gt;&gt;&gt;&gt;&gt;&gt;&gt;&gt;&gt;&gt;&gt;&gt;&gt;&gt;&gt;&gt;&gt;&gt;&gt;&gt;&gt;&gt;&gt;&gt;&gt;&gt; COST BREAKDOWN &lt;&lt;&lt;&lt;&lt;&lt;&lt;&lt;&lt;&lt;&lt;&lt;&lt;&lt;&lt;&lt;&lt;&lt;&lt;&lt;&lt;&lt;&lt;&lt;&lt;&lt;&lt;&lt;&lt;&lt;&lt;&lt;&lt;&lt;&lt;&lt;&lt;&lt;&lt;&lt;&lt;&lt;&lt;&lt;&lt;&lt;&lt;&lt;&lt;&lt;&lt;&lt;&lt;&lt;&lt;&lt;</t>
  </si>
  <si>
    <t>Floorspace Cost</t>
  </si>
  <si>
    <t>Pwd</t>
  </si>
  <si>
    <t>Dep</t>
  </si>
  <si>
    <t>Tooling Life</t>
  </si>
  <si>
    <t>Operator Time Fraction</t>
  </si>
  <si>
    <t>Installation Cost (% of capital cost)</t>
  </si>
  <si>
    <t>Maintenance Cost (% of capital cost)</t>
  </si>
  <si>
    <t>Insurance Cost (% of capital cost)</t>
  </si>
  <si>
    <t>$/ft^2/yr</t>
  </si>
  <si>
    <t>Does the Part Fit?</t>
  </si>
  <si>
    <t>parts/print</t>
  </si>
  <si>
    <t>Number of Parts Per Print</t>
  </si>
  <si>
    <t>Total Time Per Print</t>
  </si>
  <si>
    <t>Material Per Print</t>
  </si>
  <si>
    <t>Energy Per Print</t>
  </si>
  <si>
    <t>Database</t>
  </si>
  <si>
    <t>hr/print</t>
  </si>
  <si>
    <t>kg/print</t>
  </si>
  <si>
    <t>kWh/print</t>
  </si>
  <si>
    <t>Tooling</t>
  </si>
  <si>
    <t>Floorspace</t>
  </si>
  <si>
    <t>Cost</t>
  </si>
  <si>
    <t>Percent</t>
  </si>
  <si>
    <t>Total</t>
  </si>
  <si>
    <t>Time</t>
  </si>
  <si>
    <t>Print</t>
  </si>
  <si>
    <t>Per Print Time Breakdown</t>
  </si>
  <si>
    <t>Per Print Cost Breakdown</t>
  </si>
  <si>
    <t xml:space="preserve">      Does this part need post processing?</t>
  </si>
  <si>
    <t>Number of Parts per Batch</t>
  </si>
  <si>
    <t>kW</t>
  </si>
  <si>
    <t>Standby Power</t>
  </si>
  <si>
    <t>Operating Power</t>
  </si>
  <si>
    <t>Time Standby per Batch</t>
  </si>
  <si>
    <t>min/cm^3</t>
  </si>
  <si>
    <t>min/part</t>
  </si>
  <si>
    <t>Post Processing Yield</t>
  </si>
  <si>
    <t>Inert-Sintering</t>
  </si>
  <si>
    <t>Heat Treatment</t>
  </si>
  <si>
    <t>UV Treatment</t>
  </si>
  <si>
    <t>Printing Speed/Deposition Feed Rate</t>
  </si>
  <si>
    <t>Post Process</t>
  </si>
  <si>
    <t>Operating Time per Part</t>
  </si>
  <si>
    <t>Total Time per Batch</t>
  </si>
  <si>
    <t>Energy per Batch</t>
  </si>
  <si>
    <t>Operating Time per Batch</t>
  </si>
  <si>
    <t>kWh/batch</t>
  </si>
  <si>
    <t>kWh/part</t>
  </si>
  <si>
    <t>hr/batch</t>
  </si>
  <si>
    <t>hr/part</t>
  </si>
  <si>
    <t># of Batches per Year</t>
  </si>
  <si>
    <t>PP Maximum Input</t>
  </si>
  <si>
    <t>PP Maximum Output</t>
  </si>
  <si>
    <t>Per Part Scan Distance</t>
  </si>
  <si>
    <t>Printing Backend</t>
  </si>
  <si>
    <t>Printing Sheet</t>
  </si>
  <si>
    <t>Process Method</t>
  </si>
  <si>
    <t>Total Time Per Post Process</t>
  </si>
  <si>
    <t>Per Post Process Time Breakdown</t>
  </si>
  <si>
    <t>Per Post Process Cost Breakdown</t>
  </si>
  <si>
    <t>Energy Per Batch</t>
  </si>
  <si>
    <t>Post Processing Sheet Results</t>
  </si>
  <si>
    <t>Operating</t>
  </si>
  <si>
    <t>Idle</t>
  </si>
  <si>
    <t>Standby</t>
  </si>
  <si>
    <t xml:space="preserve">Copy Values from Printing?      </t>
  </si>
  <si>
    <t xml:space="preserve">      Does this part need machining?</t>
  </si>
  <si>
    <t>Machining Type:</t>
  </si>
  <si>
    <t>Machining TEA Inputs</t>
  </si>
  <si>
    <t>Surface Speed</t>
  </si>
  <si>
    <t>Machining Inputs</t>
  </si>
  <si>
    <t>Tool Diameter</t>
  </si>
  <si>
    <t>Number of Cutting Teeth</t>
  </si>
  <si>
    <t>Chip Load</t>
  </si>
  <si>
    <t>Final Diameter</t>
  </si>
  <si>
    <t>Average Diameter</t>
  </si>
  <si>
    <t>mm/rev</t>
  </si>
  <si>
    <t>Linear Feed Rate</t>
  </si>
  <si>
    <t>FIN Maximum Input</t>
  </si>
  <si>
    <t>FIN Maximum Output</t>
  </si>
  <si>
    <t>Part Volume</t>
  </si>
  <si>
    <t>Printed Height</t>
  </si>
  <si>
    <t>Printed OD (Cylinder Only)</t>
  </si>
  <si>
    <t>Milling Only</t>
  </si>
  <si>
    <t>Assumed Yield (Finishing)</t>
  </si>
  <si>
    <t>Annual FIN Operating Hours</t>
  </si>
  <si>
    <t>Turning Only</t>
  </si>
  <si>
    <t>Total Time per Part</t>
  </si>
  <si>
    <t>Per Machining Time Breakdown</t>
  </si>
  <si>
    <t>Bottleneck</t>
  </si>
  <si>
    <t>Bottleneck Rate</t>
  </si>
  <si>
    <t>Bottleneck Process</t>
  </si>
  <si>
    <t>PRNT Out</t>
  </si>
  <si>
    <t>PP Out</t>
  </si>
  <si>
    <t>FIN Out</t>
  </si>
  <si>
    <t>PRNT</t>
  </si>
  <si>
    <t>FIN</t>
  </si>
  <si>
    <t>FIN Yield</t>
  </si>
  <si>
    <t>PRNT Yield</t>
  </si>
  <si>
    <t>PP Yield</t>
  </si>
  <si>
    <t>PRNT OPH</t>
  </si>
  <si>
    <t>PP OPH</t>
  </si>
  <si>
    <t>FIN OPH</t>
  </si>
  <si>
    <t>PRNT Operating Hours</t>
  </si>
  <si>
    <t>PP Operating Hours</t>
  </si>
  <si>
    <t>FIN Operating Hours</t>
  </si>
  <si>
    <t>PRNT Max In</t>
  </si>
  <si>
    <t>PP Max In</t>
  </si>
  <si>
    <t>FIN Max In</t>
  </si>
  <si>
    <t>PRNT Max Out</t>
  </si>
  <si>
    <t>PP Max Out</t>
  </si>
  <si>
    <t>FIN Max Out</t>
  </si>
  <si>
    <t>Final Results</t>
  </si>
  <si>
    <t>Post Processing Sheet</t>
  </si>
  <si>
    <t>Machining Sheet</t>
  </si>
  <si>
    <t>Max Out</t>
  </si>
  <si>
    <t>Final Parts Out Printing</t>
  </si>
  <si>
    <t>Final Parts Out Post Processing</t>
  </si>
  <si>
    <t>Final Operating Hours Printing</t>
  </si>
  <si>
    <t>Final Operating Hours Post Processing</t>
  </si>
  <si>
    <t>Final Printing Parts In</t>
  </si>
  <si>
    <t>Final Printing Mass In</t>
  </si>
  <si>
    <t>Final Number of Prints</t>
  </si>
  <si>
    <t>Mass per Print</t>
  </si>
  <si>
    <t>Final Parts Out Machining</t>
  </si>
  <si>
    <t>Final Operating Hours Machining</t>
  </si>
  <si>
    <t>Additive Manufacturing Overview</t>
  </si>
  <si>
    <t>Techno-Economic Overview</t>
  </si>
  <si>
    <t>Annual Energy Costs</t>
  </si>
  <si>
    <t>Annual Overhead Costs</t>
  </si>
  <si>
    <t>Annualized Capital Costs (Installed)</t>
  </si>
  <si>
    <t>Annualized Building Costs</t>
  </si>
  <si>
    <t>Toal Annual Costs</t>
  </si>
  <si>
    <t>Standby Power Consumption</t>
  </si>
  <si>
    <t>Benefits Rate</t>
  </si>
  <si>
    <t>Ratio Direct:Indirect Employees</t>
  </si>
  <si>
    <t>Indirect Emplyees Salary</t>
  </si>
  <si>
    <t>Working Capital Period (WCP)</t>
  </si>
  <si>
    <t>Printing</t>
  </si>
  <si>
    <t>Build Plate Cost</t>
  </si>
  <si>
    <t>Number Buildplate Uses</t>
  </si>
  <si>
    <t>Interest</t>
  </si>
  <si>
    <t>Number of Printers</t>
  </si>
  <si>
    <t>Number of Post Equipment</t>
  </si>
  <si>
    <t>Stage</t>
  </si>
  <si>
    <t>Post-Processing</t>
  </si>
  <si>
    <t>Printer Utilization</t>
  </si>
  <si>
    <t>Post-Processing Utilization</t>
  </si>
  <si>
    <t>Finishing Utilization</t>
  </si>
  <si>
    <t>Building</t>
  </si>
  <si>
    <t>Final Analysis - Cost per year ($/yr)</t>
  </si>
  <si>
    <t>Final Analysis - Cost per part ($/part)</t>
  </si>
  <si>
    <t>Notation:</t>
  </si>
  <si>
    <t>prt_H</t>
  </si>
  <si>
    <t>prt_V</t>
  </si>
  <si>
    <t>prt_shape</t>
  </si>
  <si>
    <t>prt_dim1</t>
  </si>
  <si>
    <t>prt_dim2</t>
  </si>
  <si>
    <t>prt_V_env</t>
  </si>
  <si>
    <t>prt_V_util</t>
  </si>
  <si>
    <t>mtrl_ctg</t>
  </si>
  <si>
    <t>mrtl_type</t>
  </si>
  <si>
    <t>mrtl_knowCost</t>
  </si>
  <si>
    <t>fbr_type</t>
  </si>
  <si>
    <t>fbr_frac</t>
  </si>
  <si>
    <t>fbr_C</t>
  </si>
  <si>
    <t>cbr_D</t>
  </si>
  <si>
    <t>mtrl_C</t>
  </si>
  <si>
    <t>mtrl_D</t>
  </si>
  <si>
    <t>mtrx_C</t>
  </si>
  <si>
    <t>mtrx_D</t>
  </si>
  <si>
    <t>dep_Process</t>
  </si>
  <si>
    <t>dep_X</t>
  </si>
  <si>
    <t>dep_Y</t>
  </si>
  <si>
    <t>plate_C</t>
  </si>
  <si>
    <t>C</t>
  </si>
  <si>
    <t>D</t>
  </si>
  <si>
    <t>Density</t>
  </si>
  <si>
    <t>V</t>
  </si>
  <si>
    <t>Volume</t>
  </si>
  <si>
    <t>plate_L</t>
  </si>
  <si>
    <t>L</t>
  </si>
  <si>
    <t>Life</t>
  </si>
  <si>
    <t>dep_T_setUp</t>
  </si>
  <si>
    <t>dep_T_breakDown</t>
  </si>
  <si>
    <t>dep_P_avg</t>
  </si>
  <si>
    <t>T</t>
  </si>
  <si>
    <t>P</t>
  </si>
  <si>
    <t>Power</t>
  </si>
  <si>
    <t>dep_gapParts</t>
  </si>
  <si>
    <t>dep_gapEdge</t>
  </si>
  <si>
    <t>dep_P_standBy</t>
  </si>
  <si>
    <t>dep_T_fixed</t>
  </si>
  <si>
    <t>Width</t>
  </si>
  <si>
    <t>H</t>
  </si>
  <si>
    <t>Height</t>
  </si>
  <si>
    <t>dep_opDays</t>
  </si>
  <si>
    <t>dep_opHours</t>
  </si>
  <si>
    <t>dep_N_printers</t>
  </si>
  <si>
    <t>dep_N_operators</t>
  </si>
  <si>
    <t>N</t>
  </si>
  <si>
    <t>Number</t>
  </si>
  <si>
    <t>dep_H_layer</t>
  </si>
  <si>
    <t>dep_C_labor</t>
  </si>
  <si>
    <t>dep_C_energy</t>
  </si>
  <si>
    <t>dep_C_capital</t>
  </si>
  <si>
    <t>R</t>
  </si>
  <si>
    <t>Rate</t>
  </si>
  <si>
    <t>dep_R_feed</t>
  </si>
  <si>
    <t>dep_R_dep</t>
  </si>
  <si>
    <t>dep_W_scan</t>
  </si>
  <si>
    <t>dep_%_change</t>
  </si>
  <si>
    <t>dep_%_time</t>
  </si>
  <si>
    <t>dep_%_yield</t>
  </si>
  <si>
    <t>dep_%_interest</t>
  </si>
  <si>
    <t>dep_%_tax</t>
  </si>
  <si>
    <t>dep_%_benefits</t>
  </si>
  <si>
    <t>dep_%_indirect</t>
  </si>
  <si>
    <t>dep_L_tool</t>
  </si>
  <si>
    <t>dep_L_bldng</t>
  </si>
  <si>
    <t>dep_floorSpace</t>
  </si>
  <si>
    <t>dep_C_floor</t>
  </si>
  <si>
    <t>dep_C_tool</t>
  </si>
  <si>
    <t>dep_C_misc</t>
  </si>
  <si>
    <t>dep_%_install</t>
  </si>
  <si>
    <t>dep_%_insure</t>
  </si>
  <si>
    <t>dep_%_maint</t>
  </si>
  <si>
    <t>dep_C_indirect</t>
  </si>
  <si>
    <t>dep_WCP</t>
  </si>
  <si>
    <t>dep_X_use</t>
  </si>
  <si>
    <t>dep_Y_use</t>
  </si>
  <si>
    <t>dep_N_layers</t>
  </si>
  <si>
    <t>dep_V_box</t>
  </si>
  <si>
    <t>dep_dim1</t>
  </si>
  <si>
    <t>dep_dim2</t>
  </si>
  <si>
    <t>AND(dep_dim1&gt;dep_X_use,IF(Cuboid, dep_dim2, dep_dim1)&gt;dep_Y_use,dep_Z&gt;prt_H)</t>
  </si>
  <si>
    <t>dep_H</t>
  </si>
  <si>
    <t>dep_CSA</t>
  </si>
  <si>
    <t>dep_V</t>
  </si>
  <si>
    <t>dep_M</t>
  </si>
  <si>
    <t>M</t>
  </si>
  <si>
    <t>Mass</t>
  </si>
  <si>
    <t>dep_fit</t>
  </si>
  <si>
    <t>dep_N_row</t>
  </si>
  <si>
    <t>dep_N_col</t>
  </si>
  <si>
    <t>dep_N_parts</t>
  </si>
  <si>
    <t>dep_D_part</t>
  </si>
  <si>
    <t>Per Layer Mass</t>
  </si>
  <si>
    <t>dep_M_layer</t>
  </si>
  <si>
    <t>dep_T_layer</t>
  </si>
  <si>
    <t>dep_T_plate</t>
  </si>
  <si>
    <t>dep_T_gap</t>
  </si>
  <si>
    <t>dep_N_plates</t>
  </si>
  <si>
    <t>dep_maxIn</t>
  </si>
  <si>
    <t>dep_maxOut</t>
  </si>
  <si>
    <t>Units</t>
  </si>
  <si>
    <t>Formulas</t>
  </si>
  <si>
    <t>cm^3</t>
  </si>
  <si>
    <t>prt_V/(prtEnvelopeVol/1000)</t>
  </si>
  <si>
    <t>By Weight</t>
  </si>
  <si>
    <t>g/cc</t>
  </si>
  <si>
    <t>cm</t>
  </si>
  <si>
    <t>$/plate</t>
  </si>
  <si>
    <t>count</t>
  </si>
  <si>
    <t>mm/min</t>
  </si>
  <si>
    <t>kg/hr</t>
  </si>
  <si>
    <t>yes/no</t>
  </si>
  <si>
    <t>sec</t>
  </si>
  <si>
    <t>$/yr</t>
  </si>
  <si>
    <t>months</t>
  </si>
  <si>
    <t>dep_opDays * dep_opHours</t>
  </si>
  <si>
    <t>g</t>
  </si>
  <si>
    <t>parts/plate</t>
  </si>
  <si>
    <t>mm/layer</t>
  </si>
  <si>
    <t>g/layer</t>
  </si>
  <si>
    <t>plates/yr</t>
  </si>
  <si>
    <t>cm^2</t>
  </si>
  <si>
    <t>sec/layer</t>
  </si>
  <si>
    <t>hr/plate</t>
  </si>
  <si>
    <t>dep_Y - (dep_gapEdge*2)</t>
  </si>
  <si>
    <t xml:space="preserve"> CEIL(prt_H/dep_H_layer)</t>
  </si>
  <si>
    <t>dep_X*dep_Y*dep_H_layer/10*dep_N_layers</t>
  </si>
  <si>
    <t>CEIL( (dep_X_use - dep_dim1)/(dep_dim1 + dep_gapParts) )</t>
  </si>
  <si>
    <t>CEIL( (dep_Y_use - CriticalDim)/(CriticalDim + dep_gapParts) )</t>
  </si>
  <si>
    <t>dep_M/dep_N_layers</t>
  </si>
  <si>
    <t>(dep_N_parts-1)*dep_gapParts/(dep_R_feed/10/60)</t>
  </si>
  <si>
    <t>(dep_D_part/(dep_R_feed/60) + dep_T_fixed)*dep_N_parts</t>
  </si>
  <si>
    <t>dep_X - (dep_gapEdge*2)</t>
  </si>
  <si>
    <t>dep_CSA/dep_W_scan</t>
  </si>
  <si>
    <t>prt_dim1*(1+dep_%_change)</t>
  </si>
  <si>
    <t>prt_dim2*(1+dep_%_change)</t>
  </si>
  <si>
    <t>dep_N_layers*dep_H_layer</t>
  </si>
  <si>
    <t>dep_V*mtrl_D</t>
  </si>
  <si>
    <t>dep_N_row*dep_N_col</t>
  </si>
  <si>
    <t>dep_maxIn*dep_%_yield</t>
  </si>
  <si>
    <t>parts/yr</t>
  </si>
  <si>
    <t>dep_N_plates*dep_N_parts</t>
  </si>
  <si>
    <t>$/printer</t>
  </si>
  <si>
    <t>ft^2/printer</t>
  </si>
  <si>
    <t>Powder Loss Fraction</t>
  </si>
  <si>
    <t>dep_%_loss</t>
  </si>
  <si>
    <t>cm^3/batch</t>
  </si>
  <si>
    <t>g/batch</t>
  </si>
  <si>
    <t>V_pb*mtrl_D</t>
  </si>
  <si>
    <t>dep_V_pb</t>
  </si>
  <si>
    <t>dep_M_pb</t>
  </si>
  <si>
    <t>kWh/yr</t>
  </si>
  <si>
    <t>dep_E_standBy</t>
  </si>
  <si>
    <t>dep_E_printing</t>
  </si>
  <si>
    <t>dep_T_labor</t>
  </si>
  <si>
    <t>Per Plate Standby Time</t>
  </si>
  <si>
    <t>Per Plate Printing Time</t>
  </si>
  <si>
    <t>Per Plate Total Time</t>
  </si>
  <si>
    <t>dep_T_setUp + dep_T_breakDown</t>
  </si>
  <si>
    <t>dep_T_standby</t>
  </si>
  <si>
    <t>dep_T_layer*dep_N_layers/3600</t>
  </si>
  <si>
    <t>dep_T_printing</t>
  </si>
  <si>
    <t>dep_T_standby + dep_T_printing</t>
  </si>
  <si>
    <t>Per Plate Monitored Percentage</t>
  </si>
  <si>
    <t>dep_T_labor/dep_T_plate</t>
  </si>
  <si>
    <t>dep_N_operators*dep_%_indirect*dep_C_indirect*(1+dep_%_benefits)*dep_%_monitored</t>
  </si>
  <si>
    <t>dep_%_monitored</t>
  </si>
  <si>
    <t>(dep_C_capital*(1+dep_%_install)+dep_C_misc)*(1+dep_%_tax)*dep_N_printers/dep_L_Equip</t>
  </si>
  <si>
    <t>dep_floorSpace*dep_N_printers*dep_C_floor/dep_L_bldng</t>
  </si>
  <si>
    <t>dep_C_tool*dep_N_printers/dep_L_tool</t>
  </si>
  <si>
    <t>dep_C_capital*dep_N_printers*(dep_%_insure + dep_%_maint)</t>
  </si>
  <si>
    <t>dep_C_over</t>
  </si>
  <si>
    <t>dep_C_enrgy</t>
  </si>
  <si>
    <t>dep_C_mtrl</t>
  </si>
  <si>
    <t>dep_C_lbr</t>
  </si>
  <si>
    <t>dep_C_cap</t>
  </si>
  <si>
    <t>dep_C_bld</t>
  </si>
  <si>
    <t>dep_C_other</t>
  </si>
  <si>
    <t>dep_C_total</t>
  </si>
  <si>
    <t>Annual Cost Materials</t>
  </si>
  <si>
    <t>Annual Cost Labor</t>
  </si>
  <si>
    <t>Annual Cost Energy</t>
  </si>
  <si>
    <t>Annual Cost Overhead</t>
  </si>
  <si>
    <t>Annualized Cost Capital (Installed)</t>
  </si>
  <si>
    <t>Annualized Cost Building</t>
  </si>
  <si>
    <t>Annualized Cost Tool</t>
  </si>
  <si>
    <t>Annual Cost Other (maintneance, Insurance, taxes, etc.)</t>
  </si>
  <si>
    <t>Annual Cost Total</t>
  </si>
  <si>
    <t>Interest Material</t>
  </si>
  <si>
    <t>Interest Labor</t>
  </si>
  <si>
    <t>Interest Energy</t>
  </si>
  <si>
    <t>Interest Overhead</t>
  </si>
  <si>
    <t>Interest Captial</t>
  </si>
  <si>
    <t>Interest Building</t>
  </si>
  <si>
    <t>Interest Tooling</t>
  </si>
  <si>
    <t>Interest Other</t>
  </si>
  <si>
    <t>Annual Cost Interest</t>
  </si>
  <si>
    <t>dep_C_mtrl_i</t>
  </si>
  <si>
    <t>dep_C_lbr_i</t>
  </si>
  <si>
    <t>dep_C_enrgy_i</t>
  </si>
  <si>
    <t>dep_C_over_i</t>
  </si>
  <si>
    <t>dep_C_cap_i</t>
  </si>
  <si>
    <t>dep_C_bld_i</t>
  </si>
  <si>
    <t>dep_C_tool_i</t>
  </si>
  <si>
    <t>dep_C_other_i</t>
  </si>
  <si>
    <t>dep_C_interest</t>
  </si>
  <si>
    <t>mtrl_i+lbr_i+enrgy_i+over_i+cap_i+bld_i+tool_i+other_i</t>
  </si>
  <si>
    <t>PMT(dep_%_interest/12, dep_WCP,-dep_C_mtrl*dep_WCP/12)*12</t>
  </si>
  <si>
    <t>PMT(dep_%_interest/12, dep_WCP,-dep_C_lbr*dep_WCP/12)*12</t>
  </si>
  <si>
    <t>PMT(dep_%_interest/12, dep_WCP,-dep_C_enrgy*dep_WCP/12)*12</t>
  </si>
  <si>
    <t>PMT(dep_%_interest/12, dep_WCP,-dep_C_over*dep_WCP/12)*12</t>
  </si>
  <si>
    <t>PMT(dep_%_interest/12,dep_L_Equip*12,-dep_C_cap*dep_L_Equip)*12</t>
  </si>
  <si>
    <t>PMT(dep_%_interest/12,dep_L_bldng*12,-dep_C_bld*dep_L_bldng)*12</t>
  </si>
  <si>
    <t>PMT(dep_%_interest/12,dep_L_tool*12,-dep_C_tool*dep_L_tool)*12</t>
  </si>
  <si>
    <t>PMT(dep_%_interest/12,dep_WCP,-dep_C_other*dep_WCP/12)*12</t>
  </si>
  <si>
    <t>mtrl+lbr+enrgy+over+cap+bld+tool+other+interest</t>
  </si>
  <si>
    <t>Table for time breakdown on printing tab &gt;&gt;&gt;</t>
  </si>
  <si>
    <t>Table for cost breakdown on printing tab &gt;&gt;&gt;</t>
  </si>
  <si>
    <t>ratio</t>
  </si>
  <si>
    <t>hr/yr</t>
  </si>
  <si>
    <t>pp_N_parts</t>
  </si>
  <si>
    <t>pp_T_perV</t>
  </si>
  <si>
    <t>pp_T_standby</t>
  </si>
  <si>
    <t>pp_T_setup</t>
  </si>
  <si>
    <t>pp_T_breakdown</t>
  </si>
  <si>
    <t>pp_P_standby</t>
  </si>
  <si>
    <t>pp_P_on</t>
  </si>
  <si>
    <t>pp_opDays</t>
  </si>
  <si>
    <t>pp_opHours</t>
  </si>
  <si>
    <t>pp_opDays * pp_opHours</t>
  </si>
  <si>
    <t>pp_N_equip</t>
  </si>
  <si>
    <t>pp_L_equip</t>
  </si>
  <si>
    <t>dep_L_equip</t>
  </si>
  <si>
    <t>pp_L_bldng</t>
  </si>
  <si>
    <t>pp_floorSpace</t>
  </si>
  <si>
    <t>#/equip</t>
  </si>
  <si>
    <t>#/printer</t>
  </si>
  <si>
    <t>Intallation Cost (% of capital cost)</t>
  </si>
  <si>
    <t>pp_N_operators</t>
  </si>
  <si>
    <t>pp_%_tax</t>
  </si>
  <si>
    <t>pp_%_benefits</t>
  </si>
  <si>
    <t>pp_%_indirect</t>
  </si>
  <si>
    <t>pp_C_indirect</t>
  </si>
  <si>
    <t>pp_WCP</t>
  </si>
  <si>
    <t>pp_%_time</t>
  </si>
  <si>
    <t>pp_%_yield</t>
  </si>
  <si>
    <t>pp_C_labor</t>
  </si>
  <si>
    <t>pp_C_floor</t>
  </si>
  <si>
    <t>pp_C_energy</t>
  </si>
  <si>
    <t>pp_C_capital</t>
  </si>
  <si>
    <t>pp_C_misc</t>
  </si>
  <si>
    <t>pp_%_interest</t>
  </si>
  <si>
    <t>pp_%_install</t>
  </si>
  <si>
    <t>pp_%_maint</t>
  </si>
  <si>
    <t>pp_%_insure</t>
  </si>
  <si>
    <t>pp_C_capital * pp_N_equip * (pp_%_insure + pp_%_maint)</t>
  </si>
  <si>
    <t>pp_method</t>
  </si>
  <si>
    <t>$/batch</t>
  </si>
  <si>
    <t>batch/yr</t>
  </si>
  <si>
    <t>pp_T_on</t>
  </si>
  <si>
    <t>E</t>
  </si>
  <si>
    <t>pp_N_batches</t>
  </si>
  <si>
    <t>pp_E_batch</t>
  </si>
  <si>
    <t>pp_E_part</t>
  </si>
  <si>
    <t>pp_E_batch/pp_N_parts</t>
  </si>
  <si>
    <t>pp_maxIn</t>
  </si>
  <si>
    <t>pp_maxOut</t>
  </si>
  <si>
    <t>dep_V*pp_T_perVol/60*pp_N_parts</t>
  </si>
  <si>
    <t>pp_maxIn*pp_%_yield</t>
  </si>
  <si>
    <t>pp_N_batches*pp_N_parts</t>
  </si>
  <si>
    <t>Process Time</t>
  </si>
  <si>
    <t>PP_T_on + PP_T_standby</t>
  </si>
  <si>
    <t>Prep Time</t>
  </si>
  <si>
    <t>PP_T_setup + PP_T_breakdown</t>
  </si>
  <si>
    <t>pp_T_process</t>
  </si>
  <si>
    <t>pp_T_prep</t>
  </si>
  <si>
    <t>pp_T_process + pp_T_prep</t>
  </si>
  <si>
    <t>pp_T_prep + pp_T_prep*pp_%_time</t>
  </si>
  <si>
    <t>pp_T_on*pp_P_on + pp_T_standby*pp_P_standby</t>
  </si>
  <si>
    <t>pp_T_labor</t>
  </si>
  <si>
    <t>pp_T_opHrs</t>
  </si>
  <si>
    <t>pp_C_lbr</t>
  </si>
  <si>
    <t>pp_C_enrgy</t>
  </si>
  <si>
    <t>pp_E_batch*pp_N_batches*pp_N_equip*pp_C_energy</t>
  </si>
  <si>
    <t>pp_C_over</t>
  </si>
  <si>
    <t>pp_N_operators*pp_%_indirect*pp_C_indirect*(1+pp_%_benefits)*pp_%_monitored</t>
  </si>
  <si>
    <t>Monitored Percentage per Batch</t>
  </si>
  <si>
    <t>pp_%_monitored</t>
  </si>
  <si>
    <t>pp_C_cap</t>
  </si>
  <si>
    <t>(pp_C_capital*(1+pp_%_install)+pp_C_misc)*(1+pp_%_tax)*pp_N_equip/pp_L_equip</t>
  </si>
  <si>
    <t>cm^3/part</t>
  </si>
  <si>
    <t>pp_C_bld</t>
  </si>
  <si>
    <t>pp_C_other</t>
  </si>
  <si>
    <t>ft^2/equip</t>
  </si>
  <si>
    <t>pp_C_lbr_i</t>
  </si>
  <si>
    <t>pp_C_enrgy_i</t>
  </si>
  <si>
    <t>pp_C_cap_i</t>
  </si>
  <si>
    <t>pp_C_over_i</t>
  </si>
  <si>
    <t>pp_C_bld_i</t>
  </si>
  <si>
    <t>pp_C_other_i</t>
  </si>
  <si>
    <t>PMT(pp_%_interest/12, pp_WCP,-pp_C_lbr*pp_WCP/12)*12</t>
  </si>
  <si>
    <t>PMT(pp_%_interest/12, pp_WCP,-pp_C_enrgy*pp_WCP/12)*12</t>
  </si>
  <si>
    <t>PMT(pp_%_interest/12, pp_WCP,-pp_C_over*pp_WCP/12)*12</t>
  </si>
  <si>
    <t>PMT(pp_%_interest/12, pp_L_equip*12, -pp_C_cap*pp_L_equip)*12</t>
  </si>
  <si>
    <t>PMT(pp_%_interest/12, pp_L_bldng*12, -pp_C_bld*pp_L_bldng)*12</t>
  </si>
  <si>
    <t>PMT(pp_%_interest/12, pp_WCP, -pp_C_other*pp_WCP/12)*12</t>
  </si>
  <si>
    <t>lbr_i+enrgy_i+over_i+cap_i+bld_i+other_i</t>
  </si>
  <si>
    <t>pp_C_interest</t>
  </si>
  <si>
    <t>pp_C_total</t>
  </si>
  <si>
    <t>lbr+enrgy+over+cap+bld+other+interest</t>
  </si>
  <si>
    <t>Table for time breakdown on post process tab &gt;&gt;&gt;</t>
  </si>
  <si>
    <t>Table for cost breakdown on post process tab &gt;&gt;&gt;</t>
  </si>
  <si>
    <t>part_V</t>
  </si>
  <si>
    <t>S</t>
  </si>
  <si>
    <t>Speed</t>
  </si>
  <si>
    <t>mcn_W_tool</t>
  </si>
  <si>
    <t>mcn_N_teeth</t>
  </si>
  <si>
    <t>mcn_R_feed</t>
  </si>
  <si>
    <t>mcn_T_idle</t>
  </si>
  <si>
    <t>mcn_P_standby</t>
  </si>
  <si>
    <t>mcn_P_operating</t>
  </si>
  <si>
    <t>mcn_opDays</t>
  </si>
  <si>
    <t>mcn_opHours</t>
  </si>
  <si>
    <t>mcn_N_equip</t>
  </si>
  <si>
    <t>mcn_L_equip</t>
  </si>
  <si>
    <t>mcn_L_tool</t>
  </si>
  <si>
    <t>mcn_L_bldng</t>
  </si>
  <si>
    <t>mcn_floorSpace</t>
  </si>
  <si>
    <t>mcn_N_operators</t>
  </si>
  <si>
    <t>mcn_%_time</t>
  </si>
  <si>
    <t>mcn_%_yield</t>
  </si>
  <si>
    <t>mcn_C_labor</t>
  </si>
  <si>
    <t>mcn_C_floor</t>
  </si>
  <si>
    <t>mcn_C_energy</t>
  </si>
  <si>
    <t>mcn_C_capital</t>
  </si>
  <si>
    <t>mcn_C_tool</t>
  </si>
  <si>
    <t>mcn_C_misc</t>
  </si>
  <si>
    <t>mcn_%_interest</t>
  </si>
  <si>
    <t>mcn_%_install</t>
  </si>
  <si>
    <t>mcn_%_maint</t>
  </si>
  <si>
    <t>mcn_%_insure</t>
  </si>
  <si>
    <t>mcn_%_tax</t>
  </si>
  <si>
    <t>mcn_%_benefits</t>
  </si>
  <si>
    <t>mcn_%_indirect</t>
  </si>
  <si>
    <t>mcn_C_indirect</t>
  </si>
  <si>
    <t>mcn_WCP</t>
  </si>
  <si>
    <t>mcn_W_chip</t>
  </si>
  <si>
    <t>mcn_R_surface</t>
  </si>
  <si>
    <t>mcn_H_cut</t>
  </si>
  <si>
    <t>mcn_C_capital * mcn_N_equip * (mcn_%_insure + mcn_%_maint)</t>
  </si>
  <si>
    <t>mcn_T_opHrs</t>
  </si>
  <si>
    <t>rpm</t>
  </si>
  <si>
    <t>cm/min</t>
  </si>
  <si>
    <t>cm^3/min</t>
  </si>
  <si>
    <t>dep_V - part_V</t>
  </si>
  <si>
    <t>mcn_V_removed</t>
  </si>
  <si>
    <t>SQRT(dep_dim1^2 - 4*mcn_removed/PI/dep_H)</t>
  </si>
  <si>
    <t>mcn_dim1</t>
  </si>
  <si>
    <t>AVERAGE(dep_dim1,mcn_dim1)</t>
  </si>
  <si>
    <t>mcn_dimAvg</t>
  </si>
  <si>
    <t>mcn_RPM</t>
  </si>
  <si>
    <t>mcn_R_feedLin</t>
  </si>
  <si>
    <t>mcn_R_remove</t>
  </si>
  <si>
    <t>mcn_V_removed/mcn_R_remove</t>
  </si>
  <si>
    <t>mcn_T_machining</t>
  </si>
  <si>
    <t>mcn_T_total</t>
  </si>
  <si>
    <t>mcn_T_labor</t>
  </si>
  <si>
    <t>mcn_T_machining + mcn_T_idle</t>
  </si>
  <si>
    <t>mcn_T_idle + mcn_T_machining*mcn_%_time</t>
  </si>
  <si>
    <t>mcn_T_labor/mcn_T_total</t>
  </si>
  <si>
    <t>mcn_%_monitored</t>
  </si>
  <si>
    <t>mcn_E_part</t>
  </si>
  <si>
    <t>mcn_maxIn</t>
  </si>
  <si>
    <t>mcn_maxOut</t>
  </si>
  <si>
    <t>mcn_maxIn * mcn_%_yield</t>
  </si>
  <si>
    <t>(mcn_T_machining*mcn_P_operating + mcn_T_idle*mcn_P_standby)/60</t>
  </si>
  <si>
    <t>mcn_N_equip*mcn_T_opHrs/(mcn_T_total/60)</t>
  </si>
  <si>
    <t>min</t>
  </si>
  <si>
    <t>mcn_C_lbr</t>
  </si>
  <si>
    <t>Monitored Percentage per Part</t>
  </si>
  <si>
    <t>mcn_C_enrgy</t>
  </si>
  <si>
    <t>mcn_C_over</t>
  </si>
  <si>
    <t>mcn_N_operators*mcn_%_indirect*mcn_C_indirect*(1+mcn_%_benefits)*mcn_%_monitored</t>
  </si>
  <si>
    <t>(mcn_C_capital*(1+mcn_%_install)+mcn_C_misc)*(1+mcn_%_tax)*mcn_N_equip/mcn_L_equip</t>
  </si>
  <si>
    <t>mcn_C_cap</t>
  </si>
  <si>
    <t>mcn_floorspace*mcn_N_equip*mcn_C_floor/mcn_L_bldng</t>
  </si>
  <si>
    <t>mcn_C_bld</t>
  </si>
  <si>
    <t>mcn_C_tool*mcn_N_equip/mcn_L_tool</t>
  </si>
  <si>
    <t>mcn_C_other</t>
  </si>
  <si>
    <t>mcn_C_lbr_i</t>
  </si>
  <si>
    <t>mcn_C_enrgy_i</t>
  </si>
  <si>
    <t>mcn_C_over_i</t>
  </si>
  <si>
    <t>mcn_C_cap_i</t>
  </si>
  <si>
    <t>mcn_C_bld_i</t>
  </si>
  <si>
    <t>mcn_C_tool_i</t>
  </si>
  <si>
    <t>mcn_C_other_i</t>
  </si>
  <si>
    <t>mcn_C_interest</t>
  </si>
  <si>
    <t>PMT(mcn_%_interest/12, mcn_WCP, -mcn_C_lbr*mcn_WCP/12)*12</t>
  </si>
  <si>
    <t>PMT(mcn_%_interest/12, mcn_WCP, -mcn_C_enrgy*mcn_WCP/12)*12</t>
  </si>
  <si>
    <t>PMT(mcn_%_interest/12, mcn_WCP, -mcn_C_over*mcn_WCP/12)*12</t>
  </si>
  <si>
    <t>PMT(mcn_%_interest/12, mcn_L_equip*12, -mcn_C_cap*mcn_L_equip)*12</t>
  </si>
  <si>
    <t>PMT(mcn_%_interest/12, mcn_L_bldng*12, -mcn_C_bld*mcn_L_bldng)*12</t>
  </si>
  <si>
    <t>PMT(mcn_%_interest/12, mcn_L_tool*12, -mcn_C_tool*mcn_L_tool)*12</t>
  </si>
  <si>
    <t>PMT(mcn_%_interest/12, mcn_WCP, -mcn_C_other*mcn_WCP/12)*12</t>
  </si>
  <si>
    <t>lbr+enrgy+over+cap+bld+tool+other+interest</t>
  </si>
  <si>
    <t>lbr_i+enrgy_i+over_i+cap_i+bld_i+tool_i+other_i</t>
  </si>
  <si>
    <t>mcn_C_total</t>
  </si>
  <si>
    <t>Table for time breakdown on machining tab &gt;&gt;&gt;</t>
  </si>
  <si>
    <t>Table for cost breakdown on machining tab &gt;&gt;&gt;</t>
  </si>
  <si>
    <t>hrs/yr</t>
  </si>
  <si>
    <t>dep_T_opHrs</t>
  </si>
  <si>
    <t>dep_N_printers*dep_T_opHrs/dep_T_plate</t>
  </si>
  <si>
    <t>MIN(dep_maxOut,pp_maxOut,mcn_maxOut)</t>
  </si>
  <si>
    <t>btl_R</t>
  </si>
  <si>
    <t>btl_process</t>
  </si>
  <si>
    <t>dep_T_final</t>
  </si>
  <si>
    <t>pp_T_final</t>
  </si>
  <si>
    <t>mcn_T_final</t>
  </si>
  <si>
    <t>dep_N_inFinal</t>
  </si>
  <si>
    <t>dep_N_printsFinal</t>
  </si>
  <si>
    <t>dep_M_massFinal</t>
  </si>
  <si>
    <t>dep_outFinal/dep_%_yield</t>
  </si>
  <si>
    <t>prints/yr</t>
  </si>
  <si>
    <t>dep_N_inFinal/dep_N_parts</t>
  </si>
  <si>
    <t>kg</t>
  </si>
  <si>
    <t>dep_N_printsFinal*dep_M_pb/1000</t>
  </si>
  <si>
    <t>dep_T_final/dep_T_opHrs</t>
  </si>
  <si>
    <t>mcn_T_final/mcn_T_opHrs</t>
  </si>
  <si>
    <t>pp_T_final/pp_T_opHrs</t>
  </si>
  <si>
    <t>dep_util</t>
  </si>
  <si>
    <t>pp_util</t>
  </si>
  <si>
    <t>mcn_util</t>
  </si>
  <si>
    <t>Printing - Annual Cost Labor</t>
  </si>
  <si>
    <t>Printing - Annual Cost Energy</t>
  </si>
  <si>
    <t>Printing - Annual Cost Overhead</t>
  </si>
  <si>
    <t>Printing - Annualized Cost Capital (Installed)</t>
  </si>
  <si>
    <t>Printing - Annualized Cost Building</t>
  </si>
  <si>
    <t>Printing - Annualized Cost Tool</t>
  </si>
  <si>
    <t>Printing - Annual Cost Other (maintneance, Insurance, taxes, etc.)</t>
  </si>
  <si>
    <t>Printing - Interest Material</t>
  </si>
  <si>
    <t>Printing - Interest Labor</t>
  </si>
  <si>
    <t>Printing - Interest Energy</t>
  </si>
  <si>
    <t>Printing - Interest Overhead</t>
  </si>
  <si>
    <t>Printing - Interest Captial</t>
  </si>
  <si>
    <t>Printing - Interest Building</t>
  </si>
  <si>
    <t>Printing - Interest Tooling</t>
  </si>
  <si>
    <t>Printing - Interest Other</t>
  </si>
  <si>
    <t>Post - Annual Cost Labor</t>
  </si>
  <si>
    <t>Post - Annual Energy Costs</t>
  </si>
  <si>
    <t>Post - Annual Overhead Costs</t>
  </si>
  <si>
    <t>Post - Annualized Capital Costs (Installed)</t>
  </si>
  <si>
    <t>Post - Annualized Building Costs</t>
  </si>
  <si>
    <t>Post - Annual Cost Other (maintneance, Insurance, taxes, etc.)</t>
  </si>
  <si>
    <t>Post - Interest Labor</t>
  </si>
  <si>
    <t>Post - Interest Energy</t>
  </si>
  <si>
    <t>Post - Interest Overhead</t>
  </si>
  <si>
    <t>Post - Interest Captial</t>
  </si>
  <si>
    <t>Post - Interest Building</t>
  </si>
  <si>
    <t>Post - Interest Other</t>
  </si>
  <si>
    <t>Finish - Annual Cost Labor</t>
  </si>
  <si>
    <t>Finish - Annual Cost Energy</t>
  </si>
  <si>
    <t>Finish - Annual Cost Overhead</t>
  </si>
  <si>
    <t>Finish - Annualized Cost Capital (Installed)</t>
  </si>
  <si>
    <t>Finish - Annualized Cost Building</t>
  </si>
  <si>
    <t>Finish - Annualized Cost Tool</t>
  </si>
  <si>
    <t>Finish - Annual Cost Other (maintneance, Insurance, taxes, etc.)</t>
  </si>
  <si>
    <t>Finish - Interest Labor</t>
  </si>
  <si>
    <t>Finish - Interest Energy</t>
  </si>
  <si>
    <t>Finish - Interest Overhead</t>
  </si>
  <si>
    <t>Finish - Interest Captial</t>
  </si>
  <si>
    <t>Finish - Interest Building</t>
  </si>
  <si>
    <t>Finish - Interest Tooling</t>
  </si>
  <si>
    <t>Finish - Interest Other</t>
  </si>
  <si>
    <t>Per Batch Build Plate Cost</t>
  </si>
  <si>
    <t>plate_C/plate_L</t>
  </si>
  <si>
    <t>dep_C_plate</t>
  </si>
  <si>
    <t>(dep_M_pb/1000*mtrl_C + dep_C_plate)*dep_N_plates</t>
  </si>
  <si>
    <t>(dep_M_pb/1000*mtrl_C + dep_C_plate)*dep_N_printsFinal</t>
  </si>
  <si>
    <t>dep_T_standby*dep_P_standBy*dep_N_plates</t>
  </si>
  <si>
    <t>dep_T_printing*dep_P_avg*dep_N_plates</t>
  </si>
  <si>
    <t>dep_T_standby*dep_P_standBy*dep_N_printsFinal</t>
  </si>
  <si>
    <t>dep_T_printing*dep_P_avg*dep_N_printsFinal</t>
  </si>
  <si>
    <t>dep_E_standBy_F</t>
  </si>
  <si>
    <t>dep_E_printing_F</t>
  </si>
  <si>
    <t>Energy Standby (all printers)</t>
  </si>
  <si>
    <t>Energy Printing (all printers)</t>
  </si>
  <si>
    <t># of Plates per Year (all printers)</t>
  </si>
  <si>
    <t>(dep_E_standby + dep_E_printing)*dep_C_energy</t>
  </si>
  <si>
    <t>dep_T_printing*dep_%_time + dep_T_standby</t>
  </si>
  <si>
    <t>dep_T_labor*dep_N_operators*dep_C_labor*(1+dep_%_benefits)*dep_N_plates</t>
  </si>
  <si>
    <t>Per Plate Labor Time (per worker)</t>
  </si>
  <si>
    <t>Labor Time per Batch (per worker)</t>
  </si>
  <si>
    <t>pp_T_labor*pp_N_operators*pp_C_labor*(1+pp_%_benefits)*pp_N_batches</t>
  </si>
  <si>
    <t>Labor Time per Part (per worker)</t>
  </si>
  <si>
    <t>mcn_T_labor*mcn_N_operators*mcn_C_labor*(1+mcn_%_benefits)*mcn_maxIn</t>
  </si>
  <si>
    <t>dep_T_labor*dep_N_operators*dep_C_labor*(1+dep%_benefits)*dep_N_printsFinal</t>
  </si>
  <si>
    <t>(dep_C_capital*(1+dep_%_install)+dep_C_misc)*(1+dep_%_tax)*dep_N_printers/dep_L_Equip*dep_util</t>
  </si>
  <si>
    <t>dep_floorSpace*dep_N_printers*dep_C_floor/dep_L_bldng*dep_util</t>
  </si>
  <si>
    <t>dep_C_tool*dep_N_printers/dep_L_tool*dep_util</t>
  </si>
  <si>
    <t>dep_N_operators*dep_%_indirect*dep_C_indirect*(1+dep_%_benefits)*dep_%_monitored*dep_util</t>
  </si>
  <si>
    <t>dep_C_capital*dep_N_printers*(dep_%_insure + dep_%_maint)*dep_util</t>
  </si>
  <si>
    <t>Printing - Annual Cost Materials</t>
  </si>
  <si>
    <t>dep_C_mtrl_F</t>
  </si>
  <si>
    <t>dep_C_lbr_F</t>
  </si>
  <si>
    <t>dep_C_enrgy_F</t>
  </si>
  <si>
    <t>dep_C_over_F</t>
  </si>
  <si>
    <t>dep_C_cap_F</t>
  </si>
  <si>
    <t>dep_C_bld_F</t>
  </si>
  <si>
    <t>dep_C_tool_F</t>
  </si>
  <si>
    <t>dep_C_other_F</t>
  </si>
  <si>
    <t>PMT(dep_%_interest/12, dep_WCP,-dep_C_mtrl_F*dep_WCP/12)*12</t>
  </si>
  <si>
    <t>PMT(dep_%_interest/12, dep_WCP,-dep_C_lbr_F*dep_WCP/12)*12</t>
  </si>
  <si>
    <t>PMT(dep_%_interest/12, dep_WCP,-dep_C_enrgy_F*dep_WCP/12)*12</t>
  </si>
  <si>
    <t>PMT(dep_%_interest/12, dep_WCP,-dep_C_over_F*dep_WCP/12)*12</t>
  </si>
  <si>
    <t>PMT(dep_%_interest/12,dep_L_Equip*12,-dep_C_cap_F*dep_L_Equip)*12</t>
  </si>
  <si>
    <t>PMT(dep_%_interest/12,dep_L_bldng*12,-dep_C_bld_F*dep_L_bldng)*12</t>
  </si>
  <si>
    <t>PMT(dep_%_interest/12,dep_L_tool*12,-dep_C_tool_F*dep_L_tool)*12</t>
  </si>
  <si>
    <t>PMT(dep_%_interest/12,dep_WCP,-dep_C_other_F*dep_WCP/12)*12</t>
  </si>
  <si>
    <t>dep_C_mtrl_F_i</t>
  </si>
  <si>
    <t>dep_C_lbr_F_i</t>
  </si>
  <si>
    <t>dep_C_enrgy_F_i</t>
  </si>
  <si>
    <t>dep_C_over_F_i</t>
  </si>
  <si>
    <t>dep_C_cap_F_i</t>
  </si>
  <si>
    <t>dep_C_bld_F_i</t>
  </si>
  <si>
    <t>dep_C_tool_F_i</t>
  </si>
  <si>
    <t>dep_C_other_F_i</t>
  </si>
  <si>
    <t>pp_C_lbr_F_i</t>
  </si>
  <si>
    <t>pp_C_enrgy_F_i</t>
  </si>
  <si>
    <t>pp_C_over_F_i</t>
  </si>
  <si>
    <t>pp_C_cap_F_i</t>
  </si>
  <si>
    <t>pp_C_bld_F_i</t>
  </si>
  <si>
    <t>pp_C_other_F_i</t>
  </si>
  <si>
    <t>PMT(pp_%_interest/12, pp_WCP,-pp_C_lbr_F*pp_WCP/12)*12</t>
  </si>
  <si>
    <t>PMT(pp_%_interest/12, pp_WCP,-pp_C_enrgy_F*pp_WCP/12)*12</t>
  </si>
  <si>
    <t>PMT(pp_%_interest/12, pp_WCP,-pp_C_over_F*pp_WCP/12)*12</t>
  </si>
  <si>
    <t>PMT(pp_%_interest/12, pp_L_equip*12, -pp_C_cap_F*pp_L_equip)*12</t>
  </si>
  <si>
    <t>PMT(pp_%_interest/12, pp_L_bldng*12, -pp_C_bld_F*pp_L_bldng)*12</t>
  </si>
  <si>
    <t>PMT(pp_%_interest/12, pp_WCP, -pp_C_other_F*pp_WCP/12)*12</t>
  </si>
  <si>
    <t>mcn_C_lbr_F_i</t>
  </si>
  <si>
    <t>mcn_C_enrgy_F_i</t>
  </si>
  <si>
    <t>mcn_C_over_F_i</t>
  </si>
  <si>
    <t>mcn_C_cap_F_i</t>
  </si>
  <si>
    <t>mcn_C_bld_F_i</t>
  </si>
  <si>
    <t>mcn_C_tool_F_i</t>
  </si>
  <si>
    <t>mcn_C_other_F_i</t>
  </si>
  <si>
    <t>PMT(mcn_%_interest/12, mcn_WCP, -mcn_C_lbr_F*mcn_WCP/12)*12</t>
  </si>
  <si>
    <t>PMT(mcn_%_interest/12, mcn_WCP, -mcn_C_enrgy_F*mcn_WCP/12)*12</t>
  </si>
  <si>
    <t>PMT(mcn_%_interest/12, mcn_WCP, -mcn_C_over_F*mcn_WCP/12)*12</t>
  </si>
  <si>
    <t>PMT(mcn_%_interest/12, mcn_L_equip*12, -mcn_C_cap_F*mcn_L_equip)*12</t>
  </si>
  <si>
    <t>PMT(mcn_%_interest/12, mcn_L_bldng*12, -mcn_C_bld_F*mcn_L_bldng)*12</t>
  </si>
  <si>
    <t>PMT(mcn_%_interest/12, mcn_L_tool*12, -mcn_C_tool_F*mcn_L_tool)*12</t>
  </si>
  <si>
    <t>PMT(mcn_%_interest/12, mcn_WCP, -mcn_C_other_F*mcn_WCP/12)*12</t>
  </si>
  <si>
    <t>pp_T_labor*pp_N_operators*pp_C_labor*(1+pp_%_benefits)*pp_N_batches_F</t>
  </si>
  <si>
    <t>Final Number of Post Process Batches</t>
  </si>
  <si>
    <t>pp_T_batch</t>
  </si>
  <si>
    <t>pp_T_opHrs/pp_T_batch</t>
  </si>
  <si>
    <t>pp_T_labor/pp_T_batch</t>
  </si>
  <si>
    <t>pp_T_final/pp_T_batch</t>
  </si>
  <si>
    <t>pp_N_batches_F</t>
  </si>
  <si>
    <t>pp_N_operators*pp_%_indirect*pp_C_indirect*(1+pp_%_benefits)*pp_%_monitored*pp_util</t>
  </si>
  <si>
    <t>(pp_C_capital*(1+pp_%_install)+pp_C_misc)*(1+pp_%_tax)*pp_N_equip/pp_L_equip*pp_util</t>
  </si>
  <si>
    <t>pp_floorSpace*pp_N_equip*pp_C_floor/pp_L_bldng*pp_util</t>
  </si>
  <si>
    <t>pp_floorSpace*pp_N_equip*pp_C_floor/pp_L_bldng</t>
  </si>
  <si>
    <t>pp_C_capital*pp_N_equip*(pp_%_insure + pp_%_maint)*pp_util</t>
  </si>
  <si>
    <t>pp_C_lbr_F</t>
  </si>
  <si>
    <t>pp_C_enrgy_F</t>
  </si>
  <si>
    <t>pp_C_over_F</t>
  </si>
  <si>
    <t>pp_C_cap_F</t>
  </si>
  <si>
    <t>pp_C_bld_F</t>
  </si>
  <si>
    <t>pp_C_other_F</t>
  </si>
  <si>
    <t>batches/yr</t>
  </si>
  <si>
    <t>mcn_T_labor*mcn_N_operators*mcn_C_labor*(1+mcn_%_benefits)*mcn_N_parts_F</t>
  </si>
  <si>
    <t>mcn_E_part*maxIn*mcn_C_elec</t>
  </si>
  <si>
    <t>mcn_N_operators*mcn_%_indirect*mcn_C_indirect*(1+mcn_%_benefits)*mcn_%_monitored*mcn_util</t>
  </si>
  <si>
    <t>(mcn_C_capital*(1+mcn_%_install)+mcn_C_misc)*(1+mcn_%_tax)*mcn_N_equip/mcn_L_equip*mcn_util</t>
  </si>
  <si>
    <t>mcn_floorSpace*mcn_N_equip*mcn_C_floor/mcn_L_bldng*mcn_util</t>
  </si>
  <si>
    <t>mcn_C_tool*mcn_N_equip/mcn_L_tool*mcn_util</t>
  </si>
  <si>
    <t>mcn_C_capital*mcn_N_equip*(mcn_%_insure + mcn_%_maint)*mcn_util</t>
  </si>
  <si>
    <t>mcn_C_lbr_F</t>
  </si>
  <si>
    <t>mcn_C_enrgy_F</t>
  </si>
  <si>
    <t>mcn_C_over_F</t>
  </si>
  <si>
    <t>mcn_C_cap_F</t>
  </si>
  <si>
    <t>mcn_C_bld_F</t>
  </si>
  <si>
    <t>mcn_C_tool_F</t>
  </si>
  <si>
    <t>mcn_C_other_F</t>
  </si>
  <si>
    <t>$/part</t>
  </si>
  <si>
    <t>dep_E_standBy_F/mcn_out_F</t>
  </si>
  <si>
    <t>dep_E_printing_F/mcn_out_F</t>
  </si>
  <si>
    <t>dep_C_mtrl_F/mcn_out_F</t>
  </si>
  <si>
    <t>dep_C_lbr_F/mcn_out_F</t>
  </si>
  <si>
    <t>dep_C_enrgy_F/mcn_out_F</t>
  </si>
  <si>
    <t>dep_C_over_F/mcn_out_F</t>
  </si>
  <si>
    <t>dep_C_cap_F/mcn_out_F</t>
  </si>
  <si>
    <t>dep_C_bld_F/mcn_out_F</t>
  </si>
  <si>
    <t>dep_C_tool_F/mcn_out_F</t>
  </si>
  <si>
    <t>dep_C_other_F/mcn_out_F</t>
  </si>
  <si>
    <t>pp_C_lbr_F/mcn_out_F</t>
  </si>
  <si>
    <t>pp_C_enrgy_F/mcn_out_F</t>
  </si>
  <si>
    <t>pp_C_over_F/mcn_out_F</t>
  </si>
  <si>
    <t>pp_C_cap_F/mcn_out_F</t>
  </si>
  <si>
    <t>pp_C_bld_F/mcn_out_F</t>
  </si>
  <si>
    <t>pp_C_other_F/mcn_out_F</t>
  </si>
  <si>
    <t>mcn_C_lbr_F/mcn_out_F</t>
  </si>
  <si>
    <t>mcn_C_enrgy_F/mcn_out_F</t>
  </si>
  <si>
    <t>mcn_C_over_F/mcn_out_F</t>
  </si>
  <si>
    <t>mcn_C_cap_F/mcn_out_F</t>
  </si>
  <si>
    <t>mcn_C_bld_F/mcn_out_F</t>
  </si>
  <si>
    <t>mcn_C_tool_F/mcn_out_F</t>
  </si>
  <si>
    <t>mcn_C_other_F/mcn_out_F</t>
  </si>
  <si>
    <t>dep_C_mtrl_F_i/mcn_out_F</t>
  </si>
  <si>
    <t>dep_C_lbr_F_i/mcn_out_F</t>
  </si>
  <si>
    <t>dep_C_enrgy_F_i/mcn_out_F</t>
  </si>
  <si>
    <t>dep_C_over_F_i/mcn_out_F</t>
  </si>
  <si>
    <t>dep_C_cap_F_i/mcn_out_F</t>
  </si>
  <si>
    <t>dep_C_bld_F_i/mcn_out_F</t>
  </si>
  <si>
    <t>dep_C_tool_F_i/mcn_out_F</t>
  </si>
  <si>
    <t>dep_C_other_F_i/mcn_out_F</t>
  </si>
  <si>
    <t>pp_C_lbr_F_i/mcn_out_F</t>
  </si>
  <si>
    <t>pp_C_enrgy_F_i/mcn_out_F</t>
  </si>
  <si>
    <t>pp_C_over_F_i/mcn_out_F</t>
  </si>
  <si>
    <t>pp_C_cap_F_i/mcn_out_F</t>
  </si>
  <si>
    <t>pp_C_bld_F_i/mcn_out_F</t>
  </si>
  <si>
    <t>pp_C_other_F_i/mcn_out_F</t>
  </si>
  <si>
    <t>mcn_C_lbr_F_i/mcn_out_F</t>
  </si>
  <si>
    <t>mcn_C_enrgy_F_i/mcn_out_F</t>
  </si>
  <si>
    <t>mcn_C_over_F_i/mcn_out_F</t>
  </si>
  <si>
    <t>mcn_C_cap_F_i/mcn_out_F</t>
  </si>
  <si>
    <t>mcn_C_bld_F_i/mcn_out_F</t>
  </si>
  <si>
    <t>Working Capital Period</t>
  </si>
  <si>
    <t>Machining</t>
  </si>
  <si>
    <t>Indirect Worker Salary</t>
  </si>
  <si>
    <t>Labor Pay Rate</t>
  </si>
  <si>
    <t>yrs</t>
  </si>
  <si>
    <t>$/ft2</t>
  </si>
  <si>
    <t>Printing Power Consumption</t>
  </si>
  <si>
    <t>Maintenance (% of capital)</t>
  </si>
  <si>
    <t>Insurance (% of capital)</t>
  </si>
  <si>
    <t>Indirect/Direct Worker Ratio</t>
  </si>
  <si>
    <t>Labor Benefits Rate</t>
  </si>
  <si>
    <t>Number of Uses per Build Plate</t>
  </si>
  <si>
    <t>Required Floorspace per Printer</t>
  </si>
  <si>
    <t>Setup Time per Print</t>
  </si>
  <si>
    <t>Expected Tooling Life</t>
  </si>
  <si>
    <t>Monitored Time per Print</t>
  </si>
  <si>
    <t>TEA Inputs</t>
  </si>
  <si>
    <t>TEA Analysis Level:</t>
  </si>
  <si>
    <t>Default</t>
  </si>
  <si>
    <t>https://upload.wikimedia.org/wikipedia/commons/3/34/Market_data_on_display_at_Taiwan_Stock_Exchange_20210208.jpg</t>
  </si>
  <si>
    <t>https://commons.wikimedia.org/wiki/File:Tesla_auto_bots.jpg</t>
  </si>
  <si>
    <t>https://commons.wikimedia.org/wiki/File:Frontier_Supercomputer_(2).jpg</t>
  </si>
  <si>
    <t>Post Processing Outputs</t>
  </si>
  <si>
    <t>Process Inputs</t>
  </si>
  <si>
    <t>Operations Inputs</t>
  </si>
  <si>
    <t>Intermediate Input</t>
  </si>
  <si>
    <t>Advanced Input</t>
  </si>
  <si>
    <t>Default Input</t>
  </si>
  <si>
    <t>Printing Inputs (Page 1)</t>
  </si>
  <si>
    <t>Printing Inputs (Page 2)</t>
  </si>
  <si>
    <t>Operators per Equipment</t>
  </si>
  <si>
    <t>Post Processing Needed?</t>
  </si>
  <si>
    <t>True/False</t>
  </si>
  <si>
    <t>pp_Needed?</t>
  </si>
  <si>
    <t>Number of Post Processing Equipment</t>
  </si>
  <si>
    <t>Geometry Input Sheet</t>
  </si>
  <si>
    <t>Material Input Sheet</t>
  </si>
  <si>
    <t>Deposition Input Sheet</t>
  </si>
  <si>
    <t>TEA Input Sheet</t>
  </si>
  <si>
    <t>Number of Finishing Equipment</t>
  </si>
  <si>
    <t>Monitored Time per Finishing</t>
  </si>
  <si>
    <t>Machining Input Sheet</t>
  </si>
  <si>
    <t>Finishing Yield</t>
  </si>
  <si>
    <t>Finishing Needed?</t>
  </si>
  <si>
    <t>mcn_Needed?</t>
  </si>
  <si>
    <t>Finishing Type?</t>
  </si>
  <si>
    <t>mcn_Type</t>
  </si>
  <si>
    <t>Monitored Time per Post Processing</t>
  </si>
  <si>
    <t xml:space="preserve">Restore Default Values?      </t>
  </si>
  <si>
    <t>TEA Analysis Level</t>
  </si>
  <si>
    <t>dep_TEALevel</t>
  </si>
  <si>
    <t>TEA Values to Choose</t>
  </si>
  <si>
    <t>dep_TEALevel_Choose</t>
  </si>
  <si>
    <t>Printing Costs</t>
  </si>
  <si>
    <t>Post Processing Costs</t>
  </si>
  <si>
    <t>Finishing Costs</t>
  </si>
  <si>
    <t>Total Costs</t>
  </si>
  <si>
    <t>Energy Used</t>
  </si>
  <si>
    <t>Materials</t>
  </si>
  <si>
    <t>Time by Process</t>
  </si>
  <si>
    <t>Process Times</t>
  </si>
  <si>
    <t>Total Time Breakdown</t>
  </si>
  <si>
    <t>Printing Time</t>
  </si>
  <si>
    <t>Post Processing Time</t>
  </si>
  <si>
    <t>Finishing Time</t>
  </si>
  <si>
    <t>Machining Costs</t>
  </si>
  <si>
    <t>Overall Costs</t>
  </si>
  <si>
    <t>Post Process Costs</t>
  </si>
  <si>
    <t>Process Utilization</t>
  </si>
  <si>
    <t>Overall Time</t>
  </si>
  <si>
    <t>FOR RESULTS TAB PLOTS &gt;&gt;&gt;&gt;</t>
  </si>
  <si>
    <t>Current</t>
  </si>
  <si>
    <t>Max Util</t>
  </si>
  <si>
    <t>Current Util</t>
  </si>
  <si>
    <t>Utilization (%)</t>
  </si>
  <si>
    <t>Current Util 2</t>
  </si>
  <si>
    <t>Max Util 2</t>
  </si>
  <si>
    <t>Geometry</t>
  </si>
  <si>
    <t>Final Volume</t>
  </si>
  <si>
    <t>Material Used</t>
  </si>
  <si>
    <t>Printer Information</t>
  </si>
  <si>
    <t>Printer Process</t>
  </si>
  <si>
    <t>Machining?</t>
  </si>
  <si>
    <t>Post Processing?</t>
  </si>
  <si>
    <t>Max Production</t>
  </si>
  <si>
    <t>Total Cost</t>
  </si>
  <si>
    <t>Results Summary</t>
  </si>
  <si>
    <t>Post Processing Required?</t>
  </si>
  <si>
    <t>pp_needed</t>
  </si>
  <si>
    <t>Finishing Required?</t>
  </si>
  <si>
    <t>mcn_needed</t>
  </si>
  <si>
    <t>Bottleneck Scenario</t>
  </si>
  <si>
    <t>DEP+PP+FIN = 1, DEP+PP = 2, DEP+FIN = 3, DEP = 4</t>
  </si>
  <si>
    <t>----</t>
  </si>
  <si>
    <t>btl_Scenario</t>
  </si>
  <si>
    <t>Post Process Time</t>
  </si>
  <si>
    <t>Final Number of Parts Produced</t>
  </si>
  <si>
    <t>Final_Out</t>
  </si>
  <si>
    <t>dep_N_outFinal</t>
  </si>
  <si>
    <t>pp_N_outFinal</t>
  </si>
  <si>
    <t>mcn_N_outFinal</t>
  </si>
  <si>
    <t>Energy Post Processing</t>
  </si>
  <si>
    <t>Energy Finishing</t>
  </si>
  <si>
    <t>pp_E_batch*pp_N_batches_F*pp_N_equip</t>
  </si>
  <si>
    <t>mcn_E_part*mcn_N_parts_F</t>
  </si>
  <si>
    <t>pp_E_F</t>
  </si>
  <si>
    <t>mcn_E_F</t>
  </si>
  <si>
    <t>Energy Printing (Total)</t>
  </si>
  <si>
    <t>dep_E_standBy_F + dep_E_printing_F</t>
  </si>
  <si>
    <t>dep_E_F</t>
  </si>
  <si>
    <t>dep_E_F*dep_N_printers*dep_C_energy</t>
  </si>
  <si>
    <t>pp_E_F*pp_C_energy</t>
  </si>
  <si>
    <t>mcn_E_F*mcn_C_energy</t>
  </si>
  <si>
    <t>Scenario Name</t>
  </si>
  <si>
    <t>Example</t>
  </si>
  <si>
    <t>Location</t>
  </si>
  <si>
    <t>Scenarios!C6</t>
  </si>
  <si>
    <t>Scenarios!C7</t>
  </si>
  <si>
    <t>Matrix Type</t>
  </si>
  <si>
    <t>Matrix Cost</t>
  </si>
  <si>
    <t>Matrix Density</t>
  </si>
  <si>
    <t>'2. Geometry'!D8</t>
  </si>
  <si>
    <t>'2. Geometry'!D9</t>
  </si>
  <si>
    <t>'2. Geometry'!D10</t>
  </si>
  <si>
    <t>'2. Geometry'!D11</t>
  </si>
  <si>
    <t>'3. Material'!C12</t>
  </si>
  <si>
    <t>'3. Material'!C13</t>
  </si>
  <si>
    <t>'3. Material'!C14</t>
  </si>
  <si>
    <t>'3. Material'!C15</t>
  </si>
  <si>
    <t>'3. Material'!D24</t>
  </si>
  <si>
    <t>'3. Material'!D25</t>
  </si>
  <si>
    <t>'3. Material'!D26</t>
  </si>
  <si>
    <t>'3. Material'!D27</t>
  </si>
  <si>
    <t>'3. Material'!D28</t>
  </si>
  <si>
    <t>'3. Material'!D29</t>
  </si>
  <si>
    <t>'3. Material'!D30</t>
  </si>
  <si>
    <t>'1. TEA Variables'!D11</t>
  </si>
  <si>
    <t>INT Working Capital Period</t>
  </si>
  <si>
    <t>INT Interest Rate</t>
  </si>
  <si>
    <t>INT Installation Cost</t>
  </si>
  <si>
    <t>INT Maintenance Cost</t>
  </si>
  <si>
    <t>INT Insurance Cost</t>
  </si>
  <si>
    <t>INT Tax Rate</t>
  </si>
  <si>
    <t>INT Benefits Rate</t>
  </si>
  <si>
    <t>INT Labor Cost</t>
  </si>
  <si>
    <t>INT Indirect Emplyees Salary</t>
  </si>
  <si>
    <t>INT Energy Cost</t>
  </si>
  <si>
    <t>INT Floorspace Cost</t>
  </si>
  <si>
    <t>INT Equipment Life</t>
  </si>
  <si>
    <t>INT Building Life</t>
  </si>
  <si>
    <t>'1. TEA Variables'!D31</t>
  </si>
  <si>
    <t>'1. TEA Variables'!D32</t>
  </si>
  <si>
    <t>'1. TEA Variables'!D33</t>
  </si>
  <si>
    <t>'1. TEA Variables'!D34</t>
  </si>
  <si>
    <t>'1. TEA Variables'!D35</t>
  </si>
  <si>
    <t>'1. TEA Variables'!D36</t>
  </si>
  <si>
    <t>'1. TEA Variables'!D37</t>
  </si>
  <si>
    <t>'1. TEA Variables'!D38</t>
  </si>
  <si>
    <t>'1. TEA Variables'!D39</t>
  </si>
  <si>
    <t>'1. TEA Variables'!D40</t>
  </si>
  <si>
    <t>'1. TEA Variables'!D41</t>
  </si>
  <si>
    <t>'1. TEA Variables'!D42</t>
  </si>
  <si>
    <t>'1. TEA Variables'!D43</t>
  </si>
  <si>
    <t>'1. TEA Variables'!D44</t>
  </si>
  <si>
    <t>PRNT Working Capital Period</t>
  </si>
  <si>
    <t>PRNT PRNTerest Rate</t>
  </si>
  <si>
    <t>PRNT Installation Cost</t>
  </si>
  <si>
    <t>PRNT MaPRNTenance Cost</t>
  </si>
  <si>
    <t>PRNT Insurance Cost</t>
  </si>
  <si>
    <t>PRNT Tax Rate</t>
  </si>
  <si>
    <t>PRNT Benefits Rate</t>
  </si>
  <si>
    <t>PRNT Labor Cost</t>
  </si>
  <si>
    <t>PRNT Indirect Emplyees Salary</t>
  </si>
  <si>
    <t>PRNT Energy Cost</t>
  </si>
  <si>
    <t>PRNT Floorspace Cost</t>
  </si>
  <si>
    <t>PRNT Equipment Life</t>
  </si>
  <si>
    <t>PRNT Building Life</t>
  </si>
  <si>
    <t>PP Working Capital Period</t>
  </si>
  <si>
    <t>PP PPerest Rate</t>
  </si>
  <si>
    <t>PP Installation Cost</t>
  </si>
  <si>
    <t>PP MaPPenance Cost</t>
  </si>
  <si>
    <t>PP Insurance Cost</t>
  </si>
  <si>
    <t>PP Tax Rate</t>
  </si>
  <si>
    <t>PP Benefits Rate</t>
  </si>
  <si>
    <t>PP Labor Cost</t>
  </si>
  <si>
    <t>PP Indirect Emplyees Salary</t>
  </si>
  <si>
    <t>PP Energy Cost</t>
  </si>
  <si>
    <t>PP Floorspace Cost</t>
  </si>
  <si>
    <t>PP Equipment Life</t>
  </si>
  <si>
    <t>PP Building Life</t>
  </si>
  <si>
    <t>MCN Working Capital Period</t>
  </si>
  <si>
    <t>MCN MCNerest Rate</t>
  </si>
  <si>
    <t>MCN Installation Cost</t>
  </si>
  <si>
    <t>MCN MaMCNenance Cost</t>
  </si>
  <si>
    <t>MCN Insurance Cost</t>
  </si>
  <si>
    <t>MCN Tax Rate</t>
  </si>
  <si>
    <t>MCN Benefits Rate</t>
  </si>
  <si>
    <t>MCN Labor Cost</t>
  </si>
  <si>
    <t>MCN Indirect Emplyees Salary</t>
  </si>
  <si>
    <t>MCN Energy Cost</t>
  </si>
  <si>
    <t>MCN Floorspace Cost</t>
  </si>
  <si>
    <t>MCN Equipment Life</t>
  </si>
  <si>
    <t>MCN Building Life</t>
  </si>
  <si>
    <t>INT Direct:Indirect</t>
  </si>
  <si>
    <t>PRNT Direct:Indirect</t>
  </si>
  <si>
    <t>PP Direct:Indirect</t>
  </si>
  <si>
    <t>MCN Direct:Indirect</t>
  </si>
  <si>
    <t>'1. TEA Variables'!D48</t>
  </si>
  <si>
    <t>'1. TEA Variables'!D49</t>
  </si>
  <si>
    <t>'1. TEA Variables'!D50</t>
  </si>
  <si>
    <t>'1. TEA Variables'!D51</t>
  </si>
  <si>
    <t>'1. TEA Variables'!D52</t>
  </si>
  <si>
    <t>'1. TEA Variables'!D53</t>
  </si>
  <si>
    <t>'1. TEA Variables'!D54</t>
  </si>
  <si>
    <t>'1. TEA Variables'!D55</t>
  </si>
  <si>
    <t>'1. TEA Variables'!D56</t>
  </si>
  <si>
    <t>'1. TEA Variables'!D57</t>
  </si>
  <si>
    <t>'1. TEA Variables'!D58</t>
  </si>
  <si>
    <t>'1. TEA Variables'!D59</t>
  </si>
  <si>
    <t>'1. TEA Variables'!D60</t>
  </si>
  <si>
    <t>'1. TEA Variables'!D61</t>
  </si>
  <si>
    <t>'1. TEA Variables'!E48</t>
  </si>
  <si>
    <t>'1. TEA Variables'!E49</t>
  </si>
  <si>
    <t>'1. TEA Variables'!E50</t>
  </si>
  <si>
    <t>'1. TEA Variables'!E51</t>
  </si>
  <si>
    <t>'1. TEA Variables'!E52</t>
  </si>
  <si>
    <t>'1. TEA Variables'!E53</t>
  </si>
  <si>
    <t>'1. TEA Variables'!E54</t>
  </si>
  <si>
    <t>'1. TEA Variables'!E55</t>
  </si>
  <si>
    <t>'1. TEA Variables'!E56</t>
  </si>
  <si>
    <t>'1. TEA Variables'!E57</t>
  </si>
  <si>
    <t>'1. TEA Variables'!E58</t>
  </si>
  <si>
    <t>'1. TEA Variables'!E59</t>
  </si>
  <si>
    <t>'1. TEA Variables'!E60</t>
  </si>
  <si>
    <t>'1. TEA Variables'!E61</t>
  </si>
  <si>
    <t>'1. TEA Variables'!F48</t>
  </si>
  <si>
    <t>'1. TEA Variables'!F49</t>
  </si>
  <si>
    <t>'1. TEA Variables'!F50</t>
  </si>
  <si>
    <t>'1. TEA Variables'!F51</t>
  </si>
  <si>
    <t>'1. TEA Variables'!F52</t>
  </si>
  <si>
    <t>'1. TEA Variables'!F53</t>
  </si>
  <si>
    <t>'1. TEA Variables'!F54</t>
  </si>
  <si>
    <t>'1. TEA Variables'!F55</t>
  </si>
  <si>
    <t>'1. TEA Variables'!F56</t>
  </si>
  <si>
    <t>'1. TEA Variables'!F57</t>
  </si>
  <si>
    <t>'1. TEA Variables'!F58</t>
  </si>
  <si>
    <t>'1. TEA Variables'!F59</t>
  </si>
  <si>
    <t>'1. TEA Variables'!F60</t>
  </si>
  <si>
    <t>'1. TEA Variables'!F61</t>
  </si>
  <si>
    <t>'4. Printing'!C13</t>
  </si>
  <si>
    <t>'4. Printing'!D26</t>
  </si>
  <si>
    <t>'4. Printing'!D27</t>
  </si>
  <si>
    <t>'4. Printing'!D28</t>
  </si>
  <si>
    <t>'4. Printing'!D29</t>
  </si>
  <si>
    <t>'4. Printing'!D30</t>
  </si>
  <si>
    <t>'4. Printing'!D31</t>
  </si>
  <si>
    <t>'4. Printing'!D32</t>
  </si>
  <si>
    <t>'4. Printing'!D33</t>
  </si>
  <si>
    <t>'4. Printing'!D34</t>
  </si>
  <si>
    <t>'4. Printing'!D35</t>
  </si>
  <si>
    <t>'4. Printing'!D36</t>
  </si>
  <si>
    <t>'4. Printing'!D37</t>
  </si>
  <si>
    <t>'4. Printing'!D38</t>
  </si>
  <si>
    <t>'4. Printing'!D46</t>
  </si>
  <si>
    <t>'4. Printing'!D47</t>
  </si>
  <si>
    <t>'4. Printing'!D48</t>
  </si>
  <si>
    <t>'4. Printing'!D49</t>
  </si>
  <si>
    <t>'4. Printing'!D50</t>
  </si>
  <si>
    <t>'4. Printing'!D51</t>
  </si>
  <si>
    <t>'4. Printing'!D52</t>
  </si>
  <si>
    <t>'4. Printing'!D53</t>
  </si>
  <si>
    <t>'4. Printing'!D54</t>
  </si>
  <si>
    <t>'4. Printing'!D55</t>
  </si>
  <si>
    <t>'4. Printing'!D56</t>
  </si>
  <si>
    <t>'4. Printing'!D57</t>
  </si>
  <si>
    <t>'4. Printing'!D58</t>
  </si>
  <si>
    <t>'5. Post Processing'!D16</t>
  </si>
  <si>
    <t>'5. Post Processing'!D17</t>
  </si>
  <si>
    <t>'5. Post Processing'!D18</t>
  </si>
  <si>
    <t>'5. Post Processing'!D19</t>
  </si>
  <si>
    <t>'5. Post Processing'!D20</t>
  </si>
  <si>
    <t>'5. Post Processing'!D25</t>
  </si>
  <si>
    <t>'5. Post Processing'!D26</t>
  </si>
  <si>
    <t>'5. Post Processing'!D27</t>
  </si>
  <si>
    <t>'5. Post Processing'!D28</t>
  </si>
  <si>
    <t>'5. Post Processing'!D29</t>
  </si>
  <si>
    <t>'5. Post Processing'!D30</t>
  </si>
  <si>
    <t>'5. Post Processing'!D31</t>
  </si>
  <si>
    <t>'5. Post Processing'!D32</t>
  </si>
  <si>
    <t>'5. Post Processing'!D33</t>
  </si>
  <si>
    <t>'5. Post Processing'!D34</t>
  </si>
  <si>
    <t>Machining Needed?</t>
  </si>
  <si>
    <t>'6. Machining'!D16</t>
  </si>
  <si>
    <t>'6. Machining'!D17</t>
  </si>
  <si>
    <t>'6. Machining'!D18</t>
  </si>
  <si>
    <t>'6. Machining'!D19</t>
  </si>
  <si>
    <t>'6. Machining'!D20</t>
  </si>
  <si>
    <t>'6. Machining'!D21</t>
  </si>
  <si>
    <t>'6. Machining'!D22</t>
  </si>
  <si>
    <t>'6. Machining'!D23</t>
  </si>
  <si>
    <t>'6. Machining'!D24</t>
  </si>
  <si>
    <t>'6. Machining'!D29</t>
  </si>
  <si>
    <t>'6. Machining'!D30</t>
  </si>
  <si>
    <t>'6. Machining'!D31</t>
  </si>
  <si>
    <t>'6. Machining'!D32</t>
  </si>
  <si>
    <t>'6. Machining'!D33</t>
  </si>
  <si>
    <t>'6. Machining'!D34</t>
  </si>
  <si>
    <t>'6. Machining'!D35</t>
  </si>
  <si>
    <t>'6. Machining'!D36</t>
  </si>
  <si>
    <t>'6. Machining'!D37</t>
  </si>
  <si>
    <t>'6. Machining'!D38</t>
  </si>
  <si>
    <t>PRNT Setup Time</t>
  </si>
  <si>
    <t>PRNT Time to Print</t>
  </si>
  <si>
    <t>PRNT Breakdown Time</t>
  </si>
  <si>
    <t>PP Setup</t>
  </si>
  <si>
    <t>PP Operating</t>
  </si>
  <si>
    <t>PP Standby</t>
  </si>
  <si>
    <t>PP Breakdown</t>
  </si>
  <si>
    <t>MCN Operating</t>
  </si>
  <si>
    <t>MCN Idle</t>
  </si>
  <si>
    <t>'TEA Backend'!F27</t>
  </si>
  <si>
    <t>'TEA Backend'!F28</t>
  </si>
  <si>
    <t>'TEA Backend'!F29</t>
  </si>
  <si>
    <t>'TEA Backend'!F30</t>
  </si>
  <si>
    <t>'TEA Backend'!F31</t>
  </si>
  <si>
    <t>'TEA Backend'!F32</t>
  </si>
  <si>
    <t>'TEA Backend'!F33</t>
  </si>
  <si>
    <t>'TEA Backend'!F34</t>
  </si>
  <si>
    <t>'TEA Backend'!F35</t>
  </si>
  <si>
    <t>'TEA Backend'!F36</t>
  </si>
  <si>
    <t>'TEA Backend'!F37</t>
  </si>
  <si>
    <t>'TEA Backend'!F38</t>
  </si>
  <si>
    <t>'TEA Backend'!F39</t>
  </si>
  <si>
    <t>'TEA Backend'!F40</t>
  </si>
  <si>
    <t>'TEA Backend'!F41</t>
  </si>
  <si>
    <t>'TEA Backend'!F42</t>
  </si>
  <si>
    <t>'TEA Backend'!F43</t>
  </si>
  <si>
    <t>'TEA Backend'!F46</t>
  </si>
  <si>
    <t>'TEA Backend'!F47</t>
  </si>
  <si>
    <t>'TEA Backend'!F48</t>
  </si>
  <si>
    <t>'TEA Backend'!F49</t>
  </si>
  <si>
    <t>'TEA Backend'!F50</t>
  </si>
  <si>
    <t>'TEA Backend'!F51</t>
  </si>
  <si>
    <t>'TEA Backend'!F52</t>
  </si>
  <si>
    <t>'TEA Backend'!F53</t>
  </si>
  <si>
    <t>'TEA Backend'!F54</t>
  </si>
  <si>
    <t>'TEA Backend'!F55</t>
  </si>
  <si>
    <t>'TEA Backend'!F56</t>
  </si>
  <si>
    <t>'TEA Backend'!F57</t>
  </si>
  <si>
    <t>'TEA Backend'!F58</t>
  </si>
  <si>
    <t>'TEA Backend'!F59</t>
  </si>
  <si>
    <t>'TEA Backend'!F60</t>
  </si>
  <si>
    <t>'TEA Backend'!F61</t>
  </si>
  <si>
    <t>'TEA Backend'!F62</t>
  </si>
  <si>
    <t>'TEA Backend'!F63</t>
  </si>
  <si>
    <t>'TEA Backend'!F64</t>
  </si>
  <si>
    <t>'TEA Backend'!F65</t>
  </si>
  <si>
    <t>'TEA Backend'!F66</t>
  </si>
  <si>
    <t>'TEA Backend'!F67</t>
  </si>
  <si>
    <t>'TEA Backend'!F68</t>
  </si>
  <si>
    <t>'TEA Backend'!F69</t>
  </si>
  <si>
    <t>'TEA Backend'!F70</t>
  </si>
  <si>
    <t>'TEA Backend'!F71</t>
  </si>
  <si>
    <t>'TEA Backend'!F72</t>
  </si>
  <si>
    <t>'TEA Backend'!F73</t>
  </si>
  <si>
    <t>'TEA Backend'!F74</t>
  </si>
  <si>
    <t>'TEA Backend'!F75</t>
  </si>
  <si>
    <t>'TEA Backend'!F76</t>
  </si>
  <si>
    <t>'TEA Backend'!F77</t>
  </si>
  <si>
    <t>'TEA Backend'!F78</t>
  </si>
  <si>
    <t>'TEA Backend'!F79</t>
  </si>
  <si>
    <t>'TEA Backend'!F80</t>
  </si>
  <si>
    <t>'TEA Backend'!F81</t>
  </si>
  <si>
    <t>'TEA Backend'!F82</t>
  </si>
  <si>
    <t>'TEA Backend'!F83</t>
  </si>
  <si>
    <t>'TEA Backend'!F84</t>
  </si>
  <si>
    <t>'TEA Backend'!F85</t>
  </si>
  <si>
    <t>'TEA Backend'!F86</t>
  </si>
  <si>
    <t>'TEA Backend'!F87</t>
  </si>
  <si>
    <t>'TEA Backend'!F88</t>
  </si>
  <si>
    <t>'TEA Backend'!F89</t>
  </si>
  <si>
    <t>'TEA Backend'!F90</t>
  </si>
  <si>
    <t>'TEA Backend'!F91</t>
  </si>
  <si>
    <t>'TEA Backend'!F92</t>
  </si>
  <si>
    <t>Summary of Inputs</t>
  </si>
  <si>
    <t>Costs by Process</t>
  </si>
  <si>
    <t>Results Breakdown</t>
  </si>
  <si>
    <t>1</t>
  </si>
  <si>
    <t>2</t>
  </si>
  <si>
    <t>3</t>
  </si>
  <si>
    <t>4</t>
  </si>
  <si>
    <t>5</t>
  </si>
  <si>
    <t>6</t>
  </si>
  <si>
    <t>7</t>
  </si>
  <si>
    <t>8</t>
  </si>
  <si>
    <t>9</t>
  </si>
  <si>
    <t>10</t>
  </si>
  <si>
    <t>Scenario #1:</t>
  </si>
  <si>
    <t>Scenario #2:</t>
  </si>
  <si>
    <t>'PRNT Backend'!F5</t>
  </si>
  <si>
    <t>Energy (Total)</t>
  </si>
  <si>
    <t>dep_E_F + pp_E_F + mcn_E_F</t>
  </si>
  <si>
    <t>E_F</t>
  </si>
  <si>
    <t>'TEA Backend'!F93</t>
  </si>
  <si>
    <t>PP Needed?</t>
  </si>
  <si>
    <t>MCN Needed?</t>
  </si>
  <si>
    <t>C_F</t>
  </si>
  <si>
    <t>Selection 2</t>
  </si>
  <si>
    <t>Selection 1</t>
  </si>
  <si>
    <t>Total Printing Costs</t>
  </si>
  <si>
    <t>Total Post Processing Costs</t>
  </si>
  <si>
    <t>Total Machining Costs</t>
  </si>
  <si>
    <t>Total Material Costs</t>
  </si>
  <si>
    <t>CALC</t>
  </si>
  <si>
    <t>Final Analysis - Time per part (hr/part)</t>
  </si>
  <si>
    <t>Printing - Setup Time</t>
  </si>
  <si>
    <t>Printing - Printing Time</t>
  </si>
  <si>
    <t>Printing - Breakdown Time</t>
  </si>
  <si>
    <t>Printing - Total Time</t>
  </si>
  <si>
    <t>Post - Setup</t>
  </si>
  <si>
    <t>Post - Operating</t>
  </si>
  <si>
    <t>Post - Standby</t>
  </si>
  <si>
    <t>Post - Breakdown</t>
  </si>
  <si>
    <t>Post - Total</t>
  </si>
  <si>
    <t>Finish - Operating</t>
  </si>
  <si>
    <t>Finish - Idle</t>
  </si>
  <si>
    <t>Finish - Total</t>
  </si>
  <si>
    <t>dep_T_SetUp_F</t>
  </si>
  <si>
    <t>dep_T_Print_F</t>
  </si>
  <si>
    <t>dep_T_Breakdown_F</t>
  </si>
  <si>
    <t>dep_T_Setup_F + dep_T_Print_F + dep_T_Breakdown_F</t>
  </si>
  <si>
    <t>dep_T_F</t>
  </si>
  <si>
    <t>pp_T_Setup_F</t>
  </si>
  <si>
    <t>pp_T_Operating_F</t>
  </si>
  <si>
    <t>pp_T_Standby_F</t>
  </si>
  <si>
    <t>pp_T_Breakdown_F</t>
  </si>
  <si>
    <t>pp_T_F</t>
  </si>
  <si>
    <t>pp_T_Setup_F + pp_T_Operating_F + pp_T_Standby_F + pp_T_Breakdown_F</t>
  </si>
  <si>
    <t>mcn_T_Operating_F</t>
  </si>
  <si>
    <t>mcn_T_Idle_F</t>
  </si>
  <si>
    <t>mcn_T_F</t>
  </si>
  <si>
    <t>mcn_T_Operating_F + mcn_T_Idle_F</t>
  </si>
  <si>
    <t>Post - Total Time</t>
  </si>
  <si>
    <t>Finish - Total Time</t>
  </si>
  <si>
    <t>Producton Volume</t>
  </si>
  <si>
    <t>Per Part Cost</t>
  </si>
  <si>
    <t>Per Part Time</t>
  </si>
  <si>
    <t>Production Volume</t>
  </si>
  <si>
    <t>Cost per Part</t>
  </si>
  <si>
    <t>Time Per Part</t>
  </si>
  <si>
    <t xml:space="preserve">      Use the Printing Calculator?</t>
  </si>
  <si>
    <t xml:space="preserve">      Use the Post Processing Calculator?</t>
  </si>
  <si>
    <t xml:space="preserve">      Use the Machining Calculator?</t>
  </si>
  <si>
    <t>hrs</t>
  </si>
  <si>
    <t>Scenarios Sheet</t>
  </si>
  <si>
    <t>Use the Calculator for Time?</t>
  </si>
  <si>
    <t>dep_useCalc?</t>
  </si>
  <si>
    <t>Time per Batch</t>
  </si>
  <si>
    <t>pp_useCalc?</t>
  </si>
  <si>
    <t>Printing Time (OVERRIDE)</t>
  </si>
  <si>
    <t>dep_T_Override</t>
  </si>
  <si>
    <t>Time per Batch (OVERRIDE)</t>
  </si>
  <si>
    <t>pp_T_Override</t>
  </si>
  <si>
    <t>mcn_useCalc?</t>
  </si>
  <si>
    <t>Machining Time</t>
  </si>
  <si>
    <t>Machining Time (OVERRIDE)</t>
  </si>
  <si>
    <t>mcn_T_Override</t>
  </si>
  <si>
    <t>Use Print Calc</t>
  </si>
  <si>
    <t>Use Post Process Calc</t>
  </si>
  <si>
    <t>Use Machining Calc</t>
  </si>
  <si>
    <t>'PP Backend'!F5</t>
  </si>
  <si>
    <t>'MCN Backend'!F5</t>
  </si>
  <si>
    <t>Time to Print (OVERRIDE)</t>
  </si>
  <si>
    <t>'5. Post Processing'!D21</t>
  </si>
  <si>
    <t>'6. Machining'!D25</t>
  </si>
  <si>
    <t>Selected</t>
  </si>
  <si>
    <t>Save/Load As Scenario #:</t>
  </si>
  <si>
    <t>Min X (mm)</t>
  </si>
  <si>
    <t>Max X (mm)</t>
  </si>
  <si>
    <t>Min LH (mm)</t>
  </si>
  <si>
    <t>Min Dep Rate (g/hr)</t>
  </si>
  <si>
    <t>Max Dep Rate (g/hr)</t>
  </si>
  <si>
    <t>Min Y (mm)</t>
  </si>
  <si>
    <t>Max Y (mm)</t>
  </si>
  <si>
    <t>Min Cost ($)</t>
  </si>
  <si>
    <t>Max Cost ($)</t>
  </si>
  <si>
    <t>Max LH (mm)</t>
  </si>
  <si>
    <t>Min Power (W)</t>
  </si>
  <si>
    <t>Max Power (W)</t>
  </si>
  <si>
    <t>Min Scan Rate (m/min)</t>
  </si>
  <si>
    <t>Max Scan Rate (m/min)</t>
  </si>
  <si>
    <t>m/s</t>
  </si>
  <si>
    <t>Scanning Rate</t>
  </si>
  <si>
    <t>Disclaimers</t>
  </si>
  <si>
    <t>Pictures from (left to right):</t>
  </si>
  <si>
    <t>Installation (% of capital)</t>
  </si>
  <si>
    <t>Maximum Throughput</t>
  </si>
  <si>
    <t>'PRNT Backend'!F8</t>
  </si>
  <si>
    <t>Dimention 1</t>
  </si>
  <si>
    <t>Dimention 2</t>
  </si>
  <si>
    <t>'4. Printing'!D25</t>
  </si>
  <si>
    <t>'4. Printing'!D59</t>
  </si>
  <si>
    <t>'PP Backend'!F11</t>
  </si>
  <si>
    <t>'5. Post Processing'!D35</t>
  </si>
  <si>
    <t>'MCN Backend'!F15</t>
  </si>
  <si>
    <t>'6. Machining'!D39</t>
  </si>
  <si>
    <t>'PRNT Backend'!F91</t>
  </si>
  <si>
    <t>'PRNT Backend'!F117</t>
  </si>
  <si>
    <t>'PRNT Backend'!F118</t>
  </si>
  <si>
    <t>'PRNT Backend'!F119</t>
  </si>
  <si>
    <t>'PP Backend'!F65</t>
  </si>
  <si>
    <t>'PP Backend'!F66</t>
  </si>
  <si>
    <t>'PP Backend'!F67</t>
  </si>
  <si>
    <t>'PP Backend'!F68</t>
  </si>
  <si>
    <t>'MCN Backend'!F75</t>
  </si>
  <si>
    <t>'MCN Backend'!F76</t>
  </si>
  <si>
    <t>Minimum Boundary Between Parts</t>
  </si>
  <si>
    <t>Minimum Boundary from Plate Edge</t>
  </si>
  <si>
    <t>((dep_M_layer/1000)/(dep_R_dep/3600)+dep_T_gap+dep_T_fixed)*dep_N_parts</t>
  </si>
  <si>
    <t>'4. Printing'!D60</t>
  </si>
  <si>
    <t>Teardown Time per Print</t>
  </si>
  <si>
    <t>Teardown Time</t>
  </si>
  <si>
    <t>Bottleneck Visualization</t>
  </si>
  <si>
    <t>N/A</t>
  </si>
  <si>
    <t>from spec sheet</t>
  </si>
  <si>
    <t>from paper</t>
  </si>
  <si>
    <t>machine is 1850x900mm</t>
  </si>
  <si>
    <t>https://www.researchgate.net/profile/Magnus-Ahlfors/publication/327561578_Cost_effective_Hot_Isostatic_Pressing_-A_cost_calculation_study_for_AM_parts/links/5b96c331a6fdccfd543e0998/Cost-effective-Hot-Isostatic-Pressing-A-cost-calculation-study-for-AM-parts.pdf</t>
  </si>
  <si>
    <t>Intermediate</t>
  </si>
  <si>
    <t>About 10 seconds to rake powder, about 30 seconds total to preheat powder</t>
  </si>
  <si>
    <t>from spec sheet (Arcam Q20)</t>
  </si>
  <si>
    <t>from spec sheet (Arcam Q20), power supply is 7kW and laswer power is 3kW so simple subtraction to get 4kW</t>
  </si>
  <si>
    <t>from case study (extra 1.25 mm on all surfaces which is an average of 2% change in volume dimensions)</t>
  </si>
  <si>
    <t>8000 m/s</t>
  </si>
  <si>
    <t>from Senvol (Arcam Q20)</t>
  </si>
  <si>
    <t>M-F minus a few holidays</t>
  </si>
  <si>
    <t>Two shifts</t>
  </si>
  <si>
    <t>Hard 25-60 m/min, Medium 40-80, Light 70-120</t>
  </si>
  <si>
    <t>8:1 ratio diameter of tool to depth of cut</t>
  </si>
  <si>
    <t>1/4" diameter tool</t>
  </si>
  <si>
    <t>Cost by Process</t>
  </si>
  <si>
    <t>Based on 4.42 MJ/kg, 36 pieces at 0.57 kg, 72.5 kg fixture, and 5 hours run time.</t>
  </si>
  <si>
    <t>AM Optimized Bracket (Base Case)</t>
  </si>
  <si>
    <t>Only used if composite</t>
  </si>
  <si>
    <t>Overridden because of E-Beam Process, change F27 to be "=G27" to fix this for other scenarios.</t>
  </si>
  <si>
    <t>Reasonable given temperatur profile from HIP brochure</t>
  </si>
  <si>
    <t>Additive Manufacturing 
Cost Assessment Calculator</t>
  </si>
  <si>
    <t>AM Cost Assessment Calculator Scope</t>
  </si>
  <si>
    <t>AM Cost Assessment Calculator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</si>
</sst>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0.000"/>
    <numFmt numFmtId="166" formatCode="&quot;$&quot;#,##0.00"/>
    <numFmt numFmtId="167" formatCode="#,##0.0"/>
    <numFmt numFmtId="168" formatCode="_(&quot;$&quot;* #,##0_);_(&quot;$&quot;* \(#,##0\);_(&quot;$&quot;* &quot;-&quot;??_);_(@_)"/>
    <numFmt numFmtId="169" formatCode="#,##0.000"/>
    <numFmt numFmtId="170" formatCode="#,##0.0000"/>
    <numFmt numFmtId="171" formatCode="#,##0.00000"/>
    <numFmt numFmtId="172" formatCode="[$-409]mmmm\ d\,\ yyyy;@"/>
    <numFmt numFmtId="173" formatCode="0.0"/>
    <numFmt numFmtId="174" formatCode="&quot;$&quot;#,##0"/>
    <numFmt numFmtId="175" formatCode="#,##0.0_);\(#,##0.0\)"/>
  </numFmts>
  <fonts count="28" x14ac:knownFonts="1">
    <font>
      <sz val="11"/>
      <color theme="1"/>
      <name val="Calibri"/>
      <family val="2"/>
      <scheme val="minor"/>
    </font>
    <font>
      <b/>
      <sz val="15"/>
      <color rgb="FF007934"/>
      <name val="Calibri"/>
      <family val="2"/>
      <scheme val="minor"/>
    </font>
    <font>
      <b/>
      <sz val="14"/>
      <color theme="1"/>
      <name val="Calibri"/>
      <family val="2"/>
      <scheme val="minor"/>
    </font>
    <font>
      <sz val="11"/>
      <color rgb="FF3F3F76"/>
      <name val="Calibri"/>
      <family val="2"/>
      <scheme val="minor"/>
    </font>
    <font>
      <b/>
      <sz val="11"/>
      <color rgb="FF3F3F3F"/>
      <name val="Calibri"/>
      <family val="2"/>
      <scheme val="minor"/>
    </font>
    <font>
      <b/>
      <sz val="12"/>
      <color theme="0"/>
      <name val="Calibri"/>
      <family val="2"/>
      <scheme val="minor"/>
    </font>
    <font>
      <vertAlign val="subscript"/>
      <sz val="11"/>
      <color theme="1"/>
      <name val="Calibri"/>
      <family val="2"/>
      <scheme val="minor"/>
    </font>
    <font>
      <sz val="11"/>
      <color theme="1"/>
      <name val="Calibri"/>
      <family val="2"/>
      <scheme val="minor"/>
    </font>
    <font>
      <b/>
      <sz val="18"/>
      <color theme="0"/>
      <name val="Times New Roman"/>
      <family val="1"/>
    </font>
    <font>
      <u/>
      <sz val="11"/>
      <color theme="1"/>
      <name val="Calibri"/>
      <family val="2"/>
      <scheme val="minor"/>
    </font>
    <font>
      <b/>
      <sz val="11"/>
      <color theme="0"/>
      <name val="Calibri"/>
      <family val="2"/>
      <scheme val="minor"/>
    </font>
    <font>
      <b/>
      <sz val="14"/>
      <color rgb="FF3F3F3F"/>
      <name val="Calibri"/>
      <family val="2"/>
      <scheme val="minor"/>
    </font>
    <font>
      <b/>
      <sz val="11"/>
      <color theme="1"/>
      <name val="Calibri"/>
      <family val="2"/>
      <scheme val="minor"/>
    </font>
    <font>
      <b/>
      <sz val="11"/>
      <color rgb="FF000000"/>
      <name val="Calibri"/>
      <family val="2"/>
      <scheme val="minor"/>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12"/>
      <color rgb="FF007934"/>
      <name val="Calibri"/>
      <family val="2"/>
      <scheme val="minor"/>
    </font>
    <font>
      <sz val="11"/>
      <color rgb="FF000000"/>
      <name val="Calibri"/>
      <family val="2"/>
      <scheme val="minor"/>
    </font>
    <font>
      <b/>
      <sz val="11"/>
      <color theme="3"/>
      <name val="Calibri"/>
      <family val="2"/>
      <scheme val="minor"/>
    </font>
    <font>
      <sz val="8"/>
      <name val="Calibri"/>
      <family val="2"/>
      <scheme val="minor"/>
    </font>
    <font>
      <b/>
      <sz val="13"/>
      <color rgb="FF007934"/>
      <name val="Calibri"/>
      <family val="2"/>
      <scheme val="minor"/>
    </font>
    <font>
      <sz val="11"/>
      <color rgb="FF9C0006"/>
      <name val="Calibri"/>
      <family val="2"/>
      <scheme val="minor"/>
    </font>
    <font>
      <b/>
      <sz val="20"/>
      <color theme="0"/>
      <name val="Calibri"/>
      <family val="2"/>
      <scheme val="minor"/>
    </font>
    <font>
      <b/>
      <sz val="14"/>
      <color rgb="FF3F3F76"/>
      <name val="Calibri"/>
      <family val="2"/>
      <scheme val="minor"/>
    </font>
    <font>
      <sz val="11"/>
      <color rgb="FF9C5700"/>
      <name val="Calibri"/>
      <family val="2"/>
      <scheme val="minor"/>
    </font>
    <font>
      <sz val="11"/>
      <color theme="0"/>
      <name val="Calibri"/>
      <family val="2"/>
      <scheme val="minor"/>
    </font>
  </fonts>
  <fills count="20">
    <fill>
      <patternFill patternType="none"/>
    </fill>
    <fill>
      <patternFill patternType="gray125"/>
    </fill>
    <fill>
      <patternFill patternType="solid">
        <fgColor rgb="FFFFCC99"/>
      </patternFill>
    </fill>
    <fill>
      <patternFill patternType="solid">
        <fgColor rgb="FFF2F2F2"/>
      </patternFill>
    </fill>
    <fill>
      <patternFill patternType="solid">
        <fgColor rgb="FF007934"/>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C00000"/>
        <bgColor indexed="64"/>
      </patternFill>
    </fill>
    <fill>
      <patternFill patternType="solid">
        <fgColor theme="4" tint="0.79998168889431442"/>
        <bgColor indexed="64"/>
      </patternFill>
    </fill>
    <fill>
      <patternFill patternType="solid">
        <fgColor theme="7"/>
        <bgColor indexed="64"/>
      </patternFill>
    </fill>
    <fill>
      <patternFill patternType="solid">
        <fgColor theme="8"/>
        <bgColor indexed="64"/>
      </patternFill>
    </fill>
    <fill>
      <patternFill patternType="solid">
        <fgColor theme="5"/>
        <bgColor indexed="64"/>
      </patternFill>
    </fill>
    <fill>
      <patternFill patternType="solid">
        <fgColor rgb="FF696B73"/>
        <bgColor indexed="64"/>
      </patternFill>
    </fill>
    <fill>
      <patternFill patternType="solid">
        <fgColor rgb="FFFFC7CE"/>
      </patternFill>
    </fill>
    <fill>
      <patternFill patternType="solid">
        <fgColor theme="0"/>
        <bgColor indexed="64"/>
      </patternFill>
    </fill>
    <fill>
      <patternFill patternType="solid">
        <fgColor rgb="FFFFEB9C"/>
      </patternFill>
    </fill>
    <fill>
      <patternFill patternType="solid">
        <fgColor theme="6"/>
      </patternFill>
    </fill>
  </fills>
  <borders count="75">
    <border>
      <left/>
      <right/>
      <top/>
      <bottom/>
      <diagonal/>
    </border>
    <border>
      <left/>
      <right/>
      <top/>
      <bottom style="thick">
        <color rgb="FF00793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rgb="FF007934"/>
      </left>
      <right/>
      <top style="medium">
        <color rgb="FF007934"/>
      </top>
      <bottom/>
      <diagonal/>
    </border>
    <border>
      <left/>
      <right/>
      <top style="medium">
        <color rgb="FF007934"/>
      </top>
      <bottom/>
      <diagonal/>
    </border>
    <border>
      <left/>
      <right style="medium">
        <color rgb="FF007934"/>
      </right>
      <top style="medium">
        <color rgb="FF00793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007934"/>
      </left>
      <right/>
      <top/>
      <bottom style="thin">
        <color rgb="FF007934"/>
      </bottom>
      <diagonal/>
    </border>
    <border>
      <left style="thin">
        <color rgb="FF007934"/>
      </left>
      <right/>
      <top/>
      <bottom/>
      <diagonal/>
    </border>
    <border>
      <left style="thin">
        <color rgb="FF007934"/>
      </left>
      <right/>
      <top style="thin">
        <color rgb="FF007934"/>
      </top>
      <bottom/>
      <diagonal/>
    </border>
    <border>
      <left style="medium">
        <color indexed="64"/>
      </left>
      <right style="medium">
        <color indexed="64"/>
      </right>
      <top style="medium">
        <color indexed="64"/>
      </top>
      <bottom/>
      <diagonal/>
    </border>
    <border>
      <left style="thin">
        <color theme="0"/>
      </left>
      <right style="medium">
        <color indexed="64"/>
      </right>
      <top style="medium">
        <color indexed="64"/>
      </top>
      <bottom style="thin">
        <color theme="0"/>
      </bottom>
      <diagonal/>
    </border>
    <border>
      <left style="thin">
        <color theme="0"/>
      </left>
      <right style="medium">
        <color indexed="64"/>
      </right>
      <top style="thin">
        <color theme="0"/>
      </top>
      <bottom style="thin">
        <color theme="0"/>
      </bottom>
      <diagonal/>
    </border>
    <border>
      <left style="thin">
        <color rgb="FF7F7F7F"/>
      </left>
      <right/>
      <top style="thin">
        <color rgb="FF7F7F7F"/>
      </top>
      <bottom style="thin">
        <color rgb="FF7F7F7F"/>
      </bottom>
      <diagonal/>
    </border>
    <border>
      <left/>
      <right/>
      <top style="thin">
        <color rgb="FF007934"/>
      </top>
      <bottom style="thin">
        <color rgb="FF7F7F7F"/>
      </bottom>
      <diagonal/>
    </border>
    <border>
      <left/>
      <right style="thin">
        <color rgb="FF007934"/>
      </right>
      <top style="thin">
        <color rgb="FF007934"/>
      </top>
      <bottom style="thin">
        <color rgb="FF7F7F7F"/>
      </bottom>
      <diagonal/>
    </border>
    <border>
      <left/>
      <right/>
      <top style="thin">
        <color rgb="FF007934"/>
      </top>
      <bottom/>
      <diagonal/>
    </border>
    <border>
      <left/>
      <right style="thin">
        <color rgb="FF007934"/>
      </right>
      <top style="thin">
        <color rgb="FF007934"/>
      </top>
      <bottom/>
      <diagonal/>
    </border>
    <border>
      <left style="thin">
        <color rgb="FF7F7F7F"/>
      </left>
      <right/>
      <top style="thin">
        <color rgb="FF7F7F7F"/>
      </top>
      <bottom style="thin">
        <color rgb="FF007934"/>
      </bottom>
      <diagonal/>
    </border>
    <border>
      <left/>
      <right style="thin">
        <color rgb="FF007934"/>
      </right>
      <top style="thin">
        <color rgb="FF7F7F7F"/>
      </top>
      <bottom style="thin">
        <color rgb="FF7F7F7F"/>
      </bottom>
      <diagonal/>
    </border>
    <border>
      <left/>
      <right style="thin">
        <color rgb="FF007934"/>
      </right>
      <top style="thin">
        <color rgb="FF7F7F7F"/>
      </top>
      <bottom style="thin">
        <color rgb="FF007934"/>
      </bottom>
      <diagonal/>
    </border>
    <border>
      <left/>
      <right style="thin">
        <color theme="0"/>
      </right>
      <top style="medium">
        <color indexed="64"/>
      </top>
      <bottom/>
      <diagonal/>
    </border>
    <border>
      <left/>
      <right/>
      <top style="thick">
        <color rgb="FF007934"/>
      </top>
      <bottom/>
      <diagonal/>
    </border>
    <border>
      <left style="thin">
        <color theme="0"/>
      </left>
      <right style="medium">
        <color indexed="64"/>
      </right>
      <top/>
      <bottom style="thin">
        <color theme="0"/>
      </bottom>
      <diagonal/>
    </border>
    <border>
      <left style="thin">
        <color theme="0"/>
      </left>
      <right style="medium">
        <color indexed="64"/>
      </right>
      <top style="thin">
        <color theme="0"/>
      </top>
      <bottom style="medium">
        <color indexed="64"/>
      </bottom>
      <diagonal/>
    </border>
    <border>
      <left style="thin">
        <color theme="0"/>
      </left>
      <right style="medium">
        <color indexed="64"/>
      </right>
      <top/>
      <bottom style="medium">
        <color indexed="64"/>
      </bottom>
      <diagonal/>
    </border>
    <border>
      <left style="thin">
        <color rgb="FF696B73"/>
      </left>
      <right/>
      <top/>
      <bottom/>
      <diagonal/>
    </border>
    <border>
      <left/>
      <right style="thin">
        <color rgb="FF696B73"/>
      </right>
      <top/>
      <bottom/>
      <diagonal/>
    </border>
    <border>
      <left/>
      <right/>
      <top/>
      <bottom style="thin">
        <color rgb="FF007934"/>
      </bottom>
      <diagonal/>
    </border>
    <border>
      <left/>
      <right style="thin">
        <color rgb="FF7F7F7F"/>
      </right>
      <top/>
      <bottom/>
      <diagonal/>
    </border>
    <border>
      <left/>
      <right style="thin">
        <color rgb="FF3F3F3F"/>
      </right>
      <top/>
      <bottom/>
      <diagonal/>
    </border>
    <border>
      <left/>
      <right/>
      <top style="thin">
        <color rgb="FF007934"/>
      </top>
      <bottom style="thin">
        <color rgb="FF3F3F3F"/>
      </bottom>
      <diagonal/>
    </border>
    <border>
      <left/>
      <right style="thin">
        <color rgb="FF007934"/>
      </right>
      <top style="thin">
        <color rgb="FF007934"/>
      </top>
      <bottom style="thin">
        <color rgb="FF3F3F3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696B73"/>
      </left>
      <right/>
      <top style="thin">
        <color rgb="FF696B73"/>
      </top>
      <bottom/>
      <diagonal/>
    </border>
    <border>
      <left/>
      <right/>
      <top style="thin">
        <color rgb="FF696B73"/>
      </top>
      <bottom/>
      <diagonal/>
    </border>
    <border>
      <left style="thin">
        <color rgb="FF696B73"/>
      </left>
      <right/>
      <top/>
      <bottom style="thin">
        <color rgb="FF696B73"/>
      </bottom>
      <diagonal/>
    </border>
    <border>
      <left/>
      <right/>
      <top/>
      <bottom style="thin">
        <color rgb="FF696B73"/>
      </bottom>
      <diagonal/>
    </border>
    <border>
      <left style="thin">
        <color rgb="FF3F3F3F"/>
      </left>
      <right/>
      <top style="thin">
        <color rgb="FF3F3F3F"/>
      </top>
      <bottom style="thin">
        <color rgb="FF3F3F3F"/>
      </bottom>
      <diagonal/>
    </border>
    <border>
      <left/>
      <right/>
      <top style="thin">
        <color rgb="FF3F3F3F"/>
      </top>
      <bottom style="thin">
        <color rgb="FF3F3F3F"/>
      </bottom>
      <diagonal/>
    </border>
    <border>
      <left/>
      <right/>
      <top style="thin">
        <color rgb="FF696B73"/>
      </top>
      <bottom style="thin">
        <color rgb="FF7F7F7F"/>
      </bottom>
      <diagonal/>
    </border>
    <border>
      <left/>
      <right style="thin">
        <color rgb="FF696B73"/>
      </right>
      <top style="thin">
        <color rgb="FF696B73"/>
      </top>
      <bottom style="thin">
        <color rgb="FF7F7F7F"/>
      </bottom>
      <diagonal/>
    </border>
    <border>
      <left style="thin">
        <color rgb="FF3F3F3F"/>
      </left>
      <right style="thin">
        <color rgb="FF696B73"/>
      </right>
      <top style="thin">
        <color rgb="FF3F3F3F"/>
      </top>
      <bottom style="thin">
        <color rgb="FF3F3F3F"/>
      </bottom>
      <diagonal/>
    </border>
    <border>
      <left/>
      <right style="thin">
        <color rgb="FF696B73"/>
      </right>
      <top style="thin">
        <color rgb="FF3F3F3F"/>
      </top>
      <bottom style="thin">
        <color rgb="FF3F3F3F"/>
      </bottom>
      <diagonal/>
    </border>
    <border>
      <left style="thin">
        <color rgb="FF3F3F3F"/>
      </left>
      <right style="thin">
        <color rgb="FF3F3F3F"/>
      </right>
      <top style="thin">
        <color rgb="FF3F3F3F"/>
      </top>
      <bottom style="thin">
        <color rgb="FF696B73"/>
      </bottom>
      <diagonal/>
    </border>
    <border>
      <left style="thin">
        <color rgb="FF3F3F3F"/>
      </left>
      <right style="thin">
        <color rgb="FF696B73"/>
      </right>
      <top style="thin">
        <color rgb="FF3F3F3F"/>
      </top>
      <bottom style="thin">
        <color rgb="FF696B73"/>
      </bottom>
      <diagonal/>
    </border>
    <border>
      <left style="thin">
        <color rgb="FF7F7F7F"/>
      </left>
      <right style="thin">
        <color rgb="FF7F7F7F"/>
      </right>
      <top style="thin">
        <color rgb="FF7F7F7F"/>
      </top>
      <bottom/>
      <diagonal/>
    </border>
    <border>
      <left style="thin">
        <color theme="0"/>
      </left>
      <right style="medium">
        <color indexed="64"/>
      </right>
      <top style="thin">
        <color theme="0"/>
      </top>
      <bottom/>
      <diagonal/>
    </border>
    <border>
      <left/>
      <right/>
      <top/>
      <bottom style="medium">
        <color theme="4" tint="0.39997558519241921"/>
      </bottom>
      <diagonal/>
    </border>
    <border>
      <left style="thin">
        <color rgb="FF7F7F7F"/>
      </left>
      <right style="thin">
        <color rgb="FF7F7F7F"/>
      </right>
      <top style="thin">
        <color rgb="FF7F7F7F"/>
      </top>
      <bottom style="thick">
        <color rgb="FF007934"/>
      </bottom>
      <diagonal/>
    </border>
    <border>
      <left style="thin">
        <color rgb="FF3F3F3F"/>
      </left>
      <right style="thin">
        <color rgb="FF007934"/>
      </right>
      <top style="thin">
        <color rgb="FF3F3F3F"/>
      </top>
      <bottom style="thin">
        <color rgb="FF3F3F3F"/>
      </bottom>
      <diagonal/>
    </border>
  </borders>
  <cellStyleXfs count="12">
    <xf numFmtId="0" fontId="0" fillId="0" borderId="0"/>
    <xf numFmtId="0" fontId="1" fillId="0" borderId="1" applyNumberFormat="0" applyFill="0" applyAlignment="0" applyProtection="0"/>
    <xf numFmtId="0" fontId="3" fillId="2" borderId="2" applyNumberFormat="0" applyAlignment="0" applyProtection="0"/>
    <xf numFmtId="0" fontId="4" fillId="3" borderId="3" applyNumberFormat="0" applyAlignment="0" applyProtection="0"/>
    <xf numFmtId="9" fontId="7" fillId="0" borderId="0" applyFon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0" fontId="20" fillId="0" borderId="72" applyNumberFormat="0" applyFill="0" applyAlignment="0" applyProtection="0"/>
    <xf numFmtId="0" fontId="22" fillId="0" borderId="1" applyNumberFormat="0" applyFill="0" applyAlignment="0" applyProtection="0"/>
    <xf numFmtId="0" fontId="23" fillId="16" borderId="0" applyNumberFormat="0" applyBorder="0" applyAlignment="0" applyProtection="0"/>
    <xf numFmtId="0" fontId="26" fillId="18" borderId="0" applyNumberFormat="0" applyBorder="0" applyAlignment="0" applyProtection="0"/>
    <xf numFmtId="0" fontId="27" fillId="19" borderId="0" applyNumberFormat="0" applyBorder="0" applyAlignment="0" applyProtection="0"/>
  </cellStyleXfs>
  <cellXfs count="519">
    <xf numFmtId="0" fontId="0" fillId="0" borderId="0" xfId="0"/>
    <xf numFmtId="0" fontId="0" fillId="0" borderId="0" xfId="0" applyFill="1"/>
    <xf numFmtId="0" fontId="0" fillId="0" borderId="0" xfId="0" applyAlignment="1">
      <alignment vertical="center"/>
    </xf>
    <xf numFmtId="0" fontId="0" fillId="0" borderId="5" xfId="0" applyBorder="1"/>
    <xf numFmtId="0" fontId="0" fillId="0" borderId="0" xfId="0" applyFill="1" applyBorder="1" applyAlignment="1">
      <alignment horizontal="center" vertical="center"/>
    </xf>
    <xf numFmtId="0" fontId="0" fillId="4" borderId="0" xfId="0" applyFill="1"/>
    <xf numFmtId="0" fontId="0" fillId="0" borderId="0" xfId="0" applyFill="1" applyBorder="1"/>
    <xf numFmtId="0" fontId="0" fillId="4" borderId="13" xfId="0" applyFill="1" applyBorder="1"/>
    <xf numFmtId="0" fontId="0" fillId="4" borderId="14" xfId="0" applyFill="1" applyBorder="1"/>
    <xf numFmtId="0" fontId="0" fillId="4" borderId="15" xfId="0" applyFill="1" applyBorder="1"/>
    <xf numFmtId="0" fontId="0" fillId="4" borderId="0" xfId="0" applyFill="1" applyBorder="1"/>
    <xf numFmtId="0" fontId="8" fillId="4" borderId="0" xfId="0" applyFont="1" applyFill="1" applyBorder="1" applyAlignment="1">
      <alignment horizontal="right" vertical="center" wrapText="1"/>
    </xf>
    <xf numFmtId="0" fontId="0" fillId="0" borderId="0" xfId="0" applyFill="1" applyAlignment="1">
      <alignment vertical="center"/>
    </xf>
    <xf numFmtId="0" fontId="0" fillId="0" borderId="0" xfId="0" applyAlignment="1">
      <alignment horizontal="center"/>
    </xf>
    <xf numFmtId="0" fontId="14" fillId="7" borderId="12" xfId="0" applyFont="1" applyFill="1" applyBorder="1" applyAlignment="1">
      <alignment horizontal="center" vertical="center"/>
    </xf>
    <xf numFmtId="0" fontId="14" fillId="7" borderId="20" xfId="0" applyFont="1" applyFill="1" applyBorder="1" applyAlignment="1">
      <alignment horizontal="center" vertical="center" wrapText="1"/>
    </xf>
    <xf numFmtId="0" fontId="14" fillId="7" borderId="20" xfId="0" applyFont="1" applyFill="1" applyBorder="1" applyAlignment="1">
      <alignment horizontal="center" vertical="center"/>
    </xf>
    <xf numFmtId="0" fontId="0" fillId="0" borderId="4" xfId="0" applyBorder="1" applyAlignment="1">
      <alignment horizontal="left" vertical="center"/>
    </xf>
    <xf numFmtId="0" fontId="0" fillId="0" borderId="0" xfId="0" applyAlignment="1">
      <alignment horizontal="center" vertical="center"/>
    </xf>
    <xf numFmtId="0" fontId="0" fillId="0" borderId="0" xfId="0" applyAlignment="1">
      <alignment horizontal="left" vertical="center"/>
    </xf>
    <xf numFmtId="0" fontId="0" fillId="0" borderId="4" xfId="0" applyBorder="1"/>
    <xf numFmtId="2" fontId="0" fillId="0" borderId="0" xfId="0" applyNumberFormat="1" applyAlignment="1">
      <alignment horizontal="center" vertical="center"/>
    </xf>
    <xf numFmtId="164" fontId="0" fillId="0" borderId="0" xfId="4" applyNumberFormat="1" applyFont="1" applyFill="1" applyBorder="1" applyAlignment="1">
      <alignment horizontal="center" vertical="center"/>
    </xf>
    <xf numFmtId="0" fontId="0" fillId="0" borderId="0" xfId="0" applyAlignment="1">
      <alignment horizontal="left"/>
    </xf>
    <xf numFmtId="0" fontId="0" fillId="0" borderId="16" xfId="0" applyBorder="1" applyAlignment="1">
      <alignment horizontal="left" vertical="center"/>
    </xf>
    <xf numFmtId="0" fontId="0" fillId="0" borderId="17" xfId="0" applyBorder="1" applyAlignment="1">
      <alignment horizontal="center" vertical="center"/>
    </xf>
    <xf numFmtId="1" fontId="0" fillId="0" borderId="0" xfId="0" applyNumberFormat="1" applyAlignment="1">
      <alignment horizontal="center" vertical="center"/>
    </xf>
    <xf numFmtId="0" fontId="12" fillId="0" borderId="0" xfId="0" applyFont="1" applyAlignment="1">
      <alignment vertical="center" wrapText="1"/>
    </xf>
    <xf numFmtId="0" fontId="0" fillId="0" borderId="0" xfId="0" applyFill="1" applyAlignment="1">
      <alignment horizontal="center"/>
    </xf>
    <xf numFmtId="0" fontId="0" fillId="0" borderId="0" xfId="0" applyAlignment="1">
      <alignment horizontal="center" vertical="center" wrapText="1"/>
    </xf>
    <xf numFmtId="0" fontId="14" fillId="7" borderId="27" xfId="0" applyFont="1" applyFill="1" applyBorder="1" applyAlignment="1">
      <alignment horizontal="left" vertical="center"/>
    </xf>
    <xf numFmtId="0" fontId="0" fillId="0" borderId="28" xfId="0" applyBorder="1" applyAlignment="1">
      <alignment horizontal="left"/>
    </xf>
    <xf numFmtId="2" fontId="0" fillId="0" borderId="0" xfId="0" applyNumberFormat="1" applyAlignment="1">
      <alignment horizontal="center"/>
    </xf>
    <xf numFmtId="0" fontId="0" fillId="0" borderId="0" xfId="0" quotePrefix="1" applyAlignment="1">
      <alignment horizontal="center" vertical="center"/>
    </xf>
    <xf numFmtId="0" fontId="0" fillId="0" borderId="5" xfId="0" applyBorder="1" applyAlignment="1">
      <alignment horizontal="left" vertical="center"/>
    </xf>
    <xf numFmtId="0" fontId="0" fillId="0" borderId="6" xfId="0" applyBorder="1" applyAlignment="1">
      <alignment horizontal="center" vertical="center" wrapText="1"/>
    </xf>
    <xf numFmtId="0" fontId="0" fillId="0" borderId="6" xfId="0" applyBorder="1" applyAlignment="1">
      <alignment horizontal="center"/>
    </xf>
    <xf numFmtId="0" fontId="0" fillId="0" borderId="29" xfId="0" applyBorder="1" applyAlignment="1">
      <alignment horizontal="left"/>
    </xf>
    <xf numFmtId="4" fontId="0" fillId="0" borderId="0" xfId="0" applyNumberFormat="1" applyAlignment="1">
      <alignment horizontal="center"/>
    </xf>
    <xf numFmtId="0" fontId="14" fillId="7" borderId="9" xfId="0" applyFont="1" applyFill="1" applyBorder="1" applyAlignment="1">
      <alignment horizontal="left" vertical="center"/>
    </xf>
    <xf numFmtId="0" fontId="16" fillId="0" borderId="0" xfId="0" applyFont="1" applyAlignment="1">
      <alignment vertical="center"/>
    </xf>
    <xf numFmtId="0" fontId="16" fillId="0" borderId="0" xfId="0" applyFont="1" applyAlignment="1">
      <alignment horizontal="center" vertical="center"/>
    </xf>
    <xf numFmtId="3" fontId="4" fillId="3" borderId="3" xfId="3" applyNumberFormat="1" applyAlignment="1">
      <alignment horizontal="center"/>
    </xf>
    <xf numFmtId="164" fontId="4" fillId="3" borderId="3" xfId="4" applyNumberFormat="1" applyFont="1" applyFill="1" applyBorder="1" applyAlignment="1">
      <alignment horizontal="center"/>
    </xf>
    <xf numFmtId="0" fontId="0" fillId="4" borderId="0" xfId="0" applyFill="1" applyBorder="1" applyAlignment="1"/>
    <xf numFmtId="0" fontId="0" fillId="0" borderId="0" xfId="0" applyFill="1" applyBorder="1" applyAlignment="1">
      <alignment vertical="center"/>
    </xf>
    <xf numFmtId="0" fontId="0" fillId="0" borderId="0" xfId="0" applyAlignment="1"/>
    <xf numFmtId="0" fontId="0" fillId="0" borderId="0" xfId="0" applyFill="1" applyAlignment="1"/>
    <xf numFmtId="0" fontId="14" fillId="7" borderId="21" xfId="0" applyFont="1" applyFill="1" applyBorder="1" applyAlignment="1">
      <alignment horizontal="center" vertical="center"/>
    </xf>
    <xf numFmtId="0" fontId="0" fillId="0" borderId="0" xfId="0" applyBorder="1" applyAlignment="1">
      <alignment horizontal="center" vertical="center"/>
    </xf>
    <xf numFmtId="4" fontId="15" fillId="0" borderId="0" xfId="0" applyNumberFormat="1" applyFont="1" applyBorder="1" applyAlignment="1">
      <alignment horizontal="center" vertical="center"/>
    </xf>
    <xf numFmtId="0" fontId="13" fillId="6" borderId="16" xfId="0" applyFont="1" applyFill="1" applyBorder="1" applyAlignment="1">
      <alignment horizontal="centerContinuous" vertical="center"/>
    </xf>
    <xf numFmtId="0" fontId="13" fillId="6" borderId="17" xfId="0" applyFont="1" applyFill="1" applyBorder="1" applyAlignment="1">
      <alignment horizontal="centerContinuous" vertical="center"/>
    </xf>
    <xf numFmtId="0" fontId="13" fillId="6" borderId="18" xfId="0" applyFont="1" applyFill="1" applyBorder="1" applyAlignment="1">
      <alignment horizontal="centerContinuous" vertical="center"/>
    </xf>
    <xf numFmtId="0" fontId="14" fillId="7" borderId="11" xfId="0" applyFont="1" applyFill="1" applyBorder="1" applyAlignment="1">
      <alignment horizontal="centerContinuous" vertical="center"/>
    </xf>
    <xf numFmtId="0" fontId="14" fillId="7" borderId="10" xfId="0" applyFont="1" applyFill="1" applyBorder="1" applyAlignment="1">
      <alignment horizontal="centerContinuous" vertical="center"/>
    </xf>
    <xf numFmtId="0" fontId="14" fillId="7" borderId="19" xfId="0" applyFont="1" applyFill="1" applyBorder="1" applyAlignment="1">
      <alignment horizontal="centerContinuous" vertical="center"/>
    </xf>
    <xf numFmtId="0" fontId="15" fillId="0" borderId="16" xfId="0" applyFont="1" applyFill="1" applyBorder="1" applyAlignment="1">
      <alignment horizontal="left" vertical="center"/>
    </xf>
    <xf numFmtId="0" fontId="14" fillId="0" borderId="17" xfId="0" quotePrefix="1" applyFont="1" applyFill="1" applyBorder="1" applyAlignment="1">
      <alignment horizontal="center" vertical="center" wrapText="1"/>
    </xf>
    <xf numFmtId="0" fontId="15" fillId="0" borderId="17" xfId="0" applyFont="1" applyFill="1" applyBorder="1" applyAlignment="1">
      <alignment horizontal="left" vertical="center"/>
    </xf>
    <xf numFmtId="0" fontId="15" fillId="0" borderId="17" xfId="0" applyFont="1" applyFill="1" applyBorder="1" applyAlignment="1">
      <alignment horizontal="center" vertical="center"/>
    </xf>
    <xf numFmtId="0" fontId="15" fillId="9" borderId="34" xfId="0" applyFont="1" applyFill="1" applyBorder="1" applyAlignment="1">
      <alignment horizontal="center" vertical="center"/>
    </xf>
    <xf numFmtId="4" fontId="0" fillId="9" borderId="35" xfId="0" applyNumberFormat="1" applyFill="1" applyBorder="1" applyAlignment="1">
      <alignment horizontal="center" vertical="center"/>
    </xf>
    <xf numFmtId="0" fontId="14" fillId="7" borderId="23" xfId="0" applyFont="1" applyFill="1" applyBorder="1" applyAlignment="1">
      <alignment horizontal="centerContinuous" vertical="center"/>
    </xf>
    <xf numFmtId="0" fontId="14" fillId="7" borderId="24" xfId="0" applyFont="1" applyFill="1" applyBorder="1" applyAlignment="1">
      <alignment horizontal="centerContinuous" vertical="center"/>
    </xf>
    <xf numFmtId="0" fontId="14" fillId="7" borderId="25" xfId="0" applyFont="1" applyFill="1" applyBorder="1" applyAlignment="1">
      <alignment horizontal="centerContinuous" vertical="center"/>
    </xf>
    <xf numFmtId="0" fontId="0" fillId="0" borderId="33" xfId="0" applyBorder="1" applyAlignment="1">
      <alignment horizontal="left"/>
    </xf>
    <xf numFmtId="0" fontId="0" fillId="0" borderId="0" xfId="0" applyFont="1"/>
    <xf numFmtId="2" fontId="0" fillId="0" borderId="0" xfId="0" applyNumberFormat="1" applyFont="1" applyAlignment="1">
      <alignment horizontal="right"/>
    </xf>
    <xf numFmtId="0" fontId="0" fillId="0" borderId="31" xfId="0" applyBorder="1" applyAlignment="1">
      <alignment vertical="center"/>
    </xf>
    <xf numFmtId="0" fontId="0" fillId="0" borderId="30" xfId="0" applyBorder="1" applyAlignment="1">
      <alignment vertical="center"/>
    </xf>
    <xf numFmtId="0" fontId="5" fillId="4" borderId="32" xfId="0" applyFont="1" applyFill="1" applyBorder="1" applyAlignment="1">
      <alignment vertical="center"/>
    </xf>
    <xf numFmtId="166" fontId="0" fillId="0" borderId="0" xfId="0" applyNumberFormat="1" applyFont="1" applyAlignment="1">
      <alignment horizontal="center"/>
    </xf>
    <xf numFmtId="2" fontId="0" fillId="0" borderId="0" xfId="0" applyNumberFormat="1" applyFont="1" applyAlignment="1">
      <alignment horizontal="center"/>
    </xf>
    <xf numFmtId="166" fontId="0" fillId="5" borderId="0" xfId="0" applyNumberFormat="1" applyFont="1" applyFill="1" applyAlignment="1">
      <alignment horizontal="center"/>
    </xf>
    <xf numFmtId="2" fontId="0" fillId="5" borderId="0" xfId="0" applyNumberFormat="1" applyFont="1" applyFill="1" applyAlignment="1">
      <alignment horizontal="center"/>
    </xf>
    <xf numFmtId="0" fontId="0" fillId="0" borderId="0" xfId="0" applyFill="1" applyAlignment="1">
      <alignment horizontal="center" vertical="center"/>
    </xf>
    <xf numFmtId="0" fontId="0" fillId="0" borderId="44" xfId="0" applyBorder="1" applyAlignment="1">
      <alignment horizontal="center" vertical="center"/>
    </xf>
    <xf numFmtId="4" fontId="0" fillId="6" borderId="35" xfId="0" applyNumberFormat="1" applyFill="1" applyBorder="1" applyAlignment="1">
      <alignment horizontal="center" vertical="center"/>
    </xf>
    <xf numFmtId="2" fontId="0" fillId="6" borderId="22" xfId="0" applyNumberFormat="1" applyFill="1" applyBorder="1" applyAlignment="1">
      <alignment horizontal="center" vertical="center"/>
    </xf>
    <xf numFmtId="4" fontId="0" fillId="0" borderId="0" xfId="0" applyNumberFormat="1" applyFill="1" applyAlignment="1">
      <alignment horizontal="center" vertical="center"/>
    </xf>
    <xf numFmtId="2" fontId="0" fillId="0" borderId="0" xfId="0" applyNumberFormat="1" applyFill="1" applyAlignment="1">
      <alignment horizontal="center" vertical="center"/>
    </xf>
    <xf numFmtId="0" fontId="0" fillId="0" borderId="0" xfId="0" applyFill="1" applyAlignment="1">
      <alignment horizontal="left"/>
    </xf>
    <xf numFmtId="0" fontId="0" fillId="0" borderId="0" xfId="0" applyFill="1" applyAlignment="1">
      <alignment horizontal="left" vertical="center"/>
    </xf>
    <xf numFmtId="0" fontId="0" fillId="0" borderId="0" xfId="0" applyFill="1" applyAlignment="1">
      <alignment vertical="center" wrapText="1"/>
    </xf>
    <xf numFmtId="165" fontId="0" fillId="0" borderId="0" xfId="0" applyNumberFormat="1" applyAlignment="1">
      <alignment horizontal="center"/>
    </xf>
    <xf numFmtId="49" fontId="0" fillId="0" borderId="0" xfId="0" applyNumberFormat="1" applyAlignment="1">
      <alignment horizontal="center" vertical="center"/>
    </xf>
    <xf numFmtId="14" fontId="0" fillId="0" borderId="0" xfId="0" applyNumberFormat="1" applyAlignment="1">
      <alignment horizontal="center" vertical="center"/>
    </xf>
    <xf numFmtId="0" fontId="0" fillId="0" borderId="4" xfId="0" applyFill="1" applyBorder="1" applyAlignment="1">
      <alignment horizontal="left" vertical="center"/>
    </xf>
    <xf numFmtId="169" fontId="0" fillId="9" borderId="35" xfId="0" applyNumberFormat="1" applyFill="1" applyBorder="1" applyAlignment="1">
      <alignment horizontal="center" vertical="center"/>
    </xf>
    <xf numFmtId="2" fontId="0" fillId="9" borderId="35" xfId="0" applyNumberFormat="1" applyFill="1" applyBorder="1" applyAlignment="1">
      <alignment horizontal="center" vertical="center"/>
    </xf>
    <xf numFmtId="0" fontId="0" fillId="8" borderId="0" xfId="0" applyFill="1"/>
    <xf numFmtId="0" fontId="17" fillId="0" borderId="0" xfId="0" applyFont="1" applyAlignment="1">
      <alignment vertical="center"/>
    </xf>
    <xf numFmtId="2" fontId="15" fillId="6" borderId="34" xfId="0" applyNumberFormat="1" applyFont="1" applyFill="1" applyBorder="1" applyAlignment="1">
      <alignment horizontal="center" vertical="center"/>
    </xf>
    <xf numFmtId="0" fontId="0" fillId="6" borderId="0" xfId="0" applyFill="1"/>
    <xf numFmtId="0" fontId="0" fillId="0" borderId="17" xfId="0" applyBorder="1" applyAlignment="1">
      <alignment horizontal="left"/>
    </xf>
    <xf numFmtId="0" fontId="0" fillId="0" borderId="0" xfId="0" applyBorder="1" applyAlignment="1">
      <alignment horizontal="left"/>
    </xf>
    <xf numFmtId="0" fontId="0" fillId="0" borderId="0" xfId="0" applyBorder="1" applyAlignment="1">
      <alignment horizontal="center"/>
    </xf>
    <xf numFmtId="2" fontId="0" fillId="0" borderId="0" xfId="0" applyNumberFormat="1" applyBorder="1" applyAlignment="1">
      <alignment horizontal="center"/>
    </xf>
    <xf numFmtId="39" fontId="0" fillId="0" borderId="0" xfId="6" applyNumberFormat="1" applyFont="1" applyBorder="1" applyAlignment="1">
      <alignment horizontal="center"/>
    </xf>
    <xf numFmtId="169" fontId="0" fillId="6" borderId="35" xfId="0" applyNumberFormat="1" applyFill="1" applyBorder="1" applyAlignment="1">
      <alignment horizontal="center" vertical="center"/>
    </xf>
    <xf numFmtId="170" fontId="0" fillId="6" borderId="35" xfId="0" applyNumberFormat="1" applyFill="1" applyBorder="1" applyAlignment="1">
      <alignment horizontal="center" vertical="center"/>
    </xf>
    <xf numFmtId="3" fontId="0" fillId="6" borderId="35" xfId="0" applyNumberFormat="1" applyFill="1" applyBorder="1" applyAlignment="1">
      <alignment horizontal="center" vertical="center"/>
    </xf>
    <xf numFmtId="37" fontId="0" fillId="0" borderId="0" xfId="6" applyNumberFormat="1" applyFont="1" applyBorder="1" applyAlignment="1">
      <alignment horizontal="center" vertical="center"/>
    </xf>
    <xf numFmtId="2" fontId="0" fillId="0" borderId="0" xfId="0" applyNumberFormat="1" applyFill="1" applyAlignment="1">
      <alignment horizontal="center"/>
    </xf>
    <xf numFmtId="1" fontId="0" fillId="9" borderId="35" xfId="0" applyNumberFormat="1" applyFill="1" applyBorder="1" applyAlignment="1">
      <alignment horizontal="center" vertical="center"/>
    </xf>
    <xf numFmtId="170" fontId="0" fillId="9" borderId="35" xfId="0" applyNumberFormat="1" applyFill="1" applyBorder="1" applyAlignment="1">
      <alignment horizontal="center" vertical="center"/>
    </xf>
    <xf numFmtId="4" fontId="0" fillId="0" borderId="0" xfId="0" applyNumberFormat="1" applyBorder="1" applyAlignment="1">
      <alignment horizontal="center" vertical="center"/>
    </xf>
    <xf numFmtId="0" fontId="0" fillId="0" borderId="17" xfId="0" applyBorder="1" applyAlignment="1">
      <alignment horizontal="center"/>
    </xf>
    <xf numFmtId="0" fontId="0" fillId="0" borderId="0" xfId="0" applyBorder="1"/>
    <xf numFmtId="0" fontId="12" fillId="0" borderId="0" xfId="0" applyFont="1" applyBorder="1" applyAlignment="1">
      <alignment horizontal="centerContinuous" vertical="center"/>
    </xf>
    <xf numFmtId="0" fontId="12" fillId="0" borderId="0" xfId="0" applyFont="1" applyBorder="1" applyAlignment="1">
      <alignment horizontal="centerContinuous"/>
    </xf>
    <xf numFmtId="0" fontId="12" fillId="0" borderId="22" xfId="0" applyFont="1" applyFill="1" applyBorder="1" applyAlignment="1">
      <alignment horizontal="centerContinuous"/>
    </xf>
    <xf numFmtId="0" fontId="12" fillId="0" borderId="4" xfId="0" applyFont="1" applyFill="1" applyBorder="1" applyAlignment="1">
      <alignment horizontal="centerContinuous" vertical="center"/>
    </xf>
    <xf numFmtId="0" fontId="0" fillId="0" borderId="0" xfId="0" applyBorder="1" applyAlignment="1">
      <alignment horizontal="centerContinuous" vertical="center"/>
    </xf>
    <xf numFmtId="0" fontId="0" fillId="0" borderId="0" xfId="0" applyBorder="1" applyAlignment="1">
      <alignment horizontal="centerContinuous"/>
    </xf>
    <xf numFmtId="0" fontId="0" fillId="0" borderId="22" xfId="0" applyFill="1" applyBorder="1" applyAlignment="1">
      <alignment horizontal="centerContinuous"/>
    </xf>
    <xf numFmtId="0" fontId="0" fillId="0" borderId="0" xfId="0" applyFill="1" applyBorder="1" applyAlignment="1">
      <alignment horizontal="left"/>
    </xf>
    <xf numFmtId="0" fontId="0" fillId="0" borderId="5" xfId="0" applyFill="1" applyBorder="1" applyAlignment="1">
      <alignment horizontal="left" vertical="center"/>
    </xf>
    <xf numFmtId="0" fontId="0" fillId="11" borderId="0" xfId="0" applyFill="1"/>
    <xf numFmtId="7" fontId="0" fillId="0" borderId="0" xfId="5" applyNumberFormat="1" applyFont="1" applyFill="1" applyBorder="1" applyAlignment="1">
      <alignment horizontal="center" vertical="center"/>
    </xf>
    <xf numFmtId="164" fontId="0" fillId="9" borderId="35" xfId="4" applyNumberFormat="1" applyFont="1" applyFill="1" applyBorder="1" applyAlignment="1">
      <alignment horizontal="center" vertical="center"/>
    </xf>
    <xf numFmtId="166" fontId="0" fillId="9" borderId="35" xfId="0" applyNumberFormat="1" applyFill="1" applyBorder="1" applyAlignment="1">
      <alignment horizontal="center" vertical="center"/>
    </xf>
    <xf numFmtId="0" fontId="0" fillId="0" borderId="6" xfId="0" applyFill="1" applyBorder="1" applyAlignment="1">
      <alignment horizontal="center"/>
    </xf>
    <xf numFmtId="3" fontId="4" fillId="3" borderId="3" xfId="3" applyNumberFormat="1" applyAlignment="1">
      <alignment horizontal="center" vertical="center"/>
    </xf>
    <xf numFmtId="39" fontId="4" fillId="3" borderId="3" xfId="3" applyNumberFormat="1" applyAlignment="1">
      <alignment horizontal="center" vertical="center"/>
    </xf>
    <xf numFmtId="164" fontId="0" fillId="0" borderId="0" xfId="4" applyNumberFormat="1" applyFont="1" applyAlignment="1">
      <alignment horizontal="center"/>
    </xf>
    <xf numFmtId="164" fontId="0" fillId="0" borderId="0" xfId="4" applyNumberFormat="1" applyFont="1" applyAlignment="1">
      <alignment horizontal="center" vertical="center"/>
    </xf>
    <xf numFmtId="166" fontId="0" fillId="0" borderId="0" xfId="0" applyNumberFormat="1" applyAlignment="1">
      <alignment horizontal="center" vertical="center"/>
    </xf>
    <xf numFmtId="0" fontId="0" fillId="0" borderId="0" xfId="0" quotePrefix="1" applyFill="1" applyAlignment="1">
      <alignment horizontal="center" vertical="center"/>
    </xf>
    <xf numFmtId="0" fontId="13" fillId="6" borderId="7" xfId="0" applyFont="1" applyFill="1" applyBorder="1" applyAlignment="1">
      <alignment horizontal="centerContinuous" vertical="center"/>
    </xf>
    <xf numFmtId="0" fontId="13" fillId="6" borderId="8" xfId="0" applyFont="1" applyFill="1" applyBorder="1" applyAlignment="1">
      <alignment horizontal="centerContinuous" vertical="center"/>
    </xf>
    <xf numFmtId="0" fontId="13" fillId="6" borderId="9" xfId="0" applyFont="1" applyFill="1" applyBorder="1" applyAlignment="1">
      <alignment horizontal="centerContinuous" vertical="center"/>
    </xf>
    <xf numFmtId="0" fontId="0" fillId="0" borderId="0" xfId="0" applyBorder="1" applyAlignment="1">
      <alignment horizontal="center" vertical="center" wrapText="1"/>
    </xf>
    <xf numFmtId="4" fontId="0" fillId="0" borderId="6" xfId="0" applyNumberFormat="1" applyBorder="1" applyAlignment="1">
      <alignment horizontal="center"/>
    </xf>
    <xf numFmtId="2" fontId="0" fillId="9" borderId="35" xfId="0" applyNumberFormat="1" applyFill="1" applyBorder="1" applyAlignment="1">
      <alignment horizontal="center"/>
    </xf>
    <xf numFmtId="4" fontId="0" fillId="0" borderId="0" xfId="0" applyNumberFormat="1" applyBorder="1" applyAlignment="1">
      <alignment horizontal="center"/>
    </xf>
    <xf numFmtId="4" fontId="0" fillId="9" borderId="35" xfId="0" applyNumberFormat="1" applyFill="1" applyBorder="1" applyAlignment="1">
      <alignment horizontal="center"/>
    </xf>
    <xf numFmtId="1" fontId="0" fillId="6" borderId="34" xfId="0" applyNumberFormat="1" applyFill="1" applyBorder="1" applyAlignment="1">
      <alignment horizontal="center"/>
    </xf>
    <xf numFmtId="4" fontId="0" fillId="6" borderId="35" xfId="0" applyNumberFormat="1" applyFill="1" applyBorder="1" applyAlignment="1">
      <alignment horizontal="center"/>
    </xf>
    <xf numFmtId="3" fontId="0" fillId="0" borderId="0" xfId="0" applyNumberFormat="1" applyBorder="1" applyAlignment="1">
      <alignment horizontal="center"/>
    </xf>
    <xf numFmtId="3" fontId="0" fillId="6" borderId="35" xfId="0" applyNumberFormat="1" applyFill="1" applyBorder="1" applyAlignment="1">
      <alignment horizontal="center"/>
    </xf>
    <xf numFmtId="4" fontId="0" fillId="6" borderId="47" xfId="0" applyNumberFormat="1" applyFill="1" applyBorder="1" applyAlignment="1">
      <alignment horizontal="center"/>
    </xf>
    <xf numFmtId="0" fontId="0" fillId="0" borderId="0" xfId="0" quotePrefix="1" applyBorder="1" applyAlignment="1">
      <alignment horizontal="center"/>
    </xf>
    <xf numFmtId="10" fontId="0" fillId="0" borderId="0" xfId="4" applyNumberFormat="1" applyFont="1" applyBorder="1" applyAlignment="1">
      <alignment horizontal="center"/>
    </xf>
    <xf numFmtId="10" fontId="0" fillId="9" borderId="35" xfId="4" applyNumberFormat="1" applyFont="1" applyFill="1" applyBorder="1" applyAlignment="1">
      <alignment horizontal="center"/>
    </xf>
    <xf numFmtId="0" fontId="0" fillId="0" borderId="17" xfId="0" quotePrefix="1" applyBorder="1" applyAlignment="1">
      <alignment horizontal="center" vertical="center" wrapText="1"/>
    </xf>
    <xf numFmtId="0" fontId="17" fillId="0" borderId="0" xfId="0" applyFont="1" applyFill="1" applyAlignment="1">
      <alignment vertical="center"/>
    </xf>
    <xf numFmtId="0" fontId="17" fillId="0" borderId="0" xfId="0" applyFont="1" applyFill="1" applyAlignment="1">
      <alignment horizontal="center" vertical="center"/>
    </xf>
    <xf numFmtId="0" fontId="17" fillId="0" borderId="0" xfId="0" applyFont="1" applyAlignment="1">
      <alignment horizontal="center" vertical="center"/>
    </xf>
    <xf numFmtId="0" fontId="0" fillId="0" borderId="16" xfId="0" applyBorder="1" applyAlignment="1">
      <alignment horizontal="centerContinuous" vertical="center"/>
    </xf>
    <xf numFmtId="0" fontId="0" fillId="0" borderId="17" xfId="0" applyBorder="1" applyAlignment="1">
      <alignment horizontal="centerContinuous" vertical="center" wrapText="1"/>
    </xf>
    <xf numFmtId="0" fontId="0" fillId="0" borderId="17" xfId="0" applyBorder="1" applyAlignment="1">
      <alignment horizontal="centerContinuous"/>
    </xf>
    <xf numFmtId="0" fontId="0" fillId="0" borderId="18" xfId="0" applyFill="1" applyBorder="1" applyAlignment="1">
      <alignment horizontal="centerContinuous"/>
    </xf>
    <xf numFmtId="4" fontId="0" fillId="0" borderId="0" xfId="0" applyNumberFormat="1" applyFill="1" applyBorder="1" applyAlignment="1">
      <alignment horizontal="center"/>
    </xf>
    <xf numFmtId="0" fontId="0" fillId="0" borderId="4" xfId="0" applyBorder="1" applyAlignment="1">
      <alignment horizontal="centerContinuous" vertical="center"/>
    </xf>
    <xf numFmtId="0" fontId="0" fillId="0" borderId="0" xfId="0" applyBorder="1" applyAlignment="1">
      <alignment horizontal="centerContinuous" vertical="center" wrapText="1"/>
    </xf>
    <xf numFmtId="164" fontId="7" fillId="0" borderId="0" xfId="0" applyNumberFormat="1" applyFont="1" applyAlignment="1">
      <alignment horizontal="center"/>
    </xf>
    <xf numFmtId="39" fontId="0" fillId="0" borderId="0" xfId="0" applyNumberFormat="1" applyAlignment="1">
      <alignment horizontal="center" vertical="center"/>
    </xf>
    <xf numFmtId="0" fontId="17" fillId="0" borderId="0" xfId="0" applyFont="1" applyFill="1" applyAlignment="1">
      <alignment horizontal="left" vertical="center"/>
    </xf>
    <xf numFmtId="0" fontId="0" fillId="9" borderId="34" xfId="0" applyFill="1" applyBorder="1" applyAlignment="1">
      <alignment horizontal="center"/>
    </xf>
    <xf numFmtId="4" fontId="0" fillId="9" borderId="46" xfId="0" applyNumberFormat="1" applyFill="1" applyBorder="1" applyAlignment="1">
      <alignment horizontal="center" vertical="center"/>
    </xf>
    <xf numFmtId="4" fontId="0" fillId="6" borderId="46" xfId="0" applyNumberFormat="1" applyFill="1" applyBorder="1" applyAlignment="1">
      <alignment horizontal="center" vertical="center"/>
    </xf>
    <xf numFmtId="4" fontId="0" fillId="0" borderId="6" xfId="0" applyNumberFormat="1" applyBorder="1" applyAlignment="1">
      <alignment horizontal="center" vertical="center"/>
    </xf>
    <xf numFmtId="4" fontId="0" fillId="6" borderId="47" xfId="0" applyNumberFormat="1" applyFill="1" applyBorder="1" applyAlignment="1">
      <alignment horizontal="center" vertical="center"/>
    </xf>
    <xf numFmtId="10" fontId="0" fillId="0" borderId="0" xfId="4" applyNumberFormat="1" applyFont="1" applyBorder="1" applyAlignment="1">
      <alignment horizontal="center" vertical="center"/>
    </xf>
    <xf numFmtId="0" fontId="0" fillId="0" borderId="16" xfId="0" applyBorder="1"/>
    <xf numFmtId="4" fontId="0" fillId="0" borderId="17" xfId="0" applyNumberFormat="1" applyBorder="1" applyAlignment="1">
      <alignment horizontal="center" vertical="center"/>
    </xf>
    <xf numFmtId="0" fontId="0" fillId="0" borderId="4" xfId="0" applyFill="1" applyBorder="1"/>
    <xf numFmtId="10" fontId="0" fillId="9" borderId="35" xfId="4" applyNumberFormat="1" applyFont="1" applyFill="1" applyBorder="1" applyAlignment="1">
      <alignment horizontal="center" vertical="center"/>
    </xf>
    <xf numFmtId="0" fontId="0" fillId="0" borderId="5" xfId="0" applyFill="1" applyBorder="1"/>
    <xf numFmtId="4" fontId="0" fillId="6" borderId="34" xfId="0" applyNumberFormat="1" applyFill="1" applyBorder="1" applyAlignment="1">
      <alignment horizontal="center" vertical="center"/>
    </xf>
    <xf numFmtId="10" fontId="0" fillId="0" borderId="17" xfId="0" applyNumberFormat="1" applyBorder="1" applyAlignment="1">
      <alignment horizontal="center"/>
    </xf>
    <xf numFmtId="171" fontId="0" fillId="0" borderId="0" xfId="0" applyNumberFormat="1" applyBorder="1" applyAlignment="1">
      <alignment horizontal="center"/>
    </xf>
    <xf numFmtId="10" fontId="0" fillId="6" borderId="34" xfId="0" applyNumberFormat="1" applyFill="1" applyBorder="1" applyAlignment="1">
      <alignment horizontal="center"/>
    </xf>
    <xf numFmtId="171" fontId="0" fillId="6" borderId="35" xfId="0" applyNumberFormat="1" applyFill="1" applyBorder="1" applyAlignment="1">
      <alignment horizontal="center"/>
    </xf>
    <xf numFmtId="171" fontId="0" fillId="0" borderId="17" xfId="0" applyNumberFormat="1" applyBorder="1" applyAlignment="1">
      <alignment horizontal="center"/>
    </xf>
    <xf numFmtId="172" fontId="0" fillId="0" borderId="0" xfId="0" applyNumberFormat="1" applyAlignment="1">
      <alignment horizontal="left" vertical="center"/>
    </xf>
    <xf numFmtId="164" fontId="0" fillId="0" borderId="0" xfId="0" applyNumberFormat="1" applyFont="1" applyAlignment="1">
      <alignment horizontal="center"/>
    </xf>
    <xf numFmtId="0" fontId="0" fillId="13" borderId="4" xfId="0" applyFill="1" applyBorder="1"/>
    <xf numFmtId="0" fontId="0" fillId="0" borderId="0" xfId="0" applyFill="1" applyBorder="1" applyAlignment="1">
      <alignment horizontal="left" vertical="center"/>
    </xf>
    <xf numFmtId="0" fontId="0" fillId="0" borderId="0" xfId="0" quotePrefix="1" applyAlignment="1">
      <alignment horizontal="left"/>
    </xf>
    <xf numFmtId="9" fontId="0" fillId="0" borderId="0" xfId="0" applyNumberFormat="1" applyFill="1" applyAlignment="1">
      <alignment horizontal="left"/>
    </xf>
    <xf numFmtId="39" fontId="0" fillId="6" borderId="35" xfId="0" applyNumberFormat="1" applyFill="1" applyBorder="1" applyAlignment="1">
      <alignment horizontal="center" vertical="center"/>
    </xf>
    <xf numFmtId="39" fontId="0" fillId="0" borderId="0" xfId="0" applyNumberFormat="1" applyBorder="1" applyAlignment="1">
      <alignment horizontal="center" vertical="center"/>
    </xf>
    <xf numFmtId="0" fontId="0" fillId="0" borderId="6" xfId="0" applyFill="1" applyBorder="1" applyAlignment="1">
      <alignment horizontal="center" vertical="center"/>
    </xf>
    <xf numFmtId="166" fontId="0" fillId="0" borderId="0" xfId="0" applyNumberFormat="1" applyFill="1" applyBorder="1" applyAlignment="1">
      <alignment horizontal="center"/>
    </xf>
    <xf numFmtId="7" fontId="0" fillId="6" borderId="35" xfId="0" applyNumberFormat="1" applyFill="1" applyBorder="1" applyAlignment="1">
      <alignment horizontal="center" vertical="center"/>
    </xf>
    <xf numFmtId="164" fontId="0" fillId="0" borderId="0" xfId="4" applyNumberFormat="1" applyFont="1" applyBorder="1" applyAlignment="1">
      <alignment horizontal="center"/>
    </xf>
    <xf numFmtId="164" fontId="0" fillId="6" borderId="35" xfId="4" applyNumberFormat="1" applyFont="1" applyFill="1" applyBorder="1" applyAlignment="1">
      <alignment horizontal="center" vertical="center"/>
    </xf>
    <xf numFmtId="10" fontId="0" fillId="6" borderId="35" xfId="4" applyNumberFormat="1" applyFont="1" applyFill="1" applyBorder="1" applyAlignment="1">
      <alignment horizontal="center" vertical="center"/>
    </xf>
    <xf numFmtId="164" fontId="0" fillId="0" borderId="0" xfId="0" applyNumberFormat="1" applyFont="1" applyAlignment="1">
      <alignment horizontal="center" vertical="center"/>
    </xf>
    <xf numFmtId="0" fontId="0" fillId="0" borderId="0" xfId="0" applyFill="1" applyBorder="1" applyAlignment="1">
      <alignment horizontal="center"/>
    </xf>
    <xf numFmtId="0" fontId="0" fillId="0" borderId="6" xfId="0" applyBorder="1"/>
    <xf numFmtId="166" fontId="0" fillId="0" borderId="6" xfId="0" applyNumberFormat="1" applyFill="1" applyBorder="1" applyAlignment="1">
      <alignment horizontal="center"/>
    </xf>
    <xf numFmtId="7" fontId="0" fillId="6" borderId="47" xfId="0" applyNumberFormat="1" applyFill="1" applyBorder="1" applyAlignment="1">
      <alignment horizontal="center" vertical="center"/>
    </xf>
    <xf numFmtId="0" fontId="0" fillId="0" borderId="0" xfId="0" applyAlignment="1">
      <alignment horizontal="right" vertical="center"/>
    </xf>
    <xf numFmtId="0" fontId="0" fillId="0" borderId="0" xfId="0" applyAlignment="1">
      <alignment horizontal="right"/>
    </xf>
    <xf numFmtId="39" fontId="0" fillId="6" borderId="26" xfId="0" applyNumberFormat="1" applyFill="1" applyBorder="1" applyAlignment="1">
      <alignment horizontal="center"/>
    </xf>
    <xf numFmtId="0" fontId="0" fillId="0" borderId="6" xfId="0" applyBorder="1" applyAlignment="1">
      <alignment horizontal="left"/>
    </xf>
    <xf numFmtId="0" fontId="0" fillId="0" borderId="17" xfId="0" quotePrefix="1" applyBorder="1" applyAlignment="1">
      <alignment horizontal="left"/>
    </xf>
    <xf numFmtId="0" fontId="0" fillId="0" borderId="0" xfId="0" quotePrefix="1" applyBorder="1" applyAlignment="1">
      <alignment horizontal="left"/>
    </xf>
    <xf numFmtId="166" fontId="0" fillId="0" borderId="0" xfId="0" applyNumberFormat="1" applyBorder="1" applyAlignment="1">
      <alignment horizontal="center"/>
    </xf>
    <xf numFmtId="166" fontId="0" fillId="9" borderId="35" xfId="0" applyNumberFormat="1" applyFill="1" applyBorder="1" applyAlignment="1">
      <alignment horizontal="center"/>
    </xf>
    <xf numFmtId="166" fontId="0" fillId="6" borderId="35" xfId="0" applyNumberFormat="1" applyFill="1" applyBorder="1" applyAlignment="1">
      <alignment horizontal="center"/>
    </xf>
    <xf numFmtId="164" fontId="0" fillId="6" borderId="35" xfId="4" applyNumberFormat="1" applyFont="1" applyFill="1" applyBorder="1" applyAlignment="1">
      <alignment horizontal="center"/>
    </xf>
    <xf numFmtId="0" fontId="0" fillId="0" borderId="0" xfId="0" applyBorder="1" applyAlignment="1">
      <alignment horizontal="left" vertical="center"/>
    </xf>
    <xf numFmtId="0" fontId="0" fillId="0" borderId="6" xfId="0" applyBorder="1" applyAlignment="1">
      <alignment horizontal="center" vertical="center"/>
    </xf>
    <xf numFmtId="0" fontId="0" fillId="0" borderId="17" xfId="0" quotePrefix="1" applyBorder="1" applyAlignment="1">
      <alignment horizontal="center" vertical="center"/>
    </xf>
    <xf numFmtId="0" fontId="0" fillId="0" borderId="17" xfId="0" applyBorder="1" applyAlignment="1">
      <alignment horizontal="centerContinuous" vertical="center"/>
    </xf>
    <xf numFmtId="166" fontId="0" fillId="0" borderId="6" xfId="0" applyNumberFormat="1" applyBorder="1" applyAlignment="1">
      <alignment horizontal="center"/>
    </xf>
    <xf numFmtId="166" fontId="0" fillId="6" borderId="47" xfId="0" applyNumberFormat="1" applyFill="1" applyBorder="1" applyAlignment="1">
      <alignment horizontal="center"/>
    </xf>
    <xf numFmtId="166" fontId="0" fillId="0" borderId="0" xfId="0" applyNumberFormat="1" applyAlignment="1">
      <alignment horizontal="center"/>
    </xf>
    <xf numFmtId="0" fontId="0" fillId="0" borderId="0" xfId="0" quotePrefix="1" applyFill="1" applyBorder="1" applyAlignment="1">
      <alignment horizontal="left"/>
    </xf>
    <xf numFmtId="0" fontId="0" fillId="12" borderId="4" xfId="0" applyFill="1" applyBorder="1"/>
    <xf numFmtId="164" fontId="0" fillId="0" borderId="0" xfId="4" applyNumberFormat="1" applyFont="1" applyBorder="1" applyAlignment="1">
      <alignment horizontal="center" vertical="center"/>
    </xf>
    <xf numFmtId="166" fontId="0" fillId="0" borderId="0" xfId="0" applyNumberFormat="1" applyBorder="1" applyAlignment="1">
      <alignment horizontal="center" vertical="center"/>
    </xf>
    <xf numFmtId="166" fontId="0" fillId="6" borderId="35" xfId="0" applyNumberFormat="1" applyFill="1" applyBorder="1" applyAlignment="1">
      <alignment horizontal="center" vertical="center"/>
    </xf>
    <xf numFmtId="166" fontId="0" fillId="0" borderId="6" xfId="0" applyNumberFormat="1" applyBorder="1" applyAlignment="1">
      <alignment horizontal="center" vertical="center"/>
    </xf>
    <xf numFmtId="166" fontId="0" fillId="6" borderId="47" xfId="0" applyNumberFormat="1" applyFill="1" applyBorder="1" applyAlignment="1">
      <alignment horizontal="center" vertical="center"/>
    </xf>
    <xf numFmtId="2" fontId="0" fillId="6" borderId="35" xfId="0" applyNumberFormat="1" applyFill="1" applyBorder="1" applyAlignment="1">
      <alignment horizontal="center"/>
    </xf>
    <xf numFmtId="3" fontId="0" fillId="6" borderId="47" xfId="0" applyNumberFormat="1" applyFill="1" applyBorder="1" applyAlignment="1">
      <alignment horizontal="center"/>
    </xf>
    <xf numFmtId="4" fontId="0" fillId="0" borderId="0" xfId="0" applyNumberFormat="1" applyFill="1" applyAlignment="1">
      <alignment horizontal="center"/>
    </xf>
    <xf numFmtId="10" fontId="0" fillId="6" borderId="35" xfId="4" applyNumberFormat="1" applyFont="1" applyFill="1" applyBorder="1" applyAlignment="1">
      <alignment horizontal="center"/>
    </xf>
    <xf numFmtId="10" fontId="0" fillId="6" borderId="47" xfId="4" applyNumberFormat="1" applyFont="1" applyFill="1" applyBorder="1" applyAlignment="1">
      <alignment horizontal="center"/>
    </xf>
    <xf numFmtId="166" fontId="0" fillId="0" borderId="0" xfId="6" applyNumberFormat="1" applyFont="1" applyBorder="1" applyAlignment="1">
      <alignment horizontal="center"/>
    </xf>
    <xf numFmtId="166" fontId="0" fillId="0" borderId="17" xfId="0" applyNumberFormat="1" applyBorder="1" applyAlignment="1">
      <alignment horizontal="center"/>
    </xf>
    <xf numFmtId="166" fontId="0" fillId="6" borderId="34" xfId="0" applyNumberFormat="1" applyFill="1" applyBorder="1" applyAlignment="1">
      <alignment horizontal="center"/>
    </xf>
    <xf numFmtId="0" fontId="15" fillId="0" borderId="0" xfId="0" applyFont="1" applyBorder="1" applyAlignment="1">
      <alignment horizontal="left"/>
    </xf>
    <xf numFmtId="166" fontId="0" fillId="6" borderId="46" xfId="0" applyNumberFormat="1" applyFill="1" applyBorder="1" applyAlignment="1">
      <alignment horizontal="center"/>
    </xf>
    <xf numFmtId="4" fontId="0" fillId="6" borderId="46" xfId="0" applyNumberFormat="1" applyFill="1" applyBorder="1" applyAlignment="1">
      <alignment horizontal="center"/>
    </xf>
    <xf numFmtId="4" fontId="0" fillId="0" borderId="17" xfId="0" applyNumberFormat="1" applyBorder="1" applyAlignment="1">
      <alignment horizontal="center"/>
    </xf>
    <xf numFmtId="4" fontId="0" fillId="6" borderId="34" xfId="0" applyNumberFormat="1" applyFill="1" applyBorder="1" applyAlignment="1">
      <alignment horizontal="center"/>
    </xf>
    <xf numFmtId="166" fontId="0" fillId="6" borderId="48" xfId="0" applyNumberFormat="1" applyFill="1" applyBorder="1" applyAlignment="1">
      <alignment horizontal="center"/>
    </xf>
    <xf numFmtId="0" fontId="0" fillId="4" borderId="0" xfId="0" applyFill="1" applyBorder="1" applyAlignment="1">
      <alignment horizontal="center"/>
    </xf>
    <xf numFmtId="0" fontId="4" fillId="3" borderId="3" xfId="3" applyAlignment="1">
      <alignment horizontal="center" vertical="center"/>
    </xf>
    <xf numFmtId="0" fontId="0" fillId="0" borderId="31" xfId="0" applyBorder="1" applyAlignment="1">
      <alignment horizontal="left" vertical="center"/>
    </xf>
    <xf numFmtId="0" fontId="0" fillId="0" borderId="51" xfId="0" applyBorder="1" applyAlignment="1">
      <alignment horizontal="center" vertical="center"/>
    </xf>
    <xf numFmtId="0" fontId="0" fillId="0" borderId="49" xfId="0" applyBorder="1" applyAlignment="1">
      <alignment vertical="center"/>
    </xf>
    <xf numFmtId="0" fontId="0" fillId="0" borderId="50" xfId="0" applyBorder="1" applyAlignment="1">
      <alignment horizontal="center" vertical="center"/>
    </xf>
    <xf numFmtId="0" fontId="0" fillId="0" borderId="52" xfId="0" applyBorder="1" applyAlignment="1">
      <alignment horizontal="center" vertical="center"/>
    </xf>
    <xf numFmtId="10" fontId="0" fillId="0" borderId="0" xfId="4" applyNumberFormat="1" applyFont="1" applyAlignment="1">
      <alignment horizontal="center" vertical="center"/>
    </xf>
    <xf numFmtId="9" fontId="0" fillId="0" borderId="0" xfId="0" applyNumberFormat="1" applyFill="1"/>
    <xf numFmtId="0" fontId="0" fillId="0" borderId="30" xfId="0" applyBorder="1" applyAlignment="1">
      <alignment horizontal="left" vertical="center"/>
    </xf>
    <xf numFmtId="0" fontId="5" fillId="4" borderId="39" xfId="0" applyFont="1" applyFill="1" applyBorder="1" applyAlignment="1">
      <alignment horizontal="center" vertical="center"/>
    </xf>
    <xf numFmtId="0" fontId="5" fillId="4" borderId="40" xfId="0" applyFont="1" applyFill="1" applyBorder="1" applyAlignment="1">
      <alignment horizontal="center" vertical="center"/>
    </xf>
    <xf numFmtId="0" fontId="18" fillId="0" borderId="0" xfId="1" applyFont="1" applyFill="1" applyBorder="1" applyAlignment="1">
      <alignment horizontal="right" vertical="center"/>
    </xf>
    <xf numFmtId="0" fontId="0" fillId="0" borderId="0" xfId="0" applyBorder="1" applyAlignment="1">
      <alignment vertical="center"/>
    </xf>
    <xf numFmtId="0" fontId="5" fillId="15" borderId="58" xfId="0" applyFont="1" applyFill="1" applyBorder="1" applyAlignment="1">
      <alignment vertical="center"/>
    </xf>
    <xf numFmtId="0" fontId="5" fillId="15" borderId="59" xfId="0" applyFont="1" applyFill="1" applyBorder="1" applyAlignment="1">
      <alignment horizontal="center" vertical="center"/>
    </xf>
    <xf numFmtId="0" fontId="0" fillId="0" borderId="49" xfId="0" applyBorder="1" applyAlignment="1">
      <alignment horizontal="left" vertical="center"/>
    </xf>
    <xf numFmtId="0" fontId="0" fillId="0" borderId="60" xfId="0" applyBorder="1" applyAlignment="1">
      <alignment horizontal="left" vertical="center"/>
    </xf>
    <xf numFmtId="0" fontId="0" fillId="0" borderId="61" xfId="0" applyBorder="1" applyAlignment="1">
      <alignment horizontal="center" vertical="center"/>
    </xf>
    <xf numFmtId="0" fontId="0" fillId="0" borderId="16" xfId="0" applyFill="1" applyBorder="1" applyAlignment="1">
      <alignment horizontal="left" vertical="center"/>
    </xf>
    <xf numFmtId="2" fontId="0" fillId="0" borderId="0" xfId="0" applyNumberFormat="1" applyBorder="1" applyAlignment="1">
      <alignment horizontal="center" vertical="center"/>
    </xf>
    <xf numFmtId="2" fontId="0" fillId="0" borderId="0" xfId="0" applyNumberFormat="1" applyFill="1" applyBorder="1" applyAlignment="1">
      <alignment horizontal="center" vertical="center"/>
    </xf>
    <xf numFmtId="165" fontId="0" fillId="0" borderId="0" xfId="0" applyNumberFormat="1" applyBorder="1" applyAlignment="1">
      <alignment horizontal="center" vertical="center"/>
    </xf>
    <xf numFmtId="1" fontId="0" fillId="0" borderId="0" xfId="0" applyNumberFormat="1" applyBorder="1" applyAlignment="1">
      <alignment horizontal="center" vertical="center"/>
    </xf>
    <xf numFmtId="1" fontId="0" fillId="0" borderId="0" xfId="0" applyNumberFormat="1" applyFill="1" applyBorder="1" applyAlignment="1">
      <alignment horizontal="center" vertical="center"/>
    </xf>
    <xf numFmtId="0" fontId="12" fillId="0" borderId="16" xfId="0" applyFont="1" applyBorder="1" applyAlignment="1">
      <alignment horizontal="centerContinuous" vertical="center"/>
    </xf>
    <xf numFmtId="0" fontId="12" fillId="0" borderId="4" xfId="0" applyFont="1" applyBorder="1" applyAlignment="1">
      <alignment horizontal="centerContinuous" vertical="center"/>
    </xf>
    <xf numFmtId="1" fontId="0" fillId="9" borderId="46" xfId="0" applyNumberFormat="1" applyFill="1" applyBorder="1" applyAlignment="1">
      <alignment horizontal="center"/>
    </xf>
    <xf numFmtId="2" fontId="0" fillId="0" borderId="0" xfId="0" applyNumberFormat="1" applyFill="1" applyBorder="1" applyAlignment="1">
      <alignment horizontal="center"/>
    </xf>
    <xf numFmtId="0" fontId="15" fillId="0" borderId="4" xfId="0" applyFont="1" applyFill="1" applyBorder="1" applyAlignment="1">
      <alignment horizontal="left" vertical="center"/>
    </xf>
    <xf numFmtId="0" fontId="15" fillId="0" borderId="0" xfId="0" applyFont="1" applyFill="1" applyBorder="1" applyAlignment="1">
      <alignment horizontal="left" vertical="center"/>
    </xf>
    <xf numFmtId="173" fontId="0" fillId="0" borderId="0" xfId="0" applyNumberFormat="1" applyAlignment="1">
      <alignment horizontal="center" vertical="center"/>
    </xf>
    <xf numFmtId="173" fontId="0" fillId="9" borderId="35" xfId="0" applyNumberFormat="1" applyFill="1" applyBorder="1" applyAlignment="1">
      <alignment horizontal="center" vertical="center"/>
    </xf>
    <xf numFmtId="164" fontId="0" fillId="9" borderId="35" xfId="4" applyNumberFormat="1" applyFont="1" applyFill="1" applyBorder="1" applyAlignment="1">
      <alignment horizontal="center"/>
    </xf>
    <xf numFmtId="167" fontId="0" fillId="0" borderId="0" xfId="0" applyNumberFormat="1" applyBorder="1" applyAlignment="1">
      <alignment horizontal="center"/>
    </xf>
    <xf numFmtId="167" fontId="0" fillId="9" borderId="35" xfId="0" applyNumberFormat="1" applyFill="1" applyBorder="1" applyAlignment="1">
      <alignment horizontal="center"/>
    </xf>
    <xf numFmtId="3" fontId="0" fillId="0" borderId="6" xfId="0" applyNumberFormat="1" applyBorder="1" applyAlignment="1">
      <alignment horizontal="center"/>
    </xf>
    <xf numFmtId="3" fontId="0" fillId="0" borderId="0" xfId="0" applyNumberFormat="1" applyFill="1" applyBorder="1" applyAlignment="1">
      <alignment horizontal="center" vertical="center"/>
    </xf>
    <xf numFmtId="3" fontId="0" fillId="9" borderId="35" xfId="0" applyNumberFormat="1" applyFill="1" applyBorder="1" applyAlignment="1">
      <alignment horizontal="center" vertical="center"/>
    </xf>
    <xf numFmtId="4" fontId="0" fillId="9" borderId="71" xfId="0" applyNumberFormat="1" applyFill="1" applyBorder="1" applyAlignment="1">
      <alignment horizontal="center" vertical="center"/>
    </xf>
    <xf numFmtId="0" fontId="15" fillId="0" borderId="17" xfId="0" applyFont="1" applyFill="1" applyBorder="1" applyAlignment="1">
      <alignment horizontal="center" vertical="center" wrapText="1"/>
    </xf>
    <xf numFmtId="0" fontId="15" fillId="0" borderId="0" xfId="0" applyFont="1" applyFill="1" applyBorder="1" applyAlignment="1">
      <alignment horizontal="center" vertical="center" wrapText="1"/>
    </xf>
    <xf numFmtId="0" fontId="15" fillId="0" borderId="0" xfId="0" quotePrefix="1" applyFont="1" applyFill="1" applyBorder="1" applyAlignment="1">
      <alignment horizontal="center" vertical="center" wrapText="1"/>
    </xf>
    <xf numFmtId="2" fontId="15" fillId="0" borderId="0" xfId="0" applyNumberFormat="1" applyFont="1" applyFill="1" applyBorder="1" applyAlignment="1">
      <alignment horizontal="center" vertical="center"/>
    </xf>
    <xf numFmtId="2" fontId="0" fillId="6" borderId="46" xfId="0" applyNumberFormat="1" applyFill="1" applyBorder="1" applyAlignment="1">
      <alignment horizontal="center" vertical="center"/>
    </xf>
    <xf numFmtId="2" fontId="0" fillId="9" borderId="46" xfId="0" applyNumberFormat="1" applyFill="1" applyBorder="1" applyAlignment="1">
      <alignment horizontal="center" vertical="center"/>
    </xf>
    <xf numFmtId="0" fontId="15" fillId="0" borderId="0" xfId="0" applyFont="1" applyFill="1" applyBorder="1" applyAlignment="1">
      <alignment horizontal="center" vertical="center"/>
    </xf>
    <xf numFmtId="0" fontId="15" fillId="0" borderId="17" xfId="0" quotePrefix="1" applyFont="1" applyFill="1" applyBorder="1" applyAlignment="1">
      <alignment horizontal="center" vertical="center" wrapText="1"/>
    </xf>
    <xf numFmtId="0" fontId="15" fillId="9" borderId="18" xfId="0" applyFont="1" applyFill="1" applyBorder="1" applyAlignment="1">
      <alignment horizontal="center" vertical="center"/>
    </xf>
    <xf numFmtId="1" fontId="0" fillId="9" borderId="35" xfId="4" applyNumberFormat="1" applyFont="1" applyFill="1" applyBorder="1" applyAlignment="1">
      <alignment horizontal="center" vertical="center"/>
    </xf>
    <xf numFmtId="44" fontId="0" fillId="0" borderId="0" xfId="5" applyFont="1"/>
    <xf numFmtId="44" fontId="0" fillId="0" borderId="0" xfId="5" applyFont="1" applyAlignment="1">
      <alignment horizontal="center"/>
    </xf>
    <xf numFmtId="44" fontId="0" fillId="0" borderId="0" xfId="0" applyNumberFormat="1"/>
    <xf numFmtId="44" fontId="0" fillId="0" borderId="0" xfId="0" applyNumberFormat="1" applyAlignment="1">
      <alignment horizontal="center"/>
    </xf>
    <xf numFmtId="164" fontId="0" fillId="0" borderId="0" xfId="0" applyNumberFormat="1" applyAlignment="1">
      <alignment horizontal="center"/>
    </xf>
    <xf numFmtId="2" fontId="0" fillId="0" borderId="0" xfId="0" applyNumberFormat="1"/>
    <xf numFmtId="2" fontId="0" fillId="0" borderId="0" xfId="0" applyNumberFormat="1" applyAlignment="1">
      <alignment horizontal="right"/>
    </xf>
    <xf numFmtId="10" fontId="0" fillId="0" borderId="0" xfId="0" applyNumberFormat="1" applyAlignment="1">
      <alignment horizontal="center"/>
    </xf>
    <xf numFmtId="0" fontId="20" fillId="0" borderId="72" xfId="7" applyFill="1" applyAlignment="1">
      <alignment horizontal="centerContinuous" vertical="center"/>
    </xf>
    <xf numFmtId="167" fontId="0" fillId="0" borderId="0" xfId="0" applyNumberFormat="1" applyAlignment="1">
      <alignment horizontal="center"/>
    </xf>
    <xf numFmtId="0" fontId="0" fillId="0" borderId="0" xfId="0" applyAlignment="1">
      <alignment horizontal="center"/>
    </xf>
    <xf numFmtId="10" fontId="0" fillId="0" borderId="0" xfId="0" applyNumberFormat="1" applyBorder="1" applyAlignment="1">
      <alignment horizontal="center"/>
    </xf>
    <xf numFmtId="0" fontId="0" fillId="0" borderId="17" xfId="0" applyFill="1" applyBorder="1" applyAlignment="1">
      <alignment horizontal="center"/>
    </xf>
    <xf numFmtId="2" fontId="0" fillId="0" borderId="17" xfId="0" applyNumberFormat="1" applyBorder="1" applyAlignment="1">
      <alignment horizontal="center"/>
    </xf>
    <xf numFmtId="2" fontId="0" fillId="6" borderId="18" xfId="0" applyNumberFormat="1" applyFill="1" applyBorder="1" applyAlignment="1">
      <alignment horizontal="center"/>
    </xf>
    <xf numFmtId="0" fontId="0" fillId="0" borderId="17" xfId="0" applyBorder="1"/>
    <xf numFmtId="3" fontId="0" fillId="6" borderId="18" xfId="0" applyNumberFormat="1" applyFill="1" applyBorder="1" applyAlignment="1">
      <alignment horizontal="center"/>
    </xf>
    <xf numFmtId="1" fontId="15" fillId="0" borderId="17" xfId="0" applyNumberFormat="1" applyFont="1" applyFill="1" applyBorder="1" applyAlignment="1">
      <alignment horizontal="center" vertical="center"/>
    </xf>
    <xf numFmtId="173" fontId="0" fillId="0" borderId="0" xfId="0" applyNumberFormat="1" applyAlignment="1">
      <alignment horizontal="center"/>
    </xf>
    <xf numFmtId="2" fontId="0" fillId="0" borderId="0" xfId="0" applyNumberFormat="1" applyAlignment="1">
      <alignment horizontal="center"/>
    </xf>
    <xf numFmtId="0" fontId="0" fillId="0" borderId="0" xfId="0" applyAlignment="1">
      <alignment horizontal="center"/>
    </xf>
    <xf numFmtId="3" fontId="0" fillId="0" borderId="0" xfId="0" applyNumberFormat="1" applyAlignment="1">
      <alignment horizontal="center"/>
    </xf>
    <xf numFmtId="1" fontId="0" fillId="6" borderId="35" xfId="4" applyNumberFormat="1" applyFont="1" applyFill="1" applyBorder="1" applyAlignment="1">
      <alignment horizontal="center" vertical="center"/>
    </xf>
    <xf numFmtId="170" fontId="0" fillId="0" borderId="0" xfId="0" applyNumberFormat="1" applyAlignment="1">
      <alignment horizontal="center"/>
    </xf>
    <xf numFmtId="1" fontId="0" fillId="0" borderId="0" xfId="0" applyNumberFormat="1" applyAlignment="1">
      <alignment horizontal="center"/>
    </xf>
    <xf numFmtId="168" fontId="0" fillId="0" borderId="0" xfId="5" applyNumberFormat="1" applyFont="1" applyAlignment="1">
      <alignment horizontal="center"/>
    </xf>
    <xf numFmtId="168" fontId="0" fillId="0" borderId="6" xfId="5" applyNumberFormat="1" applyFont="1" applyBorder="1" applyAlignment="1">
      <alignment horizontal="center"/>
    </xf>
    <xf numFmtId="0" fontId="10" fillId="14" borderId="0" xfId="0" applyFont="1" applyFill="1" applyAlignment="1">
      <alignment horizontal="center"/>
    </xf>
    <xf numFmtId="4" fontId="0" fillId="0" borderId="0" xfId="0" applyNumberFormat="1" applyAlignment="1">
      <alignment horizontal="center" vertical="center"/>
    </xf>
    <xf numFmtId="3" fontId="0" fillId="0" borderId="0" xfId="0" applyNumberFormat="1" applyAlignment="1">
      <alignment horizontal="center" vertical="center"/>
    </xf>
    <xf numFmtId="7" fontId="0" fillId="0" borderId="0" xfId="0" applyNumberFormat="1" applyAlignment="1">
      <alignment horizontal="center" vertical="center"/>
    </xf>
    <xf numFmtId="44" fontId="0" fillId="0" borderId="0" xfId="0" applyNumberFormat="1" applyAlignment="1">
      <alignment horizontal="center" vertical="center"/>
    </xf>
    <xf numFmtId="44" fontId="16" fillId="0" borderId="0" xfId="0" applyNumberFormat="1" applyFont="1" applyAlignment="1">
      <alignment horizontal="center" vertical="center"/>
    </xf>
    <xf numFmtId="0" fontId="16" fillId="0" borderId="0" xfId="0" applyFont="1" applyAlignment="1">
      <alignment horizontal="left" vertical="center"/>
    </xf>
    <xf numFmtId="2" fontId="16" fillId="0" borderId="0" xfId="0" applyNumberFormat="1" applyFont="1" applyAlignment="1">
      <alignment horizontal="center" vertical="center"/>
    </xf>
    <xf numFmtId="39" fontId="0" fillId="0" borderId="0" xfId="0" quotePrefix="1" applyNumberFormat="1" applyBorder="1" applyAlignment="1">
      <alignment horizontal="center"/>
    </xf>
    <xf numFmtId="168" fontId="0" fillId="0" borderId="0" xfId="5" quotePrefix="1" applyNumberFormat="1" applyFont="1" applyAlignment="1">
      <alignment horizontal="center"/>
    </xf>
    <xf numFmtId="0" fontId="14" fillId="7" borderId="5" xfId="0" applyFont="1" applyFill="1" applyBorder="1" applyAlignment="1">
      <alignment horizontal="center" vertical="center"/>
    </xf>
    <xf numFmtId="0" fontId="14" fillId="7" borderId="6" xfId="0" applyFont="1" applyFill="1" applyBorder="1" applyAlignment="1">
      <alignment horizontal="center" vertical="center" wrapText="1"/>
    </xf>
    <xf numFmtId="0" fontId="14" fillId="7" borderId="6" xfId="0" applyFont="1" applyFill="1" applyBorder="1" applyAlignment="1">
      <alignment horizontal="center" vertical="center"/>
    </xf>
    <xf numFmtId="0" fontId="14" fillId="7" borderId="26" xfId="0" applyFont="1" applyFill="1" applyBorder="1" applyAlignment="1">
      <alignment horizontal="center" vertical="center"/>
    </xf>
    <xf numFmtId="0" fontId="14" fillId="7" borderId="7" xfId="0" applyFont="1" applyFill="1" applyBorder="1" applyAlignment="1">
      <alignment horizontal="centerContinuous" vertical="center"/>
    </xf>
    <xf numFmtId="0" fontId="14" fillId="7" borderId="8" xfId="0" applyFont="1" applyFill="1" applyBorder="1" applyAlignment="1">
      <alignment horizontal="centerContinuous" vertical="center"/>
    </xf>
    <xf numFmtId="0" fontId="14" fillId="7" borderId="9" xfId="0" applyFont="1" applyFill="1" applyBorder="1" applyAlignment="1">
      <alignment horizontal="centerContinuous" vertical="center"/>
    </xf>
    <xf numFmtId="166" fontId="0" fillId="6" borderId="71" xfId="0" applyNumberFormat="1" applyFill="1" applyBorder="1" applyAlignment="1">
      <alignment horizontal="center"/>
    </xf>
    <xf numFmtId="174" fontId="0" fillId="6" borderId="47" xfId="5" applyNumberFormat="1" applyFont="1" applyFill="1" applyBorder="1" applyAlignment="1">
      <alignment horizontal="center"/>
    </xf>
    <xf numFmtId="3" fontId="0" fillId="0" borderId="0" xfId="5" applyNumberFormat="1" applyFont="1" applyAlignment="1">
      <alignment horizontal="center"/>
    </xf>
    <xf numFmtId="167" fontId="0" fillId="0" borderId="17" xfId="0" applyNumberFormat="1" applyBorder="1" applyAlignment="1">
      <alignment horizontal="center"/>
    </xf>
    <xf numFmtId="167" fontId="0" fillId="6" borderId="34" xfId="0" applyNumberFormat="1" applyFill="1" applyBorder="1" applyAlignment="1">
      <alignment horizontal="center"/>
    </xf>
    <xf numFmtId="167" fontId="0" fillId="6" borderId="46" xfId="0" applyNumberFormat="1" applyFill="1" applyBorder="1" applyAlignment="1">
      <alignment horizontal="center"/>
    </xf>
    <xf numFmtId="167" fontId="0" fillId="6" borderId="48" xfId="0" applyNumberFormat="1" applyFill="1" applyBorder="1" applyAlignment="1">
      <alignment horizontal="center"/>
    </xf>
    <xf numFmtId="167" fontId="0" fillId="0" borderId="6" xfId="0" applyNumberFormat="1" applyBorder="1" applyAlignment="1">
      <alignment horizontal="center"/>
    </xf>
    <xf numFmtId="4" fontId="0" fillId="0" borderId="0" xfId="0" applyNumberFormat="1" applyAlignment="1">
      <alignment horizontal="right"/>
    </xf>
    <xf numFmtId="175" fontId="0" fillId="0" borderId="0" xfId="5" applyNumberFormat="1" applyFont="1" applyAlignment="1">
      <alignment horizontal="center"/>
    </xf>
    <xf numFmtId="37" fontId="0" fillId="0" borderId="0" xfId="0" applyNumberFormat="1"/>
    <xf numFmtId="0" fontId="0" fillId="0" borderId="7" xfId="0" applyBorder="1"/>
    <xf numFmtId="0" fontId="0" fillId="0" borderId="8" xfId="0" applyBorder="1"/>
    <xf numFmtId="0" fontId="0" fillId="0" borderId="8" xfId="0" applyBorder="1" applyAlignment="1">
      <alignment horizontal="center"/>
    </xf>
    <xf numFmtId="0" fontId="0" fillId="0" borderId="0" xfId="0" quotePrefix="1" applyFill="1" applyBorder="1"/>
    <xf numFmtId="0" fontId="0" fillId="0" borderId="0" xfId="0" quotePrefix="1" applyFill="1"/>
    <xf numFmtId="0" fontId="15" fillId="0" borderId="0" xfId="0" applyFont="1" applyFill="1"/>
    <xf numFmtId="0" fontId="15" fillId="0" borderId="0" xfId="0" quotePrefix="1" applyFont="1" applyFill="1"/>
    <xf numFmtId="0" fontId="14" fillId="0" borderId="0" xfId="0" applyFont="1" applyFill="1"/>
    <xf numFmtId="0" fontId="15" fillId="0" borderId="6" xfId="0" applyFont="1" applyFill="1" applyBorder="1"/>
    <xf numFmtId="0" fontId="15" fillId="0" borderId="6" xfId="0" quotePrefix="1" applyFont="1" applyFill="1" applyBorder="1"/>
    <xf numFmtId="14" fontId="15" fillId="0" borderId="0" xfId="0" applyNumberFormat="1" applyFont="1" applyFill="1" applyAlignment="1">
      <alignment horizontal="center"/>
    </xf>
    <xf numFmtId="0" fontId="15" fillId="0" borderId="0" xfId="0" applyFont="1" applyFill="1" applyAlignment="1">
      <alignment horizontal="left"/>
    </xf>
    <xf numFmtId="2" fontId="15" fillId="0" borderId="0" xfId="0" applyNumberFormat="1" applyFont="1" applyFill="1" applyAlignment="1">
      <alignment horizontal="center"/>
    </xf>
    <xf numFmtId="164" fontId="15" fillId="0" borderId="0" xfId="4" applyNumberFormat="1" applyFont="1" applyFill="1" applyAlignment="1">
      <alignment horizontal="center"/>
    </xf>
    <xf numFmtId="44" fontId="15" fillId="0" borderId="0" xfId="5" applyFont="1" applyFill="1" applyAlignment="1">
      <alignment horizontal="center"/>
    </xf>
    <xf numFmtId="0" fontId="24" fillId="4" borderId="0" xfId="0" applyFont="1" applyFill="1" applyAlignment="1">
      <alignment horizontal="center" vertical="center" wrapText="1"/>
    </xf>
    <xf numFmtId="44" fontId="0" fillId="0" borderId="0" xfId="5" applyFont="1" applyAlignment="1">
      <alignment horizontal="left"/>
    </xf>
    <xf numFmtId="1" fontId="0" fillId="0" borderId="0" xfId="5" applyNumberFormat="1" applyFont="1" applyAlignment="1">
      <alignment horizontal="center"/>
    </xf>
    <xf numFmtId="0" fontId="0" fillId="10" borderId="0" xfId="0" applyFill="1" applyAlignment="1">
      <alignment horizontal="left"/>
    </xf>
    <xf numFmtId="2" fontId="23" fillId="16" borderId="0" xfId="9" applyNumberFormat="1" applyAlignment="1">
      <alignment horizontal="center"/>
    </xf>
    <xf numFmtId="1" fontId="23" fillId="16" borderId="0" xfId="9" applyNumberFormat="1" applyAlignment="1">
      <alignment horizontal="center"/>
    </xf>
    <xf numFmtId="165" fontId="0" fillId="0" borderId="0" xfId="0" applyNumberFormat="1" applyAlignment="1">
      <alignment horizontal="center" vertical="center"/>
    </xf>
    <xf numFmtId="0" fontId="0" fillId="17" borderId="0" xfId="0" applyFill="1"/>
    <xf numFmtId="0" fontId="0" fillId="17" borderId="0" xfId="0" applyFill="1" applyBorder="1"/>
    <xf numFmtId="0" fontId="2" fillId="17" borderId="0" xfId="0" applyFont="1" applyFill="1"/>
    <xf numFmtId="0" fontId="1" fillId="17" borderId="1" xfId="1" applyFill="1" applyAlignment="1">
      <alignment horizontal="left"/>
    </xf>
    <xf numFmtId="0" fontId="19" fillId="17" borderId="0" xfId="0" applyFont="1" applyFill="1" applyAlignment="1">
      <alignment horizontal="left" vertical="center"/>
    </xf>
    <xf numFmtId="0" fontId="0" fillId="17" borderId="0" xfId="0" applyFill="1" applyAlignment="1">
      <alignment vertical="center"/>
    </xf>
    <xf numFmtId="0" fontId="9" fillId="17" borderId="0" xfId="0" applyFont="1" applyFill="1"/>
    <xf numFmtId="0" fontId="0" fillId="17" borderId="0" xfId="0" applyFont="1" applyFill="1"/>
    <xf numFmtId="0" fontId="0" fillId="17" borderId="1" xfId="0" applyFill="1" applyBorder="1"/>
    <xf numFmtId="0" fontId="3" fillId="2" borderId="2" xfId="2" applyAlignment="1" applyProtection="1">
      <alignment horizontal="center" vertical="center"/>
      <protection locked="0"/>
    </xf>
    <xf numFmtId="14" fontId="3" fillId="2" borderId="2" xfId="2" applyNumberFormat="1" applyAlignment="1" applyProtection="1">
      <alignment horizontal="center" vertical="center"/>
      <protection locked="0"/>
    </xf>
    <xf numFmtId="1" fontId="3" fillId="2" borderId="2" xfId="2" applyNumberFormat="1" applyAlignment="1" applyProtection="1">
      <alignment horizontal="center" vertical="center"/>
      <protection locked="0"/>
    </xf>
    <xf numFmtId="0" fontId="1" fillId="17" borderId="1" xfId="1" applyFill="1" applyBorder="1" applyAlignment="1"/>
    <xf numFmtId="164" fontId="3" fillId="2" borderId="2" xfId="4" applyNumberFormat="1" applyFont="1" applyFill="1" applyBorder="1" applyAlignment="1" applyProtection="1">
      <alignment horizontal="center" vertical="center"/>
      <protection locked="0"/>
    </xf>
    <xf numFmtId="164" fontId="3" fillId="2" borderId="2" xfId="2" applyNumberFormat="1" applyAlignment="1" applyProtection="1">
      <alignment horizontal="center" vertical="center"/>
      <protection locked="0"/>
    </xf>
    <xf numFmtId="2" fontId="3" fillId="2" borderId="2" xfId="2" applyNumberFormat="1" applyAlignment="1" applyProtection="1">
      <alignment horizontal="center" vertical="center"/>
      <protection locked="0"/>
    </xf>
    <xf numFmtId="166" fontId="3" fillId="2" borderId="2" xfId="2" applyNumberFormat="1" applyAlignment="1" applyProtection="1">
      <alignment horizontal="center" vertical="center"/>
      <protection locked="0"/>
    </xf>
    <xf numFmtId="0" fontId="0" fillId="17" borderId="0" xfId="0" applyFill="1" applyAlignment="1">
      <alignment horizontal="center"/>
    </xf>
    <xf numFmtId="0" fontId="1" fillId="17" borderId="1" xfId="1" applyFill="1" applyAlignment="1"/>
    <xf numFmtId="0" fontId="2" fillId="17" borderId="0" xfId="0" applyFont="1" applyFill="1" applyBorder="1" applyAlignment="1">
      <alignment vertical="center"/>
    </xf>
    <xf numFmtId="0" fontId="2" fillId="17" borderId="53" xfId="0" applyFont="1" applyFill="1" applyBorder="1" applyAlignment="1">
      <alignment vertical="center"/>
    </xf>
    <xf numFmtId="0" fontId="18" fillId="17" borderId="0" xfId="0" applyFont="1" applyFill="1" applyAlignment="1">
      <alignment horizontal="right" vertical="center"/>
    </xf>
    <xf numFmtId="3" fontId="3" fillId="2" borderId="2" xfId="2" applyNumberFormat="1" applyAlignment="1" applyProtection="1">
      <alignment horizontal="center" vertical="center"/>
      <protection locked="0"/>
    </xf>
    <xf numFmtId="0" fontId="0" fillId="17" borderId="0" xfId="0" applyFill="1" applyBorder="1" applyAlignment="1"/>
    <xf numFmtId="0" fontId="2" fillId="17" borderId="0" xfId="0" applyFont="1" applyFill="1" applyBorder="1" applyAlignment="1">
      <alignment horizontal="left" vertical="center" indent="2"/>
    </xf>
    <xf numFmtId="0" fontId="0" fillId="17" borderId="1" xfId="0" applyFill="1" applyBorder="1" applyAlignment="1"/>
    <xf numFmtId="0" fontId="0" fillId="17" borderId="0" xfId="0" applyFill="1" applyBorder="1" applyAlignment="1">
      <alignment vertical="center"/>
    </xf>
    <xf numFmtId="0" fontId="0" fillId="17" borderId="0" xfId="0" applyFill="1" applyBorder="1" applyAlignment="1">
      <alignment horizontal="center" vertical="center"/>
    </xf>
    <xf numFmtId="0" fontId="0" fillId="17" borderId="0" xfId="0" applyFill="1" applyAlignment="1"/>
    <xf numFmtId="0" fontId="3" fillId="2" borderId="2" xfId="2" applyFont="1"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Alignment="1" applyProtection="1">
      <alignment horizontal="center" vertical="center"/>
    </xf>
    <xf numFmtId="9" fontId="3" fillId="2" borderId="2" xfId="2" applyNumberFormat="1" applyAlignment="1" applyProtection="1">
      <alignment horizontal="center" vertical="center"/>
      <protection locked="0"/>
    </xf>
    <xf numFmtId="0" fontId="1" fillId="17" borderId="45" xfId="1" applyFill="1" applyBorder="1" applyAlignment="1"/>
    <xf numFmtId="0" fontId="1" fillId="17" borderId="0" xfId="1" applyFill="1" applyBorder="1" applyAlignment="1"/>
    <xf numFmtId="0" fontId="0" fillId="17" borderId="39" xfId="0" applyFill="1" applyBorder="1" applyAlignment="1">
      <alignment vertical="center"/>
    </xf>
    <xf numFmtId="0" fontId="0" fillId="17" borderId="1" xfId="0" applyFill="1" applyBorder="1" applyAlignment="1">
      <alignment vertical="center"/>
    </xf>
    <xf numFmtId="167" fontId="3" fillId="2" borderId="2" xfId="2" applyNumberFormat="1" applyAlignment="1" applyProtection="1">
      <alignment horizontal="center" vertical="center"/>
      <protection locked="0"/>
    </xf>
    <xf numFmtId="4" fontId="3" fillId="2" borderId="2" xfId="2" applyNumberFormat="1" applyAlignment="1" applyProtection="1">
      <alignment horizontal="center" vertical="center"/>
      <protection locked="0"/>
    </xf>
    <xf numFmtId="164" fontId="3" fillId="2" borderId="2" xfId="2" applyNumberFormat="1" applyFont="1" applyFill="1" applyBorder="1" applyAlignment="1" applyProtection="1">
      <alignment horizontal="center" vertical="center"/>
      <protection locked="0"/>
    </xf>
    <xf numFmtId="4" fontId="3" fillId="2" borderId="2" xfId="2" applyNumberFormat="1" applyFont="1" applyFill="1" applyBorder="1" applyAlignment="1" applyProtection="1">
      <alignment horizontal="center" vertical="center"/>
      <protection locked="0"/>
    </xf>
    <xf numFmtId="173" fontId="3" fillId="2" borderId="2" xfId="2" applyNumberFormat="1" applyFont="1" applyFill="1" applyBorder="1" applyAlignment="1" applyProtection="1">
      <alignment horizontal="center" vertical="center"/>
      <protection locked="0"/>
    </xf>
    <xf numFmtId="174" fontId="3" fillId="2" borderId="2" xfId="5" applyNumberFormat="1" applyFont="1" applyFill="1" applyBorder="1" applyAlignment="1" applyProtection="1">
      <alignment horizontal="center" vertical="center"/>
      <protection locked="0"/>
    </xf>
    <xf numFmtId="174" fontId="3" fillId="2" borderId="2" xfId="2" applyNumberFormat="1" applyFont="1" applyFill="1" applyBorder="1" applyAlignment="1" applyProtection="1">
      <alignment horizontal="center" vertical="center"/>
      <protection locked="0"/>
    </xf>
    <xf numFmtId="174" fontId="3" fillId="2" borderId="70" xfId="2" applyNumberFormat="1" applyFont="1" applyFill="1" applyBorder="1" applyAlignment="1" applyProtection="1">
      <alignment horizontal="center" vertical="center"/>
      <protection locked="0"/>
    </xf>
    <xf numFmtId="0" fontId="12" fillId="17" borderId="0" xfId="0" applyFont="1" applyFill="1"/>
    <xf numFmtId="0" fontId="16" fillId="17" borderId="0" xfId="0" applyFont="1" applyFill="1" applyAlignment="1">
      <alignment vertical="center"/>
    </xf>
    <xf numFmtId="0" fontId="16" fillId="17" borderId="0" xfId="0" applyFont="1" applyFill="1" applyAlignment="1">
      <alignment horizontal="center" vertical="center"/>
    </xf>
    <xf numFmtId="0" fontId="0" fillId="17" borderId="0" xfId="0" applyFill="1" applyAlignment="1">
      <alignment horizontal="center" vertical="center"/>
    </xf>
    <xf numFmtId="174" fontId="3" fillId="2" borderId="2" xfId="2" applyNumberFormat="1" applyAlignment="1" applyProtection="1">
      <alignment horizontal="center"/>
      <protection locked="0"/>
    </xf>
    <xf numFmtId="0" fontId="18" fillId="17" borderId="0" xfId="1" applyFont="1" applyFill="1" applyBorder="1" applyAlignment="1">
      <alignment horizontal="right" vertical="center"/>
    </xf>
    <xf numFmtId="0" fontId="18" fillId="17" borderId="1" xfId="1" applyFont="1" applyFill="1" applyBorder="1" applyAlignment="1">
      <alignment horizontal="right" vertical="center"/>
    </xf>
    <xf numFmtId="173" fontId="3" fillId="2" borderId="2" xfId="2" applyNumberFormat="1" applyAlignment="1" applyProtection="1">
      <alignment horizontal="center" vertical="center"/>
      <protection locked="0"/>
    </xf>
    <xf numFmtId="0" fontId="1" fillId="17" borderId="1" xfId="1" applyFill="1" applyBorder="1" applyAlignment="1">
      <alignment horizontal="right"/>
    </xf>
    <xf numFmtId="0" fontId="2" fillId="17" borderId="0" xfId="0" applyFont="1" applyFill="1" applyBorder="1" applyAlignment="1">
      <alignment horizontal="left" vertical="center"/>
    </xf>
    <xf numFmtId="0" fontId="18" fillId="17" borderId="0" xfId="0" applyFont="1" applyFill="1"/>
    <xf numFmtId="0" fontId="18" fillId="17" borderId="0" xfId="0" applyFont="1" applyFill="1" applyAlignment="1">
      <alignment horizontal="center"/>
    </xf>
    <xf numFmtId="44" fontId="0" fillId="17" borderId="0" xfId="0" applyNumberFormat="1" applyFill="1"/>
    <xf numFmtId="0" fontId="3" fillId="2" borderId="73" xfId="2" applyBorder="1" applyAlignment="1" applyProtection="1">
      <alignment horizontal="center"/>
      <protection locked="0"/>
    </xf>
    <xf numFmtId="166" fontId="18" fillId="17" borderId="0" xfId="0" applyNumberFormat="1" applyFont="1" applyFill="1" applyAlignment="1">
      <alignment horizontal="center"/>
    </xf>
    <xf numFmtId="2" fontId="18" fillId="17" borderId="0" xfId="0" applyNumberFormat="1" applyFont="1" applyFill="1" applyAlignment="1">
      <alignment horizontal="center"/>
    </xf>
    <xf numFmtId="3" fontId="0" fillId="0" borderId="0" xfId="5" applyNumberFormat="1" applyFont="1" applyFill="1" applyAlignment="1">
      <alignment horizontal="center"/>
    </xf>
    <xf numFmtId="0" fontId="0" fillId="0" borderId="6" xfId="0" quotePrefix="1" applyFill="1" applyBorder="1"/>
    <xf numFmtId="169" fontId="3" fillId="2" borderId="2" xfId="2" applyNumberFormat="1" applyFont="1" applyFill="1" applyBorder="1" applyAlignment="1" applyProtection="1">
      <alignment horizontal="center" vertical="center"/>
      <protection locked="0"/>
    </xf>
    <xf numFmtId="2" fontId="4" fillId="3" borderId="3" xfId="3" applyNumberFormat="1" applyAlignment="1">
      <alignment horizontal="center" vertical="center"/>
    </xf>
    <xf numFmtId="37" fontId="0" fillId="0" borderId="0" xfId="0" applyNumberFormat="1" applyFill="1" applyAlignment="1">
      <alignment horizontal="center" vertical="center"/>
    </xf>
    <xf numFmtId="37" fontId="0" fillId="0" borderId="0" xfId="0" applyNumberFormat="1" applyAlignment="1">
      <alignment horizontal="center" vertical="center"/>
    </xf>
    <xf numFmtId="1" fontId="0" fillId="9" borderId="34" xfId="0" applyNumberFormat="1" applyFill="1" applyBorder="1" applyAlignment="1" applyProtection="1">
      <alignment horizontal="center"/>
      <protection locked="0"/>
    </xf>
    <xf numFmtId="0" fontId="0" fillId="0" borderId="9" xfId="0" applyBorder="1" applyAlignment="1" applyProtection="1">
      <alignment horizontal="center"/>
      <protection locked="0"/>
    </xf>
    <xf numFmtId="0" fontId="0" fillId="0" borderId="9" xfId="0" applyBorder="1" applyProtection="1">
      <protection locked="0"/>
    </xf>
    <xf numFmtId="2" fontId="0" fillId="9" borderId="35" xfId="0" applyNumberFormat="1" applyFill="1" applyBorder="1" applyAlignment="1" applyProtection="1">
      <alignment horizontal="center" vertical="center"/>
      <protection locked="0"/>
    </xf>
    <xf numFmtId="0" fontId="0" fillId="0" borderId="0" xfId="0" quotePrefix="1" applyFill="1" applyAlignment="1">
      <alignment horizontal="center"/>
    </xf>
    <xf numFmtId="3" fontId="0" fillId="5" borderId="0" xfId="0" applyNumberFormat="1" applyFill="1" applyAlignment="1">
      <alignment horizontal="center"/>
    </xf>
    <xf numFmtId="167" fontId="0" fillId="5" borderId="0" xfId="0" applyNumberFormat="1" applyFill="1" applyAlignment="1">
      <alignment horizontal="center"/>
    </xf>
    <xf numFmtId="164" fontId="0" fillId="5" borderId="0" xfId="4" applyNumberFormat="1" applyFont="1" applyFill="1" applyAlignment="1">
      <alignment horizontal="center"/>
    </xf>
    <xf numFmtId="4" fontId="0" fillId="5" borderId="0" xfId="0" applyNumberFormat="1" applyFill="1" applyAlignment="1">
      <alignment horizontal="center"/>
    </xf>
    <xf numFmtId="2" fontId="0" fillId="5" borderId="0" xfId="0" applyNumberFormat="1" applyFill="1" applyAlignment="1">
      <alignment horizontal="center"/>
    </xf>
    <xf numFmtId="168" fontId="0" fillId="5" borderId="0" xfId="5" applyNumberFormat="1" applyFont="1" applyFill="1" applyAlignment="1">
      <alignment horizontal="center"/>
    </xf>
    <xf numFmtId="3" fontId="0" fillId="0" borderId="0" xfId="0" applyNumberFormat="1" applyFill="1" applyAlignment="1">
      <alignment horizontal="center"/>
    </xf>
    <xf numFmtId="167" fontId="0" fillId="0" borderId="0" xfId="0" applyNumberFormat="1" applyFill="1" applyAlignment="1">
      <alignment horizontal="center"/>
    </xf>
    <xf numFmtId="164" fontId="0" fillId="0" borderId="0" xfId="4" applyNumberFormat="1" applyFont="1" applyFill="1" applyAlignment="1">
      <alignment horizontal="center"/>
    </xf>
    <xf numFmtId="170" fontId="0" fillId="0" borderId="0" xfId="0" applyNumberFormat="1" applyFill="1" applyAlignment="1">
      <alignment horizontal="center"/>
    </xf>
    <xf numFmtId="1" fontId="0" fillId="0" borderId="0" xfId="0" applyNumberFormat="1" applyFill="1" applyAlignment="1">
      <alignment horizontal="center"/>
    </xf>
    <xf numFmtId="173" fontId="0" fillId="0" borderId="0" xfId="0" applyNumberFormat="1" applyFill="1" applyAlignment="1">
      <alignment horizontal="center"/>
    </xf>
    <xf numFmtId="168" fontId="0" fillId="0" borderId="0" xfId="5" applyNumberFormat="1" applyFont="1" applyFill="1" applyAlignment="1">
      <alignment horizontal="center"/>
    </xf>
    <xf numFmtId="168" fontId="0" fillId="0" borderId="6" xfId="5" applyNumberFormat="1" applyFont="1" applyFill="1" applyBorder="1" applyAlignment="1">
      <alignment horizontal="center"/>
    </xf>
    <xf numFmtId="2" fontId="15" fillId="5" borderId="0" xfId="0" applyNumberFormat="1" applyFont="1" applyFill="1" applyAlignment="1">
      <alignment horizontal="center"/>
    </xf>
    <xf numFmtId="170" fontId="3" fillId="2" borderId="2" xfId="2" applyNumberFormat="1" applyAlignment="1" applyProtection="1">
      <alignment horizontal="center" vertical="center"/>
      <protection locked="0"/>
    </xf>
    <xf numFmtId="0" fontId="26" fillId="18" borderId="0" xfId="10" applyAlignment="1">
      <alignment horizontal="center"/>
    </xf>
    <xf numFmtId="2" fontId="27" fillId="0" borderId="0" xfId="11" applyNumberFormat="1" applyFill="1" applyAlignment="1">
      <alignment horizontal="center"/>
    </xf>
    <xf numFmtId="164" fontId="27" fillId="0" borderId="0" xfId="11" applyNumberFormat="1" applyFill="1" applyAlignment="1">
      <alignment horizontal="center"/>
    </xf>
    <xf numFmtId="44" fontId="27" fillId="0" borderId="0" xfId="11" applyNumberFormat="1" applyFill="1" applyAlignment="1">
      <alignment horizontal="center"/>
    </xf>
    <xf numFmtId="44" fontId="26" fillId="0" borderId="0" xfId="10" applyNumberFormat="1" applyFill="1" applyAlignment="1">
      <alignment horizontal="center"/>
    </xf>
    <xf numFmtId="165" fontId="0" fillId="0" borderId="0" xfId="0" applyNumberFormat="1" applyFill="1" applyAlignment="1">
      <alignment horizontal="center"/>
    </xf>
    <xf numFmtId="3" fontId="27" fillId="0" borderId="0" xfId="11" applyNumberFormat="1" applyFill="1" applyAlignment="1">
      <alignment horizontal="center"/>
    </xf>
    <xf numFmtId="169" fontId="0" fillId="0" borderId="0" xfId="0" applyNumberFormat="1" applyFill="1" applyAlignment="1">
      <alignment horizontal="center"/>
    </xf>
    <xf numFmtId="4" fontId="27" fillId="0" borderId="0" xfId="11" applyNumberFormat="1" applyFill="1" applyAlignment="1">
      <alignment horizontal="center"/>
    </xf>
    <xf numFmtId="6" fontId="0" fillId="0" borderId="0" xfId="0" applyNumberFormat="1" applyFill="1" applyAlignment="1">
      <alignment horizontal="left"/>
    </xf>
    <xf numFmtId="4" fontId="0" fillId="0" borderId="0" xfId="0" applyNumberFormat="1" applyFill="1" applyAlignment="1">
      <alignment horizontal="left"/>
    </xf>
    <xf numFmtId="39" fontId="0" fillId="14" borderId="0" xfId="6" applyNumberFormat="1" applyFont="1" applyFill="1" applyBorder="1" applyAlignment="1">
      <alignment horizontal="center" vertical="center"/>
    </xf>
    <xf numFmtId="0" fontId="0" fillId="14" borderId="0" xfId="0" applyFill="1" applyAlignment="1">
      <alignment horizontal="left" vertical="center" wrapText="1"/>
    </xf>
    <xf numFmtId="0" fontId="0" fillId="0" borderId="16" xfId="0" applyFill="1" applyBorder="1"/>
    <xf numFmtId="39" fontId="15" fillId="0" borderId="0" xfId="9" quotePrefix="1" applyNumberFormat="1" applyFont="1" applyFill="1" applyBorder="1" applyAlignment="1">
      <alignment horizontal="center"/>
    </xf>
    <xf numFmtId="2" fontId="15" fillId="0" borderId="0" xfId="9" applyNumberFormat="1" applyFont="1" applyFill="1" applyAlignment="1">
      <alignment horizontal="center"/>
    </xf>
    <xf numFmtId="168" fontId="15" fillId="0" borderId="0" xfId="9" applyNumberFormat="1" applyFont="1" applyFill="1" applyAlignment="1">
      <alignment horizontal="center"/>
    </xf>
    <xf numFmtId="4" fontId="15" fillId="0" borderId="0" xfId="9" applyNumberFormat="1" applyFont="1" applyFill="1" applyAlignment="1">
      <alignment horizontal="center"/>
    </xf>
    <xf numFmtId="168" fontId="15" fillId="0" borderId="0" xfId="9" quotePrefix="1" applyNumberFormat="1" applyFont="1" applyFill="1" applyAlignment="1">
      <alignment horizontal="center"/>
    </xf>
    <xf numFmtId="1" fontId="15" fillId="0" borderId="0" xfId="9" applyNumberFormat="1" applyFont="1" applyFill="1" applyAlignment="1">
      <alignment horizontal="center"/>
    </xf>
    <xf numFmtId="164" fontId="15" fillId="0" borderId="0" xfId="9" applyNumberFormat="1" applyFont="1" applyFill="1" applyAlignment="1">
      <alignment horizontal="center"/>
    </xf>
    <xf numFmtId="3" fontId="15" fillId="0" borderId="0" xfId="9" applyNumberFormat="1" applyFont="1" applyFill="1" applyAlignment="1">
      <alignment horizontal="center"/>
    </xf>
    <xf numFmtId="168" fontId="15" fillId="0" borderId="6" xfId="9" applyNumberFormat="1" applyFont="1" applyFill="1" applyBorder="1" applyAlignment="1">
      <alignment horizontal="center"/>
    </xf>
    <xf numFmtId="175" fontId="15" fillId="0" borderId="0" xfId="9" applyNumberFormat="1" applyFont="1" applyFill="1" applyAlignment="1">
      <alignment horizontal="center"/>
    </xf>
    <xf numFmtId="164" fontId="3" fillId="2" borderId="36" xfId="4" applyNumberFormat="1" applyFont="1" applyFill="1" applyBorder="1" applyAlignment="1" applyProtection="1">
      <alignment horizontal="center" vertical="center"/>
      <protection locked="0"/>
    </xf>
    <xf numFmtId="164" fontId="3" fillId="2" borderId="56" xfId="4" applyNumberFormat="1" applyFont="1" applyFill="1" applyBorder="1" applyAlignment="1" applyProtection="1">
      <alignment horizontal="center" vertical="center"/>
      <protection locked="0"/>
    </xf>
    <xf numFmtId="164" fontId="3" fillId="2" borderId="57" xfId="4" applyNumberFormat="1" applyFont="1" applyFill="1" applyBorder="1" applyAlignment="1" applyProtection="1">
      <alignment horizontal="center" vertical="center"/>
      <protection locked="0"/>
    </xf>
    <xf numFmtId="0" fontId="3" fillId="2" borderId="36" xfId="2" applyBorder="1" applyAlignment="1" applyProtection="1">
      <alignment horizontal="center" vertical="center"/>
      <protection locked="0"/>
    </xf>
    <xf numFmtId="0" fontId="3" fillId="2" borderId="56" xfId="2" applyBorder="1" applyAlignment="1" applyProtection="1">
      <alignment horizontal="center" vertical="center"/>
      <protection locked="0"/>
    </xf>
    <xf numFmtId="0" fontId="3" fillId="2" borderId="57" xfId="2" applyBorder="1" applyAlignment="1" applyProtection="1">
      <alignment horizontal="center" vertical="center"/>
      <protection locked="0"/>
    </xf>
    <xf numFmtId="166" fontId="3" fillId="2" borderId="36" xfId="2" applyNumberFormat="1" applyBorder="1" applyAlignment="1" applyProtection="1">
      <alignment horizontal="center" vertical="center"/>
      <protection locked="0"/>
    </xf>
    <xf numFmtId="166" fontId="3" fillId="2" borderId="56" xfId="2" applyNumberFormat="1" applyBorder="1" applyAlignment="1" applyProtection="1">
      <alignment horizontal="center" vertical="center"/>
      <protection locked="0"/>
    </xf>
    <xf numFmtId="166" fontId="3" fillId="2" borderId="57" xfId="2" applyNumberFormat="1" applyBorder="1" applyAlignment="1" applyProtection="1">
      <alignment horizontal="center" vertical="center"/>
      <protection locked="0"/>
    </xf>
    <xf numFmtId="2" fontId="3" fillId="2" borderId="36" xfId="2" applyNumberFormat="1" applyBorder="1" applyAlignment="1" applyProtection="1">
      <alignment horizontal="center" vertical="center"/>
      <protection locked="0"/>
    </xf>
    <xf numFmtId="2" fontId="3" fillId="2" borderId="56" xfId="2" applyNumberFormat="1" applyBorder="1" applyAlignment="1" applyProtection="1">
      <alignment horizontal="center" vertical="center"/>
      <protection locked="0"/>
    </xf>
    <xf numFmtId="2" fontId="3" fillId="2" borderId="57" xfId="2" applyNumberFormat="1" applyBorder="1" applyAlignment="1" applyProtection="1">
      <alignment horizontal="center" vertical="center"/>
      <protection locked="0"/>
    </xf>
    <xf numFmtId="164" fontId="3" fillId="2" borderId="36" xfId="2" applyNumberFormat="1" applyBorder="1" applyAlignment="1" applyProtection="1">
      <alignment horizontal="center" vertical="center"/>
      <protection locked="0"/>
    </xf>
    <xf numFmtId="164" fontId="3" fillId="2" borderId="56" xfId="2" applyNumberFormat="1" applyBorder="1" applyAlignment="1" applyProtection="1">
      <alignment horizontal="center" vertical="center"/>
      <protection locked="0"/>
    </xf>
    <xf numFmtId="164" fontId="3" fillId="2" borderId="57" xfId="2" applyNumberFormat="1" applyBorder="1" applyAlignment="1" applyProtection="1">
      <alignment horizontal="center" vertical="center"/>
      <protection locked="0"/>
    </xf>
    <xf numFmtId="0" fontId="4" fillId="3" borderId="68" xfId="3" applyBorder="1" applyAlignment="1">
      <alignment horizontal="center" vertical="center"/>
    </xf>
    <xf numFmtId="0" fontId="4" fillId="3" borderId="69" xfId="3" applyBorder="1" applyAlignment="1">
      <alignment horizontal="center" vertical="center"/>
    </xf>
    <xf numFmtId="166" fontId="4" fillId="3" borderId="62" xfId="3" applyNumberFormat="1" applyBorder="1" applyAlignment="1">
      <alignment horizontal="center" vertical="center"/>
    </xf>
    <xf numFmtId="166" fontId="4" fillId="3" borderId="63" xfId="3" applyNumberFormat="1" applyBorder="1" applyAlignment="1">
      <alignment horizontal="center" vertical="center"/>
    </xf>
    <xf numFmtId="166" fontId="4" fillId="3" borderId="67" xfId="3" applyNumberFormat="1" applyBorder="1" applyAlignment="1">
      <alignment horizontal="center" vertical="center"/>
    </xf>
    <xf numFmtId="0" fontId="4" fillId="3" borderId="3" xfId="3" applyBorder="1" applyAlignment="1">
      <alignment horizontal="center" vertical="center"/>
    </xf>
    <xf numFmtId="0" fontId="4" fillId="3" borderId="66" xfId="3" applyBorder="1" applyAlignment="1">
      <alignment horizontal="center" vertical="center"/>
    </xf>
    <xf numFmtId="0" fontId="25" fillId="2" borderId="2" xfId="2" applyFont="1" applyAlignment="1" applyProtection="1">
      <alignment horizontal="center" vertical="center"/>
      <protection locked="0"/>
    </xf>
    <xf numFmtId="0" fontId="5" fillId="4" borderId="37" xfId="0" applyFont="1" applyFill="1" applyBorder="1" applyAlignment="1">
      <alignment horizontal="center" vertical="center"/>
    </xf>
    <xf numFmtId="0" fontId="5" fillId="4" borderId="38" xfId="0" applyFont="1" applyFill="1" applyBorder="1" applyAlignment="1">
      <alignment horizontal="center" vertical="center"/>
    </xf>
    <xf numFmtId="0" fontId="5" fillId="15" borderId="64" xfId="0" applyFont="1" applyFill="1" applyBorder="1" applyAlignment="1">
      <alignment horizontal="center" vertical="center"/>
    </xf>
    <xf numFmtId="0" fontId="5" fillId="15" borderId="65" xfId="0" applyFont="1" applyFill="1" applyBorder="1" applyAlignment="1">
      <alignment horizontal="center" vertical="center"/>
    </xf>
    <xf numFmtId="164" fontId="4" fillId="3" borderId="3" xfId="4" applyNumberFormat="1" applyFont="1" applyFill="1" applyBorder="1" applyAlignment="1">
      <alignment horizontal="center" vertical="center"/>
    </xf>
    <xf numFmtId="164" fontId="4" fillId="3" borderId="66" xfId="4" applyNumberFormat="1" applyFont="1" applyFill="1" applyBorder="1" applyAlignment="1">
      <alignment horizontal="center" vertical="center"/>
    </xf>
    <xf numFmtId="164" fontId="4" fillId="3" borderId="3" xfId="3" applyNumberFormat="1" applyBorder="1" applyAlignment="1">
      <alignment horizontal="center" vertical="center"/>
    </xf>
    <xf numFmtId="164" fontId="4" fillId="3" borderId="66" xfId="3" applyNumberFormat="1" applyBorder="1" applyAlignment="1">
      <alignment horizontal="center" vertical="center"/>
    </xf>
    <xf numFmtId="2" fontId="4" fillId="3" borderId="3" xfId="3" applyNumberFormat="1" applyBorder="1" applyAlignment="1">
      <alignment horizontal="center" vertical="center"/>
    </xf>
    <xf numFmtId="2" fontId="4" fillId="3" borderId="66" xfId="3" applyNumberFormat="1" applyBorder="1" applyAlignment="1">
      <alignment horizontal="center" vertical="center"/>
    </xf>
    <xf numFmtId="0" fontId="3" fillId="2" borderId="36" xfId="2" applyBorder="1" applyAlignment="1">
      <alignment horizontal="center" vertical="center"/>
    </xf>
    <xf numFmtId="0" fontId="3" fillId="2" borderId="42" xfId="2" applyBorder="1" applyAlignment="1">
      <alignment horizontal="center" vertical="center"/>
    </xf>
    <xf numFmtId="0" fontId="3" fillId="2" borderId="42" xfId="2" applyBorder="1" applyAlignment="1" applyProtection="1">
      <alignment horizontal="center" vertical="center"/>
      <protection locked="0"/>
    </xf>
    <xf numFmtId="0" fontId="5" fillId="4" borderId="54" xfId="0" applyFont="1" applyFill="1" applyBorder="1" applyAlignment="1">
      <alignment horizontal="center" vertical="center"/>
    </xf>
    <xf numFmtId="0" fontId="5" fillId="4" borderId="55" xfId="0" applyFont="1" applyFill="1" applyBorder="1" applyAlignment="1">
      <alignment horizontal="center" vertical="center"/>
    </xf>
    <xf numFmtId="0" fontId="4" fillId="3" borderId="74" xfId="3" applyBorder="1" applyAlignment="1">
      <alignment horizontal="center" vertical="center"/>
    </xf>
    <xf numFmtId="0" fontId="3" fillId="2" borderId="41" xfId="2" applyBorder="1" applyAlignment="1" applyProtection="1">
      <alignment horizontal="center" vertical="center"/>
      <protection locked="0"/>
    </xf>
    <xf numFmtId="0" fontId="3" fillId="2" borderId="43" xfId="2" applyBorder="1" applyAlignment="1" applyProtection="1">
      <alignment horizontal="center" vertical="center"/>
      <protection locked="0"/>
    </xf>
    <xf numFmtId="0" fontId="11" fillId="3" borderId="3" xfId="3" applyFont="1" applyAlignment="1">
      <alignment horizontal="center" vertical="center"/>
    </xf>
    <xf numFmtId="2" fontId="11" fillId="3" borderId="3" xfId="3" applyNumberFormat="1" applyFont="1" applyAlignment="1">
      <alignment horizontal="center" vertical="center"/>
    </xf>
    <xf numFmtId="2" fontId="18" fillId="17" borderId="0" xfId="0" applyNumberFormat="1" applyFont="1" applyFill="1" applyAlignment="1">
      <alignment horizontal="center"/>
    </xf>
    <xf numFmtId="0" fontId="18" fillId="17" borderId="0" xfId="0" applyFont="1" applyFill="1" applyAlignment="1">
      <alignment horizontal="center"/>
    </xf>
    <xf numFmtId="166" fontId="18" fillId="17" borderId="0" xfId="0" applyNumberFormat="1" applyFont="1" applyFill="1" applyAlignment="1">
      <alignment horizontal="center"/>
    </xf>
  </cellXfs>
  <cellStyles count="12">
    <cellStyle name="Accent3" xfId="11" builtinId="37"/>
    <cellStyle name="Bad" xfId="9" builtinId="27"/>
    <cellStyle name="Comma" xfId="6" builtinId="3"/>
    <cellStyle name="Currency" xfId="5" builtinId="4"/>
    <cellStyle name="Heading 1" xfId="1" builtinId="16" customBuiltin="1"/>
    <cellStyle name="Heading 2" xfId="8" builtinId="17" customBuiltin="1"/>
    <cellStyle name="Heading 3" xfId="7" builtinId="18"/>
    <cellStyle name="Input" xfId="2" builtinId="20"/>
    <cellStyle name="Neutral" xfId="10" builtinId="28"/>
    <cellStyle name="Normal" xfId="0" builtinId="0"/>
    <cellStyle name="Output" xfId="3" builtinId="21"/>
    <cellStyle name="Percent" xfId="4" builtinId="5"/>
  </cellStyles>
  <dxfs count="218">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numFmt numFmtId="175" formatCode="#,##0.0_);\(#,##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5" formatCode="#,##0.0_);\(#,##0.0\)"/>
      <alignment horizontal="center" vertical="bottom" textRotation="0" wrapText="0" indent="0" justifyLastLine="0" shrinkToFit="0" readingOrder="0"/>
    </dxf>
    <dxf>
      <fill>
        <patternFill patternType="solid">
          <fgColor indexed="64"/>
          <bgColor theme="5" tint="0.5999938962981048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2" formatCode="0.00"/>
      <fill>
        <patternFill patternType="solid">
          <fgColor indexed="64"/>
          <bgColor theme="5"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quot;$&quot;#,##0.00"/>
      <fill>
        <patternFill patternType="solid">
          <fgColor indexed="64"/>
          <bgColor theme="5"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fill>
        <patternFill patternType="solid">
          <fgColor indexed="64"/>
          <bgColor theme="5" tint="0.59999389629810485"/>
        </patternFill>
      </fill>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6" formatCode="&quot;$&quot;#,##0.00"/>
      <alignment horizontal="center" vertical="bottom" textRotation="0" wrapText="0" indent="0" justifyLastLine="0" shrinkToFit="0" readingOrder="0"/>
    </dxf>
    <dxf>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6" formatCode="&quot;$&quot;#,##0.00"/>
      <alignment horizontal="center" vertical="bottom" textRotation="0" wrapText="0" indent="0" justifyLastLine="0" shrinkToFit="0" readingOrder="0"/>
    </dxf>
    <dxf>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4" formatCode="#,##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numFmt numFmtId="166" formatCode="&quot;$&quot;#,##0.00"/>
      <alignment horizontal="center" vertical="center" textRotation="0" wrapText="0" indent="0" justifyLastLine="0" shrinkToFit="0" readingOrder="0"/>
    </dxf>
    <dxf>
      <numFmt numFmtId="166" formatCode="&quot;$&quot;#,##0.00"/>
      <alignment horizontal="center"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font>
        <b val="0"/>
        <strike val="0"/>
        <outline val="0"/>
        <shadow val="0"/>
        <u val="none"/>
        <vertAlign val="baseline"/>
        <sz val="12"/>
        <color theme="1"/>
        <name val="Calibri"/>
        <family val="2"/>
        <scheme val="minor"/>
      </font>
      <alignmen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quot;* #,##0.00_);_(&quot;$&quot;* \(#,##0.00\);_(&quot;$&quot;* &quot;-&quot;??_);_(@_)"/>
      <alignment horizontal="center" vertical="center" textRotation="0" wrapText="0" indent="0" justifyLastLine="0" shrinkToFit="0" readingOrder="0"/>
    </dxf>
    <dxf>
      <numFmt numFmtId="34" formatCode="_(&quot;$&quot;* #,##0.00_);_(&quot;$&quot;* \(#,##0.00\);_(&quot;$&quot;*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quot;* #,##0.00_);_(&quot;$&quot;* \(#,##0.00\);_(&quot;$&quot;* &quot;-&quot;??_);_(@_)"/>
      <alignment horizontal="center" vertical="center" textRotation="0" wrapText="0" indent="0" justifyLastLine="0" shrinkToFit="0" readingOrder="0"/>
    </dxf>
    <dxf>
      <numFmt numFmtId="34" formatCode="_(&quot;$&quot;* #,##0.00_);_(&quot;$&quot;* \(#,##0.00\);_(&quot;$&quot;*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34" formatCode="_(&quot;$&quot;* #,##0.00_);_(&quot;$&quot;* \(#,##0.00\);_(&quot;$&quot;* &quot;-&quot;??_);_(@_)"/>
      <alignment horizontal="center" vertical="center" textRotation="0" wrapText="0" indent="0" justifyLastLine="0" shrinkToFit="0" readingOrder="0"/>
    </dxf>
    <dxf>
      <numFmt numFmtId="34" formatCode="_(&quot;$&quot;* #,##0.00_);_(&quot;$&quot;* \(#,##0.00\);_(&quot;$&quot;*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alignment vertical="center" textRotation="0" wrapText="0" indent="0" justifyLastLine="0" shrinkToFit="0" readingOrder="0"/>
    </dxf>
    <dxf>
      <font>
        <strike val="0"/>
        <outline val="0"/>
        <shadow val="0"/>
        <u val="none"/>
        <vertAlign val="baseline"/>
        <sz val="12"/>
        <color theme="1"/>
        <name val="Calibri"/>
        <family val="2"/>
        <scheme val="minor"/>
      </font>
      <alignment vertical="center" textRotation="0" wrapText="0" indent="0" justifyLastLine="0" shrinkToFit="0" readingOrder="0"/>
    </dxf>
    <dxf>
      <alignment horizontal="center" vertical="center" textRotation="0" wrapText="0" indent="0" justifyLastLine="0" shrinkToFit="0" readingOrder="0"/>
    </dxf>
    <dxf>
      <font>
        <b val="0"/>
        <strike val="0"/>
        <outline val="0"/>
        <shadow val="0"/>
        <u val="none"/>
        <vertAlign val="baseline"/>
        <sz val="12"/>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font>
        <b/>
        <strike val="0"/>
        <outline val="0"/>
        <shadow val="0"/>
        <u val="none"/>
        <vertAlign val="baseline"/>
        <sz val="12"/>
        <color theme="1"/>
        <name val="Calibri"/>
        <family val="2"/>
        <scheme val="minor"/>
      </font>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numFmt numFmtId="4" formatCode="#,##0.00"/>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rgb="FF000000"/>
          <bgColor rgb="FFFFFFFF"/>
        </patternFill>
      </fill>
      <alignment horizontal="general" vertical="center" textRotation="0" wrapText="0" indent="0" justifyLastLine="0" shrinkToFit="0" readingOrder="0"/>
    </dxf>
    <dxf>
      <font>
        <b/>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alignment vertical="center" textRotation="0" wrapText="0" indent="0" justifyLastLine="0" shrinkToFit="0" readingOrder="0"/>
    </dxf>
    <dxf>
      <font>
        <b/>
        <strike val="0"/>
        <outline val="0"/>
        <shadow val="0"/>
        <u val="none"/>
        <vertAlign val="baseline"/>
        <sz val="12"/>
        <color theme="1"/>
        <name val="Calibri"/>
        <family val="2"/>
        <scheme val="minor"/>
      </font>
      <alignment vertical="center" textRotation="0" wrapText="0" indent="0" justifyLastLine="0" shrinkToFit="0" readingOrder="0"/>
    </dxf>
    <dxf>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rgb="FF000000"/>
          <bgColor rgb="FFFFFFFF"/>
        </patternFill>
      </fill>
      <alignment horizontal="general" vertical="center" textRotation="0" wrapText="0" indent="0" justifyLastLine="0" shrinkToFit="0" readingOrder="0"/>
    </dxf>
    <dxf>
      <font>
        <b/>
        <strike val="0"/>
        <outline val="0"/>
        <shadow val="0"/>
        <u val="none"/>
        <vertAlign val="baseline"/>
        <sz val="12"/>
        <color theme="1"/>
        <name val="Calibri"/>
        <family val="2"/>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font>
        <b/>
        <i val="0"/>
        <color rgb="FFFF0000"/>
      </font>
      <fill>
        <patternFill>
          <bgColor theme="5" tint="0.79998168889431442"/>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general"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alignment vertical="center" textRotation="0" wrapText="0" indent="0" justifyLastLine="0" shrinkToFit="0" readingOrder="0"/>
    </dxf>
    <dxf>
      <font>
        <b val="0"/>
        <strike val="0"/>
        <outline val="0"/>
        <shadow val="0"/>
        <u val="none"/>
        <vertAlign val="baseline"/>
        <sz val="12"/>
        <color theme="1"/>
        <name val="Calibri"/>
        <family val="2"/>
        <scheme val="minor"/>
      </font>
      <alignment vertical="center" textRotation="0" wrapText="0" indent="0" justifyLastLine="0" shrinkToFit="0" readingOrder="0"/>
    </dxf>
    <dxf>
      <numFmt numFmtId="172" formatCode="[$-409]mmmm\ d\,\ 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protection locked="0" hidden="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2"/>
        <color theme="1"/>
        <name val="Calibri"/>
        <family val="2"/>
        <scheme val="minor"/>
      </font>
      <alignment horizontal="general" vertical="center" textRotation="0" wrapText="0" indent="0" justifyLastLine="0" shrinkToFit="0" readingOrder="0"/>
    </dxf>
    <dxf>
      <font>
        <b/>
        <i val="0"/>
        <color theme="0"/>
      </font>
      <fill>
        <patternFill>
          <bgColor rgb="FF696B73"/>
        </patternFill>
      </fill>
    </dxf>
    <dxf>
      <font>
        <b/>
        <i val="0"/>
        <color theme="0"/>
      </font>
      <fill>
        <patternFill>
          <bgColor rgb="FF696B73"/>
        </patternFill>
      </fill>
    </dxf>
    <dxf>
      <border>
        <left style="thin">
          <color rgb="FF696B73"/>
        </left>
        <right style="thin">
          <color rgb="FF696B73"/>
        </right>
        <top style="thin">
          <color rgb="FF696B73"/>
        </top>
        <bottom style="thin">
          <color rgb="FF696B73"/>
        </bottom>
      </border>
    </dxf>
    <dxf>
      <font>
        <b/>
        <i val="0"/>
        <color theme="0"/>
      </font>
      <fill>
        <patternFill>
          <bgColor rgb="FF007934"/>
        </patternFill>
      </fill>
    </dxf>
    <dxf>
      <border>
        <left style="thin">
          <color rgb="FF007934"/>
        </left>
        <right style="thin">
          <color rgb="FF007934"/>
        </right>
        <top style="thin">
          <color rgb="FF007934"/>
        </top>
        <bottom style="thin">
          <color rgb="FF007934"/>
        </bottom>
      </border>
    </dxf>
  </dxfs>
  <tableStyles count="2" defaultTableStyle="TableStyleMedium2" defaultPivotStyle="PivotStyleLight16">
    <tableStyle name="Input_Table" pivot="0" count="2" xr9:uid="{332011D4-B19C-4293-8329-98692A96E265}">
      <tableStyleElement type="wholeTable" dxfId="217"/>
      <tableStyleElement type="headerRow" dxfId="216"/>
    </tableStyle>
    <tableStyle name="Output_Table" pivot="0" count="3" xr9:uid="{B63F39A3-E3A2-4CBE-9565-FA64855B75A8}">
      <tableStyleElement type="wholeTable" dxfId="215"/>
      <tableStyleElement type="headerRow" dxfId="214"/>
      <tableStyleElement type="totalRow" dxfId="213"/>
    </tableStyle>
  </tableStyles>
  <colors>
    <mruColors>
      <color rgb="FFFECB00"/>
      <color rgb="FF696B73"/>
      <color rgb="FFDE762D"/>
      <color rgb="FF5091CD"/>
      <color rgb="FF00588F"/>
      <color rgb="FF87360B"/>
      <color rgb="FF84B641"/>
      <color rgb="FF2C5135"/>
      <color rgb="FF62003F"/>
      <color rgb="FF7399B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2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2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22.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2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solidFill>
              <a:srgbClr val="007934"/>
            </a:solidFill>
            <a:ln w="19050">
              <a:solidFill>
                <a:schemeClr val="bg1"/>
              </a:solidFill>
            </a:ln>
            <a:effectLst/>
          </c:spPr>
          <c:invertIfNegative val="0"/>
          <c:cat>
            <c:strRef>
              <c:f>'TEA Backend'!$L$48:$L$50</c:f>
              <c:strCache>
                <c:ptCount val="3"/>
                <c:pt idx="0">
                  <c:v>Printing</c:v>
                </c:pt>
                <c:pt idx="1">
                  <c:v>Post Processing</c:v>
                </c:pt>
                <c:pt idx="2">
                  <c:v>Machining</c:v>
                </c:pt>
              </c:strCache>
            </c:strRef>
          </c:cat>
          <c:val>
            <c:numRef>
              <c:f>'TEA Backend'!$M$48:$M$50</c:f>
              <c:numCache>
                <c:formatCode>0.00%</c:formatCode>
                <c:ptCount val="3"/>
                <c:pt idx="0">
                  <c:v>1</c:v>
                </c:pt>
                <c:pt idx="1">
                  <c:v>8.2170488986835405E-2</c:v>
                </c:pt>
                <c:pt idx="2">
                  <c:v>0.63519373469931895</c:v>
                </c:pt>
              </c:numCache>
            </c:numRef>
          </c:val>
          <c:extLst>
            <c:ext xmlns:c16="http://schemas.microsoft.com/office/drawing/2014/chart" uri="{C3380CC4-5D6E-409C-BE32-E72D297353CC}">
              <c16:uniqueId val="{00000000-BDC5-47B0-84A3-2B70001999FD}"/>
            </c:ext>
          </c:extLst>
        </c:ser>
        <c:ser>
          <c:idx val="1"/>
          <c:order val="1"/>
          <c:spPr>
            <a:solidFill>
              <a:schemeClr val="accent3"/>
            </a:solidFill>
            <a:ln w="19050">
              <a:solidFill>
                <a:schemeClr val="bg1"/>
              </a:solidFill>
            </a:ln>
            <a:effectLst/>
          </c:spPr>
          <c:invertIfNegative val="0"/>
          <c:cat>
            <c:strRef>
              <c:f>'TEA Backend'!$L$48:$L$50</c:f>
              <c:strCache>
                <c:ptCount val="3"/>
                <c:pt idx="0">
                  <c:v>Printing</c:v>
                </c:pt>
                <c:pt idx="1">
                  <c:v>Post Processing</c:v>
                </c:pt>
                <c:pt idx="2">
                  <c:v>Machining</c:v>
                </c:pt>
              </c:strCache>
            </c:strRef>
          </c:cat>
          <c:val>
            <c:numRef>
              <c:f>'TEA Backend'!$N$48:$N$50</c:f>
              <c:numCache>
                <c:formatCode>0.00%</c:formatCode>
                <c:ptCount val="3"/>
                <c:pt idx="0">
                  <c:v>0</c:v>
                </c:pt>
                <c:pt idx="1">
                  <c:v>0.91782951101316457</c:v>
                </c:pt>
                <c:pt idx="2">
                  <c:v>0.36480626530068105</c:v>
                </c:pt>
              </c:numCache>
            </c:numRef>
          </c:val>
          <c:extLst>
            <c:ext xmlns:c16="http://schemas.microsoft.com/office/drawing/2014/chart" uri="{C3380CC4-5D6E-409C-BE32-E72D297353CC}">
              <c16:uniqueId val="{00000001-BDC5-47B0-84A3-2B70001999FD}"/>
            </c:ext>
          </c:extLst>
        </c:ser>
        <c:dLbls>
          <c:showLegendKey val="0"/>
          <c:showVal val="0"/>
          <c:showCatName val="0"/>
          <c:showSerName val="0"/>
          <c:showPercent val="0"/>
          <c:showBubbleSize val="0"/>
        </c:dLbls>
        <c:gapWidth val="150"/>
        <c:overlap val="100"/>
        <c:axId val="1401220623"/>
        <c:axId val="1401221039"/>
      </c:barChart>
      <c:catAx>
        <c:axId val="14012206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1039"/>
        <c:crosses val="autoZero"/>
        <c:auto val="1"/>
        <c:lblAlgn val="ctr"/>
        <c:lblOffset val="100"/>
        <c:noMultiLvlLbl val="0"/>
      </c:catAx>
      <c:valAx>
        <c:axId val="1401221039"/>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0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1"/>
          <c:order val="0"/>
          <c:tx>
            <c:strRef>
              <c:f>'TEA Backend'!$P$53</c:f>
              <c:strCache>
                <c:ptCount val="1"/>
                <c:pt idx="0">
                  <c:v>Max Util</c:v>
                </c:pt>
              </c:strCache>
            </c:strRef>
          </c:tx>
          <c:spPr>
            <a:solidFill>
              <a:schemeClr val="accent3"/>
            </a:solidFill>
            <a:ln w="25400">
              <a:noFill/>
            </a:ln>
            <a:effectLst/>
          </c:spPr>
          <c:cat>
            <c:strRef>
              <c:f>'TEA Backend'!$L$54:$L$56</c:f>
              <c:strCache>
                <c:ptCount val="3"/>
                <c:pt idx="0">
                  <c:v>Printing</c:v>
                </c:pt>
                <c:pt idx="1">
                  <c:v>Post-Processing</c:v>
                </c:pt>
                <c:pt idx="2">
                  <c:v>Finishing</c:v>
                </c:pt>
              </c:strCache>
            </c:strRef>
          </c:cat>
          <c:val>
            <c:numRef>
              <c:f>'TEA Backend'!$P$54:$P$56</c:f>
              <c:numCache>
                <c:formatCode>0.0%</c:formatCode>
                <c:ptCount val="3"/>
                <c:pt idx="0">
                  <c:v>9.1300543318706004E-2</c:v>
                </c:pt>
                <c:pt idx="1">
                  <c:v>1</c:v>
                </c:pt>
                <c:pt idx="2">
                  <c:v>0.11642658931949186</c:v>
                </c:pt>
              </c:numCache>
            </c:numRef>
          </c:val>
          <c:extLst>
            <c:ext xmlns:c16="http://schemas.microsoft.com/office/drawing/2014/chart" uri="{C3380CC4-5D6E-409C-BE32-E72D297353CC}">
              <c16:uniqueId val="{00000000-59CE-46B0-A8D0-4CBDFFD2A26B}"/>
            </c:ext>
          </c:extLst>
        </c:ser>
        <c:ser>
          <c:idx val="3"/>
          <c:order val="1"/>
          <c:tx>
            <c:strRef>
              <c:f>'TEA Backend'!$R$53</c:f>
              <c:strCache>
                <c:ptCount val="1"/>
                <c:pt idx="0">
                  <c:v>Max Util 2</c:v>
                </c:pt>
              </c:strCache>
            </c:strRef>
          </c:tx>
          <c:spPr>
            <a:solidFill>
              <a:schemeClr val="accent3"/>
            </a:solidFill>
            <a:ln w="25400">
              <a:noFill/>
            </a:ln>
            <a:effectLst/>
          </c:spPr>
          <c:cat>
            <c:strRef>
              <c:f>'TEA Backend'!$L$54:$L$56</c:f>
              <c:strCache>
                <c:ptCount val="3"/>
                <c:pt idx="0">
                  <c:v>Printing</c:v>
                </c:pt>
                <c:pt idx="1">
                  <c:v>Post-Processing</c:v>
                </c:pt>
                <c:pt idx="2">
                  <c:v>Finishing</c:v>
                </c:pt>
              </c:strCache>
            </c:strRef>
          </c:cat>
          <c:val>
            <c:numRef>
              <c:f>'TEA Backend'!$R$54:$R$56</c:f>
              <c:numCache>
                <c:formatCode>0.0%</c:formatCode>
                <c:ptCount val="3"/>
                <c:pt idx="0">
                  <c:v>-9.1300543318706004E-2</c:v>
                </c:pt>
                <c:pt idx="1">
                  <c:v>-1</c:v>
                </c:pt>
                <c:pt idx="2">
                  <c:v>-0.11642658931949186</c:v>
                </c:pt>
              </c:numCache>
            </c:numRef>
          </c:val>
          <c:extLst>
            <c:ext xmlns:c16="http://schemas.microsoft.com/office/drawing/2014/chart" uri="{C3380CC4-5D6E-409C-BE32-E72D297353CC}">
              <c16:uniqueId val="{00000001-59CE-46B0-A8D0-4CBDFFD2A26B}"/>
            </c:ext>
          </c:extLst>
        </c:ser>
        <c:ser>
          <c:idx val="0"/>
          <c:order val="2"/>
          <c:tx>
            <c:strRef>
              <c:f>'TEA Backend'!$O$53</c:f>
              <c:strCache>
                <c:ptCount val="1"/>
                <c:pt idx="0">
                  <c:v>Current Util</c:v>
                </c:pt>
              </c:strCache>
            </c:strRef>
          </c:tx>
          <c:spPr>
            <a:solidFill>
              <a:srgbClr val="007934"/>
            </a:solidFill>
            <a:ln w="25400">
              <a:noFill/>
            </a:ln>
            <a:effectLst/>
          </c:spPr>
          <c:cat>
            <c:strRef>
              <c:f>'TEA Backend'!$L$54:$L$56</c:f>
              <c:strCache>
                <c:ptCount val="3"/>
                <c:pt idx="0">
                  <c:v>Printing</c:v>
                </c:pt>
                <c:pt idx="1">
                  <c:v>Post-Processing</c:v>
                </c:pt>
                <c:pt idx="2">
                  <c:v>Finishing</c:v>
                </c:pt>
              </c:strCache>
            </c:strRef>
          </c:cat>
          <c:val>
            <c:numRef>
              <c:f>'TEA Backend'!$O$54:$O$56</c:f>
              <c:numCache>
                <c:formatCode>0.0%</c:formatCode>
                <c:ptCount val="3"/>
                <c:pt idx="0">
                  <c:v>9.1300543318706004E-2</c:v>
                </c:pt>
                <c:pt idx="1">
                  <c:v>8.2170488986835405E-2</c:v>
                </c:pt>
                <c:pt idx="2">
                  <c:v>7.395344008815187E-2</c:v>
                </c:pt>
              </c:numCache>
            </c:numRef>
          </c:val>
          <c:extLst>
            <c:ext xmlns:c16="http://schemas.microsoft.com/office/drawing/2014/chart" uri="{C3380CC4-5D6E-409C-BE32-E72D297353CC}">
              <c16:uniqueId val="{00000002-59CE-46B0-A8D0-4CBDFFD2A26B}"/>
            </c:ext>
          </c:extLst>
        </c:ser>
        <c:ser>
          <c:idx val="2"/>
          <c:order val="3"/>
          <c:tx>
            <c:strRef>
              <c:f>'TEA Backend'!$Q$53</c:f>
              <c:strCache>
                <c:ptCount val="1"/>
                <c:pt idx="0">
                  <c:v>Current Util 2</c:v>
                </c:pt>
              </c:strCache>
            </c:strRef>
          </c:tx>
          <c:spPr>
            <a:solidFill>
              <a:srgbClr val="007934"/>
            </a:solidFill>
            <a:ln w="25400">
              <a:noFill/>
            </a:ln>
            <a:effectLst/>
          </c:spPr>
          <c:cat>
            <c:strRef>
              <c:f>'TEA Backend'!$L$54:$L$56</c:f>
              <c:strCache>
                <c:ptCount val="3"/>
                <c:pt idx="0">
                  <c:v>Printing</c:v>
                </c:pt>
                <c:pt idx="1">
                  <c:v>Post-Processing</c:v>
                </c:pt>
                <c:pt idx="2">
                  <c:v>Finishing</c:v>
                </c:pt>
              </c:strCache>
            </c:strRef>
          </c:cat>
          <c:val>
            <c:numRef>
              <c:f>'TEA Backend'!$Q$54:$Q$56</c:f>
              <c:numCache>
                <c:formatCode>0.0%</c:formatCode>
                <c:ptCount val="3"/>
                <c:pt idx="0">
                  <c:v>-9.1300543318706004E-2</c:v>
                </c:pt>
                <c:pt idx="1">
                  <c:v>-8.2170488986835405E-2</c:v>
                </c:pt>
                <c:pt idx="2">
                  <c:v>-7.395344008815187E-2</c:v>
                </c:pt>
              </c:numCache>
            </c:numRef>
          </c:val>
          <c:extLst>
            <c:ext xmlns:c16="http://schemas.microsoft.com/office/drawing/2014/chart" uri="{C3380CC4-5D6E-409C-BE32-E72D297353CC}">
              <c16:uniqueId val="{00000003-59CE-46B0-A8D0-4CBDFFD2A26B}"/>
            </c:ext>
          </c:extLst>
        </c:ser>
        <c:dLbls>
          <c:showLegendKey val="0"/>
          <c:showVal val="0"/>
          <c:showCatName val="0"/>
          <c:showSerName val="0"/>
          <c:showPercent val="0"/>
          <c:showBubbleSize val="0"/>
        </c:dLbls>
        <c:axId val="145601839"/>
        <c:axId val="145585199"/>
      </c:areaChart>
      <c:catAx>
        <c:axId val="1456018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45585199"/>
        <c:crosses val="autoZero"/>
        <c:auto val="1"/>
        <c:lblAlgn val="ctr"/>
        <c:lblOffset val="100"/>
        <c:noMultiLvlLbl val="0"/>
      </c:catAx>
      <c:valAx>
        <c:axId val="145585199"/>
        <c:scaling>
          <c:orientation val="minMax"/>
          <c:max val="1"/>
          <c:min val="-1"/>
        </c:scaling>
        <c:delete val="1"/>
        <c:axPos val="l"/>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crossAx val="14560183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solidFill>
              <a:srgbClr val="007934"/>
            </a:solidFill>
            <a:ln w="19050">
              <a:solidFill>
                <a:schemeClr val="bg1"/>
              </a:solidFill>
            </a:ln>
            <a:effectLst/>
          </c:spPr>
          <c:invertIfNegative val="0"/>
          <c:cat>
            <c:strRef>
              <c:f>'Saved Scenarios'!$P$4:$P$6</c:f>
              <c:strCache>
                <c:ptCount val="3"/>
                <c:pt idx="0">
                  <c:v>Printing</c:v>
                </c:pt>
                <c:pt idx="1">
                  <c:v>Post Processing</c:v>
                </c:pt>
                <c:pt idx="2">
                  <c:v>Machining</c:v>
                </c:pt>
              </c:strCache>
            </c:strRef>
          </c:cat>
          <c:val>
            <c:numRef>
              <c:f>'Saved Scenarios'!$Q$4:$Q$6</c:f>
              <c:numCache>
                <c:formatCode>0.00%</c:formatCode>
                <c:ptCount val="3"/>
                <c:pt idx="0">
                  <c:v>1</c:v>
                </c:pt>
                <c:pt idx="1">
                  <c:v>0.67464751146979152</c:v>
                </c:pt>
                <c:pt idx="2">
                  <c:v>0.18687721621579831</c:v>
                </c:pt>
              </c:numCache>
            </c:numRef>
          </c:val>
          <c:extLst>
            <c:ext xmlns:c16="http://schemas.microsoft.com/office/drawing/2014/chart" uri="{C3380CC4-5D6E-409C-BE32-E72D297353CC}">
              <c16:uniqueId val="{00000000-6584-4A4B-B778-D0EC0309C3A8}"/>
            </c:ext>
          </c:extLst>
        </c:ser>
        <c:ser>
          <c:idx val="1"/>
          <c:order val="1"/>
          <c:spPr>
            <a:solidFill>
              <a:schemeClr val="accent3"/>
            </a:solidFill>
            <a:ln w="19050">
              <a:solidFill>
                <a:schemeClr val="bg1"/>
              </a:solidFill>
            </a:ln>
            <a:effectLst/>
          </c:spPr>
          <c:invertIfNegative val="0"/>
          <c:cat>
            <c:strRef>
              <c:f>'Saved Scenarios'!$P$4:$P$6</c:f>
              <c:strCache>
                <c:ptCount val="3"/>
                <c:pt idx="0">
                  <c:v>Printing</c:v>
                </c:pt>
                <c:pt idx="1">
                  <c:v>Post Processing</c:v>
                </c:pt>
                <c:pt idx="2">
                  <c:v>Machining</c:v>
                </c:pt>
              </c:strCache>
            </c:strRef>
          </c:cat>
          <c:val>
            <c:numRef>
              <c:f>'Saved Scenarios'!$R$4:$R$6</c:f>
              <c:numCache>
                <c:formatCode>0.00%</c:formatCode>
                <c:ptCount val="3"/>
                <c:pt idx="0">
                  <c:v>0</c:v>
                </c:pt>
                <c:pt idx="1">
                  <c:v>0.32535248853020848</c:v>
                </c:pt>
                <c:pt idx="2">
                  <c:v>0.81312278378420166</c:v>
                </c:pt>
              </c:numCache>
            </c:numRef>
          </c:val>
          <c:extLst>
            <c:ext xmlns:c16="http://schemas.microsoft.com/office/drawing/2014/chart" uri="{C3380CC4-5D6E-409C-BE32-E72D297353CC}">
              <c16:uniqueId val="{00000001-6584-4A4B-B778-D0EC0309C3A8}"/>
            </c:ext>
          </c:extLst>
        </c:ser>
        <c:dLbls>
          <c:showLegendKey val="0"/>
          <c:showVal val="0"/>
          <c:showCatName val="0"/>
          <c:showSerName val="0"/>
          <c:showPercent val="0"/>
          <c:showBubbleSize val="0"/>
        </c:dLbls>
        <c:gapWidth val="150"/>
        <c:overlap val="100"/>
        <c:axId val="1401220623"/>
        <c:axId val="1401221039"/>
      </c:barChart>
      <c:catAx>
        <c:axId val="14012206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1039"/>
        <c:crosses val="autoZero"/>
        <c:auto val="1"/>
        <c:lblAlgn val="ctr"/>
        <c:lblOffset val="100"/>
        <c:noMultiLvlLbl val="0"/>
      </c:catAx>
      <c:valAx>
        <c:axId val="1401221039"/>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0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solidFill>
              <a:srgbClr val="007934"/>
            </a:solidFill>
            <a:ln w="19050">
              <a:solidFill>
                <a:schemeClr val="bg1"/>
              </a:solidFill>
            </a:ln>
            <a:effectLst/>
          </c:spPr>
          <c:invertIfNegative val="0"/>
          <c:cat>
            <c:strRef>
              <c:f>'Saved Scenarios'!$T$4:$T$6</c:f>
              <c:strCache>
                <c:ptCount val="3"/>
                <c:pt idx="0">
                  <c:v>Printing</c:v>
                </c:pt>
                <c:pt idx="1">
                  <c:v>Post Processing</c:v>
                </c:pt>
                <c:pt idx="2">
                  <c:v>Machining</c:v>
                </c:pt>
              </c:strCache>
            </c:strRef>
          </c:cat>
          <c:val>
            <c:numRef>
              <c:f>'Saved Scenarios'!$U$4:$U$6</c:f>
              <c:numCache>
                <c:formatCode>0.00%</c:formatCode>
                <c:ptCount val="3"/>
                <c:pt idx="0">
                  <c:v>1</c:v>
                </c:pt>
                <c:pt idx="1">
                  <c:v>0.67464751146979152</c:v>
                </c:pt>
                <c:pt idx="2">
                  <c:v>0.18687721621579831</c:v>
                </c:pt>
              </c:numCache>
            </c:numRef>
          </c:val>
          <c:extLst>
            <c:ext xmlns:c16="http://schemas.microsoft.com/office/drawing/2014/chart" uri="{C3380CC4-5D6E-409C-BE32-E72D297353CC}">
              <c16:uniqueId val="{00000000-C5E0-4481-AB43-A1A9F8A44423}"/>
            </c:ext>
          </c:extLst>
        </c:ser>
        <c:ser>
          <c:idx val="1"/>
          <c:order val="1"/>
          <c:spPr>
            <a:solidFill>
              <a:schemeClr val="accent3"/>
            </a:solidFill>
            <a:ln w="19050">
              <a:solidFill>
                <a:schemeClr val="bg1"/>
              </a:solidFill>
            </a:ln>
            <a:effectLst/>
          </c:spPr>
          <c:invertIfNegative val="0"/>
          <c:cat>
            <c:strRef>
              <c:f>'Saved Scenarios'!$T$4:$T$6</c:f>
              <c:strCache>
                <c:ptCount val="3"/>
                <c:pt idx="0">
                  <c:v>Printing</c:v>
                </c:pt>
                <c:pt idx="1">
                  <c:v>Post Processing</c:v>
                </c:pt>
                <c:pt idx="2">
                  <c:v>Machining</c:v>
                </c:pt>
              </c:strCache>
            </c:strRef>
          </c:cat>
          <c:val>
            <c:numRef>
              <c:f>'Saved Scenarios'!$V$4:$V$6</c:f>
              <c:numCache>
                <c:formatCode>0.00%</c:formatCode>
                <c:ptCount val="3"/>
                <c:pt idx="0">
                  <c:v>0</c:v>
                </c:pt>
                <c:pt idx="1">
                  <c:v>0.32535248853020848</c:v>
                </c:pt>
                <c:pt idx="2">
                  <c:v>0.81312278378420166</c:v>
                </c:pt>
              </c:numCache>
            </c:numRef>
          </c:val>
          <c:extLst>
            <c:ext xmlns:c16="http://schemas.microsoft.com/office/drawing/2014/chart" uri="{C3380CC4-5D6E-409C-BE32-E72D297353CC}">
              <c16:uniqueId val="{00000001-C5E0-4481-AB43-A1A9F8A44423}"/>
            </c:ext>
          </c:extLst>
        </c:ser>
        <c:dLbls>
          <c:showLegendKey val="0"/>
          <c:showVal val="0"/>
          <c:showCatName val="0"/>
          <c:showSerName val="0"/>
          <c:showPercent val="0"/>
          <c:showBubbleSize val="0"/>
        </c:dLbls>
        <c:gapWidth val="150"/>
        <c:overlap val="100"/>
        <c:axId val="1401220623"/>
        <c:axId val="1401221039"/>
      </c:barChart>
      <c:catAx>
        <c:axId val="14012206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1039"/>
        <c:crosses val="autoZero"/>
        <c:auto val="1"/>
        <c:lblAlgn val="ctr"/>
        <c:lblOffset val="100"/>
        <c:noMultiLvlLbl val="0"/>
      </c:catAx>
      <c:valAx>
        <c:axId val="1401221039"/>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01220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'Saved Scenarios'!$Q$19</c:f>
              <c:strCache>
                <c:ptCount val="1"/>
                <c:pt idx="0">
                  <c:v>Example</c:v>
                </c:pt>
              </c:strCache>
            </c:strRef>
          </c:tx>
          <c:spPr>
            <a:solidFill>
              <a:schemeClr val="accent3"/>
            </a:solidFill>
            <a:ln>
              <a:noFill/>
            </a:ln>
            <a:effectLst/>
          </c:spPr>
          <c:invertIfNegative val="0"/>
          <c:val>
            <c:numRef>
              <c:f>'Saved Scenarios'!$Q$20</c:f>
              <c:numCache>
                <c:formatCode>#,##0_);\(#,##0\)</c:formatCode>
                <c:ptCount val="1"/>
                <c:pt idx="0">
                  <c:v>1214.6517736807064</c:v>
                </c:pt>
              </c:numCache>
            </c:numRef>
          </c:val>
          <c:extLst>
            <c:ext xmlns:c16="http://schemas.microsoft.com/office/drawing/2014/chart" uri="{C3380CC4-5D6E-409C-BE32-E72D297353CC}">
              <c16:uniqueId val="{00000001-47BA-4674-BA67-AAC2AFA27F2B}"/>
            </c:ext>
          </c:extLst>
        </c:ser>
        <c:ser>
          <c:idx val="1"/>
          <c:order val="1"/>
          <c:tx>
            <c:strRef>
              <c:f>'Saved Scenarios'!$R$19</c:f>
              <c:strCache>
                <c:ptCount val="1"/>
                <c:pt idx="0">
                  <c:v>Example</c:v>
                </c:pt>
              </c:strCache>
            </c:strRef>
          </c:tx>
          <c:spPr>
            <a:solidFill>
              <a:srgbClr val="007934"/>
            </a:solidFill>
            <a:ln>
              <a:noFill/>
            </a:ln>
            <a:effectLst/>
          </c:spPr>
          <c:invertIfNegative val="0"/>
          <c:val>
            <c:numRef>
              <c:f>'Saved Scenarios'!$R$20</c:f>
              <c:numCache>
                <c:formatCode>#,##0_);\(#,##0\)</c:formatCode>
                <c:ptCount val="1"/>
                <c:pt idx="0">
                  <c:v>1214.6517736807064</c:v>
                </c:pt>
              </c:numCache>
            </c:numRef>
          </c:val>
          <c:extLst>
            <c:ext xmlns:c16="http://schemas.microsoft.com/office/drawing/2014/chart" uri="{C3380CC4-5D6E-409C-BE32-E72D297353CC}">
              <c16:uniqueId val="{00000003-47BA-4674-BA67-AAC2AFA27F2B}"/>
            </c:ext>
          </c:extLst>
        </c:ser>
        <c:dLbls>
          <c:showLegendKey val="0"/>
          <c:showVal val="0"/>
          <c:showCatName val="0"/>
          <c:showSerName val="0"/>
          <c:showPercent val="0"/>
          <c:showBubbleSize val="0"/>
        </c:dLbls>
        <c:gapWidth val="219"/>
        <c:overlap val="-100"/>
        <c:axId val="1928310175"/>
        <c:axId val="1928302687"/>
      </c:barChart>
      <c:catAx>
        <c:axId val="1928310175"/>
        <c:scaling>
          <c:orientation val="minMax"/>
        </c:scaling>
        <c:delete val="1"/>
        <c:axPos val="l"/>
        <c:numFmt formatCode="General" sourceLinked="1"/>
        <c:majorTickMark val="none"/>
        <c:minorTickMark val="none"/>
        <c:tickLblPos val="nextTo"/>
        <c:crossAx val="1928302687"/>
        <c:crosses val="autoZero"/>
        <c:auto val="1"/>
        <c:lblAlgn val="ctr"/>
        <c:lblOffset val="100"/>
        <c:noMultiLvlLbl val="0"/>
      </c:catAx>
      <c:valAx>
        <c:axId val="1928302687"/>
        <c:scaling>
          <c:orientation val="minMax"/>
        </c:scaling>
        <c:delete val="0"/>
        <c:axPos val="b"/>
        <c:majorGridlines>
          <c:spPr>
            <a:ln w="9525" cap="flat" cmpd="sng" algn="ctr">
              <a:solidFill>
                <a:schemeClr val="tx1">
                  <a:lumMod val="15000"/>
                  <a:lumOff val="85000"/>
                </a:schemeClr>
              </a:solidFill>
              <a:round/>
            </a:ln>
            <a:effectLst/>
          </c:spPr>
        </c:majorGridlines>
        <c:numFmt formatCode="#,##0_);\(#,##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8310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'Saved Scenarios'!$Q$19</c:f>
              <c:strCache>
                <c:ptCount val="1"/>
                <c:pt idx="0">
                  <c:v>Example</c:v>
                </c:pt>
              </c:strCache>
            </c:strRef>
          </c:tx>
          <c:spPr>
            <a:solidFill>
              <a:schemeClr val="accent3"/>
            </a:solidFill>
            <a:ln>
              <a:noFill/>
            </a:ln>
            <a:effectLst/>
          </c:spPr>
          <c:invertIfNegative val="0"/>
          <c:val>
            <c:numRef>
              <c:f>'Saved Scenarios'!$Q$21</c:f>
              <c:numCache>
                <c:formatCode>_("$"* #,##0.00_);_("$"* \(#,##0.00\);_("$"* "-"??_);_(@_)</c:formatCode>
                <c:ptCount val="1"/>
                <c:pt idx="0">
                  <c:v>1175.5761124093015</c:v>
                </c:pt>
              </c:numCache>
            </c:numRef>
          </c:val>
          <c:extLst>
            <c:ext xmlns:c16="http://schemas.microsoft.com/office/drawing/2014/chart" uri="{C3380CC4-5D6E-409C-BE32-E72D297353CC}">
              <c16:uniqueId val="{00000000-CA2B-4CCD-904F-0E62C3969582}"/>
            </c:ext>
          </c:extLst>
        </c:ser>
        <c:ser>
          <c:idx val="1"/>
          <c:order val="1"/>
          <c:tx>
            <c:strRef>
              <c:f>'Saved Scenarios'!$R$19</c:f>
              <c:strCache>
                <c:ptCount val="1"/>
                <c:pt idx="0">
                  <c:v>Example</c:v>
                </c:pt>
              </c:strCache>
            </c:strRef>
          </c:tx>
          <c:spPr>
            <a:solidFill>
              <a:srgbClr val="007934"/>
            </a:solidFill>
            <a:ln>
              <a:noFill/>
            </a:ln>
            <a:effectLst/>
          </c:spPr>
          <c:invertIfNegative val="0"/>
          <c:val>
            <c:numRef>
              <c:f>'Saved Scenarios'!$R$21</c:f>
              <c:numCache>
                <c:formatCode>_("$"* #,##0.00_);_("$"* \(#,##0.00\);_("$"* "-"??_);_(@_)</c:formatCode>
                <c:ptCount val="1"/>
                <c:pt idx="0">
                  <c:v>1175.5761124093015</c:v>
                </c:pt>
              </c:numCache>
            </c:numRef>
          </c:val>
          <c:extLst>
            <c:ext xmlns:c16="http://schemas.microsoft.com/office/drawing/2014/chart" uri="{C3380CC4-5D6E-409C-BE32-E72D297353CC}">
              <c16:uniqueId val="{00000001-CA2B-4CCD-904F-0E62C3969582}"/>
            </c:ext>
          </c:extLst>
        </c:ser>
        <c:dLbls>
          <c:showLegendKey val="0"/>
          <c:showVal val="0"/>
          <c:showCatName val="0"/>
          <c:showSerName val="0"/>
          <c:showPercent val="0"/>
          <c:showBubbleSize val="0"/>
        </c:dLbls>
        <c:gapWidth val="219"/>
        <c:overlap val="-100"/>
        <c:axId val="1928310175"/>
        <c:axId val="1928302687"/>
      </c:barChart>
      <c:catAx>
        <c:axId val="1928310175"/>
        <c:scaling>
          <c:orientation val="minMax"/>
        </c:scaling>
        <c:delete val="1"/>
        <c:axPos val="l"/>
        <c:numFmt formatCode="General" sourceLinked="1"/>
        <c:majorTickMark val="none"/>
        <c:minorTickMark val="none"/>
        <c:tickLblPos val="nextTo"/>
        <c:crossAx val="1928302687"/>
        <c:crosses val="autoZero"/>
        <c:auto val="1"/>
        <c:lblAlgn val="ctr"/>
        <c:lblOffset val="100"/>
        <c:noMultiLvlLbl val="0"/>
      </c:catAx>
      <c:valAx>
        <c:axId val="1928302687"/>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_);_(&quot;$&quot;* \(#,##0\);_(&quot;$&quot;* &quot;-&quot;_);_(@_)" sourceLinked="0"/>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28310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'Saved Scenarios'!$Q$19</c:f>
              <c:strCache>
                <c:ptCount val="1"/>
                <c:pt idx="0">
                  <c:v>Example</c:v>
                </c:pt>
              </c:strCache>
            </c:strRef>
          </c:tx>
          <c:spPr>
            <a:solidFill>
              <a:schemeClr val="accent3"/>
            </a:solidFill>
            <a:ln>
              <a:noFill/>
            </a:ln>
            <a:effectLst/>
          </c:spPr>
          <c:invertIfNegative val="0"/>
          <c:val>
            <c:numRef>
              <c:f>'Saved Scenarios'!$Q$22</c:f>
              <c:numCache>
                <c:formatCode>0.00</c:formatCode>
                <c:ptCount val="1"/>
                <c:pt idx="0">
                  <c:v>99.693868206997152</c:v>
                </c:pt>
              </c:numCache>
            </c:numRef>
          </c:val>
          <c:extLst>
            <c:ext xmlns:c16="http://schemas.microsoft.com/office/drawing/2014/chart" uri="{C3380CC4-5D6E-409C-BE32-E72D297353CC}">
              <c16:uniqueId val="{00000000-CA2B-4CCD-904F-0E62C3969582}"/>
            </c:ext>
          </c:extLst>
        </c:ser>
        <c:ser>
          <c:idx val="1"/>
          <c:order val="1"/>
          <c:tx>
            <c:strRef>
              <c:f>'Saved Scenarios'!$R$19</c:f>
              <c:strCache>
                <c:ptCount val="1"/>
                <c:pt idx="0">
                  <c:v>Example</c:v>
                </c:pt>
              </c:strCache>
            </c:strRef>
          </c:tx>
          <c:spPr>
            <a:solidFill>
              <a:srgbClr val="007934"/>
            </a:solidFill>
            <a:ln>
              <a:noFill/>
            </a:ln>
            <a:effectLst/>
          </c:spPr>
          <c:invertIfNegative val="0"/>
          <c:val>
            <c:numRef>
              <c:f>'Saved Scenarios'!$R$22</c:f>
              <c:numCache>
                <c:formatCode>0.00</c:formatCode>
                <c:ptCount val="1"/>
                <c:pt idx="0">
                  <c:v>99.693868206997152</c:v>
                </c:pt>
              </c:numCache>
            </c:numRef>
          </c:val>
          <c:extLst>
            <c:ext xmlns:c16="http://schemas.microsoft.com/office/drawing/2014/chart" uri="{C3380CC4-5D6E-409C-BE32-E72D297353CC}">
              <c16:uniqueId val="{00000001-CA2B-4CCD-904F-0E62C3969582}"/>
            </c:ext>
          </c:extLst>
        </c:ser>
        <c:dLbls>
          <c:showLegendKey val="0"/>
          <c:showVal val="0"/>
          <c:showCatName val="0"/>
          <c:showSerName val="0"/>
          <c:showPercent val="0"/>
          <c:showBubbleSize val="0"/>
        </c:dLbls>
        <c:gapWidth val="219"/>
        <c:overlap val="-100"/>
        <c:axId val="1928310175"/>
        <c:axId val="1928302687"/>
      </c:barChart>
      <c:catAx>
        <c:axId val="1928310175"/>
        <c:scaling>
          <c:orientation val="minMax"/>
        </c:scaling>
        <c:delete val="1"/>
        <c:axPos val="l"/>
        <c:numFmt formatCode="General" sourceLinked="1"/>
        <c:majorTickMark val="none"/>
        <c:minorTickMark val="none"/>
        <c:tickLblPos val="nextTo"/>
        <c:crossAx val="1928302687"/>
        <c:crosses val="autoZero"/>
        <c:auto val="1"/>
        <c:lblAlgn val="ctr"/>
        <c:lblOffset val="100"/>
        <c:noMultiLvlLbl val="0"/>
      </c:catAx>
      <c:valAx>
        <c:axId val="192830268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83101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D4DEA4C6-3255-422B-BB52-FD9B850BB6FA}">
          <cx:dataPt idx="0">
            <cx:spPr>
              <a:solidFill>
                <a:srgbClr val="00588F"/>
              </a:solidFill>
            </cx:spPr>
          </cx:dataPt>
          <cx:dataPt idx="1">
            <cx:spPr>
              <a:solidFill>
                <a:srgbClr val="62003F"/>
              </a:solidFill>
            </cx:spPr>
          </cx:dataPt>
          <cx:dataPt idx="2">
            <cx:spPr>
              <a:solidFill>
                <a:srgbClr val="696B73"/>
              </a:solidFill>
            </cx:spPr>
          </cx:dataPt>
          <cx:dataPt idx="3">
            <cx:spPr>
              <a:solidFill>
                <a:srgbClr val="FECB00"/>
              </a:solidFill>
            </cx:spPr>
          </cx:dataPt>
          <cx:dataPt idx="4">
            <cx:spPr>
              <a:solidFill>
                <a:srgbClr val="5091CD"/>
              </a:solidFill>
            </cx:spPr>
          </cx:dataPt>
          <cx:dataPt idx="5">
            <cx:spPr>
              <a:solidFill>
                <a:srgbClr val="84B641"/>
              </a:solidFill>
            </cx:spPr>
          </cx:dataPt>
          <cx:dataPt idx="6">
            <cx:spPr>
              <a:solidFill>
                <a:srgbClr val="DE762D"/>
              </a:solidFill>
            </cx:spPr>
          </cx:dataPt>
          <cx:dataPt idx="7">
            <cx:spPr>
              <a:solidFill>
                <a:srgbClr val="87360B"/>
              </a:solidFill>
            </cx:spPr>
          </cx:dataPt>
          <cx:dataLabels pos="inEnd">
            <cx:numFmt formatCode="0.0%" sourceLinked="0"/>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0" value="1"/>
            <cx:separator>, </cx:separator>
          </cx:dataLabels>
          <cx:dataId val="0"/>
          <cx:layoutPr>
            <cx:parentLabelLayout val="overlapping"/>
          </cx:layoutPr>
        </cx:series>
      </cx:plotAreaRegion>
    </cx:plotArea>
    <cx:legend pos="b" align="ctr" overlay="0"/>
  </cx:chart>
  <cx:spPr>
    <a:ln>
      <a:noFill/>
    </a:ln>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A4186BBC-2B8B-46EA-A09A-593DB6323372}">
          <cx:dataPt idx="0">
            <cx:spPr>
              <a:solidFill>
                <a:srgbClr val="5091CD"/>
              </a:solidFill>
            </cx:spPr>
          </cx:dataPt>
          <cx:dataPt idx="1">
            <cx:spPr>
              <a:solidFill>
                <a:srgbClr val="DE762D"/>
              </a:solidFill>
            </cx:spPr>
          </cx:dataPt>
          <cx:dataPt idx="2">
            <cx:spPr>
              <a:solidFill>
                <a:srgbClr val="FECB00"/>
              </a:solidFill>
            </cx:spPr>
          </cx:dataPt>
          <cx:dataLabels pos="inEnd">
            <cx:visibility seriesName="0" categoryName="0" value="1"/>
            <cx:separator>, </cx:separator>
          </cx:dataLabels>
          <cx:dataId val="0"/>
          <cx:layoutPr>
            <cx:parentLabelLayout val="overlapping"/>
          </cx:layoutPr>
        </cx:series>
      </cx:plotAreaRegion>
    </cx:plotArea>
    <cx:legend pos="b" align="ctr" overlay="0"/>
  </cx:chart>
  <cx:spPr>
    <a:ln>
      <a:noFill/>
    </a:ln>
    <a:effectLst/>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plotArea>
      <cx:plotAreaRegion>
        <cx:series layoutId="treemap" uniqueId="{09BEFFB9-A0D8-41A8-82AA-C09C12CD210C}">
          <cx:dataPt idx="0">
            <cx:spPr>
              <a:solidFill>
                <a:srgbClr val="DE762D"/>
              </a:solidFill>
            </cx:spPr>
          </cx:dataPt>
          <cx:dataPt idx="1">
            <cx:spPr>
              <a:solidFill>
                <a:srgbClr val="696B73"/>
              </a:solidFill>
            </cx:spPr>
          </cx:dataPt>
          <cx:dataPt idx="2">
            <cx:spPr>
              <a:solidFill>
                <a:srgbClr val="FECB00"/>
              </a:solidFill>
            </cx:spPr>
          </cx:dataPt>
          <cx:dataPt idx="3">
            <cx:spPr>
              <a:solidFill>
                <a:srgbClr val="5091CD"/>
              </a:solidFill>
            </cx:spPr>
          </cx:dataPt>
          <cx:dataPt idx="4">
            <cx:spPr>
              <a:solidFill>
                <a:srgbClr val="62003F"/>
              </a:solidFill>
            </cx:spPr>
          </cx:dataPt>
          <cx:dataPt idx="5">
            <cx:spPr>
              <a:solidFill>
                <a:srgbClr val="87360B"/>
              </a:solidFill>
            </cx:spPr>
          </cx:dataPt>
          <cx:dataLabels pos="inEnd">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0" value="1"/>
            <cx:separator>, </cx:separator>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plotArea>
      <cx:plotAreaRegion>
        <cx:series layoutId="treemap" uniqueId="{13ED53FB-0184-4C1F-A2A9-2D31CAE8ED82}">
          <cx:dataPt idx="0">
            <cx:spPr>
              <a:solidFill>
                <a:srgbClr val="5091CD"/>
              </a:solidFill>
            </cx:spPr>
          </cx:dataPt>
          <cx:dataPt idx="1">
            <cx:spPr>
              <a:solidFill>
                <a:srgbClr val="DE762D"/>
              </a:solidFill>
            </cx:spPr>
          </cx:dataPt>
          <cx:dataPt idx="2">
            <cx:spPr>
              <a:solidFill>
                <a:srgbClr val="696B73"/>
              </a:solidFill>
            </cx:spPr>
          </cx:dataPt>
          <cx:dataPt idx="3">
            <cx:spPr>
              <a:solidFill>
                <a:srgbClr val="FECB00"/>
              </a:solidFill>
            </cx:spPr>
          </cx:dataPt>
          <cx:dataLabels pos="inEnd">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size">
        <cx:f>_xlchart.v1.9</cx:f>
      </cx:numDim>
    </cx:data>
  </cx:chartData>
  <cx:chart>
    <cx:plotArea>
      <cx:plotAreaRegion>
        <cx:series layoutId="treemap" uniqueId="{13ED53FB-0184-4C1F-A2A9-2D31CAE8ED82}">
          <cx:dataLabels pos="inEnd">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_xlchart.v1.20</cx:f>
      </cx:strDim>
      <cx:numDim type="size">
        <cx:f>_xlchart.v1.21</cx:f>
      </cx:numDim>
    </cx:data>
  </cx:chartData>
  <cx:chart>
    <cx:plotArea>
      <cx:plotAreaRegion>
        <cx:series layoutId="treemap" uniqueId="{1C8D12E0-CC1B-48B8-B872-BB45A0BB4A08}">
          <cx:dataPt idx="0">
            <cx:spPr>
              <a:solidFill>
                <a:srgbClr val="DE762D"/>
              </a:solidFill>
            </cx:spPr>
          </cx:dataPt>
          <cx:dataPt idx="1">
            <cx:spPr>
              <a:solidFill>
                <a:srgbClr val="696B73"/>
              </a:solidFill>
            </cx:spPr>
          </cx:dataPt>
          <cx:dataPt idx="2">
            <cx:spPr>
              <a:solidFill>
                <a:srgbClr val="FECB00"/>
              </a:solidFill>
            </cx:spPr>
          </cx:dataPt>
          <cx:dataPt idx="3">
            <cx:spPr>
              <a:solidFill>
                <a:srgbClr val="5091CD"/>
              </a:solidFill>
            </cx:spPr>
          </cx:dataPt>
          <cx:dataPt idx="4">
            <cx:spPr>
              <a:solidFill>
                <a:srgbClr val="84B641"/>
              </a:solidFill>
            </cx:spPr>
          </cx:dataPt>
          <cx:dataPt idx="5">
            <cx:spPr>
              <a:solidFill>
                <a:srgbClr val="62003F"/>
              </a:solidFill>
            </cx:spPr>
          </cx:dataPt>
          <cx:dataPt idx="6">
            <cx:spPr>
              <a:solidFill>
                <a:srgbClr val="87360B"/>
              </a:solidFill>
            </cx:spPr>
          </cx:dataPt>
          <cx:dataLabels pos="inEnd">
            <cx:visibility seriesName="0" categoryName="0" value="1"/>
            <cx:separator>, </cx:separator>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_xlchart.v1.14</cx:f>
      </cx:strDim>
      <cx:numDim type="size">
        <cx:f>_xlchart.v1.15</cx:f>
      </cx:numDim>
    </cx:data>
  </cx:chartData>
  <cx:chart>
    <cx:plotArea>
      <cx:plotAreaRegion>
        <cx:series layoutId="treemap" uniqueId="{1C8D12E0-CC1B-48B8-B872-BB45A0BB4A08}">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_xlchart.v1.16</cx:f>
      </cx:strDim>
      <cx:numDim type="size">
        <cx:f>_xlchart.v1.17</cx:f>
      </cx:numDim>
    </cx:data>
  </cx:chartData>
  <cx:chart>
    <cx:plotArea>
      <cx:plotAreaRegion>
        <cx:series layoutId="treemap" uniqueId="{1C8D12E0-CC1B-48B8-B872-BB45A0BB4A08}">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_xlchart.v1.18</cx:f>
      </cx:strDim>
      <cx:numDim type="size">
        <cx:f>_xlchart.v1.19</cx:f>
      </cx:numDim>
    </cx:data>
  </cx:chartData>
  <cx:chart>
    <cx:plotArea>
      <cx:plotAreaRegion>
        <cx:series layoutId="treemap" uniqueId="{FD3B2445-34CE-4C78-B6E6-E1C74D5CCC5F}">
          <cx:dataPt idx="0">
            <cx:spPr>
              <a:solidFill>
                <a:srgbClr val="DE762D"/>
              </a:solidFill>
            </cx:spPr>
          </cx:dataPt>
          <cx:dataPt idx="1">
            <cx:spPr>
              <a:solidFill>
                <a:srgbClr val="5091CD"/>
              </a:solidFill>
            </cx:spPr>
          </cx:dataPt>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_xlchart.v1.12</cx:f>
      </cx:strDim>
      <cx:numDim type="size">
        <cx:f>_xlchart.v1.13</cx:f>
      </cx:numDim>
    </cx:data>
  </cx:chartData>
  <cx:chart>
    <cx:plotArea>
      <cx:plotAreaRegion>
        <cx:series layoutId="treemap" uniqueId="{FD3B2445-34CE-4C78-B6E6-E1C74D5CCC5F}">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_xlchart.v1.11</cx:f>
      </cx:numDim>
    </cx:data>
  </cx:chartData>
  <cx:chart>
    <cx:plotArea>
      <cx:plotAreaRegion>
        <cx:series layoutId="treemap" uniqueId="{FD3B2445-34CE-4C78-B6E6-E1C74D5CCC5F}">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plotArea>
      <cx:plotAreaRegion>
        <cx:series layoutId="treemap" uniqueId="{B426AC9B-F690-4759-8C85-C86F504C98D9}">
          <cx:dataPt idx="0">
            <cx:spPr>
              <a:solidFill>
                <a:srgbClr val="5091CD"/>
              </a:solidFill>
            </cx:spPr>
          </cx:dataPt>
          <cx:dataPt idx="1">
            <cx:spPr>
              <a:solidFill>
                <a:srgbClr val="DE762D"/>
              </a:solidFill>
            </cx:spPr>
          </cx:dataPt>
          <cx:dataPt idx="2">
            <cx:spPr>
              <a:solidFill>
                <a:srgbClr val="696B73"/>
              </a:solidFill>
            </cx:spPr>
          </cx:dataPt>
          <cx:dataPt idx="3">
            <cx:spPr>
              <a:solidFill>
                <a:srgbClr val="FECB00"/>
              </a:solidFill>
            </cx:spPr>
          </cx:dataPt>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3.xml><?xml version="1.0" encoding="utf-8"?>
<cx:chartSpace xmlns:a="http://schemas.openxmlformats.org/drawingml/2006/main" xmlns:r="http://schemas.openxmlformats.org/officeDocument/2006/relationships" xmlns:cx="http://schemas.microsoft.com/office/drawing/2014/chartex">
  <cx:chartData>
    <cx:data id="0">
      <cx:strDim type="cat">
        <cx:f>_xlchart.v1.22</cx:f>
      </cx:strDim>
      <cx:numDim type="size">
        <cx:f>_xlchart.v1.23</cx:f>
      </cx:numDim>
    </cx:data>
  </cx:chartData>
  <cx:chart>
    <cx:plotArea>
      <cx:plotAreaRegion>
        <cx:series layoutId="treemap" uniqueId="{29CA5F4B-A213-438D-8377-C2F3C1E6B0A7}">
          <cx:dataPt idx="0">
            <cx:spPr>
              <a:solidFill>
                <a:srgbClr val="5091CD"/>
              </a:solidFill>
            </cx:spPr>
          </cx:dataPt>
          <cx:dataPt idx="1">
            <cx:spPr>
              <a:solidFill>
                <a:srgbClr val="DE762D"/>
              </a:solidFill>
            </cx:spPr>
          </cx:dataPt>
          <cx:dataPt idx="2">
            <cx:spPr>
              <a:solidFill>
                <a:srgbClr val="696B73"/>
              </a:solidFill>
            </cx:spPr>
          </cx:dataPt>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4.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plotArea>
      <cx:plotAreaRegion>
        <cx:series layoutId="treemap" uniqueId="{383A1D21-9411-48C8-93A1-A63897C49A1B}">
          <cx:dataPt idx="0">
            <cx:spPr>
              <a:solidFill>
                <a:srgbClr val="DE762D"/>
              </a:solidFill>
            </cx:spPr>
          </cx:dataPt>
          <cx:dataPt idx="1">
            <cx:spPr>
              <a:solidFill>
                <a:srgbClr val="696B73"/>
              </a:solidFill>
            </cx:spPr>
          </cx:dataPt>
          <cx:dataPt idx="2">
            <cx:spPr>
              <a:solidFill>
                <a:srgbClr val="2C5135"/>
              </a:solidFill>
            </cx:spPr>
          </cx:dataPt>
          <cx:dataPt idx="3">
            <cx:spPr>
              <a:solidFill>
                <a:srgbClr val="FECB00"/>
              </a:solidFill>
            </cx:spPr>
          </cx:dataPt>
          <cx:dataPt idx="4">
            <cx:spPr>
              <a:solidFill>
                <a:srgbClr val="5091CD"/>
              </a:solidFill>
            </cx:spPr>
          </cx:dataPt>
          <cx:dataPt idx="5">
            <cx:spPr>
              <a:solidFill>
                <a:srgbClr val="84B641"/>
              </a:solidFill>
            </cx:spPr>
          </cx:dataPt>
          <cx:dataPt idx="6">
            <cx:spPr>
              <a:solidFill>
                <a:srgbClr val="87360B"/>
              </a:solidFill>
            </cx:spPr>
          </cx:dataPt>
          <cx:dataPt idx="7">
            <cx:spPr>
              <a:solidFill>
                <a:srgbClr val="00588F"/>
              </a:solidFill>
            </cx:spPr>
          </cx:dataPt>
          <cx:dataLabels pos="inEnd">
            <cx:visibility seriesName="0" categoryName="0" value="1"/>
            <cx:separator>, </cx:separator>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chartSpace>
</file>

<file path=xl/charts/chartEx15.xml><?xml version="1.0" encoding="utf-8"?>
<cx:chartSpace xmlns:a="http://schemas.openxmlformats.org/drawingml/2006/main" xmlns:r="http://schemas.openxmlformats.org/officeDocument/2006/relationships" xmlns:cx="http://schemas.microsoft.com/office/drawing/2014/chartex">
  <cx:chartData>
    <cx:data id="0">
      <cx:strDim type="cat">
        <cx:f>_xlchart.v1.28</cx:f>
      </cx:strDim>
      <cx:numDim type="size">
        <cx:f>_xlchart.v1.29</cx:f>
      </cx:numDim>
    </cx:data>
  </cx:chartData>
  <cx:chart>
    <cx:plotArea>
      <cx:plotAreaRegion>
        <cx:series layoutId="treemap" uniqueId="{CB008D41-64A6-424C-B8D0-31B499467F3E}">
          <cx:dataPt idx="0">
            <cx:spPr>
              <a:solidFill>
                <a:srgbClr val="DE762D"/>
              </a:solidFill>
            </cx:spPr>
          </cx:dataPt>
          <cx:dataPt idx="1">
            <cx:spPr>
              <a:solidFill>
                <a:srgbClr val="696B73"/>
              </a:solidFill>
            </cx:spPr>
          </cx:dataPt>
          <cx:dataPt idx="2">
            <cx:spPr>
              <a:solidFill>
                <a:srgbClr val="2C5135"/>
              </a:solidFill>
            </cx:spPr>
          </cx:dataPt>
          <cx:dataPt idx="3">
            <cx:spPr>
              <a:solidFill>
                <a:srgbClr val="FECB00"/>
              </a:solidFill>
            </cx:spPr>
          </cx:dataPt>
          <cx:dataPt idx="4">
            <cx:spPr>
              <a:solidFill>
                <a:srgbClr val="5091CD"/>
              </a:solidFill>
            </cx:spPr>
          </cx:dataPt>
          <cx:dataPt idx="5">
            <cx:spPr>
              <a:solidFill>
                <a:srgbClr val="84B641"/>
              </a:solidFill>
            </cx:spPr>
          </cx:dataPt>
          <cx:dataPt idx="6">
            <cx:spPr>
              <a:solidFill>
                <a:srgbClr val="87360B"/>
              </a:solidFill>
            </cx:spPr>
          </cx:dataPt>
          <cx:dataPt idx="7">
            <cx:spPr>
              <a:solidFill>
                <a:srgbClr val="00588F"/>
              </a:solidFill>
            </cx:spPr>
          </cx:dataPt>
          <cx:dataLabels pos="inEnd">
            <cx:visibility seriesName="0" categoryName="0" value="1"/>
            <cx:separator>, </cx:separator>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chartSpace>
</file>

<file path=xl/charts/chartEx16.xml><?xml version="1.0" encoding="utf-8"?>
<cx:chartSpace xmlns:a="http://schemas.openxmlformats.org/drawingml/2006/main" xmlns:r="http://schemas.openxmlformats.org/officeDocument/2006/relationships" xmlns:cx="http://schemas.microsoft.com/office/drawing/2014/chartex">
  <cx:chartData>
    <cx:data id="0">
      <cx:strDim type="cat">
        <cx:f>_xlchart.v1.36</cx:f>
      </cx:strDim>
      <cx:numDim type="size">
        <cx:f>_xlchart.v1.37</cx:f>
      </cx:numDim>
    </cx:data>
  </cx:chartData>
  <cx:chart>
    <cx:plotArea>
      <cx:plotAreaRegion>
        <cx:series layoutId="treemap" uniqueId="{2E2E7629-4761-46CA-A54C-12B08230F61E}">
          <cx:dataPt idx="0">
            <cx:spPr>
              <a:solidFill>
                <a:srgbClr val="5091CD"/>
              </a:solidFill>
            </cx:spPr>
          </cx:dataPt>
          <cx:dataPt idx="1">
            <cx:spPr>
              <a:solidFill>
                <a:srgbClr val="DE762D"/>
              </a:solidFill>
            </cx:spPr>
          </cx:dataPt>
          <cx:dataPt idx="2">
            <cx:spPr>
              <a:solidFill>
                <a:srgbClr val="696B73"/>
              </a:solidFill>
            </cx:spPr>
          </cx:dataPt>
          <cx:dataLabels pos="inEnd">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7.xml><?xml version="1.0" encoding="utf-8"?>
<cx:chartSpace xmlns:a="http://schemas.openxmlformats.org/drawingml/2006/main" xmlns:r="http://schemas.openxmlformats.org/officeDocument/2006/relationships" xmlns:cx="http://schemas.microsoft.com/office/drawing/2014/chartex">
  <cx:chartData>
    <cx:data id="0">
      <cx:strDim type="cat">
        <cx:f>_xlchart.v1.34</cx:f>
      </cx:strDim>
      <cx:numDim type="size">
        <cx:f>_xlchart.v1.35</cx:f>
      </cx:numDim>
    </cx:data>
  </cx:chartData>
  <cx:chart>
    <cx:plotArea>
      <cx:plotAreaRegion>
        <cx:series layoutId="treemap" uniqueId="{E1330640-80BF-49A1-8019-BA3E3709DA3C}">
          <cx:dataPt idx="0">
            <cx:spPr>
              <a:solidFill>
                <a:srgbClr val="5091CD"/>
              </a:solidFill>
            </cx:spPr>
          </cx:dataPt>
          <cx:dataPt idx="1">
            <cx:spPr>
              <a:solidFill>
                <a:srgbClr val="DE762D"/>
              </a:solidFill>
            </cx:spPr>
          </cx:dataPt>
          <cx:dataPt idx="2">
            <cx:spPr>
              <a:solidFill>
                <a:srgbClr val="696B73"/>
              </a:solidFill>
            </cx:spPr>
          </cx:dataPt>
          <cx:dataPt idx="3">
            <cx:spPr>
              <a:solidFill>
                <a:srgbClr val="FECB00"/>
              </a:solidFill>
            </cx:spPr>
          </cx:dataPt>
          <cx:dataLabels>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8.xml><?xml version="1.0" encoding="utf-8"?>
<cx:chartSpace xmlns:a="http://schemas.openxmlformats.org/drawingml/2006/main" xmlns:r="http://schemas.openxmlformats.org/officeDocument/2006/relationships" xmlns:cx="http://schemas.microsoft.com/office/drawing/2014/chartex">
  <cx:chartData>
    <cx:data id="0">
      <cx:strDim type="cat">
        <cx:f>_xlchart.v1.30</cx:f>
      </cx:strDim>
      <cx:numDim type="size">
        <cx:f>_xlchart.v1.31</cx:f>
      </cx:numDim>
    </cx:data>
  </cx:chartData>
  <cx:chart>
    <cx:plotArea>
      <cx:plotAreaRegion>
        <cx:series layoutId="treemap" uniqueId="{81AC11D6-F9B8-4739-926D-E0F662048CA3}">
          <cx:dataPt idx="0">
            <cx:spPr>
              <a:solidFill>
                <a:srgbClr val="DE762D"/>
              </a:solidFill>
            </cx:spPr>
          </cx:dataPt>
          <cx:dataPt idx="1">
            <cx:spPr>
              <a:solidFill>
                <a:srgbClr val="5091CD"/>
              </a:solidFill>
            </cx:spPr>
          </cx:dataPt>
          <cx:dataLabels pos="inEnd">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solidFill>
                  <a:latin typeface="Calibri" panose="020F0502020204030204"/>
                </a:endParaRPr>
              </a:p>
            </cx:txPr>
            <cx:visibility seriesName="0" categoryName="0" value="1"/>
            <cx:separator>, </cx:separator>
          </cx:dataLabels>
          <cx:dataId val="0"/>
          <cx:layoutPr>
            <cx:parentLabelLayout val="overlapping"/>
          </cx:layoutPr>
        </cx:series>
      </cx:plotAreaRegion>
    </cx:plotArea>
    <cx:legend pos="b" align="ctr" overlay="0"/>
  </cx:chart>
  <cx:spPr>
    <a:ln>
      <a:noFill/>
    </a:ln>
  </cx:spPr>
</cx:chartSpace>
</file>

<file path=xl/charts/chartEx19.xml><?xml version="1.0" encoding="utf-8"?>
<cx:chartSpace xmlns:a="http://schemas.openxmlformats.org/drawingml/2006/main" xmlns:r="http://schemas.openxmlformats.org/officeDocument/2006/relationships" xmlns:cx="http://schemas.microsoft.com/office/drawing/2014/chartex">
  <cx:chartData>
    <cx:data id="0">
      <cx:strDim type="cat">
        <cx:f>_xlchart.v1.32</cx:f>
      </cx:strDim>
      <cx:numDim type="size">
        <cx:f>_xlchart.v1.33</cx:f>
      </cx:numDim>
    </cx:data>
  </cx:chartData>
  <cx:chart>
    <cx:plotArea>
      <cx:plotAreaRegion>
        <cx:series layoutId="treemap" uniqueId="{6F5B6732-A88D-40E9-8FEE-3078B28210CB}">
          <cx:dataPt idx="0">
            <cx:spPr>
              <a:solidFill>
                <a:srgbClr val="DE762D"/>
              </a:solidFill>
            </cx:spPr>
          </cx:dataPt>
          <cx:dataPt idx="1">
            <cx:spPr>
              <a:solidFill>
                <a:srgbClr val="696B73"/>
              </a:solidFill>
            </cx:spPr>
          </cx:dataPt>
          <cx:dataPt idx="2">
            <cx:spPr>
              <a:solidFill>
                <a:srgbClr val="2C5135"/>
              </a:solidFill>
            </cx:spPr>
          </cx:dataPt>
          <cx:dataPt idx="3">
            <cx:spPr>
              <a:solidFill>
                <a:srgbClr val="FECB00"/>
              </a:solidFill>
            </cx:spPr>
          </cx:dataPt>
          <cx:dataPt idx="4">
            <cx:spPr>
              <a:solidFill>
                <a:srgbClr val="5091CD"/>
              </a:solidFill>
            </cx:spPr>
          </cx:dataPt>
          <cx:dataPt idx="5">
            <cx:spPr>
              <a:solidFill>
                <a:srgbClr val="84B641"/>
              </a:solidFill>
            </cx:spPr>
          </cx:dataPt>
          <cx:dataPt idx="6">
            <cx:spPr>
              <a:solidFill>
                <a:srgbClr val="87360B"/>
              </a:solidFill>
            </cx:spPr>
          </cx:dataPt>
          <cx:dataPt idx="7">
            <cx:spPr>
              <a:solidFill>
                <a:srgbClr val="00588F"/>
              </a:solidFill>
            </cx:spPr>
          </cx:dataPt>
          <cx:dataLabels pos="inEnd">
            <cx:visibility seriesName="0" categoryName="0" value="1"/>
            <cx:separator>, </cx:separator>
          </cx:dataLabels>
          <cx:dataId val="0"/>
          <cx:layoutPr>
            <cx:parentLabelLayout val="overlapping"/>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chartSpace>
</file>

<file path=xl/charts/chartEx20.xml><?xml version="1.0" encoding="utf-8"?>
<cx:chartSpace xmlns:a="http://schemas.openxmlformats.org/drawingml/2006/main" xmlns:r="http://schemas.openxmlformats.org/officeDocument/2006/relationships" xmlns:cx="http://schemas.microsoft.com/office/drawing/2014/chartex">
  <cx:chartData>
    <cx:data id="0">
      <cx:strDim type="cat">
        <cx:f>_xlchart.v1.42</cx:f>
      </cx:strDim>
      <cx:numDim type="size">
        <cx:f>_xlchart.v1.43</cx:f>
      </cx:numDim>
    </cx:data>
  </cx:chartData>
  <cx:chart>
    <cx:plotArea>
      <cx:plotAreaRegion>
        <cx:series layoutId="treemap" uniqueId="{513E829C-6061-4543-B6C7-E6AF03195064}">
          <cx:dataPt idx="0">
            <cx:spPr>
              <a:solidFill>
                <a:srgbClr val="5091CD"/>
              </a:solidFill>
            </cx:spPr>
          </cx:dataPt>
          <cx:dataPt idx="1">
            <cx:spPr>
              <a:solidFill>
                <a:srgbClr val="DE762D"/>
              </a:solidFill>
            </cx:spPr>
          </cx:dataPt>
          <cx:dataPt idx="2">
            <cx:spPr>
              <a:solidFill>
                <a:srgbClr val="696B73"/>
              </a:solidFill>
            </cx:spPr>
          </cx:dataPt>
          <cx:dataPt idx="3">
            <cx:spPr>
              <a:solidFill>
                <a:srgbClr val="FECB00"/>
              </a:solidFill>
            </cx:spPr>
          </cx:dataPt>
          <cx:dataLabels>
            <cx:txPr>
              <a:bodyPr spcFirstLastPara="1" vertOverflow="ellipsis" horzOverflow="overflow" wrap="square" lIns="0" tIns="0" rIns="0" bIns="0" anchor="ctr" anchorCtr="1"/>
              <a:lstStyle/>
              <a:p>
                <a:pPr algn="ctr" rtl="0">
                  <a:defRPr/>
                </a:pPr>
                <a:endParaRPr lang="en-US" sz="900" b="0" i="0" u="none" strike="noStrike" baseline="0">
                  <a:solidFill>
                    <a:sysClr val="window" lastClr="FFFFFF"/>
                  </a:solidFill>
                  <a:latin typeface="Calibri" panose="020F0502020204030204"/>
                </a:endParaRPr>
              </a:p>
            </cx:txPr>
            <cx:visibility seriesName="0" categoryName="0" value="1"/>
            <cx:separator>, </cx:separator>
          </cx:dataLabels>
          <cx:dataId val="0"/>
          <cx:layoutPr/>
        </cx:series>
      </cx:plotAreaRegion>
    </cx:plotArea>
    <cx:legend pos="b" align="ctr" overlay="0"/>
  </cx:chart>
  <cx:spPr>
    <a:ln>
      <a:noFill/>
    </a:ln>
  </cx:spPr>
</cx:chartSpace>
</file>

<file path=xl/charts/chartEx21.xml><?xml version="1.0" encoding="utf-8"?>
<cx:chartSpace xmlns:a="http://schemas.openxmlformats.org/drawingml/2006/main" xmlns:r="http://schemas.openxmlformats.org/officeDocument/2006/relationships" xmlns:cx="http://schemas.microsoft.com/office/drawing/2014/chartex">
  <cx:chartData>
    <cx:data id="0">
      <cx:strDim type="cat">
        <cx:f>_xlchart.v1.38</cx:f>
      </cx:strDim>
      <cx:numDim type="size">
        <cx:f>_xlchart.v1.39</cx:f>
      </cx:numDim>
    </cx:data>
  </cx:chartData>
  <cx:chart>
    <cx:plotArea>
      <cx:plotAreaRegion>
        <cx:series layoutId="treemap" uniqueId="{C48BE141-FD95-4DFF-92DB-CB00AA0D5D65}">
          <cx:dataPt idx="0">
            <cx:spPr>
              <a:solidFill>
                <a:srgbClr val="5091CD"/>
              </a:solidFill>
            </cx:spPr>
          </cx:dataPt>
          <cx:dataPt idx="1">
            <cx:spPr>
              <a:solidFill>
                <a:srgbClr val="DE762D"/>
              </a:solidFill>
            </cx:spPr>
          </cx:dataPt>
          <cx:dataPt idx="2">
            <cx:spPr>
              <a:solidFill>
                <a:srgbClr val="696B73"/>
              </a:solidFill>
            </cx:spPr>
          </cx:dataPt>
          <cx:dataLabels>
            <cx:visibility seriesName="0" categoryName="0" value="1"/>
            <cx:separator>, </cx:separator>
          </cx:dataLabels>
          <cx:dataId val="0"/>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noFill/>
    </a:ln>
  </cx:spPr>
</cx:chartSpace>
</file>

<file path=xl/charts/chartEx22.xml><?xml version="1.0" encoding="utf-8"?>
<cx:chartSpace xmlns:a="http://schemas.openxmlformats.org/drawingml/2006/main" xmlns:r="http://schemas.openxmlformats.org/officeDocument/2006/relationships" xmlns:cx="http://schemas.microsoft.com/office/drawing/2014/chartex">
  <cx:chartData>
    <cx:data id="0">
      <cx:strDim type="cat">
        <cx:f>_xlchart.v1.40</cx:f>
      </cx:strDim>
      <cx:numDim type="size">
        <cx:f>_xlchart.v1.41</cx:f>
      </cx:numDim>
    </cx:data>
  </cx:chartData>
  <cx:chart>
    <cx:plotArea>
      <cx:plotAreaRegion>
        <cx:series layoutId="treemap" uniqueId="{173FC78B-710E-44B1-A402-0E044664C905}">
          <cx:dataPt idx="0">
            <cx:spPr>
              <a:solidFill>
                <a:srgbClr val="5091CD"/>
              </a:solidFill>
            </cx:spPr>
          </cx:dataPt>
          <cx:dataPt idx="1">
            <cx:spPr>
              <a:solidFill>
                <a:srgbClr val="DE762D"/>
              </a:solidFill>
            </cx:spPr>
          </cx:dataPt>
          <cx:dataPt idx="2">
            <cx:spPr>
              <a:solidFill>
                <a:srgbClr val="696B73"/>
              </a:solidFill>
            </cx:spPr>
          </cx:dataPt>
          <cx:dataPt idx="3">
            <cx:spPr>
              <a:solidFill>
                <a:srgbClr val="FECB00"/>
              </a:solidFill>
            </cx:spPr>
          </cx:dataPt>
          <cx:dataLabels>
            <cx:visibility seriesName="0" categoryName="0" value="1"/>
            <cx:separator>, </cx:separator>
          </cx:dataLabels>
          <cx:dataId val="0"/>
          <cx:layoutPr/>
        </cx:series>
      </cx:plotAreaRegion>
    </cx:plotArea>
    <cx:legend pos="b" align="ctr" overlay="0"/>
  </cx:chart>
  <cx:spPr>
    <a:ln>
      <a:noFill/>
    </a:ln>
  </cx:spPr>
</cx:chartSpace>
</file>

<file path=xl/charts/chartEx23.xml><?xml version="1.0" encoding="utf-8"?>
<cx:chartSpace xmlns:a="http://schemas.openxmlformats.org/drawingml/2006/main" xmlns:r="http://schemas.openxmlformats.org/officeDocument/2006/relationships" xmlns:cx="http://schemas.microsoft.com/office/drawing/2014/chartex">
  <cx:chartData>
    <cx:data id="0">
      <cx:strDim type="cat">
        <cx:f>_xlchart.v1.44</cx:f>
      </cx:strDim>
      <cx:numDim type="size">
        <cx:f>_xlchart.v1.45</cx:f>
      </cx:numDim>
    </cx:data>
  </cx:chartData>
  <cx:chart>
    <cx:plotArea>
      <cx:plotAreaRegion>
        <cx:series layoutId="treemap" uniqueId="{04A25779-B284-4272-88B9-2C610A7AC0C9}">
          <cx:dataPt idx="0">
            <cx:spPr>
              <a:solidFill>
                <a:srgbClr val="5091CD"/>
              </a:solidFill>
            </cx:spPr>
          </cx:dataPt>
          <cx:dataPt idx="1">
            <cx:spPr>
              <a:solidFill>
                <a:srgbClr val="DE762D"/>
              </a:solidFill>
            </cx:spPr>
          </cx:dataPt>
          <cx:dataPt idx="2">
            <cx:spPr>
              <a:solidFill>
                <a:srgbClr val="696B73"/>
              </a:solidFill>
            </cx:spPr>
          </cx:dataPt>
          <cx:dataLabels>
            <cx:visibility seriesName="0" categoryName="0" value="1"/>
            <cx:separator>, </cx:separator>
          </cx:dataLabels>
          <cx:dataId val="0"/>
          <cx:layoutPr/>
        </cx:series>
      </cx:plotAreaRegion>
    </cx:plotArea>
    <cx:legend pos="b" align="ctr" overlay="0"/>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PRNT Backend'!$G$5" lockText="1" noThreeD="1"/>
</file>

<file path=xl/ctrlProps/ctrlProp2.xml><?xml version="1.0" encoding="utf-8"?>
<formControlPr xmlns="http://schemas.microsoft.com/office/spreadsheetml/2009/9/main" objectType="CheckBox" fmlaLink="'PP Backend'!$G$5" lockText="1" noThreeD="1"/>
</file>

<file path=xl/ctrlProps/ctrlProp3.xml><?xml version="1.0" encoding="utf-8"?>
<formControlPr xmlns="http://schemas.microsoft.com/office/spreadsheetml/2009/9/main" objectType="CheckBox" checked="Checked" fmlaLink="'MCN Backend'!$G$5" lockText="1" noThreeD="1"/>
</file>

<file path=xl/ctrlProps/ctrlProp4.xml><?xml version="1.0" encoding="utf-8"?>
<formControlPr xmlns="http://schemas.microsoft.com/office/spreadsheetml/2009/9/main" objectType="Radio" checked="Checked" firstButton="1" fmlaLink="$C$28"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PP Backend'!$G$11" lockText="1" noThreeD="1"/>
</file>

<file path=xl/ctrlProps/ctrlProp7.xml><?xml version="1.0" encoding="utf-8"?>
<formControlPr xmlns="http://schemas.microsoft.com/office/spreadsheetml/2009/9/main" objectType="CheckBox" checked="Checked" fmlaLink="'MCN Backend'!$G$15"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 Id="rId6" Type="http://schemas.openxmlformats.org/officeDocument/2006/relationships/image" Target="../media/image4.png"/><Relationship Id="rId5" Type="http://schemas.openxmlformats.org/officeDocument/2006/relationships/image" Target="../media/image10.svg"/><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2.png"/><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4.svg"/><Relationship Id="rId7" Type="http://schemas.openxmlformats.org/officeDocument/2006/relationships/image" Target="../media/image17.jpeg"/><Relationship Id="rId2" Type="http://schemas.openxmlformats.org/officeDocument/2006/relationships/image" Target="../media/image13.png"/><Relationship Id="rId1" Type="http://schemas.openxmlformats.org/officeDocument/2006/relationships/image" Target="../media/image4.png"/><Relationship Id="rId6" Type="http://schemas.microsoft.com/office/2007/relationships/hdphoto" Target="../media/hdphoto1.wdp"/><Relationship Id="rId5" Type="http://schemas.openxmlformats.org/officeDocument/2006/relationships/image" Target="../media/image16.png"/><Relationship Id="rId4" Type="http://schemas.openxmlformats.org/officeDocument/2006/relationships/image" Target="../media/image15.jpeg"/></Relationships>
</file>

<file path=xl/drawings/_rels/drawing7.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image" Target="../media/image20.jpeg"/><Relationship Id="rId7" Type="http://schemas.microsoft.com/office/2014/relationships/chartEx" Target="../charts/chartEx1.xml"/><Relationship Id="rId12" Type="http://schemas.openxmlformats.org/officeDocument/2006/relationships/hyperlink" Target="#'4. Printing'!B50"/><Relationship Id="rId2" Type="http://schemas.openxmlformats.org/officeDocument/2006/relationships/image" Target="../media/image19.jpeg"/><Relationship Id="rId1" Type="http://schemas.openxmlformats.org/officeDocument/2006/relationships/image" Target="../media/image18.jpeg"/><Relationship Id="rId6" Type="http://schemas.openxmlformats.org/officeDocument/2006/relationships/image" Target="../media/image14.svg"/><Relationship Id="rId11" Type="http://schemas.openxmlformats.org/officeDocument/2006/relationships/image" Target="../media/image22.svg"/><Relationship Id="rId5" Type="http://schemas.openxmlformats.org/officeDocument/2006/relationships/image" Target="../media/image13.png"/><Relationship Id="rId10" Type="http://schemas.openxmlformats.org/officeDocument/2006/relationships/image" Target="../media/image21.png"/><Relationship Id="rId4" Type="http://schemas.openxmlformats.org/officeDocument/2006/relationships/image" Target="../media/image4.png"/><Relationship Id="rId9" Type="http://schemas.openxmlformats.org/officeDocument/2006/relationships/hyperlink" Target="#'4. Printing'!B46"/></Relationships>
</file>

<file path=xl/drawings/_rels/drawing8.xml.rels><?xml version="1.0" encoding="UTF-8" standalone="yes"?>
<Relationships xmlns="http://schemas.openxmlformats.org/package/2006/relationships"><Relationship Id="rId8" Type="http://schemas.microsoft.com/office/2014/relationships/chartEx" Target="../charts/chartEx4.xml"/><Relationship Id="rId3" Type="http://schemas.openxmlformats.org/officeDocument/2006/relationships/image" Target="../media/image25.jpg"/><Relationship Id="rId7" Type="http://schemas.openxmlformats.org/officeDocument/2006/relationships/image" Target="../media/image27.svg"/><Relationship Id="rId2" Type="http://schemas.openxmlformats.org/officeDocument/2006/relationships/image" Target="../media/image24.jpg"/><Relationship Id="rId1" Type="http://schemas.openxmlformats.org/officeDocument/2006/relationships/image" Target="../media/image23.jpg"/><Relationship Id="rId6" Type="http://schemas.openxmlformats.org/officeDocument/2006/relationships/image" Target="../media/image26.png"/><Relationship Id="rId5" Type="http://schemas.microsoft.com/office/2014/relationships/chartEx" Target="../charts/chartEx3.xml"/><Relationship Id="rId4" Type="http://schemas.openxmlformats.org/officeDocument/2006/relationships/image" Target="../media/image4.png"/><Relationship Id="rId9" Type="http://schemas.microsoft.com/office/2014/relationships/chartEx" Target="../charts/chartEx5.xml"/></Relationships>
</file>

<file path=xl/drawings/_rels/drawing9.xml.rels><?xml version="1.0" encoding="UTF-8" standalone="yes"?>
<Relationships xmlns="http://schemas.openxmlformats.org/package/2006/relationships"><Relationship Id="rId8" Type="http://schemas.microsoft.com/office/2014/relationships/chartEx" Target="../charts/chartEx7.xml"/><Relationship Id="rId3" Type="http://schemas.openxmlformats.org/officeDocument/2006/relationships/image" Target="../media/image4.png"/><Relationship Id="rId7" Type="http://schemas.microsoft.com/office/2014/relationships/chartEx" Target="../charts/chartEx6.xml"/><Relationship Id="rId12" Type="http://schemas.microsoft.com/office/2014/relationships/chartEx" Target="../charts/chartEx11.xml"/><Relationship Id="rId2" Type="http://schemas.openxmlformats.org/officeDocument/2006/relationships/image" Target="../media/image29.jpeg"/><Relationship Id="rId1" Type="http://schemas.openxmlformats.org/officeDocument/2006/relationships/image" Target="../media/image28.jpeg"/><Relationship Id="rId6" Type="http://schemas.openxmlformats.org/officeDocument/2006/relationships/image" Target="../media/image27.svg"/><Relationship Id="rId11" Type="http://schemas.microsoft.com/office/2014/relationships/chartEx" Target="../charts/chartEx10.xml"/><Relationship Id="rId5" Type="http://schemas.openxmlformats.org/officeDocument/2006/relationships/image" Target="../media/image26.png"/><Relationship Id="rId10" Type="http://schemas.microsoft.com/office/2014/relationships/chartEx" Target="../charts/chartEx9.xml"/><Relationship Id="rId4" Type="http://schemas.openxmlformats.org/officeDocument/2006/relationships/image" Target="../media/image30.jpeg"/><Relationship Id="rId9" Type="http://schemas.microsoft.com/office/2014/relationships/chartEx" Target="../charts/chartEx8.xml"/></Relationships>
</file>

<file path=xl/drawings/_rels/drawing10.xml.rels><?xml version="1.0" encoding="UTF-8" standalone="yes"?>
<Relationships xmlns="http://schemas.openxmlformats.org/package/2006/relationships"><Relationship Id="rId8" Type="http://schemas.microsoft.com/office/2014/relationships/chartEx" Target="../charts/chartEx17.xml"/><Relationship Id="rId3" Type="http://schemas.microsoft.com/office/2014/relationships/chartEx" Target="../charts/chartEx14.xml"/><Relationship Id="rId7" Type="http://schemas.microsoft.com/office/2014/relationships/chartEx" Target="../charts/chartEx16.xml"/><Relationship Id="rId2" Type="http://schemas.microsoft.com/office/2014/relationships/chartEx" Target="../charts/chartEx13.xml"/><Relationship Id="rId1" Type="http://schemas.microsoft.com/office/2014/relationships/chartEx" Target="../charts/chartEx12.xml"/><Relationship Id="rId6" Type="http://schemas.openxmlformats.org/officeDocument/2006/relationships/chart" Target="../charts/chart2.xml"/><Relationship Id="rId11" Type="http://schemas.microsoft.com/office/2014/relationships/chartEx" Target="../charts/chartEx19.xml"/><Relationship Id="rId5" Type="http://schemas.openxmlformats.org/officeDocument/2006/relationships/chart" Target="../charts/chart1.xml"/><Relationship Id="rId10" Type="http://schemas.openxmlformats.org/officeDocument/2006/relationships/image" Target="../media/image4.png"/><Relationship Id="rId4" Type="http://schemas.microsoft.com/office/2014/relationships/chartEx" Target="../charts/chartEx15.xml"/><Relationship Id="rId9" Type="http://schemas.microsoft.com/office/2014/relationships/chartEx" Target="../charts/chartEx18.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5.xml"/><Relationship Id="rId3" Type="http://schemas.microsoft.com/office/2014/relationships/chartEx" Target="../charts/chartEx20.xml"/><Relationship Id="rId7" Type="http://schemas.microsoft.com/office/2014/relationships/chartEx" Target="../charts/chartEx23.xml"/><Relationship Id="rId2" Type="http://schemas.openxmlformats.org/officeDocument/2006/relationships/chart" Target="../charts/chart3.xml"/><Relationship Id="rId1" Type="http://schemas.openxmlformats.org/officeDocument/2006/relationships/image" Target="../media/image4.png"/><Relationship Id="rId6" Type="http://schemas.microsoft.com/office/2014/relationships/chartEx" Target="../charts/chartEx22.xml"/><Relationship Id="rId5" Type="http://schemas.openxmlformats.org/officeDocument/2006/relationships/chart" Target="../charts/chart4.xml"/><Relationship Id="rId10" Type="http://schemas.openxmlformats.org/officeDocument/2006/relationships/chart" Target="../charts/chart7.xml"/><Relationship Id="rId4" Type="http://schemas.microsoft.com/office/2014/relationships/chartEx" Target="../charts/chartEx21.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0</xdr:colOff>
      <xdr:row>7</xdr:row>
      <xdr:rowOff>0</xdr:rowOff>
    </xdr:from>
    <xdr:to>
      <xdr:col>1</xdr:col>
      <xdr:colOff>5848349</xdr:colOff>
      <xdr:row>32</xdr:row>
      <xdr:rowOff>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28600" y="2057400"/>
          <a:ext cx="5848349" cy="5715000"/>
        </a:xfrm>
        <a:prstGeom prst="rect">
          <a:avLst/>
        </a:prstGeom>
        <a:solidFill>
          <a:schemeClr val="accent6">
            <a:lumMod val="20000"/>
            <a:lumOff val="80000"/>
          </a:schemeClr>
        </a:solidFill>
        <a:ln w="9525" cmpd="sng">
          <a:solidFill>
            <a:srgbClr val="00793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b="1"/>
            <a:t>This tool was prepared as an account of work sponsored by an agency of the United States Government. Neither the United States Government nor any agency thereof, nor any of their employees, makes any warranty, express or implied, or assumes any legal liability or responsibility for the accuracy, completeness, or usefulness of any information, apparatus, product, or process disclosed, or represents that its use would not infringe privately owned rights. Reference herein to any specific commercial product, process, or service by trade name, trademark, manufacturer, or otherwise, does not necessarily constitute or imply its endorsement, recommendation, or favoring by the United States Government or any agency thereof. The views and opinions of authors expressed herein do not necessarily state or reflect those of the United States Government or any agency thereof.</a:t>
          </a:r>
        </a:p>
        <a:p>
          <a:pPr algn="l">
            <a:lnSpc>
              <a:spcPct val="134000"/>
            </a:lnSpc>
          </a:pPr>
          <a:endParaRPr lang="en-US" sz="1100" b="1"/>
        </a:p>
        <a:p>
          <a:pPr algn="l">
            <a:lnSpc>
              <a:spcPct val="134000"/>
            </a:lnSpc>
          </a:pPr>
          <a:r>
            <a:rPr lang="en-US" sz="1100" b="1"/>
            <a:t>This tool was released</a:t>
          </a:r>
          <a:r>
            <a:rPr lang="en-US" sz="1100" b="1" baseline="0"/>
            <a:t> in January, 2023 as a Beta testing version. A</a:t>
          </a:r>
          <a:r>
            <a:rPr lang="en-US" sz="1100" b="1"/>
            <a:t>dditional peer review and comments from experts will be sought over the 12 months</a:t>
          </a:r>
          <a:r>
            <a:rPr lang="en-US" sz="1100" b="1" baseline="0"/>
            <a:t> from release date to further developed and improve the tool for a future full version release. </a:t>
          </a:r>
        </a:p>
        <a:p>
          <a:pPr algn="l">
            <a:lnSpc>
              <a:spcPct val="134000"/>
            </a:lnSpc>
          </a:pPr>
          <a:endParaRPr lang="en-US" sz="1100" b="1" baseline="0"/>
        </a:p>
        <a:p>
          <a:pPr algn="l">
            <a:lnSpc>
              <a:spcPct val="134000"/>
            </a:lnSpc>
          </a:pPr>
          <a:r>
            <a:rPr lang="en-US" sz="1100" b="1"/>
            <a:t>Please contact Joe Cresko (Email: joe.cresko@ee.doe.gov) for any programmatic questions or Christopher Price (Email: pricecr@ornl.gov) for technical questions, comments, and suggestions to improve this tool. Your cooperation and support is greatly appreciated.</a:t>
          </a:r>
        </a:p>
        <a:p>
          <a:pPr algn="l">
            <a:lnSpc>
              <a:spcPct val="134000"/>
            </a:lnSpc>
          </a:pPr>
          <a:endParaRPr lang="en-US" sz="1100" b="1"/>
        </a:p>
        <a:p>
          <a:pPr algn="l">
            <a:lnSpc>
              <a:spcPct val="134000"/>
            </a:lnSpc>
          </a:pPr>
          <a:r>
            <a:rPr lang="en-US" sz="1100" b="1"/>
            <a:t>ORNL Development Team: 	Kristina Armstrong, Dipti Kamath, Christopher Price, Sachin			Nimbalkar</a:t>
          </a:r>
        </a:p>
        <a:p>
          <a:pPr algn="l">
            <a:lnSpc>
              <a:spcPct val="134000"/>
            </a:lnSpc>
          </a:pPr>
          <a:r>
            <a:rPr lang="en-US" sz="1100" b="1"/>
            <a:t>Advising and Outreach: 	Joe Cresko (DOE), Prashant Nagapurkar (ORNL), Chins 			Chinnasamy (ORNL), Mike Kirka (ORNL)</a:t>
          </a:r>
        </a:p>
        <a:p>
          <a:pPr algn="l">
            <a:lnSpc>
              <a:spcPct val="134000"/>
            </a:lnSpc>
          </a:pPr>
          <a:r>
            <a:rPr lang="en-US" sz="1100" b="1"/>
            <a:t>Sponsor: 		Industrial Energy and Decarbonization Office (IEDO), U.S. DOE</a:t>
          </a:r>
        </a:p>
      </xdr:txBody>
    </xdr:sp>
    <xdr:clientData/>
  </xdr:twoCellAnchor>
  <xdr:twoCellAnchor editAs="oneCell">
    <xdr:from>
      <xdr:col>1</xdr:col>
      <xdr:colOff>3898666</xdr:colOff>
      <xdr:row>2</xdr:row>
      <xdr:rowOff>0</xdr:rowOff>
    </xdr:from>
    <xdr:to>
      <xdr:col>1</xdr:col>
      <xdr:colOff>5245122</xdr:colOff>
      <xdr:row>5</xdr:row>
      <xdr:rowOff>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27266" y="914400"/>
          <a:ext cx="1346456" cy="685800"/>
        </a:xfrm>
        <a:prstGeom prst="rect">
          <a:avLst/>
        </a:prstGeom>
      </xdr:spPr>
    </xdr:pic>
    <xdr:clientData/>
  </xdr:twoCellAnchor>
  <xdr:twoCellAnchor editAs="oneCell">
    <xdr:from>
      <xdr:col>1</xdr:col>
      <xdr:colOff>600054</xdr:colOff>
      <xdr:row>2</xdr:row>
      <xdr:rowOff>0</xdr:rowOff>
    </xdr:from>
    <xdr:to>
      <xdr:col>1</xdr:col>
      <xdr:colOff>3317442</xdr:colOff>
      <xdr:row>5</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28654" y="914400"/>
          <a:ext cx="2717388"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457194</xdr:colOff>
      <xdr:row>33</xdr:row>
      <xdr:rowOff>9525</xdr:rowOff>
    </xdr:from>
    <xdr:to>
      <xdr:col>1</xdr:col>
      <xdr:colOff>2743194</xdr:colOff>
      <xdr:row>35</xdr:row>
      <xdr:rowOff>9525</xdr:rowOff>
    </xdr:to>
    <xdr:sp macro="[0]!SUB_SELECT_OVERVIEWSHEET" textlink="">
      <xdr:nvSpPr>
        <xdr:cNvPr id="7" name="Rectangle: Rounded Corners 6">
          <a:extLst>
            <a:ext uri="{FF2B5EF4-FFF2-40B4-BE49-F238E27FC236}">
              <a16:creationId xmlns:a16="http://schemas.microsoft.com/office/drawing/2014/main" id="{00000000-0008-0000-0000-000007000000}"/>
            </a:ext>
          </a:extLst>
        </xdr:cNvPr>
        <xdr:cNvSpPr/>
      </xdr:nvSpPr>
      <xdr:spPr>
        <a:xfrm>
          <a:off x="685794" y="8010525"/>
          <a:ext cx="2286000" cy="457200"/>
        </a:xfrm>
        <a:prstGeom prst="roundRect">
          <a:avLst/>
        </a:prstGeom>
        <a:solidFill>
          <a:srgbClr val="007934"/>
        </a:solidFill>
        <a:ln w="19050">
          <a:solidFill>
            <a:schemeClr val="tx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US" sz="1400" b="1">
              <a:solidFill>
                <a:schemeClr val="lt1"/>
              </a:solidFill>
              <a:latin typeface="+mn-lt"/>
              <a:ea typeface="+mn-ea"/>
              <a:cs typeface="+mn-cs"/>
            </a:rPr>
            <a:t>Tool Overview</a:t>
          </a:r>
        </a:p>
      </xdr:txBody>
    </xdr:sp>
    <xdr:clientData/>
  </xdr:twoCellAnchor>
  <xdr:twoCellAnchor>
    <xdr:from>
      <xdr:col>1</xdr:col>
      <xdr:colOff>3105150</xdr:colOff>
      <xdr:row>33</xdr:row>
      <xdr:rowOff>19050</xdr:rowOff>
    </xdr:from>
    <xdr:to>
      <xdr:col>1</xdr:col>
      <xdr:colOff>5391150</xdr:colOff>
      <xdr:row>35</xdr:row>
      <xdr:rowOff>19050</xdr:rowOff>
    </xdr:to>
    <xdr:sp macro="[0]!SUB_SELECT_SCENARIOSHEET" textlink="">
      <xdr:nvSpPr>
        <xdr:cNvPr id="8" name="Rectangle: Rounded Corners 7">
          <a:extLst>
            <a:ext uri="{FF2B5EF4-FFF2-40B4-BE49-F238E27FC236}">
              <a16:creationId xmlns:a16="http://schemas.microsoft.com/office/drawing/2014/main" id="{00000000-0008-0000-0000-000008000000}"/>
            </a:ext>
          </a:extLst>
        </xdr:cNvPr>
        <xdr:cNvSpPr/>
      </xdr:nvSpPr>
      <xdr:spPr>
        <a:xfrm>
          <a:off x="3333750" y="8020050"/>
          <a:ext cx="2286000" cy="457200"/>
        </a:xfrm>
        <a:prstGeom prst="roundRect">
          <a:avLst/>
        </a:prstGeom>
        <a:solidFill>
          <a:srgbClr val="007934"/>
        </a:solidFill>
        <a:ln w="19050">
          <a:solidFill>
            <a:schemeClr val="tx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US" sz="1400" b="1">
              <a:solidFill>
                <a:schemeClr val="lt1"/>
              </a:solidFill>
              <a:latin typeface="+mn-lt"/>
              <a:ea typeface="+mn-ea"/>
              <a:cs typeface="+mn-cs"/>
            </a:rPr>
            <a:t>Get Started</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28</xdr:row>
      <xdr:rowOff>0</xdr:rowOff>
    </xdr:from>
    <xdr:to>
      <xdr:col>4</xdr:col>
      <xdr:colOff>5571490</xdr:colOff>
      <xdr:row>34</xdr:row>
      <xdr:rowOff>0</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1"/>
        <a:srcRect l="-16228" r="-16228"/>
        <a:stretch/>
      </xdr:blipFill>
      <xdr:spPr>
        <a:xfrm>
          <a:off x="6238875" y="6858000"/>
          <a:ext cx="5577840" cy="1371600"/>
        </a:xfrm>
        <a:prstGeom prst="rect">
          <a:avLst/>
        </a:prstGeom>
      </xdr:spPr>
    </xdr:pic>
    <xdr:clientData/>
  </xdr:twoCellAnchor>
  <xdr:twoCellAnchor editAs="oneCell">
    <xdr:from>
      <xdr:col>0</xdr:col>
      <xdr:colOff>0</xdr:colOff>
      <xdr:row>0</xdr:row>
      <xdr:rowOff>0</xdr:rowOff>
    </xdr:from>
    <xdr:to>
      <xdr:col>1</xdr:col>
      <xdr:colOff>1972310</xdr:colOff>
      <xdr:row>1</xdr:row>
      <xdr:rowOff>0</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rotWithShape="1">
        <a:blip xmlns:r="http://schemas.openxmlformats.org/officeDocument/2006/relationships" r:embed="rId2"/>
        <a:srcRect l="-7757" t="-31000" r="-7757" b="-19000"/>
        <a:stretch/>
      </xdr:blipFill>
      <xdr:spPr>
        <a:xfrm>
          <a:off x="0" y="0"/>
          <a:ext cx="2200910" cy="685800"/>
        </a:xfrm>
        <a:prstGeom prst="rect">
          <a:avLst/>
        </a:prstGeom>
      </xdr:spPr>
    </xdr:pic>
    <xdr:clientData/>
  </xdr:twoCellAnchor>
  <xdr:oneCellAnchor>
    <xdr:from>
      <xdr:col>1</xdr:col>
      <xdr:colOff>2838450</xdr:colOff>
      <xdr:row>0</xdr:row>
      <xdr:rowOff>0</xdr:rowOff>
    </xdr:from>
    <xdr:ext cx="2962275" cy="685800"/>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twoCellAnchor>
    <xdr:from>
      <xdr:col>1</xdr:col>
      <xdr:colOff>0</xdr:colOff>
      <xdr:row>2</xdr:row>
      <xdr:rowOff>219075</xdr:rowOff>
    </xdr:from>
    <xdr:to>
      <xdr:col>2</xdr:col>
      <xdr:colOff>0</xdr:colOff>
      <xdr:row>16</xdr:row>
      <xdr:rowOff>219075</xdr:rowOff>
    </xdr:to>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228600" y="1133475"/>
          <a:ext cx="5848350" cy="320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t>The implementation of additive manufacturing (AM) within the developing field of modern digitalized advanced manufacturing has several factors that inhibit adoption. Commonly cited industrial concerns are centered around variable part strength and increased fabrication costs regarding scalability of AM production volume. Parts manufactured using AM methods are largely uncertified for critical load bearing applications but for prototyping or low production volume applications the utilization is more widespread. The unique AM fabrication method allows for the consolidation of components, design around mechanical functionality, and minimization of subtractive waste leading to the overall reduction in material and component excess. With these unique factors in mind, the proper implementation of AM needs the consideration of cost and functionality. The development of an AM Techno-Economic Modelling tool allows for cost comparative analysis of major technological and economic parameters that can greatly assist in the industrial decision-making process.</a:t>
          </a:r>
        </a:p>
      </xdr:txBody>
    </xdr:sp>
    <xdr:clientData/>
  </xdr:twoCellAnchor>
  <xdr:twoCellAnchor>
    <xdr:from>
      <xdr:col>1</xdr:col>
      <xdr:colOff>0</xdr:colOff>
      <xdr:row>18</xdr:row>
      <xdr:rowOff>0</xdr:rowOff>
    </xdr:from>
    <xdr:to>
      <xdr:col>2</xdr:col>
      <xdr:colOff>0</xdr:colOff>
      <xdr:row>35</xdr:row>
      <xdr:rowOff>0</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228600" y="4572000"/>
          <a:ext cx="5848350" cy="3886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t>Additive Manufacturing (AM) refers to the method of fabrication by adding material rather than removing</a:t>
          </a:r>
          <a:r>
            <a:rPr lang="en-US" sz="1100" baseline="0"/>
            <a:t> material using </a:t>
          </a:r>
          <a:r>
            <a:rPr lang="en-US" sz="1100"/>
            <a:t>traditional subtractive</a:t>
          </a:r>
          <a:r>
            <a:rPr lang="en-US" sz="1100" baseline="0"/>
            <a:t> techniques. Details on </a:t>
          </a:r>
          <a:r>
            <a:rPr lang="en-US" sz="1100"/>
            <a:t>nomenclature for the general field of AM can be found in the ASTM52900 - 15 standard.</a:t>
          </a:r>
        </a:p>
        <a:p>
          <a:pPr algn="l">
            <a:lnSpc>
              <a:spcPct val="134000"/>
            </a:lnSpc>
          </a:pPr>
          <a:endParaRPr lang="en-US" sz="1100"/>
        </a:p>
        <a:p>
          <a:pPr algn="l">
            <a:lnSpc>
              <a:spcPct val="134000"/>
            </a:lnSpc>
          </a:pPr>
          <a:r>
            <a:rPr lang="en-US" sz="1100"/>
            <a:t>There are several factors within</a:t>
          </a:r>
          <a:r>
            <a:rPr lang="en-US" sz="1100" baseline="0"/>
            <a:t> the field of digitalized manufacturing inhibiting AM adoption:</a:t>
          </a:r>
          <a:endParaRPr lang="en-US" sz="1100"/>
        </a:p>
        <a:p>
          <a:pPr lvl="1" algn="l">
            <a:lnSpc>
              <a:spcPct val="134000"/>
            </a:lnSpc>
          </a:pPr>
          <a:r>
            <a:rPr lang="en-US" sz="1100"/>
            <a:t>Variable part strength </a:t>
          </a:r>
        </a:p>
        <a:p>
          <a:pPr lvl="1" algn="l">
            <a:lnSpc>
              <a:spcPct val="134000"/>
            </a:lnSpc>
          </a:pPr>
          <a:r>
            <a:rPr lang="en-US" sz="1100"/>
            <a:t>Scalability costs regarding production volume </a:t>
          </a:r>
        </a:p>
        <a:p>
          <a:pPr lvl="1" algn="l">
            <a:lnSpc>
              <a:spcPct val="134000"/>
            </a:lnSpc>
          </a:pPr>
          <a:r>
            <a:rPr lang="en-US" sz="1100"/>
            <a:t>Uncertified for load critical applications</a:t>
          </a:r>
        </a:p>
        <a:p>
          <a:pPr algn="l">
            <a:lnSpc>
              <a:spcPct val="134000"/>
            </a:lnSpc>
          </a:pPr>
          <a:endParaRPr lang="en-US" sz="1100"/>
        </a:p>
        <a:p>
          <a:pPr algn="l">
            <a:lnSpc>
              <a:spcPct val="134000"/>
            </a:lnSpc>
          </a:pPr>
          <a:r>
            <a:rPr lang="en-US" sz="1100"/>
            <a:t>The</a:t>
          </a:r>
          <a:r>
            <a:rPr lang="en-US" sz="1100" baseline="0"/>
            <a:t> AM layer-by-layer fabrication process a</a:t>
          </a:r>
          <a:r>
            <a:rPr lang="en-US" sz="1100"/>
            <a:t>llows for:</a:t>
          </a:r>
        </a:p>
        <a:p>
          <a:pPr lvl="1" algn="l">
            <a:lnSpc>
              <a:spcPct val="134000"/>
            </a:lnSpc>
          </a:pPr>
          <a:r>
            <a:rPr lang="en-US" sz="1100"/>
            <a:t>Consolidation of</a:t>
          </a:r>
          <a:r>
            <a:rPr lang="en-US" sz="1100" baseline="0"/>
            <a:t> multi-component assemblies</a:t>
          </a:r>
          <a:endParaRPr lang="en-US" sz="1100"/>
        </a:p>
        <a:p>
          <a:pPr lvl="1" algn="l">
            <a:lnSpc>
              <a:spcPct val="134000"/>
            </a:lnSpc>
          </a:pPr>
          <a:r>
            <a:rPr lang="en-US" sz="1100"/>
            <a:t>Design around mechanical functionality</a:t>
          </a:r>
        </a:p>
        <a:p>
          <a:pPr lvl="1" algn="l">
            <a:lnSpc>
              <a:spcPct val="134000"/>
            </a:lnSpc>
          </a:pPr>
          <a:r>
            <a:rPr lang="en-US" sz="1100"/>
            <a:t>Minimization of waste</a:t>
          </a:r>
        </a:p>
        <a:p>
          <a:pPr algn="l">
            <a:lnSpc>
              <a:spcPct val="134000"/>
            </a:lnSpc>
          </a:pPr>
          <a:endParaRPr lang="en-US" sz="1100"/>
        </a:p>
        <a:p>
          <a:pPr algn="l">
            <a:lnSpc>
              <a:spcPct val="134000"/>
            </a:lnSpc>
          </a:pPr>
          <a:r>
            <a:rPr lang="en-US" sz="1100"/>
            <a:t>The proper implementation of AM needs to consider cost and functionality.</a:t>
          </a:r>
          <a:r>
            <a:rPr lang="en-US" sz="1100" baseline="0"/>
            <a:t> Development of this TEA model for AM allows for cost</a:t>
          </a:r>
          <a:r>
            <a:rPr lang="en-US" sz="1100" b="0" i="0" u="none" strike="noStrike">
              <a:solidFill>
                <a:schemeClr val="dk1"/>
              </a:solidFill>
              <a:effectLst/>
              <a:latin typeface="+mn-lt"/>
              <a:ea typeface="+mn-ea"/>
              <a:cs typeface="+mn-cs"/>
            </a:rPr>
            <a:t> </a:t>
          </a:r>
          <a:r>
            <a:rPr lang="en-US"/>
            <a:t> </a:t>
          </a:r>
          <a:r>
            <a:rPr lang="en-US" sz="1100" baseline="0"/>
            <a:t> comparative analysis.</a:t>
          </a:r>
          <a:endParaRPr lang="en-US" sz="1100"/>
        </a:p>
      </xdr:txBody>
    </xdr:sp>
    <xdr:clientData/>
  </xdr:twoCellAnchor>
  <xdr:twoCellAnchor>
    <xdr:from>
      <xdr:col>4</xdr:col>
      <xdr:colOff>0</xdr:colOff>
      <xdr:row>3</xdr:row>
      <xdr:rowOff>0</xdr:rowOff>
    </xdr:from>
    <xdr:to>
      <xdr:col>5</xdr:col>
      <xdr:colOff>0</xdr:colOff>
      <xdr:row>8</xdr:row>
      <xdr:rowOff>0</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6238875" y="1143000"/>
          <a:ext cx="558165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t>Techno-economic analysis (TEA) is a tool that can help quantify and correlate the technological and economic performance metrics of industrial processes, products, or services.</a:t>
          </a:r>
          <a:r>
            <a:rPr lang="en-US" sz="1100" baseline="0"/>
            <a:t> </a:t>
          </a:r>
          <a:r>
            <a:rPr lang="en-US" sz="1100"/>
            <a:t>TEA</a:t>
          </a:r>
          <a:r>
            <a:rPr lang="en-US" sz="1100" baseline="0"/>
            <a:t> helps to quantify the economic attractiveness of a technology by applying rigorous analysis to complete a cost-benefit analysis. The following diagram depicts the process flow of a typical TEA:</a:t>
          </a:r>
          <a:endParaRPr lang="en-US" sz="1100"/>
        </a:p>
      </xdr:txBody>
    </xdr:sp>
    <xdr:clientData/>
  </xdr:twoCellAnchor>
  <xdr:twoCellAnchor editAs="oneCell">
    <xdr:from>
      <xdr:col>1</xdr:col>
      <xdr:colOff>3838132</xdr:colOff>
      <xdr:row>24</xdr:row>
      <xdr:rowOff>13073</xdr:rowOff>
    </xdr:from>
    <xdr:to>
      <xdr:col>2</xdr:col>
      <xdr:colOff>0</xdr:colOff>
      <xdr:row>31</xdr:row>
      <xdr:rowOff>0</xdr:rowOff>
    </xdr:to>
    <xdr:pic>
      <xdr:nvPicPr>
        <xdr:cNvPr id="11" name="Picture 10" descr="Diagram, engineering drawing&#10;&#10;Description automatically generated">
          <a:extLst>
            <a:ext uri="{FF2B5EF4-FFF2-40B4-BE49-F238E27FC236}">
              <a16:creationId xmlns:a16="http://schemas.microsoft.com/office/drawing/2014/main" id="{00000000-0008-0000-0100-00000B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6904" r="15727"/>
        <a:stretch/>
      </xdr:blipFill>
      <xdr:spPr>
        <a:xfrm>
          <a:off x="4057207" y="5956673"/>
          <a:ext cx="1743518" cy="1587127"/>
        </a:xfrm>
        <a:prstGeom prst="rect">
          <a:avLst/>
        </a:prstGeom>
      </xdr:spPr>
    </xdr:pic>
    <xdr:clientData/>
  </xdr:twoCellAnchor>
  <xdr:twoCellAnchor>
    <xdr:from>
      <xdr:col>4</xdr:col>
      <xdr:colOff>1097280</xdr:colOff>
      <xdr:row>10</xdr:row>
      <xdr:rowOff>118109</xdr:rowOff>
    </xdr:from>
    <xdr:to>
      <xdr:col>4</xdr:col>
      <xdr:colOff>1402080</xdr:colOff>
      <xdr:row>10</xdr:row>
      <xdr:rowOff>118109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21" idx="3"/>
          <a:endCxn id="23" idx="1"/>
        </xdr:cNvCxnSpPr>
      </xdr:nvCxnSpPr>
      <xdr:spPr>
        <a:xfrm flipV="1">
          <a:off x="7350162" y="2818727"/>
          <a:ext cx="304800" cy="0"/>
        </a:xfrm>
        <a:prstGeom prst="straightConnector1">
          <a:avLst/>
        </a:prstGeom>
        <a:ln w="38100" cap="rnd">
          <a:round/>
          <a:tailEnd type="triangle"/>
        </a:ln>
      </xdr:spPr>
      <xdr:style>
        <a:lnRef idx="2">
          <a:schemeClr val="accent6">
            <a:shade val="50000"/>
          </a:schemeClr>
        </a:lnRef>
        <a:fillRef idx="1">
          <a:schemeClr val="accent6"/>
        </a:fillRef>
        <a:effectRef idx="0">
          <a:schemeClr val="accent6"/>
        </a:effectRef>
        <a:fontRef idx="minor">
          <a:schemeClr val="lt1"/>
        </a:fontRef>
      </xdr:style>
    </xdr:cxnSp>
    <xdr:clientData/>
  </xdr:twoCellAnchor>
  <xdr:twoCellAnchor>
    <xdr:from>
      <xdr:col>4</xdr:col>
      <xdr:colOff>1097280</xdr:colOff>
      <xdr:row>13</xdr:row>
      <xdr:rowOff>128867</xdr:rowOff>
    </xdr:from>
    <xdr:to>
      <xdr:col>4</xdr:col>
      <xdr:colOff>1402080</xdr:colOff>
      <xdr:row>13</xdr:row>
      <xdr:rowOff>132677</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22" idx="3"/>
          <a:endCxn id="24" idx="1"/>
        </xdr:cNvCxnSpPr>
      </xdr:nvCxnSpPr>
      <xdr:spPr>
        <a:xfrm>
          <a:off x="7350162" y="3501838"/>
          <a:ext cx="304800" cy="3810"/>
        </a:xfrm>
        <a:prstGeom prst="straightConnector1">
          <a:avLst/>
        </a:prstGeom>
        <a:ln w="38100" cap="rnd">
          <a:round/>
          <a:tailEnd type="triangle"/>
        </a:ln>
      </xdr:spPr>
      <xdr:style>
        <a:lnRef idx="2">
          <a:schemeClr val="accent6">
            <a:shade val="50000"/>
          </a:schemeClr>
        </a:lnRef>
        <a:fillRef idx="1">
          <a:schemeClr val="accent6"/>
        </a:fillRef>
        <a:effectRef idx="0">
          <a:schemeClr val="accent6"/>
        </a:effectRef>
        <a:fontRef idx="minor">
          <a:schemeClr val="lt1"/>
        </a:fontRef>
      </xdr:style>
    </xdr:cxnSp>
    <xdr:clientData/>
  </xdr:twoCellAnchor>
  <xdr:twoCellAnchor>
    <xdr:from>
      <xdr:col>4</xdr:col>
      <xdr:colOff>2956560</xdr:colOff>
      <xdr:row>13</xdr:row>
      <xdr:rowOff>125057</xdr:rowOff>
    </xdr:from>
    <xdr:to>
      <xdr:col>4</xdr:col>
      <xdr:colOff>3257550</xdr:colOff>
      <xdr:row>13</xdr:row>
      <xdr:rowOff>132677</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24" idx="3"/>
          <a:endCxn id="26" idx="1"/>
        </xdr:cNvCxnSpPr>
      </xdr:nvCxnSpPr>
      <xdr:spPr>
        <a:xfrm flipV="1">
          <a:off x="9209442" y="3498028"/>
          <a:ext cx="300990" cy="7620"/>
        </a:xfrm>
        <a:prstGeom prst="straightConnector1">
          <a:avLst/>
        </a:prstGeom>
        <a:ln w="38100" cap="rnd">
          <a:round/>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4</xdr:col>
      <xdr:colOff>2956560</xdr:colOff>
      <xdr:row>10</xdr:row>
      <xdr:rowOff>118109</xdr:rowOff>
    </xdr:from>
    <xdr:to>
      <xdr:col>4</xdr:col>
      <xdr:colOff>3257550</xdr:colOff>
      <xdr:row>10</xdr:row>
      <xdr:rowOff>118109</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23" idx="3"/>
          <a:endCxn id="25" idx="1"/>
        </xdr:cNvCxnSpPr>
      </xdr:nvCxnSpPr>
      <xdr:spPr>
        <a:xfrm>
          <a:off x="9209442" y="2818727"/>
          <a:ext cx="300990" cy="0"/>
        </a:xfrm>
        <a:prstGeom prst="straightConnector1">
          <a:avLst/>
        </a:prstGeom>
        <a:ln w="38100" cap="rnd">
          <a:round/>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4</xdr:col>
      <xdr:colOff>4354830</xdr:colOff>
      <xdr:row>10</xdr:row>
      <xdr:rowOff>118109</xdr:rowOff>
    </xdr:from>
    <xdr:to>
      <xdr:col>4</xdr:col>
      <xdr:colOff>4667250</xdr:colOff>
      <xdr:row>12</xdr:row>
      <xdr:rowOff>24765</xdr:rowOff>
    </xdr:to>
    <xdr:cxnSp macro="">
      <xdr:nvCxnSpPr>
        <xdr:cNvPr id="54" name="Connector: Elbow 53">
          <a:extLst>
            <a:ext uri="{FF2B5EF4-FFF2-40B4-BE49-F238E27FC236}">
              <a16:creationId xmlns:a16="http://schemas.microsoft.com/office/drawing/2014/main" id="{00000000-0008-0000-0100-000036000000}"/>
            </a:ext>
          </a:extLst>
        </xdr:cNvPr>
        <xdr:cNvCxnSpPr>
          <a:stCxn id="25" idx="3"/>
          <a:endCxn id="27" idx="1"/>
        </xdr:cNvCxnSpPr>
      </xdr:nvCxnSpPr>
      <xdr:spPr>
        <a:xfrm>
          <a:off x="10607712" y="2818727"/>
          <a:ext cx="312420" cy="354891"/>
        </a:xfrm>
        <a:prstGeom prst="bentConnector3">
          <a:avLst>
            <a:gd name="adj1" fmla="val 37805"/>
          </a:avLst>
        </a:prstGeom>
        <a:ln w="38100" cap="rnd">
          <a:round/>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4</xdr:col>
      <xdr:colOff>4354830</xdr:colOff>
      <xdr:row>12</xdr:row>
      <xdr:rowOff>24765</xdr:rowOff>
    </xdr:from>
    <xdr:to>
      <xdr:col>4</xdr:col>
      <xdr:colOff>4667250</xdr:colOff>
      <xdr:row>13</xdr:row>
      <xdr:rowOff>125057</xdr:rowOff>
    </xdr:to>
    <xdr:cxnSp macro="">
      <xdr:nvCxnSpPr>
        <xdr:cNvPr id="62" name="Connector: Elbow 61">
          <a:extLst>
            <a:ext uri="{FF2B5EF4-FFF2-40B4-BE49-F238E27FC236}">
              <a16:creationId xmlns:a16="http://schemas.microsoft.com/office/drawing/2014/main" id="{00000000-0008-0000-0100-00003E000000}"/>
            </a:ext>
          </a:extLst>
        </xdr:cNvPr>
        <xdr:cNvCxnSpPr>
          <a:stCxn id="26" idx="3"/>
          <a:endCxn id="27" idx="1"/>
        </xdr:cNvCxnSpPr>
      </xdr:nvCxnSpPr>
      <xdr:spPr>
        <a:xfrm flipV="1">
          <a:off x="10607712" y="3173618"/>
          <a:ext cx="312420" cy="324410"/>
        </a:xfrm>
        <a:prstGeom prst="bentConnector3">
          <a:avLst>
            <a:gd name="adj1" fmla="val 37805"/>
          </a:avLst>
        </a:prstGeom>
        <a:ln w="38100" cap="rnd">
          <a:round/>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4</xdr:col>
      <xdr:colOff>0</xdr:colOff>
      <xdr:row>9</xdr:row>
      <xdr:rowOff>117437</xdr:rowOff>
    </xdr:from>
    <xdr:to>
      <xdr:col>4</xdr:col>
      <xdr:colOff>1097280</xdr:colOff>
      <xdr:row>11</xdr:row>
      <xdr:rowOff>117438</xdr:rowOff>
    </xdr:to>
    <xdr:sp macro=""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6252882" y="2593937"/>
          <a:ext cx="1097280" cy="448236"/>
        </a:xfrm>
        <a:prstGeom prst="roundRect">
          <a:avLst/>
        </a:prstGeom>
        <a:ln w="19050"/>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tIns="0" bIns="0" rtlCol="0" anchor="ctr"/>
        <a:lstStyle/>
        <a:p>
          <a:pPr algn="ctr"/>
          <a:r>
            <a:rPr lang="en-US" sz="1100" b="1"/>
            <a:t>Technological Analysis</a:t>
          </a:r>
        </a:p>
      </xdr:txBody>
    </xdr:sp>
    <xdr:clientData/>
  </xdr:twoCellAnchor>
  <xdr:twoCellAnchor>
    <xdr:from>
      <xdr:col>4</xdr:col>
      <xdr:colOff>0</xdr:colOff>
      <xdr:row>12</xdr:row>
      <xdr:rowOff>128867</xdr:rowOff>
    </xdr:from>
    <xdr:to>
      <xdr:col>4</xdr:col>
      <xdr:colOff>1097280</xdr:colOff>
      <xdr:row>14</xdr:row>
      <xdr:rowOff>128868</xdr:rowOff>
    </xdr:to>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6252882" y="3277720"/>
          <a:ext cx="1097280" cy="448236"/>
        </a:xfrm>
        <a:prstGeom prst="roundRect">
          <a:avLst/>
        </a:prstGeom>
        <a:ln w="19050"/>
      </xdr:spPr>
      <xdr:style>
        <a:lnRef idx="2">
          <a:schemeClr val="accent6">
            <a:shade val="50000"/>
          </a:schemeClr>
        </a:lnRef>
        <a:fillRef idx="1">
          <a:schemeClr val="accent6"/>
        </a:fillRef>
        <a:effectRef idx="0">
          <a:schemeClr val="accent6"/>
        </a:effectRef>
        <a:fontRef idx="minor">
          <a:schemeClr val="lt1"/>
        </a:fontRef>
      </xdr:style>
      <xdr:txBody>
        <a:bodyPr rot="0" spcFirstLastPara="0" vertOverflow="clip" horzOverflow="clip" vert="horz" wrap="square" lIns="91440" tIns="0" rIns="91440" bIns="0" numCol="1" spcCol="0" rtlCol="0" fromWordArt="0" anchor="ctr" anchorCtr="0" forceAA="0" compatLnSpc="1">
          <a:prstTxWarp prst="textNoShape">
            <a:avLst/>
          </a:prstTxWarp>
          <a:noAutofit/>
        </a:bodyPr>
        <a:lstStyle/>
        <a:p>
          <a:pPr marL="0" indent="0" algn="ctr"/>
          <a:r>
            <a:rPr lang="en-US" sz="1100" b="1">
              <a:solidFill>
                <a:schemeClr val="lt1"/>
              </a:solidFill>
              <a:latin typeface="+mn-lt"/>
              <a:ea typeface="+mn-ea"/>
              <a:cs typeface="+mn-cs"/>
            </a:rPr>
            <a:t>Economic </a:t>
          </a:r>
        </a:p>
        <a:p>
          <a:pPr marL="0" indent="0" algn="ctr"/>
          <a:r>
            <a:rPr lang="en-US" sz="1100" b="1">
              <a:solidFill>
                <a:schemeClr val="lt1"/>
              </a:solidFill>
              <a:latin typeface="+mn-lt"/>
              <a:ea typeface="+mn-ea"/>
              <a:cs typeface="+mn-cs"/>
            </a:rPr>
            <a:t>Analysis</a:t>
          </a:r>
        </a:p>
      </xdr:txBody>
    </xdr:sp>
    <xdr:clientData/>
  </xdr:twoCellAnchor>
  <xdr:twoCellAnchor>
    <xdr:from>
      <xdr:col>4</xdr:col>
      <xdr:colOff>1402080</xdr:colOff>
      <xdr:row>9</xdr:row>
      <xdr:rowOff>26670</xdr:rowOff>
    </xdr:from>
    <xdr:to>
      <xdr:col>4</xdr:col>
      <xdr:colOff>2956560</xdr:colOff>
      <xdr:row>11</xdr:row>
      <xdr:rowOff>205068</xdr:rowOff>
    </xdr:to>
    <xdr:sp macro=""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7654962" y="2503170"/>
          <a:ext cx="1554480" cy="626633"/>
        </a:xfrm>
        <a:prstGeom prst="roundRect">
          <a:avLst/>
        </a:prstGeom>
        <a:ln w="19050"/>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en-US" sz="1100" b="1">
              <a:solidFill>
                <a:schemeClr val="lt1"/>
              </a:solidFill>
              <a:latin typeface="+mn-lt"/>
              <a:ea typeface="+mn-ea"/>
              <a:cs typeface="+mn-cs"/>
            </a:rPr>
            <a:t>Initial Conditions</a:t>
          </a:r>
        </a:p>
        <a:p>
          <a:pPr marL="0" indent="0" algn="ctr"/>
          <a:r>
            <a:rPr lang="en-US" sz="1100" b="1">
              <a:solidFill>
                <a:schemeClr val="lt1"/>
              </a:solidFill>
              <a:latin typeface="+mn-lt"/>
              <a:ea typeface="+mn-ea"/>
              <a:cs typeface="+mn-cs"/>
            </a:rPr>
            <a:t>Fabrication Parameters</a:t>
          </a:r>
        </a:p>
        <a:p>
          <a:pPr marL="0" indent="0" algn="ctr"/>
          <a:r>
            <a:rPr lang="en-US" sz="1100" b="1">
              <a:solidFill>
                <a:schemeClr val="lt1"/>
              </a:solidFill>
              <a:latin typeface="+mn-lt"/>
              <a:ea typeface="+mn-ea"/>
              <a:cs typeface="+mn-cs"/>
            </a:rPr>
            <a:t>Boundary Limitations</a:t>
          </a:r>
        </a:p>
      </xdr:txBody>
    </xdr:sp>
    <xdr:clientData/>
  </xdr:twoCellAnchor>
  <xdr:twoCellAnchor>
    <xdr:from>
      <xdr:col>4</xdr:col>
      <xdr:colOff>1402080</xdr:colOff>
      <xdr:row>12</xdr:row>
      <xdr:rowOff>45720</xdr:rowOff>
    </xdr:from>
    <xdr:to>
      <xdr:col>4</xdr:col>
      <xdr:colOff>2956560</xdr:colOff>
      <xdr:row>15</xdr:row>
      <xdr:rowOff>0</xdr:rowOff>
    </xdr:to>
    <xdr:sp macro="" textlink="">
      <xdr:nvSpPr>
        <xdr:cNvPr id="24" name="Rectangle: Rounded Corners 23">
          <a:extLst>
            <a:ext uri="{FF2B5EF4-FFF2-40B4-BE49-F238E27FC236}">
              <a16:creationId xmlns:a16="http://schemas.microsoft.com/office/drawing/2014/main" id="{00000000-0008-0000-0100-000018000000}"/>
            </a:ext>
          </a:extLst>
        </xdr:cNvPr>
        <xdr:cNvSpPr/>
      </xdr:nvSpPr>
      <xdr:spPr>
        <a:xfrm>
          <a:off x="7654962" y="3194573"/>
          <a:ext cx="1554480" cy="626633"/>
        </a:xfrm>
        <a:prstGeom prst="roundRect">
          <a:avLst/>
        </a:prstGeom>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t>Raw Materials</a:t>
          </a:r>
        </a:p>
        <a:p>
          <a:pPr algn="ctr"/>
          <a:r>
            <a:rPr lang="en-US" sz="1100" b="1"/>
            <a:t>Capital Costs</a:t>
          </a:r>
        </a:p>
        <a:p>
          <a:pPr algn="ctr"/>
          <a:r>
            <a:rPr lang="en-US" sz="1100" b="1"/>
            <a:t>Energy &amp;</a:t>
          </a:r>
          <a:r>
            <a:rPr lang="en-US" sz="1100" b="1" baseline="0"/>
            <a:t> Labor Costs</a:t>
          </a:r>
          <a:endParaRPr lang="en-US" sz="1100" b="1"/>
        </a:p>
      </xdr:txBody>
    </xdr:sp>
    <xdr:clientData/>
  </xdr:twoCellAnchor>
  <xdr:twoCellAnchor>
    <xdr:from>
      <xdr:col>4</xdr:col>
      <xdr:colOff>3257550</xdr:colOff>
      <xdr:row>9</xdr:row>
      <xdr:rowOff>118110</xdr:rowOff>
    </xdr:from>
    <xdr:to>
      <xdr:col>4</xdr:col>
      <xdr:colOff>4354830</xdr:colOff>
      <xdr:row>11</xdr:row>
      <xdr:rowOff>118110</xdr:rowOff>
    </xdr:to>
    <xdr:sp macro="" textlink="">
      <xdr:nvSpPr>
        <xdr:cNvPr id="25" name="Rectangle: Rounded Corners 24">
          <a:extLst>
            <a:ext uri="{FF2B5EF4-FFF2-40B4-BE49-F238E27FC236}">
              <a16:creationId xmlns:a16="http://schemas.microsoft.com/office/drawing/2014/main" id="{00000000-0008-0000-0100-000019000000}"/>
            </a:ext>
          </a:extLst>
        </xdr:cNvPr>
        <xdr:cNvSpPr/>
      </xdr:nvSpPr>
      <xdr:spPr>
        <a:xfrm>
          <a:off x="9510432" y="2594610"/>
          <a:ext cx="1097280" cy="448235"/>
        </a:xfrm>
        <a:prstGeom prst="roundRect">
          <a:avLst/>
        </a:prstGeom>
        <a:ln w="19050"/>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en-US" sz="1100" b="1">
              <a:solidFill>
                <a:schemeClr val="lt1"/>
              </a:solidFill>
              <a:latin typeface="+mn-lt"/>
              <a:ea typeface="+mn-ea"/>
              <a:cs typeface="+mn-cs"/>
            </a:rPr>
            <a:t>Process Throughput</a:t>
          </a:r>
        </a:p>
      </xdr:txBody>
    </xdr:sp>
    <xdr:clientData/>
  </xdr:twoCellAnchor>
  <xdr:twoCellAnchor>
    <xdr:from>
      <xdr:col>4</xdr:col>
      <xdr:colOff>3257550</xdr:colOff>
      <xdr:row>12</xdr:row>
      <xdr:rowOff>125057</xdr:rowOff>
    </xdr:from>
    <xdr:to>
      <xdr:col>4</xdr:col>
      <xdr:colOff>4354830</xdr:colOff>
      <xdr:row>14</xdr:row>
      <xdr:rowOff>125058</xdr:rowOff>
    </xdr:to>
    <xdr:sp macro="" textlink="">
      <xdr:nvSpPr>
        <xdr:cNvPr id="26" name="Rectangle: Rounded Corners 25">
          <a:extLst>
            <a:ext uri="{FF2B5EF4-FFF2-40B4-BE49-F238E27FC236}">
              <a16:creationId xmlns:a16="http://schemas.microsoft.com/office/drawing/2014/main" id="{00000000-0008-0000-0100-00001A000000}"/>
            </a:ext>
          </a:extLst>
        </xdr:cNvPr>
        <xdr:cNvSpPr/>
      </xdr:nvSpPr>
      <xdr:spPr>
        <a:xfrm>
          <a:off x="9510432" y="3273910"/>
          <a:ext cx="1097280" cy="448236"/>
        </a:xfrm>
        <a:prstGeom prst="roundRect">
          <a:avLst/>
        </a:prstGeom>
        <a:ln w="19050"/>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en-US" sz="1100" b="1">
              <a:solidFill>
                <a:schemeClr val="lt1"/>
              </a:solidFill>
              <a:latin typeface="+mn-lt"/>
              <a:ea typeface="+mn-ea"/>
              <a:cs typeface="+mn-cs"/>
            </a:rPr>
            <a:t>Finalized Costs</a:t>
          </a:r>
        </a:p>
      </xdr:txBody>
    </xdr:sp>
    <xdr:clientData/>
  </xdr:twoCellAnchor>
  <xdr:twoCellAnchor>
    <xdr:from>
      <xdr:col>4</xdr:col>
      <xdr:colOff>4667250</xdr:colOff>
      <xdr:row>11</xdr:row>
      <xdr:rowOff>24765</xdr:rowOff>
    </xdr:from>
    <xdr:to>
      <xdr:col>5</xdr:col>
      <xdr:colOff>0</xdr:colOff>
      <xdr:row>13</xdr:row>
      <xdr:rowOff>24764</xdr:rowOff>
    </xdr:to>
    <xdr:sp macro="" textlink="">
      <xdr:nvSpPr>
        <xdr:cNvPr id="27" name="Rectangle: Rounded Corners 26">
          <a:extLst>
            <a:ext uri="{FF2B5EF4-FFF2-40B4-BE49-F238E27FC236}">
              <a16:creationId xmlns:a16="http://schemas.microsoft.com/office/drawing/2014/main" id="{00000000-0008-0000-0100-00001B000000}"/>
            </a:ext>
          </a:extLst>
        </xdr:cNvPr>
        <xdr:cNvSpPr/>
      </xdr:nvSpPr>
      <xdr:spPr>
        <a:xfrm>
          <a:off x="10920132" y="2949500"/>
          <a:ext cx="913280" cy="448235"/>
        </a:xfrm>
        <a:prstGeom prst="roundRect">
          <a:avLst/>
        </a:prstGeom>
        <a:ln w="19050"/>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lIns="0" tIns="0" rIns="0" bIns="0" rtlCol="0" anchor="ctr"/>
        <a:lstStyle/>
        <a:p>
          <a:pPr algn="ctr"/>
          <a:r>
            <a:rPr lang="en-US" sz="1100" b="1"/>
            <a:t>TEA</a:t>
          </a:r>
        </a:p>
        <a:p>
          <a:pPr algn="ctr"/>
          <a:r>
            <a:rPr lang="en-US" sz="1100" b="1" baseline="0"/>
            <a:t>Comparison</a:t>
          </a:r>
          <a:endParaRPr lang="en-US" sz="1100" b="1"/>
        </a:p>
      </xdr:txBody>
    </xdr:sp>
    <xdr:clientData/>
  </xdr:twoCellAnchor>
  <xdr:twoCellAnchor>
    <xdr:from>
      <xdr:col>4</xdr:col>
      <xdr:colOff>0</xdr:colOff>
      <xdr:row>18</xdr:row>
      <xdr:rowOff>0</xdr:rowOff>
    </xdr:from>
    <xdr:to>
      <xdr:col>5</xdr:col>
      <xdr:colOff>0</xdr:colOff>
      <xdr:row>28</xdr:row>
      <xdr:rowOff>0</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6238875" y="4572000"/>
          <a:ext cx="5581650" cy="228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t>The AM</a:t>
          </a:r>
          <a:r>
            <a:rPr lang="en-US" sz="1100" baseline="0"/>
            <a:t> Cost Assessment Calculator analysis begins by taking information on the geometry and material of the printed part. Users can select from cube- or cylinder-type shapes and a selection of metals, polymers, composites, or custom materials. The next step is to input information about the 3D printer used, the type of post-processing required, and the extent of machining required to meet the final part specifications. The determines the which process (printing, post-processing, or machining) is the bottleneck for production and calculates the theoretical maximum output of the process and all associated techno-economic parameters. Breakdowns of time and cost of production are given and different scenarios can be compared to help find the most cost effective process for AM production.</a:t>
          </a:r>
          <a:endParaRPr lang="en-US" sz="1100"/>
        </a:p>
      </xdr:txBody>
    </xdr:sp>
    <xdr:clientData/>
  </xdr:twoCellAnchor>
  <xdr:oneCellAnchor>
    <xdr:from>
      <xdr:col>4</xdr:col>
      <xdr:colOff>10160</xdr:colOff>
      <xdr:row>33</xdr:row>
      <xdr:rowOff>219075</xdr:rowOff>
    </xdr:from>
    <xdr:ext cx="5577840" cy="457200"/>
    <mc:AlternateContent xmlns:mc="http://schemas.openxmlformats.org/markup-compatibility/2006" xmlns:a14="http://schemas.microsoft.com/office/drawing/2010/main">
      <mc:Choice Requires="a14">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544310" y="8220075"/>
              <a:ext cx="557784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centerGroup"/>
                  </m:oMathParaPr>
                  <m:oMath xmlns:m="http://schemas.openxmlformats.org/officeDocument/2006/math">
                    <m:sSub>
                      <m:sSubPr>
                        <m:ctrlPr>
                          <a:rPr lang="en-US" sz="1400" b="0" i="1">
                            <a:solidFill>
                              <a:schemeClr val="tx1">
                                <a:lumMod val="50000"/>
                                <a:lumOff val="50000"/>
                              </a:schemeClr>
                            </a:solidFill>
                            <a:latin typeface="Cambria Math" panose="02040503050406030204" pitchFamily="18" charset="0"/>
                          </a:rPr>
                        </m:ctrlPr>
                      </m:sSubPr>
                      <m:e>
                        <m:r>
                          <a:rPr lang="en-US" sz="1400" b="0" i="1">
                            <a:solidFill>
                              <a:schemeClr val="tx1">
                                <a:lumMod val="50000"/>
                                <a:lumOff val="50000"/>
                              </a:schemeClr>
                            </a:solidFill>
                            <a:latin typeface="Cambria Math" panose="02040503050406030204" pitchFamily="18" charset="0"/>
                          </a:rPr>
                          <m:t>𝑇</m:t>
                        </m:r>
                      </m:e>
                      <m:sub>
                        <m:r>
                          <a:rPr lang="en-US" sz="1400" b="0" i="1">
                            <a:solidFill>
                              <a:schemeClr val="tx1">
                                <a:lumMod val="50000"/>
                                <a:lumOff val="50000"/>
                              </a:schemeClr>
                            </a:solidFill>
                            <a:latin typeface="Cambria Math" panose="02040503050406030204" pitchFamily="18" charset="0"/>
                          </a:rPr>
                          <m:t>𝐵𝑂𝑇𝑇𝐿𝐸𝑁𝐸𝐶𝐾</m:t>
                        </m:r>
                      </m:sub>
                    </m:sSub>
                    <m:r>
                      <a:rPr lang="en-US" sz="1400" b="0" i="1">
                        <a:solidFill>
                          <a:schemeClr val="tx1">
                            <a:lumMod val="50000"/>
                            <a:lumOff val="50000"/>
                          </a:schemeClr>
                        </a:solidFill>
                        <a:latin typeface="Cambria Math" panose="02040503050406030204" pitchFamily="18" charset="0"/>
                      </a:rPr>
                      <m:t>=</m:t>
                    </m:r>
                    <m:r>
                      <a:rPr lang="en-US" sz="1400" b="0" i="1">
                        <a:solidFill>
                          <a:schemeClr val="tx1">
                            <a:lumMod val="50000"/>
                            <a:lumOff val="50000"/>
                          </a:schemeClr>
                        </a:solidFill>
                        <a:latin typeface="Cambria Math" panose="02040503050406030204" pitchFamily="18" charset="0"/>
                      </a:rPr>
                      <m:t>𝑀𝐼𝑁</m:t>
                    </m:r>
                    <m:r>
                      <a:rPr lang="en-US" sz="1400" b="0" i="1">
                        <a:solidFill>
                          <a:schemeClr val="tx1">
                            <a:lumMod val="50000"/>
                            <a:lumOff val="50000"/>
                          </a:schemeClr>
                        </a:solidFill>
                        <a:latin typeface="Cambria Math" panose="02040503050406030204" pitchFamily="18" charset="0"/>
                      </a:rPr>
                      <m:t>(</m:t>
                    </m:r>
                    <m:sSub>
                      <m:sSubPr>
                        <m:ctrlPr>
                          <a:rPr lang="en-US" sz="1400" b="0" i="1">
                            <a:solidFill>
                              <a:schemeClr val="tx1">
                                <a:lumMod val="50000"/>
                                <a:lumOff val="50000"/>
                              </a:schemeClr>
                            </a:solidFill>
                            <a:latin typeface="Cambria Math" panose="02040503050406030204" pitchFamily="18" charset="0"/>
                          </a:rPr>
                        </m:ctrlPr>
                      </m:sSubPr>
                      <m:e>
                        <m:r>
                          <a:rPr lang="en-US" sz="1400" b="0" i="1">
                            <a:solidFill>
                              <a:schemeClr val="tx1">
                                <a:lumMod val="50000"/>
                                <a:lumOff val="50000"/>
                              </a:schemeClr>
                            </a:solidFill>
                            <a:latin typeface="Cambria Math" panose="02040503050406030204" pitchFamily="18" charset="0"/>
                          </a:rPr>
                          <m:t>𝑇</m:t>
                        </m:r>
                      </m:e>
                      <m:sub>
                        <m:r>
                          <a:rPr lang="en-US" sz="1400" b="0" i="1">
                            <a:solidFill>
                              <a:schemeClr val="tx1">
                                <a:lumMod val="50000"/>
                                <a:lumOff val="50000"/>
                              </a:schemeClr>
                            </a:solidFill>
                            <a:latin typeface="Cambria Math" panose="02040503050406030204" pitchFamily="18" charset="0"/>
                          </a:rPr>
                          <m:t>𝐷𝐸𝑃</m:t>
                        </m:r>
                      </m:sub>
                    </m:sSub>
                    <m:r>
                      <a:rPr lang="en-US" sz="1400" b="0" i="1">
                        <a:solidFill>
                          <a:schemeClr val="tx1">
                            <a:lumMod val="50000"/>
                            <a:lumOff val="50000"/>
                          </a:schemeClr>
                        </a:solidFill>
                        <a:latin typeface="Cambria Math" panose="02040503050406030204" pitchFamily="18" charset="0"/>
                      </a:rPr>
                      <m:t>,</m:t>
                    </m:r>
                    <m:sSub>
                      <m:sSubPr>
                        <m:ctrlPr>
                          <a:rPr lang="en-US" sz="1400" b="0" i="1">
                            <a:solidFill>
                              <a:schemeClr val="tx1">
                                <a:lumMod val="50000"/>
                                <a:lumOff val="50000"/>
                              </a:schemeClr>
                            </a:solidFill>
                            <a:latin typeface="Cambria Math" panose="02040503050406030204" pitchFamily="18" charset="0"/>
                          </a:rPr>
                        </m:ctrlPr>
                      </m:sSubPr>
                      <m:e>
                        <m:r>
                          <a:rPr lang="en-US" sz="1400" b="0" i="1">
                            <a:solidFill>
                              <a:schemeClr val="tx1">
                                <a:lumMod val="50000"/>
                                <a:lumOff val="50000"/>
                              </a:schemeClr>
                            </a:solidFill>
                            <a:latin typeface="Cambria Math" panose="02040503050406030204" pitchFamily="18" charset="0"/>
                          </a:rPr>
                          <m:t>𝑇</m:t>
                        </m:r>
                      </m:e>
                      <m:sub>
                        <m:r>
                          <a:rPr lang="en-US" sz="1400" b="0" i="1">
                            <a:solidFill>
                              <a:schemeClr val="tx1">
                                <a:lumMod val="50000"/>
                                <a:lumOff val="50000"/>
                              </a:schemeClr>
                            </a:solidFill>
                            <a:latin typeface="Cambria Math" panose="02040503050406030204" pitchFamily="18" charset="0"/>
                          </a:rPr>
                          <m:t>𝑃𝑃</m:t>
                        </m:r>
                      </m:sub>
                    </m:sSub>
                    <m:r>
                      <a:rPr lang="en-US" sz="1400" b="0" i="1">
                        <a:solidFill>
                          <a:schemeClr val="tx1">
                            <a:lumMod val="50000"/>
                            <a:lumOff val="50000"/>
                          </a:schemeClr>
                        </a:solidFill>
                        <a:latin typeface="Cambria Math" panose="02040503050406030204" pitchFamily="18" charset="0"/>
                      </a:rPr>
                      <m:t>,</m:t>
                    </m:r>
                    <m:sSub>
                      <m:sSubPr>
                        <m:ctrlPr>
                          <a:rPr lang="en-US" sz="1400" b="0" i="1">
                            <a:solidFill>
                              <a:schemeClr val="tx1">
                                <a:lumMod val="50000"/>
                                <a:lumOff val="50000"/>
                              </a:schemeClr>
                            </a:solidFill>
                            <a:latin typeface="Cambria Math" panose="02040503050406030204" pitchFamily="18" charset="0"/>
                          </a:rPr>
                        </m:ctrlPr>
                      </m:sSubPr>
                      <m:e>
                        <m:r>
                          <a:rPr lang="en-US" sz="1400" b="0" i="1">
                            <a:solidFill>
                              <a:schemeClr val="tx1">
                                <a:lumMod val="50000"/>
                                <a:lumOff val="50000"/>
                              </a:schemeClr>
                            </a:solidFill>
                            <a:latin typeface="Cambria Math" panose="02040503050406030204" pitchFamily="18" charset="0"/>
                          </a:rPr>
                          <m:t>𝑇</m:t>
                        </m:r>
                      </m:e>
                      <m:sub>
                        <m:r>
                          <a:rPr lang="en-US" sz="1400" b="0" i="1">
                            <a:solidFill>
                              <a:schemeClr val="tx1">
                                <a:lumMod val="50000"/>
                                <a:lumOff val="50000"/>
                              </a:schemeClr>
                            </a:solidFill>
                            <a:latin typeface="Cambria Math" panose="02040503050406030204" pitchFamily="18" charset="0"/>
                          </a:rPr>
                          <m:t>𝐹𝐼𝑁</m:t>
                        </m:r>
                      </m:sub>
                    </m:sSub>
                    <m:r>
                      <a:rPr lang="en-US" sz="1400" b="0" i="1">
                        <a:solidFill>
                          <a:schemeClr val="tx1">
                            <a:lumMod val="50000"/>
                            <a:lumOff val="50000"/>
                          </a:schemeClr>
                        </a:solidFill>
                        <a:latin typeface="Cambria Math" panose="02040503050406030204" pitchFamily="18" charset="0"/>
                      </a:rPr>
                      <m:t>)</m:t>
                    </m:r>
                  </m:oMath>
                </m:oMathPara>
              </a14:m>
              <a:endParaRPr lang="en-US" sz="1400" b="0">
                <a:solidFill>
                  <a:schemeClr val="tx1">
                    <a:lumMod val="50000"/>
                    <a:lumOff val="50000"/>
                  </a:schemeClr>
                </a:solidFill>
              </a:endParaRPr>
            </a:p>
          </xdr:txBody>
        </xdr:sp>
      </mc:Choice>
      <mc:Fallback xmlns="">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544310" y="8220075"/>
              <a:ext cx="557784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n-US" sz="1400" b="0" i="0">
                  <a:solidFill>
                    <a:schemeClr val="tx1">
                      <a:lumMod val="50000"/>
                      <a:lumOff val="50000"/>
                    </a:schemeClr>
                  </a:solidFill>
                  <a:latin typeface="Cambria Math" panose="02040503050406030204" pitchFamily="18" charset="0"/>
                </a:rPr>
                <a:t>𝑇_𝐵𝑂𝑇𝑇𝐿𝐸𝑁𝐸𝐶𝐾=𝑀𝐼𝑁(𝑇_𝐷𝐸𝑃,𝑇_𝑃𝑃,𝑇_𝐹𝐼𝑁)</a:t>
              </a:r>
              <a:endParaRPr lang="en-US" sz="1400" b="0">
                <a:solidFill>
                  <a:schemeClr val="tx1">
                    <a:lumMod val="50000"/>
                    <a:lumOff val="50000"/>
                  </a:schemeClr>
                </a:solidFill>
              </a:endParaRPr>
            </a:p>
          </xdr:txBody>
        </xdr:sp>
      </mc:Fallback>
    </mc:AlternateContent>
    <xdr:clientData/>
  </xdr:oneCellAnchor>
  <xdr:twoCellAnchor editAs="oneCell">
    <xdr:from>
      <xdr:col>3</xdr:col>
      <xdr:colOff>0</xdr:colOff>
      <xdr:row>0</xdr:row>
      <xdr:rowOff>0</xdr:rowOff>
    </xdr:from>
    <xdr:to>
      <xdr:col>4</xdr:col>
      <xdr:colOff>1969135</xdr:colOff>
      <xdr:row>1</xdr:row>
      <xdr:rowOff>0</xdr:rowOff>
    </xdr:to>
    <xdr:pic>
      <xdr:nvPicPr>
        <xdr:cNvPr id="70" name="Picture 69">
          <a:extLst>
            <a:ext uri="{FF2B5EF4-FFF2-40B4-BE49-F238E27FC236}">
              <a16:creationId xmlns:a16="http://schemas.microsoft.com/office/drawing/2014/main" id="{00000000-0008-0000-0100-000046000000}"/>
            </a:ext>
          </a:extLst>
        </xdr:cNvPr>
        <xdr:cNvPicPr>
          <a:picLocks noChangeAspect="1"/>
        </xdr:cNvPicPr>
      </xdr:nvPicPr>
      <xdr:blipFill rotWithShape="1">
        <a:blip xmlns:r="http://schemas.openxmlformats.org/officeDocument/2006/relationships" r:embed="rId2"/>
        <a:srcRect l="-7757" t="-31000" r="-7757" b="-19000"/>
        <a:stretch/>
      </xdr:blipFill>
      <xdr:spPr>
        <a:xfrm>
          <a:off x="6305550" y="0"/>
          <a:ext cx="2197735" cy="685800"/>
        </a:xfrm>
        <a:prstGeom prst="rect">
          <a:avLst/>
        </a:prstGeom>
      </xdr:spPr>
    </xdr:pic>
    <xdr:clientData/>
  </xdr:twoCellAnchor>
  <xdr:oneCellAnchor>
    <xdr:from>
      <xdr:col>4</xdr:col>
      <xdr:colOff>2838450</xdr:colOff>
      <xdr:row>0</xdr:row>
      <xdr:rowOff>0</xdr:rowOff>
    </xdr:from>
    <xdr:ext cx="2962275" cy="685800"/>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214311</xdr:colOff>
      <xdr:row>13</xdr:row>
      <xdr:rowOff>0</xdr:rowOff>
    </xdr:from>
    <xdr:to>
      <xdr:col>1</xdr:col>
      <xdr:colOff>2500311</xdr:colOff>
      <xdr:row>15</xdr:row>
      <xdr:rowOff>0</xdr:rowOff>
    </xdr:to>
    <xdr:sp macro="[0]!SaveScenari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395286" y="2114550"/>
          <a:ext cx="2286000" cy="495300"/>
        </a:xfrm>
        <a:prstGeom prst="roundRect">
          <a:avLst/>
        </a:prstGeom>
        <a:solidFill>
          <a:srgbClr val="007934"/>
        </a:solidFill>
        <a:ln w="19050">
          <a:solidFill>
            <a:schemeClr val="tx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400" b="1"/>
            <a:t>Save Current Scenario</a:t>
          </a:r>
        </a:p>
      </xdr:txBody>
    </xdr:sp>
    <xdr:clientData/>
  </xdr:twoCellAnchor>
  <xdr:twoCellAnchor>
    <xdr:from>
      <xdr:col>2</xdr:col>
      <xdr:colOff>214312</xdr:colOff>
      <xdr:row>13</xdr:row>
      <xdr:rowOff>0</xdr:rowOff>
    </xdr:from>
    <xdr:to>
      <xdr:col>2</xdr:col>
      <xdr:colOff>2500312</xdr:colOff>
      <xdr:row>15</xdr:row>
      <xdr:rowOff>0</xdr:rowOff>
    </xdr:to>
    <xdr:sp macro="[0]!LoadScenari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3109912" y="2114550"/>
          <a:ext cx="2286000" cy="495300"/>
        </a:xfrm>
        <a:prstGeom prst="roundRect">
          <a:avLst/>
        </a:prstGeom>
        <a:solidFill>
          <a:srgbClr val="007934"/>
        </a:solidFill>
        <a:ln w="19050">
          <a:solidFill>
            <a:schemeClr val="tx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US" sz="1400" b="1">
              <a:solidFill>
                <a:schemeClr val="lt1"/>
              </a:solidFill>
              <a:latin typeface="+mn-lt"/>
              <a:ea typeface="+mn-ea"/>
              <a:cs typeface="+mn-cs"/>
            </a:rPr>
            <a:t>Load Saved Scenario</a:t>
          </a:r>
        </a:p>
      </xdr:txBody>
    </xdr:sp>
    <xdr:clientData/>
  </xdr:twoCellAnchor>
  <xdr:twoCellAnchor editAs="oneCell">
    <xdr:from>
      <xdr:col>0</xdr:col>
      <xdr:colOff>0</xdr:colOff>
      <xdr:row>0</xdr:row>
      <xdr:rowOff>0</xdr:rowOff>
    </xdr:from>
    <xdr:to>
      <xdr:col>1</xdr:col>
      <xdr:colOff>1969135</xdr:colOff>
      <xdr:row>1</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rcRect l="-7757" t="-31000" r="-7757" b="-19000"/>
        <a:stretch/>
      </xdr:blipFill>
      <xdr:spPr>
        <a:xfrm>
          <a:off x="0" y="0"/>
          <a:ext cx="2200910" cy="6858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9</xdr:row>
          <xdr:rowOff>9525</xdr:rowOff>
        </xdr:from>
        <xdr:to>
          <xdr:col>1</xdr:col>
          <xdr:colOff>2476500</xdr:colOff>
          <xdr:row>10</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238125</xdr:colOff>
          <xdr:row>11</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9525</xdr:rowOff>
        </xdr:from>
        <xdr:to>
          <xdr:col>1</xdr:col>
          <xdr:colOff>2657475</xdr:colOff>
          <xdr:row>12</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2</xdr:col>
      <xdr:colOff>47625</xdr:colOff>
      <xdr:row>0</xdr:row>
      <xdr:rowOff>0</xdr:rowOff>
    </xdr:from>
    <xdr:ext cx="2962275" cy="68580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1655445</xdr:colOff>
      <xdr:row>7</xdr:row>
      <xdr:rowOff>140335</xdr:rowOff>
    </xdr:to>
    <xdr:pic>
      <xdr:nvPicPr>
        <xdr:cNvPr id="11" name="Picture 10">
          <a:extLst>
            <a:ext uri="{FF2B5EF4-FFF2-40B4-BE49-F238E27FC236}">
              <a16:creationId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0551" b="10551"/>
        <a:stretch/>
      </xdr:blipFill>
      <xdr:spPr bwMode="auto">
        <a:xfrm>
          <a:off x="219075"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0</xdr:colOff>
      <xdr:row>7</xdr:row>
      <xdr:rowOff>145415</xdr:rowOff>
    </xdr:from>
    <xdr:to>
      <xdr:col>1</xdr:col>
      <xdr:colOff>1655445</xdr:colOff>
      <xdr:row>9</xdr:row>
      <xdr:rowOff>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219075"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rIns="0" rtlCol="0" anchor="ctr">
          <a:noAutofit/>
        </a:bodyPr>
        <a:lstStyle/>
        <a:p>
          <a:pPr marL="0" indent="0" algn="ctr"/>
          <a:r>
            <a:rPr lang="en-US" sz="1400" b="1">
              <a:solidFill>
                <a:srgbClr val="007934"/>
              </a:solidFill>
              <a:latin typeface="+mn-lt"/>
              <a:ea typeface="+mn-ea"/>
              <a:cs typeface="+mn-cs"/>
            </a:rPr>
            <a:t>Economics</a:t>
          </a:r>
        </a:p>
      </xdr:txBody>
    </xdr:sp>
    <xdr:clientData/>
  </xdr:twoCellAnchor>
  <xdr:twoCellAnchor editAs="absolute">
    <xdr:from>
      <xdr:col>4</xdr:col>
      <xdr:colOff>354330</xdr:colOff>
      <xdr:row>7</xdr:row>
      <xdr:rowOff>145415</xdr:rowOff>
    </xdr:from>
    <xdr:to>
      <xdr:col>6</xdr:col>
      <xdr:colOff>0</xdr:colOff>
      <xdr:row>9</xdr:row>
      <xdr:rowOff>0</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154805"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rIns="0" rtlCol="0" anchor="ctr">
          <a:noAutofit/>
        </a:bodyPr>
        <a:lstStyle/>
        <a:p>
          <a:pPr marL="0" indent="0" algn="ctr"/>
          <a:r>
            <a:rPr lang="en-US" sz="1400" b="1">
              <a:solidFill>
                <a:srgbClr val="007934"/>
              </a:solidFill>
              <a:latin typeface="+mn-lt"/>
              <a:ea typeface="+mn-ea"/>
              <a:cs typeface="+mn-cs"/>
            </a:rPr>
            <a:t>Technology</a:t>
          </a:r>
        </a:p>
      </xdr:txBody>
    </xdr:sp>
    <xdr:clientData/>
  </xdr:twoCellAnchor>
  <xdr:twoCellAnchor editAs="absolute">
    <xdr:from>
      <xdr:col>2</xdr:col>
      <xdr:colOff>107315</xdr:colOff>
      <xdr:row>7</xdr:row>
      <xdr:rowOff>145415</xdr:rowOff>
    </xdr:from>
    <xdr:to>
      <xdr:col>4</xdr:col>
      <xdr:colOff>35560</xdr:colOff>
      <xdr:row>9</xdr:row>
      <xdr:rowOff>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2186940"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rIns="0" rtlCol="0" anchor="ctr">
          <a:noAutofit/>
        </a:bodyPr>
        <a:lstStyle/>
        <a:p>
          <a:pPr marL="0" indent="0" algn="ctr"/>
          <a:r>
            <a:rPr lang="en-US" sz="1400" b="1">
              <a:solidFill>
                <a:srgbClr val="007934"/>
              </a:solidFill>
              <a:latin typeface="+mn-lt"/>
              <a:ea typeface="+mn-ea"/>
              <a:cs typeface="+mn-cs"/>
            </a:rPr>
            <a:t>Analysis</a:t>
          </a:r>
        </a:p>
      </xdr:txBody>
    </xdr:sp>
    <xdr:clientData/>
  </xdr:twoCellAnchor>
  <xdr:twoCellAnchor editAs="oneCell">
    <xdr:from>
      <xdr:col>4</xdr:col>
      <xdr:colOff>354330</xdr:colOff>
      <xdr:row>4</xdr:row>
      <xdr:rowOff>0</xdr:rowOff>
    </xdr:from>
    <xdr:to>
      <xdr:col>6</xdr:col>
      <xdr:colOff>0</xdr:colOff>
      <xdr:row>7</xdr:row>
      <xdr:rowOff>140335</xdr:rowOff>
    </xdr:to>
    <xdr:pic>
      <xdr:nvPicPr>
        <xdr:cNvPr id="12" name="Picture 11">
          <a:extLst>
            <a:ext uri="{FF2B5EF4-FFF2-40B4-BE49-F238E27FC236}">
              <a16:creationId xmlns:a16="http://schemas.microsoft.com/office/drawing/2014/main" id="{00000000-0008-0000-0300-00000C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22173" b="6272"/>
        <a:stretch/>
      </xdr:blipFill>
      <xdr:spPr bwMode="auto">
        <a:xfrm>
          <a:off x="4154805"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100965</xdr:colOff>
      <xdr:row>4</xdr:row>
      <xdr:rowOff>0</xdr:rowOff>
    </xdr:from>
    <xdr:to>
      <xdr:col>4</xdr:col>
      <xdr:colOff>35560</xdr:colOff>
      <xdr:row>7</xdr:row>
      <xdr:rowOff>140335</xdr:rowOff>
    </xdr:to>
    <xdr:pic>
      <xdr:nvPicPr>
        <xdr:cNvPr id="13" name="Picture 12">
          <a:extLst>
            <a:ext uri="{FF2B5EF4-FFF2-40B4-BE49-F238E27FC236}">
              <a16:creationId xmlns:a16="http://schemas.microsoft.com/office/drawing/2014/main" id="{00000000-0008-0000-0300-00000D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26270" b="12710"/>
        <a:stretch/>
      </xdr:blipFill>
      <xdr:spPr bwMode="auto">
        <a:xfrm>
          <a:off x="2186940"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xdr:from>
      <xdr:col>5</xdr:col>
      <xdr:colOff>800100</xdr:colOff>
      <xdr:row>28</xdr:row>
      <xdr:rowOff>28575</xdr:rowOff>
    </xdr:from>
    <xdr:to>
      <xdr:col>5</xdr:col>
      <xdr:colOff>982980</xdr:colOff>
      <xdr:row>28</xdr:row>
      <xdr:rowOff>211455</xdr:rowOff>
    </xdr:to>
    <xdr:pic macro="[0]!Sheet9.CopyDefaultValues_Int">
      <xdr:nvPicPr>
        <xdr:cNvPr id="3" name="Graphic 2" descr="Refresh with solid fill">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600700" y="6886575"/>
          <a:ext cx="182880" cy="182880"/>
        </a:xfrm>
        <a:prstGeom prst="rect">
          <a:avLst/>
        </a:prstGeom>
      </xdr:spPr>
    </xdr:pic>
    <xdr:clientData/>
  </xdr:twoCellAnchor>
  <xdr:twoCellAnchor>
    <xdr:from>
      <xdr:col>5</xdr:col>
      <xdr:colOff>800100</xdr:colOff>
      <xdr:row>45</xdr:row>
      <xdr:rowOff>28575</xdr:rowOff>
    </xdr:from>
    <xdr:to>
      <xdr:col>5</xdr:col>
      <xdr:colOff>982980</xdr:colOff>
      <xdr:row>45</xdr:row>
      <xdr:rowOff>211455</xdr:rowOff>
    </xdr:to>
    <xdr:pic macro="[0]!Sheet9.CopyDefaultValues_Adv">
      <xdr:nvPicPr>
        <xdr:cNvPr id="4" name="Graphic 3" descr="Refresh with solid fil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600700" y="6886575"/>
          <a:ext cx="182880" cy="182880"/>
        </a:xfrm>
        <a:prstGeom prst="rect">
          <a:avLst/>
        </a:prstGeom>
      </xdr:spPr>
    </xdr:pic>
    <xdr:clientData/>
  </xdr:twoCellAnchor>
  <xdr:twoCellAnchor editAs="oneCell">
    <xdr:from>
      <xdr:col>0</xdr:col>
      <xdr:colOff>0</xdr:colOff>
      <xdr:row>0</xdr:row>
      <xdr:rowOff>0</xdr:rowOff>
    </xdr:from>
    <xdr:to>
      <xdr:col>2</xdr:col>
      <xdr:colOff>16510</xdr:colOff>
      <xdr:row>1</xdr:row>
      <xdr:rowOff>0</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rotWithShape="1">
        <a:blip xmlns:r="http://schemas.openxmlformats.org/officeDocument/2006/relationships" r:embed="rId6"/>
        <a:srcRect l="-7757" t="-31000" r="-7757" b="-19000"/>
        <a:stretch/>
      </xdr:blipFill>
      <xdr:spPr>
        <a:xfrm>
          <a:off x="0" y="0"/>
          <a:ext cx="2197735" cy="685800"/>
        </a:xfrm>
        <a:prstGeom prst="rect">
          <a:avLst/>
        </a:prstGeom>
      </xdr:spPr>
    </xdr:pic>
    <xdr:clientData/>
  </xdr:twoCellAnchor>
  <xdr:oneCellAnchor>
    <xdr:from>
      <xdr:col>3</xdr:col>
      <xdr:colOff>257175</xdr:colOff>
      <xdr:row>0</xdr:row>
      <xdr:rowOff>0</xdr:rowOff>
    </xdr:from>
    <xdr:ext cx="2962275" cy="685800"/>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2359152</xdr:colOff>
      <xdr:row>4</xdr:row>
      <xdr:rowOff>2359152</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1"/>
        <a:srcRect l="-7739" t="-5557" r="-11433" b="-9112"/>
        <a:stretch/>
      </xdr:blipFill>
      <xdr:spPr>
        <a:xfrm>
          <a:off x="219075" y="1600200"/>
          <a:ext cx="2359152" cy="2359152"/>
        </a:xfrm>
        <a:prstGeom prst="rect">
          <a:avLst/>
        </a:prstGeom>
        <a:ln>
          <a:noFill/>
        </a:ln>
      </xdr:spPr>
    </xdr:pic>
    <xdr:clientData/>
  </xdr:twoCellAnchor>
  <xdr:twoCellAnchor editAs="oneCell">
    <xdr:from>
      <xdr:col>3</xdr:col>
      <xdr:colOff>1171</xdr:colOff>
      <xdr:row>3</xdr:row>
      <xdr:rowOff>456796</xdr:rowOff>
    </xdr:from>
    <xdr:to>
      <xdr:col>3</xdr:col>
      <xdr:colOff>2360323</xdr:colOff>
      <xdr:row>4</xdr:row>
      <xdr:rowOff>2358748</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rotWithShape="1">
        <a:blip xmlns:r="http://schemas.openxmlformats.org/officeDocument/2006/relationships" r:embed="rId2"/>
        <a:srcRect l="-53597" t="-7334" r="-53597" b="-7334"/>
        <a:stretch/>
      </xdr:blipFill>
      <xdr:spPr>
        <a:xfrm>
          <a:off x="3439696" y="1599796"/>
          <a:ext cx="2359152" cy="2359152"/>
        </a:xfrm>
        <a:prstGeom prst="rect">
          <a:avLst/>
        </a:prstGeom>
        <a:ln>
          <a:noFill/>
        </a:ln>
      </xdr:spPr>
    </xdr:pic>
    <xdr:clientData/>
  </xdr:twoCellAnchor>
  <xdr:oneCellAnchor>
    <xdr:from>
      <xdr:col>1</xdr:col>
      <xdr:colOff>1162051</xdr:colOff>
      <xdr:row>3</xdr:row>
      <xdr:rowOff>0</xdr:rowOff>
    </xdr:from>
    <xdr:ext cx="1371600" cy="457200"/>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381126" y="1143000"/>
              <a:ext cx="13716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14:m>
                <m:oMathPara xmlns:m="http://schemas.openxmlformats.org/officeDocument/2006/math">
                  <m:oMathParaPr>
                    <m:jc m:val="center"/>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𝑉</m:t>
                        </m:r>
                      </m:e>
                      <m:sub>
                        <m:r>
                          <a:rPr lang="en-US" sz="1100" b="0" i="1">
                            <a:latin typeface="Cambria Math" panose="02040503050406030204" pitchFamily="18" charset="0"/>
                          </a:rPr>
                          <m:t>𝐸𝑁</m:t>
                        </m:r>
                      </m:sub>
                    </m:sSub>
                    <m:r>
                      <a:rPr lang="en-US" sz="1100" b="0" i="1">
                        <a:latin typeface="Cambria Math" panose="02040503050406030204" pitchFamily="18" charset="0"/>
                      </a:rPr>
                      <m:t>=</m:t>
                    </m:r>
                    <m:r>
                      <a:rPr lang="en-US" sz="1100" b="0" i="1">
                        <a:latin typeface="Cambria Math" panose="02040503050406030204" pitchFamily="18" charset="0"/>
                      </a:rPr>
                      <m:t>𝐿</m:t>
                    </m:r>
                    <m:r>
                      <a:rPr lang="en-US" sz="1100" b="0" i="1">
                        <a:latin typeface="Cambria Math" panose="02040503050406030204" pitchFamily="18" charset="0"/>
                      </a:rPr>
                      <m:t>×</m:t>
                    </m:r>
                    <m:r>
                      <a:rPr lang="en-US" sz="1100" b="0" i="1">
                        <a:latin typeface="Cambria Math" panose="02040503050406030204" pitchFamily="18" charset="0"/>
                      </a:rPr>
                      <m:t>𝑊</m:t>
                    </m:r>
                    <m:r>
                      <a:rPr lang="en-US" sz="1100" b="0" i="1">
                        <a:latin typeface="Cambria Math" panose="02040503050406030204" pitchFamily="18" charset="0"/>
                      </a:rPr>
                      <m:t>×</m:t>
                    </m:r>
                    <m:r>
                      <a:rPr lang="en-US" sz="1100" b="0" i="1">
                        <a:latin typeface="Cambria Math" panose="02040503050406030204" pitchFamily="18" charset="0"/>
                      </a:rPr>
                      <m:t>𝐻</m:t>
                    </m:r>
                  </m:oMath>
                </m:oMathPara>
              </a14:m>
              <a:endParaRPr lang="en-US" sz="1100"/>
            </a:p>
          </xdr:txBody>
        </xdr:sp>
      </mc:Choice>
      <mc:Fallback xmlns="">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1381126" y="1143000"/>
              <a:ext cx="13716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i="0">
                  <a:latin typeface="Cambria Math" panose="02040503050406030204" pitchFamily="18" charset="0"/>
                </a:rPr>
                <a:t>𝑉_𝐸𝑁=𝐿×𝑊×𝐻</a:t>
              </a:r>
              <a:endParaRPr lang="en-US" sz="1100"/>
            </a:p>
          </xdr:txBody>
        </xdr:sp>
      </mc:Fallback>
    </mc:AlternateContent>
    <xdr:clientData/>
  </xdr:oneCellAnchor>
  <xdr:oneCellAnchor>
    <xdr:from>
      <xdr:col>3</xdr:col>
      <xdr:colOff>876300</xdr:colOff>
      <xdr:row>3</xdr:row>
      <xdr:rowOff>0</xdr:rowOff>
    </xdr:from>
    <xdr:ext cx="1600200" cy="4572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4476750" y="1143000"/>
              <a:ext cx="16002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14:m>
                <m:oMathPara xmlns:m="http://schemas.openxmlformats.org/officeDocument/2006/math">
                  <m:oMathParaPr>
                    <m:jc m:val="right"/>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𝑉</m:t>
                        </m:r>
                      </m:e>
                      <m:sub>
                        <m:r>
                          <a:rPr lang="en-US" sz="1100" b="0" i="1">
                            <a:latin typeface="Cambria Math" panose="02040503050406030204" pitchFamily="18" charset="0"/>
                          </a:rPr>
                          <m:t>𝐸𝑁</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𝜋</m:t>
                        </m:r>
                        <m:r>
                          <a:rPr lang="en-US" sz="1100" b="0" i="1">
                            <a:latin typeface="Cambria Math" panose="02040503050406030204" pitchFamily="18" charset="0"/>
                          </a:rPr>
                          <m:t>𝐻</m:t>
                        </m:r>
                        <m:d>
                          <m:dPr>
                            <m:ctrlPr>
                              <a:rPr lang="en-US" sz="1100" b="0" i="1">
                                <a:solidFill>
                                  <a:schemeClr val="tx1"/>
                                </a:solidFill>
                                <a:effectLst/>
                                <a:latin typeface="Cambria Math" panose="02040503050406030204" pitchFamily="18" charset="0"/>
                                <a:ea typeface="+mn-ea"/>
                                <a:cs typeface="+mn-cs"/>
                              </a:rPr>
                            </m:ctrlPr>
                          </m:dPr>
                          <m:e>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panose="02040503050406030204" pitchFamily="18" charset="0"/>
                                    <a:ea typeface="+mn-ea"/>
                                    <a:cs typeface="+mn-cs"/>
                                  </a:rPr>
                                  <m:t>𝑂𝐷</m:t>
                                </m:r>
                              </m:e>
                              <m:sup>
                                <m:r>
                                  <a:rPr lang="en-US" sz="1100" b="0" i="1">
                                    <a:solidFill>
                                      <a:schemeClr val="tx1"/>
                                    </a:solidFill>
                                    <a:effectLst/>
                                    <a:latin typeface="Cambria Math" panose="02040503050406030204" pitchFamily="18" charset="0"/>
                                    <a:ea typeface="+mn-ea"/>
                                    <a:cs typeface="+mn-cs"/>
                                  </a:rPr>
                                  <m:t>2</m:t>
                                </m:r>
                              </m:sup>
                            </m:sSup>
                            <m:r>
                              <a:rPr lang="en-US" sz="1100" b="0" i="1">
                                <a:solidFill>
                                  <a:schemeClr val="tx1"/>
                                </a:solidFill>
                                <a:effectLst/>
                                <a:latin typeface="Cambria Math" panose="02040503050406030204" pitchFamily="18" charset="0"/>
                                <a:ea typeface="+mn-ea"/>
                                <a:cs typeface="+mn-cs"/>
                              </a:rPr>
                              <m:t>−</m:t>
                            </m:r>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panose="02040503050406030204" pitchFamily="18" charset="0"/>
                                    <a:ea typeface="+mn-ea"/>
                                    <a:cs typeface="+mn-cs"/>
                                  </a:rPr>
                                  <m:t>𝐼𝐷</m:t>
                                </m:r>
                              </m:e>
                              <m:sup>
                                <m:r>
                                  <a:rPr lang="en-US" sz="1100" b="0" i="1">
                                    <a:solidFill>
                                      <a:schemeClr val="tx1"/>
                                    </a:solidFill>
                                    <a:effectLst/>
                                    <a:latin typeface="Cambria Math" panose="02040503050406030204" pitchFamily="18" charset="0"/>
                                    <a:ea typeface="+mn-ea"/>
                                    <a:cs typeface="+mn-cs"/>
                                  </a:rPr>
                                  <m:t>2</m:t>
                                </m:r>
                              </m:sup>
                            </m:sSup>
                          </m:e>
                        </m:d>
                      </m:num>
                      <m:den>
                        <m:r>
                          <a:rPr lang="en-US" sz="1100" b="0" i="1">
                            <a:latin typeface="Cambria Math" panose="02040503050406030204" pitchFamily="18" charset="0"/>
                          </a:rPr>
                          <m:t>4</m:t>
                        </m:r>
                      </m:den>
                    </m:f>
                  </m:oMath>
                </m:oMathPara>
              </a14:m>
              <a:endParaRPr lang="en-US" sz="1400"/>
            </a:p>
          </xdr:txBody>
        </xdr:sp>
      </mc:Choice>
      <mc:Fallback xmlns="">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4476750" y="1143000"/>
              <a:ext cx="16002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100" b="0" i="0">
                  <a:latin typeface="Cambria Math" panose="02040503050406030204" pitchFamily="18" charset="0"/>
                </a:rPr>
                <a:t>𝑉_𝐸𝑁=𝜋𝐻</a:t>
              </a:r>
              <a:r>
                <a:rPr lang="en-US" sz="1100" b="0" i="0">
                  <a:solidFill>
                    <a:schemeClr val="tx1"/>
                  </a:solidFill>
                  <a:effectLst/>
                  <a:latin typeface="Cambria Math" panose="02040503050406030204" pitchFamily="18" charset="0"/>
                  <a:ea typeface="+mn-ea"/>
                  <a:cs typeface="+mn-cs"/>
                </a:rPr>
                <a:t>(〖𝑂𝐷〗^2−〖𝐼𝐷〗^2 )/</a:t>
              </a:r>
              <a:r>
                <a:rPr lang="en-US" sz="1100" b="0" i="0">
                  <a:latin typeface="Cambria Math" panose="02040503050406030204" pitchFamily="18" charset="0"/>
                </a:rPr>
                <a:t>4</a:t>
              </a:r>
              <a:endParaRPr lang="en-US" sz="14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1</xdr:col>
          <xdr:colOff>2362200</xdr:colOff>
          <xdr:row>4</xdr:row>
          <xdr:rowOff>0</xdr:rowOff>
        </xdr:to>
        <xdr:sp macro="" textlink="">
          <xdr:nvSpPr>
            <xdr:cNvPr id="12289" name="RadioButton_Cuboid"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3</xdr:col>
          <xdr:colOff>2362200</xdr:colOff>
          <xdr:row>4</xdr:row>
          <xdr:rowOff>0</xdr:rowOff>
        </xdr:to>
        <xdr:sp macro="" textlink="">
          <xdr:nvSpPr>
            <xdr:cNvPr id="12290" name="RadioButton_Cylinder"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1</xdr:col>
      <xdr:colOff>1978660</xdr:colOff>
      <xdr:row>1</xdr:row>
      <xdr:rowOff>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3"/>
        <a:srcRect l="-7757" t="-31000" r="-7757" b="-19000"/>
        <a:stretch/>
      </xdr:blipFill>
      <xdr:spPr>
        <a:xfrm>
          <a:off x="0" y="0"/>
          <a:ext cx="2197735" cy="685800"/>
        </a:xfrm>
        <a:prstGeom prst="rect">
          <a:avLst/>
        </a:prstGeom>
      </xdr:spPr>
    </xdr:pic>
    <xdr:clientData/>
  </xdr:twoCellAnchor>
  <xdr:oneCellAnchor>
    <xdr:from>
      <xdr:col>2</xdr:col>
      <xdr:colOff>476250</xdr:colOff>
      <xdr:row>0</xdr:row>
      <xdr:rowOff>0</xdr:rowOff>
    </xdr:from>
    <xdr:ext cx="2962275" cy="685800"/>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1969135</xdr:colOff>
      <xdr:row>1</xdr:row>
      <xdr:rowOff>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a:srcRect l="-7757" t="-31000" r="-7757" b="-19000"/>
        <a:stretch/>
      </xdr:blipFill>
      <xdr:spPr>
        <a:xfrm>
          <a:off x="0" y="0"/>
          <a:ext cx="2197735" cy="685800"/>
        </a:xfrm>
        <a:prstGeom prst="rect">
          <a:avLst/>
        </a:prstGeom>
      </xdr:spPr>
    </xdr:pic>
    <xdr:clientData/>
  </xdr:twoCellAnchor>
  <xdr:twoCellAnchor editAs="oneCell">
    <xdr:from>
      <xdr:col>3</xdr:col>
      <xdr:colOff>28575</xdr:colOff>
      <xdr:row>19</xdr:row>
      <xdr:rowOff>28575</xdr:rowOff>
    </xdr:from>
    <xdr:to>
      <xdr:col>3</xdr:col>
      <xdr:colOff>211455</xdr:colOff>
      <xdr:row>19</xdr:row>
      <xdr:rowOff>211455</xdr:rowOff>
    </xdr:to>
    <xdr:pic macro="[0]!Sheet5.SUB_MTRL_MINCOST">
      <xdr:nvPicPr>
        <xdr:cNvPr id="8" name="BTN_MCL" descr="Hold Gesture with solid fill">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3467100" y="4829175"/>
          <a:ext cx="182880" cy="182880"/>
        </a:xfrm>
        <a:prstGeom prst="rect">
          <a:avLst/>
        </a:prstGeom>
      </xdr:spPr>
    </xdr:pic>
    <xdr:clientData/>
  </xdr:twoCellAnchor>
  <xdr:twoCellAnchor editAs="oneCell">
    <xdr:from>
      <xdr:col>3</xdr:col>
      <xdr:colOff>2157095</xdr:colOff>
      <xdr:row>19</xdr:row>
      <xdr:rowOff>29845</xdr:rowOff>
    </xdr:from>
    <xdr:to>
      <xdr:col>3</xdr:col>
      <xdr:colOff>2339975</xdr:colOff>
      <xdr:row>19</xdr:row>
      <xdr:rowOff>209550</xdr:rowOff>
    </xdr:to>
    <xdr:pic macro="[0]!Sheet5.SUB_MTRL_MAXCOST">
      <xdr:nvPicPr>
        <xdr:cNvPr id="9" name="BTN_MCH" descr="Hold Gesture with solid fill">
          <a:extLst>
            <a:ext uri="{FF2B5EF4-FFF2-40B4-BE49-F238E27FC236}">
              <a16:creationId xmlns:a16="http://schemas.microsoft.com/office/drawing/2014/main" id="{00000000-0008-0000-0500-000009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flipH="1" flipV="1">
          <a:off x="5595620" y="3916045"/>
          <a:ext cx="182880" cy="179705"/>
        </a:xfrm>
        <a:prstGeom prst="rect">
          <a:avLst/>
        </a:prstGeom>
      </xdr:spPr>
    </xdr:pic>
    <xdr:clientData/>
  </xdr:twoCellAnchor>
  <xdr:twoCellAnchor editAs="oneCell">
    <xdr:from>
      <xdr:col>3</xdr:col>
      <xdr:colOff>28575</xdr:colOff>
      <xdr:row>20</xdr:row>
      <xdr:rowOff>28575</xdr:rowOff>
    </xdr:from>
    <xdr:to>
      <xdr:col>3</xdr:col>
      <xdr:colOff>211455</xdr:colOff>
      <xdr:row>20</xdr:row>
      <xdr:rowOff>211455</xdr:rowOff>
    </xdr:to>
    <xdr:pic macro="[0]!Sheet5.SUB_MTRL_MINDENSITY">
      <xdr:nvPicPr>
        <xdr:cNvPr id="10" name="BTN_MDL" descr="Hold Gesture with solid fill">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3467100" y="5057775"/>
          <a:ext cx="182880" cy="182880"/>
        </a:xfrm>
        <a:prstGeom prst="rect">
          <a:avLst/>
        </a:prstGeom>
      </xdr:spPr>
    </xdr:pic>
    <xdr:clientData/>
  </xdr:twoCellAnchor>
  <xdr:twoCellAnchor editAs="oneCell">
    <xdr:from>
      <xdr:col>3</xdr:col>
      <xdr:colOff>2157095</xdr:colOff>
      <xdr:row>20</xdr:row>
      <xdr:rowOff>29845</xdr:rowOff>
    </xdr:from>
    <xdr:to>
      <xdr:col>3</xdr:col>
      <xdr:colOff>2339975</xdr:colOff>
      <xdr:row>20</xdr:row>
      <xdr:rowOff>209550</xdr:rowOff>
    </xdr:to>
    <xdr:pic macro="[0]!Sheet5.SUB_MTRL_MAXDENSITY">
      <xdr:nvPicPr>
        <xdr:cNvPr id="11" name="BTN_MDH" descr="Hold Gesture with solid fill">
          <a:extLst>
            <a:ext uri="{FF2B5EF4-FFF2-40B4-BE49-F238E27FC236}">
              <a16:creationId xmlns:a16="http://schemas.microsoft.com/office/drawing/2014/main" id="{00000000-0008-0000-0500-00000B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flipH="1" flipV="1">
          <a:off x="5595620" y="4144645"/>
          <a:ext cx="182880" cy="179705"/>
        </a:xfrm>
        <a:prstGeom prst="rect">
          <a:avLst/>
        </a:prstGeom>
      </xdr:spPr>
    </xdr:pic>
    <xdr:clientData/>
  </xdr:twoCellAnchor>
  <xdr:twoCellAnchor>
    <xdr:from>
      <xdr:col>3</xdr:col>
      <xdr:colOff>28575</xdr:colOff>
      <xdr:row>17</xdr:row>
      <xdr:rowOff>28575</xdr:rowOff>
    </xdr:from>
    <xdr:to>
      <xdr:col>3</xdr:col>
      <xdr:colOff>211455</xdr:colOff>
      <xdr:row>17</xdr:row>
      <xdr:rowOff>211455</xdr:rowOff>
    </xdr:to>
    <xdr:pic macro="[0]!Sheet5.SUB_FIBER_MINCOST">
      <xdr:nvPicPr>
        <xdr:cNvPr id="12" name="BTN_FCL" descr="Hold Gesture with solid fill">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3467100" y="4371975"/>
          <a:ext cx="182880" cy="182880"/>
        </a:xfrm>
        <a:prstGeom prst="rect">
          <a:avLst/>
        </a:prstGeom>
      </xdr:spPr>
    </xdr:pic>
    <xdr:clientData/>
  </xdr:twoCellAnchor>
  <xdr:twoCellAnchor>
    <xdr:from>
      <xdr:col>3</xdr:col>
      <xdr:colOff>2160270</xdr:colOff>
      <xdr:row>17</xdr:row>
      <xdr:rowOff>26670</xdr:rowOff>
    </xdr:from>
    <xdr:to>
      <xdr:col>3</xdr:col>
      <xdr:colOff>2343150</xdr:colOff>
      <xdr:row>17</xdr:row>
      <xdr:rowOff>209550</xdr:rowOff>
    </xdr:to>
    <xdr:pic macro="[0]!Sheet5.SUB_FIBER_MAXCOST">
      <xdr:nvPicPr>
        <xdr:cNvPr id="13" name="BTN_FCH" descr="Hold Gesture with solid fill">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flipH="1" flipV="1">
          <a:off x="5598795" y="4370070"/>
          <a:ext cx="182880" cy="182880"/>
        </a:xfrm>
        <a:prstGeom prst="rect">
          <a:avLst/>
        </a:prstGeom>
      </xdr:spPr>
    </xdr:pic>
    <xdr:clientData/>
  </xdr:twoCellAnchor>
  <xdr:twoCellAnchor>
    <xdr:from>
      <xdr:col>3</xdr:col>
      <xdr:colOff>28575</xdr:colOff>
      <xdr:row>18</xdr:row>
      <xdr:rowOff>28575</xdr:rowOff>
    </xdr:from>
    <xdr:to>
      <xdr:col>3</xdr:col>
      <xdr:colOff>211455</xdr:colOff>
      <xdr:row>18</xdr:row>
      <xdr:rowOff>211455</xdr:rowOff>
    </xdr:to>
    <xdr:pic macro="[0]!Sheet5.SUB_FIBER_MINDENSITY">
      <xdr:nvPicPr>
        <xdr:cNvPr id="14" name="BTN_FDL" descr="Hold Gesture with solid fill">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3467100" y="4600575"/>
          <a:ext cx="182880" cy="182880"/>
        </a:xfrm>
        <a:prstGeom prst="rect">
          <a:avLst/>
        </a:prstGeom>
      </xdr:spPr>
    </xdr:pic>
    <xdr:clientData/>
  </xdr:twoCellAnchor>
  <xdr:twoCellAnchor>
    <xdr:from>
      <xdr:col>3</xdr:col>
      <xdr:colOff>2160270</xdr:colOff>
      <xdr:row>18</xdr:row>
      <xdr:rowOff>26670</xdr:rowOff>
    </xdr:from>
    <xdr:to>
      <xdr:col>3</xdr:col>
      <xdr:colOff>2343150</xdr:colOff>
      <xdr:row>18</xdr:row>
      <xdr:rowOff>209550</xdr:rowOff>
    </xdr:to>
    <xdr:pic macro="[0]!Sheet5.SUB_FIBER_MAXDENSITY">
      <xdr:nvPicPr>
        <xdr:cNvPr id="15" name="BTN_FDH" descr="Hold Gesture with solid fill">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rot="10800000" flipH="1" flipV="1">
          <a:off x="5598795" y="4598670"/>
          <a:ext cx="182880" cy="182880"/>
        </a:xfrm>
        <a:prstGeom prst="rect">
          <a:avLst/>
        </a:prstGeom>
      </xdr:spPr>
    </xdr:pic>
    <xdr:clientData/>
  </xdr:twoCellAnchor>
  <xdr:oneCellAnchor>
    <xdr:from>
      <xdr:col>1</xdr:col>
      <xdr:colOff>0</xdr:colOff>
      <xdr:row>7</xdr:row>
      <xdr:rowOff>146685</xdr:rowOff>
    </xdr:from>
    <xdr:ext cx="1645920" cy="365760"/>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219075" y="2204085"/>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b="1">
              <a:solidFill>
                <a:srgbClr val="007934"/>
              </a:solidFill>
            </a:rPr>
            <a:t>Metals</a:t>
          </a:r>
        </a:p>
      </xdr:txBody>
    </xdr:sp>
    <xdr:clientData/>
  </xdr:oneCellAnchor>
  <xdr:oneCellAnchor>
    <xdr:from>
      <xdr:col>3</xdr:col>
      <xdr:colOff>716280</xdr:colOff>
      <xdr:row>7</xdr:row>
      <xdr:rowOff>146685</xdr:rowOff>
    </xdr:from>
    <xdr:ext cx="1645920" cy="365760"/>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4154805" y="2204085"/>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Composites</a:t>
          </a:r>
        </a:p>
      </xdr:txBody>
    </xdr:sp>
    <xdr:clientData/>
  </xdr:oneCellAnchor>
  <xdr:oneCellAnchor>
    <xdr:from>
      <xdr:col>1</xdr:col>
      <xdr:colOff>1967865</xdr:colOff>
      <xdr:row>7</xdr:row>
      <xdr:rowOff>146685</xdr:rowOff>
    </xdr:from>
    <xdr:ext cx="1645920" cy="365760"/>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2186940" y="2204085"/>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Polymers</a:t>
          </a:r>
        </a:p>
      </xdr:txBody>
    </xdr:sp>
    <xdr:clientData/>
  </xdr:oneCellAnchor>
  <xdr:twoCellAnchor editAs="oneCell">
    <xdr:from>
      <xdr:col>1</xdr:col>
      <xdr:colOff>1967865</xdr:colOff>
      <xdr:row>4</xdr:row>
      <xdr:rowOff>0</xdr:rowOff>
    </xdr:from>
    <xdr:to>
      <xdr:col>3</xdr:col>
      <xdr:colOff>391160</xdr:colOff>
      <xdr:row>7</xdr:row>
      <xdr:rowOff>140335</xdr:rowOff>
    </xdr:to>
    <xdr:pic>
      <xdr:nvPicPr>
        <xdr:cNvPr id="20" name="Picture 19">
          <a:extLst>
            <a:ext uri="{FF2B5EF4-FFF2-40B4-BE49-F238E27FC236}">
              <a16:creationId xmlns:a16="http://schemas.microsoft.com/office/drawing/2014/main" id="{00000000-0008-0000-0500-000014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9618" b="23663"/>
        <a:stretch/>
      </xdr:blipFill>
      <xdr:spPr bwMode="auto">
        <a:xfrm>
          <a:off x="2186940"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1649095</xdr:colOff>
      <xdr:row>7</xdr:row>
      <xdr:rowOff>140335</xdr:rowOff>
    </xdr:to>
    <xdr:pic>
      <xdr:nvPicPr>
        <xdr:cNvPr id="21" name="Picture 20">
          <a:extLst>
            <a:ext uri="{FF2B5EF4-FFF2-40B4-BE49-F238E27FC236}">
              <a16:creationId xmlns:a16="http://schemas.microsoft.com/office/drawing/2014/main" id="{00000000-0008-0000-0500-000015000000}"/>
            </a:ext>
          </a:extLst>
        </xdr:cNvPr>
        <xdr:cNvPicPr>
          <a:picLocks noChangeAspect="1" noChangeArrowheads="1"/>
        </xdr:cNvPicPr>
      </xdr:nvPicPr>
      <xdr:blipFill rotWithShape="1">
        <a:blip xmlns:r="http://schemas.openxmlformats.org/officeDocument/2006/relationships" r:embed="rId5">
          <a:extLst>
            <a:ext uri="{BEBA8EAE-BF5A-486C-A8C5-ECC9F3942E4B}">
              <a14:imgProps xmlns:a14="http://schemas.microsoft.com/office/drawing/2010/main">
                <a14:imgLayer r:embed="rId6">
                  <a14:imgEffect>
                    <a14:colorTemperature colorTemp="4700"/>
                  </a14:imgEffect>
                </a14:imgLayer>
              </a14:imgProps>
            </a:ext>
            <a:ext uri="{28A0092B-C50C-407E-A947-70E740481C1C}">
              <a14:useLocalDpi xmlns:a14="http://schemas.microsoft.com/office/drawing/2010/main" val="0"/>
            </a:ext>
          </a:extLst>
        </a:blip>
        <a:srcRect l="21333" t="19000" r="53333" b="43000"/>
        <a:stretch/>
      </xdr:blipFill>
      <xdr:spPr bwMode="auto">
        <a:xfrm rot="5400000">
          <a:off x="630555" y="960120"/>
          <a:ext cx="822960" cy="164592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716280</xdr:colOff>
      <xdr:row>4</xdr:row>
      <xdr:rowOff>0</xdr:rowOff>
    </xdr:from>
    <xdr:to>
      <xdr:col>4</xdr:col>
      <xdr:colOff>0</xdr:colOff>
      <xdr:row>7</xdr:row>
      <xdr:rowOff>140335</xdr:rowOff>
    </xdr:to>
    <xdr:pic>
      <xdr:nvPicPr>
        <xdr:cNvPr id="22" name="Picture 21">
          <a:extLst>
            <a:ext uri="{FF2B5EF4-FFF2-40B4-BE49-F238E27FC236}">
              <a16:creationId xmlns:a16="http://schemas.microsoft.com/office/drawing/2014/main" id="{00000000-0008-0000-0500-000016000000}"/>
            </a:ext>
          </a:extLst>
        </xdr:cNvPr>
        <xdr:cNvPicPr>
          <a:picLocks noChangeAspect="1" noChangeArrowheads="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t="2630" b="30702"/>
        <a:stretch/>
      </xdr:blipFill>
      <xdr:spPr bwMode="auto">
        <a:xfrm>
          <a:off x="4154805"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oneCellAnchor>
    <xdr:from>
      <xdr:col>2</xdr:col>
      <xdr:colOff>476250</xdr:colOff>
      <xdr:row>0</xdr:row>
      <xdr:rowOff>0</xdr:rowOff>
    </xdr:from>
    <xdr:ext cx="2962275" cy="685800"/>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716280</xdr:colOff>
      <xdr:row>4</xdr:row>
      <xdr:rowOff>0</xdr:rowOff>
    </xdr:from>
    <xdr:to>
      <xdr:col>4</xdr:col>
      <xdr:colOff>0</xdr:colOff>
      <xdr:row>7</xdr:row>
      <xdr:rowOff>149860</xdr:rowOff>
    </xdr:to>
    <xdr:pic>
      <xdr:nvPicPr>
        <xdr:cNvPr id="39" name="Picture 38" descr="Material Extrusion-Based 3D Printing Using Mica-Involved Thermoplastic">
          <a:extLst>
            <a:ext uri="{FF2B5EF4-FFF2-40B4-BE49-F238E27FC236}">
              <a16:creationId xmlns:a16="http://schemas.microsoft.com/office/drawing/2014/main" id="{00000000-0008-0000-0600-000027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120" b="20804"/>
        <a:stretch/>
      </xdr:blipFill>
      <xdr:spPr bwMode="auto">
        <a:xfrm>
          <a:off x="4154805" y="1371600"/>
          <a:ext cx="1645920" cy="822960"/>
        </a:xfrm>
        <a:prstGeom prst="rect">
          <a:avLst/>
        </a:prstGeom>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1971040</xdr:colOff>
      <xdr:row>4</xdr:row>
      <xdr:rowOff>0</xdr:rowOff>
    </xdr:from>
    <xdr:to>
      <xdr:col>3</xdr:col>
      <xdr:colOff>397510</xdr:colOff>
      <xdr:row>7</xdr:row>
      <xdr:rowOff>149860</xdr:rowOff>
    </xdr:to>
    <xdr:pic>
      <xdr:nvPicPr>
        <xdr:cNvPr id="38" name="Picture 37" descr="The Complete Guide to Laser Powder Bed Fusion in 3D Printing - 3Dnatives">
          <a:extLst>
            <a:ext uri="{FF2B5EF4-FFF2-40B4-BE49-F238E27FC236}">
              <a16:creationId xmlns:a16="http://schemas.microsoft.com/office/drawing/2014/main" id="{00000000-0008-0000-0600-000026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1111" b="1387"/>
        <a:stretch/>
      </xdr:blipFill>
      <xdr:spPr bwMode="auto">
        <a:xfrm>
          <a:off x="2190115" y="1371600"/>
          <a:ext cx="1645920" cy="822960"/>
        </a:xfrm>
        <a:prstGeom prst="rect">
          <a:avLst/>
        </a:prstGeom>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1655445</xdr:colOff>
      <xdr:row>7</xdr:row>
      <xdr:rowOff>132207</xdr:rowOff>
    </xdr:to>
    <xdr:pic>
      <xdr:nvPicPr>
        <xdr:cNvPr id="37" name="Picture 36" descr="What is Direct energy deposition, its types and pros and cons">
          <a:extLst>
            <a:ext uri="{FF2B5EF4-FFF2-40B4-BE49-F238E27FC236}">
              <a16:creationId xmlns:a16="http://schemas.microsoft.com/office/drawing/2014/main" id="{00000000-0008-0000-0600-000025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5264"/>
        <a:stretch/>
      </xdr:blipFill>
      <xdr:spPr bwMode="auto">
        <a:xfrm>
          <a:off x="219075" y="1371600"/>
          <a:ext cx="1645920" cy="818007"/>
        </a:xfrm>
        <a:prstGeom prst="rect">
          <a:avLst/>
        </a:prstGeom>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1</xdr:col>
      <xdr:colOff>1978660</xdr:colOff>
      <xdr:row>1</xdr:row>
      <xdr:rowOff>0</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4"/>
        <a:srcRect l="-7757" t="-31000" r="-7757" b="-19000"/>
        <a:stretch/>
      </xdr:blipFill>
      <xdr:spPr>
        <a:xfrm>
          <a:off x="0" y="0"/>
          <a:ext cx="2185035" cy="685800"/>
        </a:xfrm>
        <a:prstGeom prst="rect">
          <a:avLst/>
        </a:prstGeom>
      </xdr:spPr>
    </xdr:pic>
    <xdr:clientData/>
  </xdr:twoCellAnchor>
  <xdr:oneCellAnchor>
    <xdr:from>
      <xdr:col>1</xdr:col>
      <xdr:colOff>2362199</xdr:colOff>
      <xdr:row>0</xdr:row>
      <xdr:rowOff>0</xdr:rowOff>
    </xdr:from>
    <xdr:ext cx="3438525" cy="685800"/>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2581274" y="0"/>
          <a:ext cx="343852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a:t>
          </a:r>
          <a:br>
            <a:rPr lang="en-US" sz="1800" b="1">
              <a:solidFill>
                <a:schemeClr val="bg1"/>
              </a:solidFill>
              <a:latin typeface="Times New Roman" panose="02020603050405020304" pitchFamily="18" charset="0"/>
              <a:cs typeface="Times New Roman" panose="02020603050405020304" pitchFamily="18" charset="0"/>
            </a:rPr>
          </a:br>
          <a:r>
            <a:rPr lang="en-US" sz="1800" b="1">
              <a:solidFill>
                <a:schemeClr val="bg1"/>
              </a:solidFill>
              <a:latin typeface="Times New Roman" panose="02020603050405020304" pitchFamily="18" charset="0"/>
              <a:cs typeface="Times New Roman" panose="02020603050405020304" pitchFamily="18" charset="0"/>
            </a:rPr>
            <a:t>Cost Assessment Calculator</a:t>
          </a:r>
        </a:p>
      </xdr:txBody>
    </xdr:sp>
    <xdr:clientData/>
  </xdr:oneCellAnchor>
  <xdr:twoCellAnchor editAs="oneCell">
    <xdr:from>
      <xdr:col>5</xdr:col>
      <xdr:colOff>9525</xdr:colOff>
      <xdr:row>0</xdr:row>
      <xdr:rowOff>0</xdr:rowOff>
    </xdr:from>
    <xdr:to>
      <xdr:col>6</xdr:col>
      <xdr:colOff>1994535</xdr:colOff>
      <xdr:row>1</xdr:row>
      <xdr:rowOff>0</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4"/>
        <a:srcRect l="-7757" t="-31000" r="-7757" b="-19000"/>
        <a:stretch/>
      </xdr:blipFill>
      <xdr:spPr>
        <a:xfrm>
          <a:off x="6029325" y="0"/>
          <a:ext cx="2197735" cy="685800"/>
        </a:xfrm>
        <a:prstGeom prst="rect">
          <a:avLst/>
        </a:prstGeom>
      </xdr:spPr>
    </xdr:pic>
    <xdr:clientData/>
  </xdr:twoCellAnchor>
  <xdr:twoCellAnchor>
    <xdr:from>
      <xdr:col>10</xdr:col>
      <xdr:colOff>0</xdr:colOff>
      <xdr:row>0</xdr:row>
      <xdr:rowOff>0</xdr:rowOff>
    </xdr:from>
    <xdr:to>
      <xdr:col>17</xdr:col>
      <xdr:colOff>0</xdr:colOff>
      <xdr:row>1</xdr:row>
      <xdr:rowOff>0</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12611100" y="0"/>
          <a:ext cx="6200775" cy="68580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b="1"/>
            <a:t>TODO:</a:t>
          </a:r>
        </a:p>
        <a:p>
          <a:pPr algn="l"/>
          <a:r>
            <a:rPr lang="en-US" sz="1100" b="1" baseline="0"/>
            <a:t>&gt; Find pictures that have creative commons licenses</a:t>
          </a:r>
        </a:p>
      </xdr:txBody>
    </xdr:sp>
    <xdr:clientData/>
  </xdr:twoCellAnchor>
  <xdr:twoCellAnchor editAs="oneCell">
    <xdr:from>
      <xdr:col>3</xdr:col>
      <xdr:colOff>2162175</xdr:colOff>
      <xdr:row>15</xdr:row>
      <xdr:rowOff>28575</xdr:rowOff>
    </xdr:from>
    <xdr:to>
      <xdr:col>3</xdr:col>
      <xdr:colOff>2345055</xdr:colOff>
      <xdr:row>15</xdr:row>
      <xdr:rowOff>211455</xdr:rowOff>
    </xdr:to>
    <xdr:pic macro="[0]!Sheet21.SUB_MAXX">
      <xdr:nvPicPr>
        <xdr:cNvPr id="7" name="G_MaxX" descr="Hold Gesture with solid fill">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3914775"/>
          <a:ext cx="182880" cy="182880"/>
        </a:xfrm>
        <a:prstGeom prst="rect">
          <a:avLst/>
        </a:prstGeom>
      </xdr:spPr>
    </xdr:pic>
    <xdr:clientData/>
  </xdr:twoCellAnchor>
  <xdr:twoCellAnchor editAs="oneCell">
    <xdr:from>
      <xdr:col>3</xdr:col>
      <xdr:colOff>2162175</xdr:colOff>
      <xdr:row>16</xdr:row>
      <xdr:rowOff>28575</xdr:rowOff>
    </xdr:from>
    <xdr:to>
      <xdr:col>3</xdr:col>
      <xdr:colOff>2345055</xdr:colOff>
      <xdr:row>16</xdr:row>
      <xdr:rowOff>211455</xdr:rowOff>
    </xdr:to>
    <xdr:pic macro="[0]!Sheet21.SUB_MAXY">
      <xdr:nvPicPr>
        <xdr:cNvPr id="8" name="G_MaxY" descr="Hold Gesture with solid fill">
          <a:extLst>
            <a:ext uri="{FF2B5EF4-FFF2-40B4-BE49-F238E27FC236}">
              <a16:creationId xmlns:a16="http://schemas.microsoft.com/office/drawing/2014/main" id="{00000000-0008-0000-0600-000008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4143375"/>
          <a:ext cx="182880" cy="182880"/>
        </a:xfrm>
        <a:prstGeom prst="rect">
          <a:avLst/>
        </a:prstGeom>
      </xdr:spPr>
    </xdr:pic>
    <xdr:clientData/>
  </xdr:twoCellAnchor>
  <xdr:twoCellAnchor editAs="oneCell">
    <xdr:from>
      <xdr:col>3</xdr:col>
      <xdr:colOff>2162175</xdr:colOff>
      <xdr:row>18</xdr:row>
      <xdr:rowOff>28575</xdr:rowOff>
    </xdr:from>
    <xdr:to>
      <xdr:col>3</xdr:col>
      <xdr:colOff>2345055</xdr:colOff>
      <xdr:row>18</xdr:row>
      <xdr:rowOff>211455</xdr:rowOff>
    </xdr:to>
    <xdr:pic macro="[0]!Sheet21.SUB_MAXPS">
      <xdr:nvPicPr>
        <xdr:cNvPr id="9" name="G_MaxPS" descr="Hold Gesture with solid fill">
          <a:extLst>
            <a:ext uri="{FF2B5EF4-FFF2-40B4-BE49-F238E27FC236}">
              <a16:creationId xmlns:a16="http://schemas.microsoft.com/office/drawing/2014/main" id="{00000000-0008-0000-0600-000009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4600575"/>
          <a:ext cx="182880" cy="182880"/>
        </a:xfrm>
        <a:prstGeom prst="rect">
          <a:avLst/>
        </a:prstGeom>
      </xdr:spPr>
    </xdr:pic>
    <xdr:clientData/>
  </xdr:twoCellAnchor>
  <xdr:twoCellAnchor editAs="oneCell">
    <xdr:from>
      <xdr:col>3</xdr:col>
      <xdr:colOff>2162175</xdr:colOff>
      <xdr:row>19</xdr:row>
      <xdr:rowOff>28575</xdr:rowOff>
    </xdr:from>
    <xdr:to>
      <xdr:col>3</xdr:col>
      <xdr:colOff>2345055</xdr:colOff>
      <xdr:row>19</xdr:row>
      <xdr:rowOff>211455</xdr:rowOff>
    </xdr:to>
    <xdr:pic macro="[0]!Sheet21.SUB_MAXDR">
      <xdr:nvPicPr>
        <xdr:cNvPr id="10" name="G_MaxDR" descr="Hold Gesture with solid fill">
          <a:extLst>
            <a:ext uri="{FF2B5EF4-FFF2-40B4-BE49-F238E27FC236}">
              <a16:creationId xmlns:a16="http://schemas.microsoft.com/office/drawing/2014/main" id="{00000000-0008-0000-0600-00000A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4829175"/>
          <a:ext cx="182880" cy="182880"/>
        </a:xfrm>
        <a:prstGeom prst="rect">
          <a:avLst/>
        </a:prstGeom>
      </xdr:spPr>
    </xdr:pic>
    <xdr:clientData/>
  </xdr:twoCellAnchor>
  <xdr:twoCellAnchor editAs="oneCell">
    <xdr:from>
      <xdr:col>3</xdr:col>
      <xdr:colOff>2162175</xdr:colOff>
      <xdr:row>17</xdr:row>
      <xdr:rowOff>28575</xdr:rowOff>
    </xdr:from>
    <xdr:to>
      <xdr:col>3</xdr:col>
      <xdr:colOff>2345055</xdr:colOff>
      <xdr:row>17</xdr:row>
      <xdr:rowOff>211455</xdr:rowOff>
    </xdr:to>
    <xdr:pic macro="[0]!Sheet21.SUB_MAXLH">
      <xdr:nvPicPr>
        <xdr:cNvPr id="11" name="G_MaxLH" descr="Hold Gesture with solid fill">
          <a:extLst>
            <a:ext uri="{FF2B5EF4-FFF2-40B4-BE49-F238E27FC236}">
              <a16:creationId xmlns:a16="http://schemas.microsoft.com/office/drawing/2014/main" id="{00000000-0008-0000-0600-00000B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4371975"/>
          <a:ext cx="182880" cy="182880"/>
        </a:xfrm>
        <a:prstGeom prst="rect">
          <a:avLst/>
        </a:prstGeom>
      </xdr:spPr>
    </xdr:pic>
    <xdr:clientData/>
  </xdr:twoCellAnchor>
  <xdr:twoCellAnchor editAs="oneCell">
    <xdr:from>
      <xdr:col>3</xdr:col>
      <xdr:colOff>2162175</xdr:colOff>
      <xdr:row>20</xdr:row>
      <xdr:rowOff>28575</xdr:rowOff>
    </xdr:from>
    <xdr:to>
      <xdr:col>3</xdr:col>
      <xdr:colOff>2345055</xdr:colOff>
      <xdr:row>20</xdr:row>
      <xdr:rowOff>211455</xdr:rowOff>
    </xdr:to>
    <xdr:pic macro="[0]!Sheet21.SUB_MAXCOST">
      <xdr:nvPicPr>
        <xdr:cNvPr id="12" name="G_MaxCap" descr="Hold Gesture with solid fill">
          <a:extLst>
            <a:ext uri="{FF2B5EF4-FFF2-40B4-BE49-F238E27FC236}">
              <a16:creationId xmlns:a16="http://schemas.microsoft.com/office/drawing/2014/main" id="{00000000-0008-0000-0600-00000C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5057775"/>
          <a:ext cx="182880" cy="182880"/>
        </a:xfrm>
        <a:prstGeom prst="rect">
          <a:avLst/>
        </a:prstGeom>
      </xdr:spPr>
    </xdr:pic>
    <xdr:clientData/>
  </xdr:twoCellAnchor>
  <xdr:twoCellAnchor editAs="oneCell">
    <xdr:from>
      <xdr:col>3</xdr:col>
      <xdr:colOff>2162175</xdr:colOff>
      <xdr:row>21</xdr:row>
      <xdr:rowOff>28575</xdr:rowOff>
    </xdr:from>
    <xdr:to>
      <xdr:col>3</xdr:col>
      <xdr:colOff>2345055</xdr:colOff>
      <xdr:row>21</xdr:row>
      <xdr:rowOff>211455</xdr:rowOff>
    </xdr:to>
    <xdr:pic macro="[0]!Sheet21.SUB_MAXPWR">
      <xdr:nvPicPr>
        <xdr:cNvPr id="13" name="Graphic 12" descr="Hold Gesture with solid fill">
          <a:extLst>
            <a:ext uri="{FF2B5EF4-FFF2-40B4-BE49-F238E27FC236}">
              <a16:creationId xmlns:a16="http://schemas.microsoft.com/office/drawing/2014/main" id="{00000000-0008-0000-0600-00000D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00700" y="5286375"/>
          <a:ext cx="182880" cy="182880"/>
        </a:xfrm>
        <a:prstGeom prst="rect">
          <a:avLst/>
        </a:prstGeom>
      </xdr:spPr>
    </xdr:pic>
    <xdr:clientData/>
  </xdr:twoCellAnchor>
  <xdr:twoCellAnchor editAs="oneCell">
    <xdr:from>
      <xdr:col>3</xdr:col>
      <xdr:colOff>28575</xdr:colOff>
      <xdr:row>15</xdr:row>
      <xdr:rowOff>28575</xdr:rowOff>
    </xdr:from>
    <xdr:to>
      <xdr:col>3</xdr:col>
      <xdr:colOff>211455</xdr:colOff>
      <xdr:row>15</xdr:row>
      <xdr:rowOff>211455</xdr:rowOff>
    </xdr:to>
    <xdr:pic macro="[0]!Sheet21.SUB_MINX">
      <xdr:nvPicPr>
        <xdr:cNvPr id="14" name="G_MinX" descr="Hold Gesture with solid fill">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2771775"/>
          <a:ext cx="182880" cy="182880"/>
        </a:xfrm>
        <a:prstGeom prst="rect">
          <a:avLst/>
        </a:prstGeom>
      </xdr:spPr>
    </xdr:pic>
    <xdr:clientData/>
  </xdr:twoCellAnchor>
  <xdr:twoCellAnchor editAs="oneCell">
    <xdr:from>
      <xdr:col>3</xdr:col>
      <xdr:colOff>28575</xdr:colOff>
      <xdr:row>16</xdr:row>
      <xdr:rowOff>28575</xdr:rowOff>
    </xdr:from>
    <xdr:to>
      <xdr:col>3</xdr:col>
      <xdr:colOff>211455</xdr:colOff>
      <xdr:row>16</xdr:row>
      <xdr:rowOff>211455</xdr:rowOff>
    </xdr:to>
    <xdr:pic macro="[0]!Sheet21.SUB_MINY">
      <xdr:nvPicPr>
        <xdr:cNvPr id="15" name="G_MinY" descr="Hold Gesture with solid fill">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3000375"/>
          <a:ext cx="182880" cy="182880"/>
        </a:xfrm>
        <a:prstGeom prst="rect">
          <a:avLst/>
        </a:prstGeom>
      </xdr:spPr>
    </xdr:pic>
    <xdr:clientData/>
  </xdr:twoCellAnchor>
  <xdr:twoCellAnchor editAs="oneCell">
    <xdr:from>
      <xdr:col>3</xdr:col>
      <xdr:colOff>28575</xdr:colOff>
      <xdr:row>18</xdr:row>
      <xdr:rowOff>28575</xdr:rowOff>
    </xdr:from>
    <xdr:to>
      <xdr:col>3</xdr:col>
      <xdr:colOff>211455</xdr:colOff>
      <xdr:row>18</xdr:row>
      <xdr:rowOff>211455</xdr:rowOff>
    </xdr:to>
    <xdr:pic macro="[0]!Sheet21.SUB_MINPS">
      <xdr:nvPicPr>
        <xdr:cNvPr id="16" name="G_MinPS" descr="Hold Gesture with solid fill">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3457575"/>
          <a:ext cx="182880" cy="182880"/>
        </a:xfrm>
        <a:prstGeom prst="rect">
          <a:avLst/>
        </a:prstGeom>
      </xdr:spPr>
    </xdr:pic>
    <xdr:clientData/>
  </xdr:twoCellAnchor>
  <xdr:twoCellAnchor editAs="oneCell">
    <xdr:from>
      <xdr:col>3</xdr:col>
      <xdr:colOff>28575</xdr:colOff>
      <xdr:row>19</xdr:row>
      <xdr:rowOff>28575</xdr:rowOff>
    </xdr:from>
    <xdr:to>
      <xdr:col>3</xdr:col>
      <xdr:colOff>211455</xdr:colOff>
      <xdr:row>19</xdr:row>
      <xdr:rowOff>211455</xdr:rowOff>
    </xdr:to>
    <xdr:pic macro="[0]!Sheet21.SUB_MINDR">
      <xdr:nvPicPr>
        <xdr:cNvPr id="17" name="G_MinDR" descr="Hold Gesture with solid fill">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3686175"/>
          <a:ext cx="182880" cy="182880"/>
        </a:xfrm>
        <a:prstGeom prst="rect">
          <a:avLst/>
        </a:prstGeom>
      </xdr:spPr>
    </xdr:pic>
    <xdr:clientData/>
  </xdr:twoCellAnchor>
  <xdr:twoCellAnchor editAs="oneCell">
    <xdr:from>
      <xdr:col>3</xdr:col>
      <xdr:colOff>28575</xdr:colOff>
      <xdr:row>17</xdr:row>
      <xdr:rowOff>28575</xdr:rowOff>
    </xdr:from>
    <xdr:to>
      <xdr:col>3</xdr:col>
      <xdr:colOff>211455</xdr:colOff>
      <xdr:row>17</xdr:row>
      <xdr:rowOff>211455</xdr:rowOff>
    </xdr:to>
    <xdr:pic macro="[0]!Sheet21.SUB_MINLH">
      <xdr:nvPicPr>
        <xdr:cNvPr id="18" name="G_MinLH" descr="Hold Gesture with solid fill">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3914775"/>
          <a:ext cx="182880" cy="182880"/>
        </a:xfrm>
        <a:prstGeom prst="rect">
          <a:avLst/>
        </a:prstGeom>
      </xdr:spPr>
    </xdr:pic>
    <xdr:clientData/>
  </xdr:twoCellAnchor>
  <xdr:twoCellAnchor editAs="oneCell">
    <xdr:from>
      <xdr:col>3</xdr:col>
      <xdr:colOff>28575</xdr:colOff>
      <xdr:row>20</xdr:row>
      <xdr:rowOff>28575</xdr:rowOff>
    </xdr:from>
    <xdr:to>
      <xdr:col>3</xdr:col>
      <xdr:colOff>211455</xdr:colOff>
      <xdr:row>20</xdr:row>
      <xdr:rowOff>211455</xdr:rowOff>
    </xdr:to>
    <xdr:pic macro="[0]!Sheet21.SUB_MINCOST">
      <xdr:nvPicPr>
        <xdr:cNvPr id="19" name="G_MinCap" descr="Hold Gesture with solid fill">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4143375"/>
          <a:ext cx="182880" cy="182880"/>
        </a:xfrm>
        <a:prstGeom prst="rect">
          <a:avLst/>
        </a:prstGeom>
      </xdr:spPr>
    </xdr:pic>
    <xdr:clientData/>
  </xdr:twoCellAnchor>
  <xdr:twoCellAnchor editAs="oneCell">
    <xdr:from>
      <xdr:col>3</xdr:col>
      <xdr:colOff>28575</xdr:colOff>
      <xdr:row>21</xdr:row>
      <xdr:rowOff>28575</xdr:rowOff>
    </xdr:from>
    <xdr:to>
      <xdr:col>3</xdr:col>
      <xdr:colOff>211455</xdr:colOff>
      <xdr:row>21</xdr:row>
      <xdr:rowOff>211455</xdr:rowOff>
    </xdr:to>
    <xdr:pic macro="[0]!Sheet21.SUB_MINPWR">
      <xdr:nvPicPr>
        <xdr:cNvPr id="20" name="G_MinPwr" descr="Hold Gesture with solid fill">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7100" y="4371975"/>
          <a:ext cx="182880" cy="182880"/>
        </a:xfrm>
        <a:prstGeom prst="rect">
          <a:avLst/>
        </a:prstGeom>
      </xdr:spPr>
    </xdr:pic>
    <xdr:clientData/>
  </xdr:twoCellAnchor>
  <xdr:twoCellAnchor editAs="absolute">
    <xdr:from>
      <xdr:col>6</xdr:col>
      <xdr:colOff>0</xdr:colOff>
      <xdr:row>24</xdr:row>
      <xdr:rowOff>0</xdr:rowOff>
    </xdr:from>
    <xdr:to>
      <xdr:col>9</xdr:col>
      <xdr:colOff>0</xdr:colOff>
      <xdr:row>31</xdr:row>
      <xdr:rowOff>0</xdr:rowOff>
    </xdr:to>
    <mc:AlternateContent xmlns:mc="http://schemas.openxmlformats.org/markup-compatibility/2006">
      <mc:Choice xmlns:cx1="http://schemas.microsoft.com/office/drawing/2015/9/8/chartex" Requires="cx1">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238875" y="59436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6</xdr:col>
      <xdr:colOff>0</xdr:colOff>
      <xdr:row>14</xdr:row>
      <xdr:rowOff>0</xdr:rowOff>
    </xdr:from>
    <xdr:to>
      <xdr:col>9</xdr:col>
      <xdr:colOff>0</xdr:colOff>
      <xdr:row>21</xdr:row>
      <xdr:rowOff>0</xdr:rowOff>
    </xdr:to>
    <mc:AlternateContent xmlns:mc="http://schemas.openxmlformats.org/markup-compatibility/2006">
      <mc:Choice xmlns:cx1="http://schemas.microsoft.com/office/drawing/2015/9/8/chartex" Requires="cx1">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238875" y="36576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1</xdr:col>
      <xdr:colOff>0</xdr:colOff>
      <xdr:row>7</xdr:row>
      <xdr:rowOff>139065</xdr:rowOff>
    </xdr:from>
    <xdr:ext cx="1645920" cy="318135"/>
    <xdr:sp macro="" textlink="">
      <xdr:nvSpPr>
        <xdr:cNvPr id="34" name="TextBox 33">
          <a:extLst>
            <a:ext uri="{FF2B5EF4-FFF2-40B4-BE49-F238E27FC236}">
              <a16:creationId xmlns:a16="http://schemas.microsoft.com/office/drawing/2014/main" id="{00000000-0008-0000-0600-000022000000}"/>
            </a:ext>
          </a:extLst>
        </xdr:cNvPr>
        <xdr:cNvSpPr txBox="1"/>
      </xdr:nvSpPr>
      <xdr:spPr>
        <a:xfrm>
          <a:off x="219075"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rIns="0" rtlCol="0" anchor="ctr">
          <a:noAutofit/>
        </a:bodyPr>
        <a:lstStyle/>
        <a:p>
          <a:pPr marL="0" indent="0" algn="ctr"/>
          <a:r>
            <a:rPr lang="en-US" sz="1400" b="1">
              <a:solidFill>
                <a:srgbClr val="007934"/>
              </a:solidFill>
              <a:latin typeface="+mn-lt"/>
              <a:ea typeface="+mn-ea"/>
              <a:cs typeface="+mn-cs"/>
            </a:rPr>
            <a:t>Direct</a:t>
          </a:r>
          <a:r>
            <a:rPr lang="en-US" sz="1400" b="1" baseline="0">
              <a:solidFill>
                <a:srgbClr val="007934"/>
              </a:solidFill>
              <a:latin typeface="+mn-lt"/>
              <a:ea typeface="+mn-ea"/>
              <a:cs typeface="+mn-cs"/>
            </a:rPr>
            <a:t> Deposition</a:t>
          </a:r>
          <a:endParaRPr lang="en-US" sz="1400" b="1">
            <a:solidFill>
              <a:srgbClr val="007934"/>
            </a:solidFill>
            <a:latin typeface="+mn-lt"/>
            <a:ea typeface="+mn-ea"/>
            <a:cs typeface="+mn-cs"/>
          </a:endParaRPr>
        </a:p>
      </xdr:txBody>
    </xdr:sp>
    <xdr:clientData/>
  </xdr:oneCellAnchor>
  <xdr:oneCellAnchor>
    <xdr:from>
      <xdr:col>1</xdr:col>
      <xdr:colOff>1967865</xdr:colOff>
      <xdr:row>7</xdr:row>
      <xdr:rowOff>139065</xdr:rowOff>
    </xdr:from>
    <xdr:ext cx="1645920" cy="318135"/>
    <xdr:sp macro="" textlink="">
      <xdr:nvSpPr>
        <xdr:cNvPr id="35" name="TextBox 34">
          <a:extLst>
            <a:ext uri="{FF2B5EF4-FFF2-40B4-BE49-F238E27FC236}">
              <a16:creationId xmlns:a16="http://schemas.microsoft.com/office/drawing/2014/main" id="{00000000-0008-0000-0600-000023000000}"/>
            </a:ext>
          </a:extLst>
        </xdr:cNvPr>
        <xdr:cNvSpPr txBox="1"/>
      </xdr:nvSpPr>
      <xdr:spPr>
        <a:xfrm>
          <a:off x="2186940"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Powder</a:t>
          </a:r>
          <a:r>
            <a:rPr lang="en-US" sz="1400" b="1" baseline="0">
              <a:solidFill>
                <a:srgbClr val="007934"/>
              </a:solidFill>
              <a:latin typeface="+mn-lt"/>
              <a:ea typeface="+mn-ea"/>
              <a:cs typeface="+mn-cs"/>
            </a:rPr>
            <a:t> Bed Fusion</a:t>
          </a:r>
          <a:endParaRPr lang="en-US" sz="1400" b="1">
            <a:solidFill>
              <a:srgbClr val="007934"/>
            </a:solidFill>
            <a:latin typeface="+mn-lt"/>
            <a:ea typeface="+mn-ea"/>
            <a:cs typeface="+mn-cs"/>
          </a:endParaRPr>
        </a:p>
      </xdr:txBody>
    </xdr:sp>
    <xdr:clientData/>
  </xdr:oneCellAnchor>
  <xdr:oneCellAnchor>
    <xdr:from>
      <xdr:col>3</xdr:col>
      <xdr:colOff>716280</xdr:colOff>
      <xdr:row>7</xdr:row>
      <xdr:rowOff>139065</xdr:rowOff>
    </xdr:from>
    <xdr:ext cx="1645920" cy="318135"/>
    <xdr:sp macro="" textlink="">
      <xdr:nvSpPr>
        <xdr:cNvPr id="36" name="TextBox 35">
          <a:extLst>
            <a:ext uri="{FF2B5EF4-FFF2-40B4-BE49-F238E27FC236}">
              <a16:creationId xmlns:a16="http://schemas.microsoft.com/office/drawing/2014/main" id="{00000000-0008-0000-0600-000024000000}"/>
            </a:ext>
          </a:extLst>
        </xdr:cNvPr>
        <xdr:cNvSpPr txBox="1"/>
      </xdr:nvSpPr>
      <xdr:spPr>
        <a:xfrm>
          <a:off x="4154805" y="2196465"/>
          <a:ext cx="1645920" cy="3181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Material Extrusion</a:t>
          </a:r>
        </a:p>
      </xdr:txBody>
    </xdr:sp>
    <xdr:clientData/>
  </xdr:oneCellAnchor>
  <xdr:twoCellAnchor editAs="oneCell">
    <xdr:from>
      <xdr:col>1</xdr:col>
      <xdr:colOff>2162175</xdr:colOff>
      <xdr:row>46</xdr:row>
      <xdr:rowOff>28575</xdr:rowOff>
    </xdr:from>
    <xdr:to>
      <xdr:col>1</xdr:col>
      <xdr:colOff>2345055</xdr:colOff>
      <xdr:row>46</xdr:row>
      <xdr:rowOff>211455</xdr:rowOff>
    </xdr:to>
    <xdr:pic>
      <xdr:nvPicPr>
        <xdr:cNvPr id="22" name="Graphic 21">
          <a:hlinkClick xmlns:r="http://schemas.openxmlformats.org/officeDocument/2006/relationships" r:id="rId9" tooltip="Subtract any daily downtime from this value."/>
          <a:extLst>
            <a:ext uri="{FF2B5EF4-FFF2-40B4-BE49-F238E27FC236}">
              <a16:creationId xmlns:a16="http://schemas.microsoft.com/office/drawing/2014/main" id="{00000000-0008-0000-0600-000016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381250" y="10544175"/>
          <a:ext cx="182880" cy="182880"/>
        </a:xfrm>
        <a:prstGeom prst="rect">
          <a:avLst/>
        </a:prstGeom>
      </xdr:spPr>
    </xdr:pic>
    <xdr:clientData/>
  </xdr:twoCellAnchor>
  <xdr:twoCellAnchor editAs="oneCell">
    <xdr:from>
      <xdr:col>1</xdr:col>
      <xdr:colOff>2162175</xdr:colOff>
      <xdr:row>50</xdr:row>
      <xdr:rowOff>28575</xdr:rowOff>
    </xdr:from>
    <xdr:to>
      <xdr:col>1</xdr:col>
      <xdr:colOff>2345055</xdr:colOff>
      <xdr:row>50</xdr:row>
      <xdr:rowOff>211455</xdr:rowOff>
    </xdr:to>
    <xdr:pic>
      <xdr:nvPicPr>
        <xdr:cNvPr id="23" name="Graphic 22">
          <a:hlinkClick xmlns:r="http://schemas.openxmlformats.org/officeDocument/2006/relationships" r:id="rId12" tooltip="Fraction of process time machine is monitored."/>
          <a:extLst>
            <a:ext uri="{FF2B5EF4-FFF2-40B4-BE49-F238E27FC236}">
              <a16:creationId xmlns:a16="http://schemas.microsoft.com/office/drawing/2014/main" id="{00000000-0008-0000-0600-000017000000}"/>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381250" y="11687175"/>
          <a:ext cx="182880" cy="182880"/>
        </a:xfrm>
        <a:prstGeom prst="rect">
          <a:avLst/>
        </a:prstGeom>
      </xdr:spPr>
    </xdr:pic>
    <xdr:clientData/>
  </xdr:twoCellAnchor>
  <xdr:oneCellAnchor>
    <xdr:from>
      <xdr:col>7</xdr:col>
      <xdr:colOff>476250</xdr:colOff>
      <xdr:row>0</xdr:row>
      <xdr:rowOff>0</xdr:rowOff>
    </xdr:from>
    <xdr:ext cx="2962275" cy="685800"/>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1655445</xdr:colOff>
      <xdr:row>7</xdr:row>
      <xdr:rowOff>143510</xdr:rowOff>
    </xdr:to>
    <xdr:pic>
      <xdr:nvPicPr>
        <xdr:cNvPr id="2" name="Picture 1" descr="A close-up of a machine&#10;&#10;Description automatically generated with low confidence">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750" t="14363" r="2750" b="14363"/>
        <a:stretch/>
      </xdr:blipFill>
      <xdr:spPr>
        <a:xfrm>
          <a:off x="219075" y="1371600"/>
          <a:ext cx="1645920" cy="822960"/>
        </a:xfrm>
        <a:prstGeom prst="rect">
          <a:avLst/>
        </a:prstGeom>
        <a:ln>
          <a:solidFill>
            <a:srgbClr val="007934"/>
          </a:solidFill>
        </a:ln>
      </xdr:spPr>
    </xdr:pic>
    <xdr:clientData/>
  </xdr:twoCellAnchor>
  <xdr:twoCellAnchor editAs="oneCell">
    <xdr:from>
      <xdr:col>1</xdr:col>
      <xdr:colOff>1967865</xdr:colOff>
      <xdr:row>4</xdr:row>
      <xdr:rowOff>0</xdr:rowOff>
    </xdr:from>
    <xdr:to>
      <xdr:col>3</xdr:col>
      <xdr:colOff>397510</xdr:colOff>
      <xdr:row>7</xdr:row>
      <xdr:rowOff>143510</xdr:rowOff>
    </xdr:to>
    <xdr:pic>
      <xdr:nvPicPr>
        <xdr:cNvPr id="3" name="Picture 2" descr="Graphical user interface, website&#10;&#10;Description automatically generated">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9673" r="19673"/>
        <a:stretch/>
      </xdr:blipFill>
      <xdr:spPr>
        <a:xfrm>
          <a:off x="2186940" y="1371600"/>
          <a:ext cx="1649095" cy="822960"/>
        </a:xfrm>
        <a:prstGeom prst="rect">
          <a:avLst/>
        </a:prstGeom>
        <a:ln>
          <a:solidFill>
            <a:srgbClr val="007934"/>
          </a:solidFill>
        </a:ln>
      </xdr:spPr>
    </xdr:pic>
    <xdr:clientData/>
  </xdr:twoCellAnchor>
  <xdr:twoCellAnchor editAs="oneCell">
    <xdr:from>
      <xdr:col>3</xdr:col>
      <xdr:colOff>716280</xdr:colOff>
      <xdr:row>4</xdr:row>
      <xdr:rowOff>0</xdr:rowOff>
    </xdr:from>
    <xdr:to>
      <xdr:col>4</xdr:col>
      <xdr:colOff>0</xdr:colOff>
      <xdr:row>7</xdr:row>
      <xdr:rowOff>143510</xdr:rowOff>
    </xdr:to>
    <xdr:pic>
      <xdr:nvPicPr>
        <xdr:cNvPr id="4" name="Picture 3" descr="A picture containing monitor, set&#10;&#10;Description automatically generated">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94" r="1094"/>
        <a:stretch/>
      </xdr:blipFill>
      <xdr:spPr>
        <a:xfrm>
          <a:off x="4154805" y="1371600"/>
          <a:ext cx="1645920" cy="822960"/>
        </a:xfrm>
        <a:prstGeom prst="rect">
          <a:avLst/>
        </a:prstGeom>
        <a:ln>
          <a:solidFill>
            <a:srgbClr val="007934"/>
          </a:solidFill>
        </a:ln>
      </xdr:spPr>
    </xdr:pic>
    <xdr:clientData/>
  </xdr:twoCellAnchor>
  <xdr:oneCellAnchor>
    <xdr:from>
      <xdr:col>1</xdr:col>
      <xdr:colOff>0</xdr:colOff>
      <xdr:row>7</xdr:row>
      <xdr:rowOff>137160</xdr:rowOff>
    </xdr:from>
    <xdr:ext cx="1645920" cy="365760"/>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19075" y="2194560"/>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Sintering</a:t>
          </a:r>
        </a:p>
      </xdr:txBody>
    </xdr:sp>
    <xdr:clientData/>
  </xdr:oneCellAnchor>
  <xdr:oneCellAnchor>
    <xdr:from>
      <xdr:col>1</xdr:col>
      <xdr:colOff>1967865</xdr:colOff>
      <xdr:row>7</xdr:row>
      <xdr:rowOff>137160</xdr:rowOff>
    </xdr:from>
    <xdr:ext cx="1645920" cy="365760"/>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2186940" y="2194560"/>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Heat Treatment</a:t>
          </a:r>
        </a:p>
      </xdr:txBody>
    </xdr:sp>
    <xdr:clientData/>
  </xdr:oneCellAnchor>
  <xdr:oneCellAnchor>
    <xdr:from>
      <xdr:col>3</xdr:col>
      <xdr:colOff>716280</xdr:colOff>
      <xdr:row>7</xdr:row>
      <xdr:rowOff>137160</xdr:rowOff>
    </xdr:from>
    <xdr:ext cx="1645920" cy="365760"/>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4154805" y="2194560"/>
          <a:ext cx="1645920" cy="3657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b="1">
              <a:solidFill>
                <a:srgbClr val="007934"/>
              </a:solidFill>
              <a:latin typeface="+mn-lt"/>
              <a:ea typeface="+mn-ea"/>
              <a:cs typeface="+mn-cs"/>
            </a:rPr>
            <a:t>UV Curing</a:t>
          </a:r>
        </a:p>
      </xdr:txBody>
    </xdr:sp>
    <xdr:clientData/>
  </xdr:oneCellAnchor>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704850</xdr:colOff>
          <xdr:row>11</xdr:row>
          <xdr:rowOff>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7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0</xdr:col>
      <xdr:colOff>0</xdr:colOff>
      <xdr:row>0</xdr:row>
      <xdr:rowOff>0</xdr:rowOff>
    </xdr:from>
    <xdr:to>
      <xdr:col>1</xdr:col>
      <xdr:colOff>1972310</xdr:colOff>
      <xdr:row>1</xdr:row>
      <xdr:rowOff>0</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rotWithShape="1">
        <a:blip xmlns:r="http://schemas.openxmlformats.org/officeDocument/2006/relationships" r:embed="rId4"/>
        <a:srcRect l="-7757" t="-31000" r="-7757" b="-19000"/>
        <a:stretch/>
      </xdr:blipFill>
      <xdr:spPr>
        <a:xfrm>
          <a:off x="0" y="0"/>
          <a:ext cx="2185035" cy="685800"/>
        </a:xfrm>
        <a:prstGeom prst="rect">
          <a:avLst/>
        </a:prstGeom>
      </xdr:spPr>
    </xdr:pic>
    <xdr:clientData/>
  </xdr:twoCellAnchor>
  <xdr:twoCellAnchor>
    <xdr:from>
      <xdr:col>6</xdr:col>
      <xdr:colOff>0</xdr:colOff>
      <xdr:row>22</xdr:row>
      <xdr:rowOff>0</xdr:rowOff>
    </xdr:from>
    <xdr:to>
      <xdr:col>9</xdr:col>
      <xdr:colOff>0</xdr:colOff>
      <xdr:row>29</xdr:row>
      <xdr:rowOff>0</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238875" y="52578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2179320</xdr:colOff>
      <xdr:row>22</xdr:row>
      <xdr:rowOff>21248</xdr:rowOff>
    </xdr:from>
    <xdr:to>
      <xdr:col>4</xdr:col>
      <xdr:colOff>0</xdr:colOff>
      <xdr:row>22</xdr:row>
      <xdr:rowOff>204128</xdr:rowOff>
    </xdr:to>
    <xdr:pic macro="[0]!Sheet22.SUB_COPY_FROMPRINT">
      <xdr:nvPicPr>
        <xdr:cNvPr id="17" name="Graphic 16" descr="Clipboard with solid fill">
          <a:extLst>
            <a:ext uri="{FF2B5EF4-FFF2-40B4-BE49-F238E27FC236}">
              <a16:creationId xmlns:a16="http://schemas.microsoft.com/office/drawing/2014/main" id="{00000000-0008-0000-0700-000011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617845" y="5279048"/>
          <a:ext cx="182880" cy="182880"/>
        </a:xfrm>
        <a:prstGeom prst="rect">
          <a:avLst/>
        </a:prstGeom>
      </xdr:spPr>
    </xdr:pic>
    <xdr:clientData/>
  </xdr:twoCellAnchor>
  <xdr:twoCellAnchor>
    <xdr:from>
      <xdr:col>0</xdr:col>
      <xdr:colOff>0</xdr:colOff>
      <xdr:row>12</xdr:row>
      <xdr:rowOff>0</xdr:rowOff>
    </xdr:from>
    <xdr:to>
      <xdr:col>5</xdr:col>
      <xdr:colOff>0</xdr:colOff>
      <xdr:row>37</xdr:row>
      <xdr:rowOff>0</xdr:rowOff>
    </xdr:to>
    <xdr:sp macro="" textlink="">
      <xdr:nvSpPr>
        <xdr:cNvPr id="15" name="PP_GreyOut" hidden="1">
          <a:extLst>
            <a:ext uri="{FF2B5EF4-FFF2-40B4-BE49-F238E27FC236}">
              <a16:creationId xmlns:a16="http://schemas.microsoft.com/office/drawing/2014/main" id="{00000000-0008-0000-0700-00000F000000}"/>
            </a:ext>
          </a:extLst>
        </xdr:cNvPr>
        <xdr:cNvSpPr/>
      </xdr:nvSpPr>
      <xdr:spPr>
        <a:xfrm>
          <a:off x="0" y="3200400"/>
          <a:ext cx="6019800" cy="5715000"/>
        </a:xfrm>
        <a:prstGeom prst="rect">
          <a:avLst/>
        </a:prstGeom>
        <a:solidFill>
          <a:schemeClr val="bg1">
            <a:alpha val="7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9525</xdr:colOff>
      <xdr:row>0</xdr:row>
      <xdr:rowOff>0</xdr:rowOff>
    </xdr:from>
    <xdr:to>
      <xdr:col>6</xdr:col>
      <xdr:colOff>1981835</xdr:colOff>
      <xdr:row>1</xdr:row>
      <xdr:rowOff>0</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rotWithShape="1">
        <a:blip xmlns:r="http://schemas.openxmlformats.org/officeDocument/2006/relationships" r:embed="rId4"/>
        <a:srcRect l="-7757" t="-31000" r="-7757" b="-19000"/>
        <a:stretch/>
      </xdr:blipFill>
      <xdr:spPr>
        <a:xfrm>
          <a:off x="6029325" y="0"/>
          <a:ext cx="2191385" cy="685800"/>
        </a:xfrm>
        <a:prstGeom prst="rect">
          <a:avLst/>
        </a:prstGeom>
      </xdr:spPr>
    </xdr:pic>
    <xdr:clientData/>
  </xdr:twoCellAnchor>
  <xdr:twoCellAnchor>
    <xdr:from>
      <xdr:col>6</xdr:col>
      <xdr:colOff>0</xdr:colOff>
      <xdr:row>11</xdr:row>
      <xdr:rowOff>0</xdr:rowOff>
    </xdr:from>
    <xdr:to>
      <xdr:col>9</xdr:col>
      <xdr:colOff>0</xdr:colOff>
      <xdr:row>19</xdr:row>
      <xdr:rowOff>0</xdr:rowOff>
    </xdr:to>
    <mc:AlternateContent xmlns:mc="http://schemas.openxmlformats.org/markup-compatibility/2006">
      <mc:Choice xmlns:cx1="http://schemas.microsoft.com/office/drawing/2015/9/8/chartex" Requires="cx1">
        <xdr:graphicFrame macro="">
          <xdr:nvGraphicFramePr>
            <xdr:cNvPr id="13" name="PP_Time_1">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238875" y="29718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11</xdr:row>
      <xdr:rowOff>0</xdr:rowOff>
    </xdr:from>
    <xdr:to>
      <xdr:col>9</xdr:col>
      <xdr:colOff>0</xdr:colOff>
      <xdr:row>18</xdr:row>
      <xdr:rowOff>0</xdr:rowOff>
    </xdr:to>
    <mc:AlternateContent xmlns:mc="http://schemas.openxmlformats.org/markup-compatibility/2006">
      <mc:Choice xmlns:cx1="http://schemas.microsoft.com/office/drawing/2015/9/8/chartex" Requires="cx1">
        <xdr:graphicFrame macro="">
          <xdr:nvGraphicFramePr>
            <xdr:cNvPr id="10" name="PP_Time_2" hidden="1">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238875" y="29718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xdr:col>
      <xdr:colOff>476250</xdr:colOff>
      <xdr:row>0</xdr:row>
      <xdr:rowOff>0</xdr:rowOff>
    </xdr:from>
    <xdr:ext cx="2962275" cy="685800"/>
    <xdr:sp macro="" textlink="">
      <xdr:nvSpPr>
        <xdr:cNvPr id="18" name="TextBox 17">
          <a:extLst>
            <a:ext uri="{FF2B5EF4-FFF2-40B4-BE49-F238E27FC236}">
              <a16:creationId xmlns:a16="http://schemas.microsoft.com/office/drawing/2014/main" id="{00000000-0008-0000-0700-000012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7</xdr:col>
      <xdr:colOff>476250</xdr:colOff>
      <xdr:row>0</xdr:row>
      <xdr:rowOff>0</xdr:rowOff>
    </xdr:from>
    <xdr:ext cx="2962275" cy="685800"/>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390525</xdr:colOff>
          <xdr:row>11</xdr:row>
          <xdr:rowOff>0</xdr:rowOff>
        </xdr:to>
        <xdr:sp macro="" textlink="">
          <xdr:nvSpPr>
            <xdr:cNvPr id="35841" name="Check Box 1" hidden="1">
              <a:extLst>
                <a:ext uri="{63B3BB69-23CF-44E3-9099-C40C66FF867C}">
                  <a14:compatExt spid="_x0000_s35841"/>
                </a:ext>
                <a:ext uri="{FF2B5EF4-FFF2-40B4-BE49-F238E27FC236}">
                  <a16:creationId xmlns:a16="http://schemas.microsoft.com/office/drawing/2014/main" id="{00000000-0008-0000-0800-00000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7</xdr:row>
      <xdr:rowOff>139065</xdr:rowOff>
    </xdr:from>
    <xdr:ext cx="1645920" cy="3657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19075" y="2196465"/>
          <a:ext cx="1645920" cy="365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a:solidFill>
                <a:srgbClr val="007934"/>
              </a:solidFill>
            </a:rPr>
            <a:t>End Mill</a:t>
          </a:r>
        </a:p>
      </xdr:txBody>
    </xdr:sp>
    <xdr:clientData/>
  </xdr:oneCellAnchor>
  <xdr:twoCellAnchor editAs="oneCell">
    <xdr:from>
      <xdr:col>3</xdr:col>
      <xdr:colOff>716280</xdr:colOff>
      <xdr:row>4</xdr:row>
      <xdr:rowOff>0</xdr:rowOff>
    </xdr:from>
    <xdr:to>
      <xdr:col>4</xdr:col>
      <xdr:colOff>0</xdr:colOff>
      <xdr:row>7</xdr:row>
      <xdr:rowOff>140335</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0417" b="4640"/>
        <a:stretch/>
      </xdr:blipFill>
      <xdr:spPr bwMode="auto">
        <a:xfrm>
          <a:off x="4154805"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oneCellAnchor>
    <xdr:from>
      <xdr:col>3</xdr:col>
      <xdr:colOff>716280</xdr:colOff>
      <xdr:row>7</xdr:row>
      <xdr:rowOff>139065</xdr:rowOff>
    </xdr:from>
    <xdr:ext cx="1645920" cy="365760"/>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4154805" y="2196465"/>
          <a:ext cx="1645920" cy="365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a:solidFill>
                <a:srgbClr val="007934"/>
              </a:solidFill>
            </a:rPr>
            <a:t>Lathe</a:t>
          </a:r>
        </a:p>
      </xdr:txBody>
    </xdr:sp>
    <xdr:clientData/>
  </xdr:oneCellAnchor>
  <xdr:twoCellAnchor editAs="oneCell">
    <xdr:from>
      <xdr:col>1</xdr:col>
      <xdr:colOff>1967865</xdr:colOff>
      <xdr:row>4</xdr:row>
      <xdr:rowOff>0</xdr:rowOff>
    </xdr:from>
    <xdr:to>
      <xdr:col>3</xdr:col>
      <xdr:colOff>397510</xdr:colOff>
      <xdr:row>7</xdr:row>
      <xdr:rowOff>140335</xdr:rowOff>
    </xdr:to>
    <xdr:pic>
      <xdr:nvPicPr>
        <xdr:cNvPr id="5" name="Picture 4" descr="Drill Press Steel - Free photo on Pixabay">
          <a:extLst>
            <a:ext uri="{FF2B5EF4-FFF2-40B4-BE49-F238E27FC236}">
              <a16:creationId xmlns:a16="http://schemas.microsoft.com/office/drawing/2014/main" id="{00000000-0008-0000-0800-000005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24706"/>
        <a:stretch/>
      </xdr:blipFill>
      <xdr:spPr bwMode="auto">
        <a:xfrm>
          <a:off x="2186940"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1967865</xdr:colOff>
      <xdr:row>7</xdr:row>
      <xdr:rowOff>139065</xdr:rowOff>
    </xdr:from>
    <xdr:ext cx="1645920" cy="365760"/>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186940" y="2196465"/>
          <a:ext cx="1645920" cy="365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400" b="1">
              <a:solidFill>
                <a:srgbClr val="007934"/>
              </a:solidFill>
            </a:rPr>
            <a:t>Drill</a:t>
          </a:r>
        </a:p>
      </xdr:txBody>
    </xdr:sp>
    <xdr:clientData/>
  </xdr:oneCellAnchor>
  <xdr:twoCellAnchor editAs="oneCell">
    <xdr:from>
      <xdr:col>0</xdr:col>
      <xdr:colOff>0</xdr:colOff>
      <xdr:row>0</xdr:row>
      <xdr:rowOff>0</xdr:rowOff>
    </xdr:from>
    <xdr:to>
      <xdr:col>1</xdr:col>
      <xdr:colOff>1972310</xdr:colOff>
      <xdr:row>1</xdr:row>
      <xdr:rowOff>0</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rotWithShape="1">
        <a:blip xmlns:r="http://schemas.openxmlformats.org/officeDocument/2006/relationships" r:embed="rId3"/>
        <a:srcRect l="-7757" t="-31000" r="-7757" b="-19000"/>
        <a:stretch/>
      </xdr:blipFill>
      <xdr:spPr>
        <a:xfrm>
          <a:off x="0" y="0"/>
          <a:ext cx="2200910" cy="685800"/>
        </a:xfrm>
        <a:prstGeom prst="rect">
          <a:avLst/>
        </a:prstGeom>
      </xdr:spPr>
    </xdr:pic>
    <xdr:clientData/>
  </xdr:twoCellAnchor>
  <xdr:twoCellAnchor editAs="oneCell">
    <xdr:from>
      <xdr:col>1</xdr:col>
      <xdr:colOff>0</xdr:colOff>
      <xdr:row>4</xdr:row>
      <xdr:rowOff>0</xdr:rowOff>
    </xdr:from>
    <xdr:to>
      <xdr:col>1</xdr:col>
      <xdr:colOff>1645920</xdr:colOff>
      <xdr:row>7</xdr:row>
      <xdr:rowOff>140335</xdr:rowOff>
    </xdr:to>
    <xdr:pic>
      <xdr:nvPicPr>
        <xdr:cNvPr id="13" name="Picture 12">
          <a:extLst>
            <a:ext uri="{FF2B5EF4-FFF2-40B4-BE49-F238E27FC236}">
              <a16:creationId xmlns:a16="http://schemas.microsoft.com/office/drawing/2014/main" id="{00000000-0008-0000-0800-00000D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26652" b="14200"/>
        <a:stretch/>
      </xdr:blipFill>
      <xdr:spPr bwMode="auto">
        <a:xfrm>
          <a:off x="219075" y="1371600"/>
          <a:ext cx="1645920" cy="822960"/>
        </a:xfrm>
        <a:prstGeom prst="rect">
          <a:avLst/>
        </a:prstGeom>
        <a:noFill/>
        <a:ln>
          <a:solidFill>
            <a:srgbClr val="007934"/>
          </a:solidFill>
        </a:ln>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2179320</xdr:colOff>
      <xdr:row>26</xdr:row>
      <xdr:rowOff>17145</xdr:rowOff>
    </xdr:from>
    <xdr:to>
      <xdr:col>4</xdr:col>
      <xdr:colOff>0</xdr:colOff>
      <xdr:row>26</xdr:row>
      <xdr:rowOff>200025</xdr:rowOff>
    </xdr:to>
    <xdr:pic macro="[0]!Sheet23.SUB_COPY_FROMPRINT">
      <xdr:nvPicPr>
        <xdr:cNvPr id="18" name="Graphic 17" descr="Clipboard with solid fill">
          <a:extLst>
            <a:ext uri="{FF2B5EF4-FFF2-40B4-BE49-F238E27FC236}">
              <a16:creationId xmlns:a16="http://schemas.microsoft.com/office/drawing/2014/main" id="{00000000-0008-0000-0800-00001200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17845" y="5960745"/>
          <a:ext cx="182880" cy="182880"/>
        </a:xfrm>
        <a:prstGeom prst="rect">
          <a:avLst/>
        </a:prstGeom>
      </xdr:spPr>
    </xdr:pic>
    <xdr:clientData/>
  </xdr:twoCellAnchor>
  <xdr:twoCellAnchor>
    <xdr:from>
      <xdr:col>0</xdr:col>
      <xdr:colOff>0</xdr:colOff>
      <xdr:row>14</xdr:row>
      <xdr:rowOff>0</xdr:rowOff>
    </xdr:from>
    <xdr:to>
      <xdr:col>5</xdr:col>
      <xdr:colOff>0</xdr:colOff>
      <xdr:row>39</xdr:row>
      <xdr:rowOff>0</xdr:rowOff>
    </xdr:to>
    <xdr:sp macro="" textlink="">
      <xdr:nvSpPr>
        <xdr:cNvPr id="17" name="FIN_GreyOut" hidden="1">
          <a:extLst>
            <a:ext uri="{FF2B5EF4-FFF2-40B4-BE49-F238E27FC236}">
              <a16:creationId xmlns:a16="http://schemas.microsoft.com/office/drawing/2014/main" id="{00000000-0008-0000-0800-000011000000}"/>
            </a:ext>
          </a:extLst>
        </xdr:cNvPr>
        <xdr:cNvSpPr/>
      </xdr:nvSpPr>
      <xdr:spPr>
        <a:xfrm>
          <a:off x="0" y="3657600"/>
          <a:ext cx="6019800" cy="5486400"/>
        </a:xfrm>
        <a:prstGeom prst="rect">
          <a:avLst/>
        </a:prstGeom>
        <a:solidFill>
          <a:schemeClr val="bg1">
            <a:alpha val="75000"/>
          </a:schemeClr>
        </a:solidFill>
        <a:ln>
          <a:solidFill>
            <a:schemeClr val="bg1"/>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9525</xdr:colOff>
      <xdr:row>0</xdr:row>
      <xdr:rowOff>0</xdr:rowOff>
    </xdr:from>
    <xdr:to>
      <xdr:col>6</xdr:col>
      <xdr:colOff>1978660</xdr:colOff>
      <xdr:row>1</xdr:row>
      <xdr:rowOff>0</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rotWithShape="1">
        <a:blip xmlns:r="http://schemas.openxmlformats.org/officeDocument/2006/relationships" r:embed="rId3"/>
        <a:srcRect l="-7757" t="-31000" r="-7757" b="-19000"/>
        <a:stretch/>
      </xdr:blipFill>
      <xdr:spPr>
        <a:xfrm>
          <a:off x="6029325" y="0"/>
          <a:ext cx="2188210" cy="685800"/>
        </a:xfrm>
        <a:prstGeom prst="rect">
          <a:avLst/>
        </a:prstGeom>
      </xdr:spPr>
    </xdr:pic>
    <xdr:clientData/>
  </xdr:twoCellAnchor>
  <xdr:twoCellAnchor>
    <xdr:from>
      <xdr:col>6</xdr:col>
      <xdr:colOff>0</xdr:colOff>
      <xdr:row>25</xdr:row>
      <xdr:rowOff>0</xdr:rowOff>
    </xdr:from>
    <xdr:to>
      <xdr:col>9</xdr:col>
      <xdr:colOff>0</xdr:colOff>
      <xdr:row>26</xdr:row>
      <xdr:rowOff>0</xdr:rowOff>
    </xdr:to>
    <xdr:sp macro="" textlink="">
      <xdr:nvSpPr>
        <xdr:cNvPr id="16" name="Label_Cost_Over" hidden="1">
          <a:extLst>
            <a:ext uri="{FF2B5EF4-FFF2-40B4-BE49-F238E27FC236}">
              <a16:creationId xmlns:a16="http://schemas.microsoft.com/office/drawing/2014/main" id="{00000000-0008-0000-0800-000010000000}"/>
            </a:ext>
          </a:extLst>
        </xdr:cNvPr>
        <xdr:cNvSpPr/>
      </xdr:nvSpPr>
      <xdr:spPr>
        <a:xfrm>
          <a:off x="6534150" y="5715000"/>
          <a:ext cx="5848350" cy="228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576" rtlCol="0" anchor="ctr"/>
        <a:lstStyle/>
        <a:p>
          <a:pPr algn="l"/>
          <a:r>
            <a:rPr lang="en-US" sz="1600" b="1" u="none">
              <a:solidFill>
                <a:srgbClr val="007934"/>
              </a:solidFill>
            </a:rPr>
            <a:t>Per Machining Cost Breakdown</a:t>
          </a:r>
        </a:p>
      </xdr:txBody>
    </xdr:sp>
    <xdr:clientData/>
  </xdr:twoCellAnchor>
  <xdr:twoCellAnchor>
    <xdr:from>
      <xdr:col>6</xdr:col>
      <xdr:colOff>0</xdr:colOff>
      <xdr:row>23</xdr:row>
      <xdr:rowOff>0</xdr:rowOff>
    </xdr:from>
    <xdr:to>
      <xdr:col>9</xdr:col>
      <xdr:colOff>0</xdr:colOff>
      <xdr:row>24</xdr:row>
      <xdr:rowOff>0</xdr:rowOff>
    </xdr:to>
    <xdr:sp macro="" textlink="">
      <xdr:nvSpPr>
        <xdr:cNvPr id="25" name="Label_Cost_Turn" hidden="1">
          <a:extLst>
            <a:ext uri="{FF2B5EF4-FFF2-40B4-BE49-F238E27FC236}">
              <a16:creationId xmlns:a16="http://schemas.microsoft.com/office/drawing/2014/main" id="{00000000-0008-0000-0800-000019000000}"/>
            </a:ext>
          </a:extLst>
        </xdr:cNvPr>
        <xdr:cNvSpPr/>
      </xdr:nvSpPr>
      <xdr:spPr>
        <a:xfrm>
          <a:off x="6534150" y="5257800"/>
          <a:ext cx="5848350" cy="228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576" rtlCol="0" anchor="ctr"/>
        <a:lstStyle/>
        <a:p>
          <a:pPr algn="l"/>
          <a:r>
            <a:rPr lang="en-US" sz="1600" b="1" u="none">
              <a:solidFill>
                <a:srgbClr val="007934"/>
              </a:solidFill>
            </a:rPr>
            <a:t>Per Machining Cost Breakdown</a:t>
          </a:r>
        </a:p>
      </xdr:txBody>
    </xdr:sp>
    <xdr:clientData/>
  </xdr:twoCellAnchor>
  <xdr:twoCellAnchor>
    <xdr:from>
      <xdr:col>6</xdr:col>
      <xdr:colOff>0</xdr:colOff>
      <xdr:row>19</xdr:row>
      <xdr:rowOff>0</xdr:rowOff>
    </xdr:from>
    <xdr:to>
      <xdr:col>9</xdr:col>
      <xdr:colOff>0</xdr:colOff>
      <xdr:row>20</xdr:row>
      <xdr:rowOff>0</xdr:rowOff>
    </xdr:to>
    <xdr:sp macro="" textlink="">
      <xdr:nvSpPr>
        <xdr:cNvPr id="26" name="Label_Cost_Mill">
          <a:extLst>
            <a:ext uri="{FF2B5EF4-FFF2-40B4-BE49-F238E27FC236}">
              <a16:creationId xmlns:a16="http://schemas.microsoft.com/office/drawing/2014/main" id="{00000000-0008-0000-0800-00001A000000}"/>
            </a:ext>
          </a:extLst>
        </xdr:cNvPr>
        <xdr:cNvSpPr/>
      </xdr:nvSpPr>
      <xdr:spPr>
        <a:xfrm>
          <a:off x="6534150" y="4800600"/>
          <a:ext cx="5848350" cy="228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576" rtlCol="0" anchor="ctr"/>
        <a:lstStyle/>
        <a:p>
          <a:pPr algn="l"/>
          <a:r>
            <a:rPr lang="en-US" sz="1600" b="1" u="none">
              <a:solidFill>
                <a:srgbClr val="007934"/>
              </a:solidFill>
            </a:rPr>
            <a:t>Per Machining Cost Breakdown</a:t>
          </a:r>
        </a:p>
      </xdr:txBody>
    </xdr:sp>
    <xdr:clientData/>
  </xdr:twoCellAnchor>
  <xdr:twoCellAnchor>
    <xdr:from>
      <xdr:col>6</xdr:col>
      <xdr:colOff>0</xdr:colOff>
      <xdr:row>19</xdr:row>
      <xdr:rowOff>219075</xdr:rowOff>
    </xdr:from>
    <xdr:to>
      <xdr:col>9</xdr:col>
      <xdr:colOff>6985</xdr:colOff>
      <xdr:row>19</xdr:row>
      <xdr:rowOff>219075</xdr:rowOff>
    </xdr:to>
    <xdr:cxnSp macro="">
      <xdr:nvCxnSpPr>
        <xdr:cNvPr id="20" name="Line_Cost_Mill">
          <a:extLst>
            <a:ext uri="{FF2B5EF4-FFF2-40B4-BE49-F238E27FC236}">
              <a16:creationId xmlns:a16="http://schemas.microsoft.com/office/drawing/2014/main" id="{00000000-0008-0000-0800-000014000000}"/>
            </a:ext>
          </a:extLst>
        </xdr:cNvPr>
        <xdr:cNvCxnSpPr/>
      </xdr:nvCxnSpPr>
      <xdr:spPr>
        <a:xfrm>
          <a:off x="6534150" y="5019675"/>
          <a:ext cx="5855335" cy="0"/>
        </a:xfrm>
        <a:prstGeom prst="line">
          <a:avLst/>
        </a:prstGeom>
        <a:ln w="28575">
          <a:solidFill>
            <a:srgbClr val="00793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24</xdr:row>
      <xdr:rowOff>0</xdr:rowOff>
    </xdr:from>
    <xdr:to>
      <xdr:col>9</xdr:col>
      <xdr:colOff>10160</xdr:colOff>
      <xdr:row>24</xdr:row>
      <xdr:rowOff>0</xdr:rowOff>
    </xdr:to>
    <xdr:cxnSp macro="">
      <xdr:nvCxnSpPr>
        <xdr:cNvPr id="27" name="Line_Cost_Turn" hidden="1">
          <a:extLst>
            <a:ext uri="{FF2B5EF4-FFF2-40B4-BE49-F238E27FC236}">
              <a16:creationId xmlns:a16="http://schemas.microsoft.com/office/drawing/2014/main" id="{00000000-0008-0000-0800-00001B000000}"/>
            </a:ext>
          </a:extLst>
        </xdr:cNvPr>
        <xdr:cNvCxnSpPr/>
      </xdr:nvCxnSpPr>
      <xdr:spPr>
        <a:xfrm>
          <a:off x="6534150" y="5029200"/>
          <a:ext cx="5858510" cy="0"/>
        </a:xfrm>
        <a:prstGeom prst="line">
          <a:avLst/>
        </a:prstGeom>
        <a:ln w="28575">
          <a:solidFill>
            <a:srgbClr val="00793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228599</xdr:colOff>
      <xdr:row>26</xdr:row>
      <xdr:rowOff>0</xdr:rowOff>
    </xdr:from>
    <xdr:to>
      <xdr:col>9</xdr:col>
      <xdr:colOff>3809</xdr:colOff>
      <xdr:row>26</xdr:row>
      <xdr:rowOff>0</xdr:rowOff>
    </xdr:to>
    <xdr:cxnSp macro="">
      <xdr:nvCxnSpPr>
        <xdr:cNvPr id="28" name="Line_Cost_Over" hidden="1">
          <a:extLst>
            <a:ext uri="{FF2B5EF4-FFF2-40B4-BE49-F238E27FC236}">
              <a16:creationId xmlns:a16="http://schemas.microsoft.com/office/drawing/2014/main" id="{00000000-0008-0000-0800-00001C000000}"/>
            </a:ext>
          </a:extLst>
        </xdr:cNvPr>
        <xdr:cNvCxnSpPr/>
      </xdr:nvCxnSpPr>
      <xdr:spPr>
        <a:xfrm>
          <a:off x="6534149" y="6400800"/>
          <a:ext cx="5852160" cy="0"/>
        </a:xfrm>
        <a:prstGeom prst="line">
          <a:avLst/>
        </a:prstGeom>
        <a:ln w="28575">
          <a:solidFill>
            <a:srgbClr val="00793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23</xdr:row>
      <xdr:rowOff>0</xdr:rowOff>
    </xdr:from>
    <xdr:to>
      <xdr:col>9</xdr:col>
      <xdr:colOff>0</xdr:colOff>
      <xdr:row>30</xdr:row>
      <xdr:rowOff>0</xdr:rowOff>
    </xdr:to>
    <mc:AlternateContent xmlns:mc="http://schemas.openxmlformats.org/markup-compatibility/2006">
      <mc:Choice xmlns:cx1="http://schemas.microsoft.com/office/drawing/2015/9/8/chartex" Requires="cx1">
        <xdr:graphicFrame macro="">
          <xdr:nvGraphicFramePr>
            <xdr:cNvPr id="15" name="Chart_Cost_Mill">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238875" y="52578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25</xdr:row>
      <xdr:rowOff>0</xdr:rowOff>
    </xdr:from>
    <xdr:to>
      <xdr:col>9</xdr:col>
      <xdr:colOff>0</xdr:colOff>
      <xdr:row>32</xdr:row>
      <xdr:rowOff>0</xdr:rowOff>
    </xdr:to>
    <mc:AlternateContent xmlns:mc="http://schemas.openxmlformats.org/markup-compatibility/2006">
      <mc:Choice xmlns:cx1="http://schemas.microsoft.com/office/drawing/2015/9/8/chartex" Requires="cx1">
        <xdr:graphicFrame macro="">
          <xdr:nvGraphicFramePr>
            <xdr:cNvPr id="29" name="Chart_Cost_Turn" hidden="1">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238875" y="57150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27</xdr:row>
      <xdr:rowOff>0</xdr:rowOff>
    </xdr:from>
    <xdr:to>
      <xdr:col>9</xdr:col>
      <xdr:colOff>0</xdr:colOff>
      <xdr:row>34</xdr:row>
      <xdr:rowOff>0</xdr:rowOff>
    </xdr:to>
    <mc:AlternateContent xmlns:mc="http://schemas.openxmlformats.org/markup-compatibility/2006">
      <mc:Choice xmlns:cx1="http://schemas.microsoft.com/office/drawing/2015/9/8/chartex" Requires="cx1">
        <xdr:graphicFrame macro="">
          <xdr:nvGraphicFramePr>
            <xdr:cNvPr id="30" name="Chart_Cost_Over" hidden="1">
              <a:extLst>
                <a:ext uri="{FF2B5EF4-FFF2-40B4-BE49-F238E27FC236}">
                  <a16:creationId xmlns:a16="http://schemas.microsoft.com/office/drawing/2014/main" id="{00000000-0008-0000-0800-00001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238875" y="61722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11</xdr:row>
      <xdr:rowOff>0</xdr:rowOff>
    </xdr:from>
    <xdr:to>
      <xdr:col>9</xdr:col>
      <xdr:colOff>0</xdr:colOff>
      <xdr:row>18</xdr:row>
      <xdr:rowOff>0</xdr:rowOff>
    </xdr:to>
    <mc:AlternateContent xmlns:mc="http://schemas.openxmlformats.org/markup-compatibility/2006">
      <mc:Choice xmlns:cx1="http://schemas.microsoft.com/office/drawing/2015/9/8/chartex" Requires="cx1">
        <xdr:graphicFrame macro="">
          <xdr:nvGraphicFramePr>
            <xdr:cNvPr id="14" name="Chart_Time_Mill">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6238875" y="2971800"/>
              <a:ext cx="5581650" cy="1600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11</xdr:row>
      <xdr:rowOff>0</xdr:rowOff>
    </xdr:from>
    <xdr:to>
      <xdr:col>9</xdr:col>
      <xdr:colOff>0</xdr:colOff>
      <xdr:row>21</xdr:row>
      <xdr:rowOff>0</xdr:rowOff>
    </xdr:to>
    <mc:AlternateContent xmlns:mc="http://schemas.openxmlformats.org/markup-compatibility/2006">
      <mc:Choice xmlns:cx1="http://schemas.microsoft.com/office/drawing/2015/9/8/chartex" Requires="cx1">
        <xdr:graphicFrame macro="">
          <xdr:nvGraphicFramePr>
            <xdr:cNvPr id="24" name="Chart_Time_Turn" hidden="1">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6238875" y="2971800"/>
              <a:ext cx="5581650" cy="205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11</xdr:row>
      <xdr:rowOff>0</xdr:rowOff>
    </xdr:from>
    <xdr:to>
      <xdr:col>9</xdr:col>
      <xdr:colOff>0</xdr:colOff>
      <xdr:row>24</xdr:row>
      <xdr:rowOff>0</xdr:rowOff>
    </xdr:to>
    <mc:AlternateContent xmlns:mc="http://schemas.openxmlformats.org/markup-compatibility/2006">
      <mc:Choice xmlns:cx1="http://schemas.microsoft.com/office/drawing/2015/9/8/chartex" Requires="cx1">
        <xdr:graphicFrame macro="">
          <xdr:nvGraphicFramePr>
            <xdr:cNvPr id="23" name="Chart_Time_Over" hidden="1">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6238875" y="2971800"/>
              <a:ext cx="5581650" cy="2514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xdr:col>
      <xdr:colOff>476250</xdr:colOff>
      <xdr:row>0</xdr:row>
      <xdr:rowOff>0</xdr:rowOff>
    </xdr:from>
    <xdr:ext cx="2962275" cy="685800"/>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7</xdr:col>
      <xdr:colOff>476250</xdr:colOff>
      <xdr:row>0</xdr:row>
      <xdr:rowOff>0</xdr:rowOff>
    </xdr:from>
    <xdr:ext cx="2962275" cy="685800"/>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12</xdr:col>
      <xdr:colOff>0</xdr:colOff>
      <xdr:row>0</xdr:row>
      <xdr:rowOff>0</xdr:rowOff>
    </xdr:from>
    <xdr:to>
      <xdr:col>19</xdr:col>
      <xdr:colOff>0</xdr:colOff>
      <xdr:row>1</xdr:row>
      <xdr:rowOff>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12039600" y="0"/>
          <a:ext cx="5934075" cy="68580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b="1"/>
            <a:t>TODO:</a:t>
          </a:r>
        </a:p>
        <a:p>
          <a:pPr algn="l"/>
          <a:r>
            <a:rPr lang="en-US" sz="1100" b="1" baseline="0"/>
            <a:t>&gt; Bottleneck chart: How to change if post-process or machining is not needed?</a:t>
          </a:r>
        </a:p>
      </xdr:txBody>
    </xdr:sp>
    <xdr:clientData/>
  </xdr:twoCellAnchor>
  <xdr:twoCellAnchor>
    <xdr:from>
      <xdr:col>6</xdr:col>
      <xdr:colOff>0</xdr:colOff>
      <xdr:row>17</xdr:row>
      <xdr:rowOff>0</xdr:rowOff>
    </xdr:from>
    <xdr:to>
      <xdr:col>11</xdr:col>
      <xdr:colOff>0</xdr:colOff>
      <xdr:row>23</xdr:row>
      <xdr:rowOff>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238875" y="43434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49</xdr:row>
      <xdr:rowOff>0</xdr:rowOff>
    </xdr:from>
    <xdr:to>
      <xdr:col>11</xdr:col>
      <xdr:colOff>1</xdr:colOff>
      <xdr:row>55</xdr:row>
      <xdr:rowOff>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238875" y="11658600"/>
              <a:ext cx="5581651"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24</xdr:row>
      <xdr:rowOff>0</xdr:rowOff>
    </xdr:from>
    <xdr:to>
      <xdr:col>11</xdr:col>
      <xdr:colOff>0</xdr:colOff>
      <xdr:row>30</xdr:row>
      <xdr:rowOff>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6238875" y="59436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31</xdr:row>
      <xdr:rowOff>0</xdr:rowOff>
    </xdr:from>
    <xdr:to>
      <xdr:col>11</xdr:col>
      <xdr:colOff>0</xdr:colOff>
      <xdr:row>37</xdr:row>
      <xdr:rowOff>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238875" y="75438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20</xdr:row>
      <xdr:rowOff>0</xdr:rowOff>
    </xdr:from>
    <xdr:to>
      <xdr:col>4</xdr:col>
      <xdr:colOff>0</xdr:colOff>
      <xdr:row>27</xdr:row>
      <xdr:rowOff>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28</xdr:row>
      <xdr:rowOff>0</xdr:rowOff>
    </xdr:from>
    <xdr:to>
      <xdr:col>4</xdr:col>
      <xdr:colOff>0</xdr:colOff>
      <xdr:row>36</xdr:row>
      <xdr:rowOff>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0</xdr:colOff>
      <xdr:row>56</xdr:row>
      <xdr:rowOff>0</xdr:rowOff>
    </xdr:from>
    <xdr:to>
      <xdr:col>11</xdr:col>
      <xdr:colOff>0</xdr:colOff>
      <xdr:row>62</xdr:row>
      <xdr:rowOff>0</xdr:rowOff>
    </xdr:to>
    <mc:AlternateContent xmlns:mc="http://schemas.openxmlformats.org/markup-compatibility/2006">
      <mc:Choice xmlns:cx1="http://schemas.microsoft.com/office/drawing/2015/9/8/chartex" Requires="cx1">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238875" y="132588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63</xdr:row>
      <xdr:rowOff>0</xdr:rowOff>
    </xdr:from>
    <xdr:to>
      <xdr:col>11</xdr:col>
      <xdr:colOff>0</xdr:colOff>
      <xdr:row>69</xdr:row>
      <xdr:rowOff>0</xdr:rowOff>
    </xdr:to>
    <mc:AlternateContent xmlns:mc="http://schemas.openxmlformats.org/markup-compatibility/2006">
      <mc:Choice xmlns:cx1="http://schemas.microsoft.com/office/drawing/2015/9/8/chartex" Requires="cx1">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238875" y="148590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70</xdr:row>
      <xdr:rowOff>0</xdr:rowOff>
    </xdr:from>
    <xdr:to>
      <xdr:col>11</xdr:col>
      <xdr:colOff>0</xdr:colOff>
      <xdr:row>75</xdr:row>
      <xdr:rowOff>219456</xdr:rowOff>
    </xdr:to>
    <mc:AlternateContent xmlns:mc="http://schemas.openxmlformats.org/markup-compatibility/2006">
      <mc:Choice xmlns:cx1="http://schemas.microsoft.com/office/drawing/2015/9/8/chartex" Requires="cx1">
        <xdr:graphicFrame macro="">
          <xdr:nvGraphicFramePr>
            <xdr:cNvPr id="19" name="Chart 18">
              <a:extLst>
                <a:ext uri="{FF2B5EF4-FFF2-40B4-BE49-F238E27FC236}">
                  <a16:creationId xmlns:a16="http://schemas.microsoft.com/office/drawing/2014/main" id="{00000000-0008-0000-0900-00001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238875" y="16459200"/>
              <a:ext cx="5581650" cy="136245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0</xdr:colOff>
      <xdr:row>0</xdr:row>
      <xdr:rowOff>0</xdr:rowOff>
    </xdr:from>
    <xdr:to>
      <xdr:col>1</xdr:col>
      <xdr:colOff>1972310</xdr:colOff>
      <xdr:row>1</xdr:row>
      <xdr:rowOff>0</xdr:rowOff>
    </xdr:to>
    <xdr:pic>
      <xdr:nvPicPr>
        <xdr:cNvPr id="11" name="Picture 10">
          <a:extLst>
            <a:ext uri="{FF2B5EF4-FFF2-40B4-BE49-F238E27FC236}">
              <a16:creationId xmlns:a16="http://schemas.microsoft.com/office/drawing/2014/main" id="{00000000-0008-0000-0900-00000B000000}"/>
            </a:ext>
          </a:extLst>
        </xdr:cNvPr>
        <xdr:cNvPicPr>
          <a:picLocks noChangeAspect="1"/>
        </xdr:cNvPicPr>
      </xdr:nvPicPr>
      <xdr:blipFill rotWithShape="1">
        <a:blip xmlns:r="http://schemas.openxmlformats.org/officeDocument/2006/relationships" r:embed="rId10"/>
        <a:srcRect l="-7757" t="-31000" r="-7757" b="-19000"/>
        <a:stretch/>
      </xdr:blipFill>
      <xdr:spPr>
        <a:xfrm>
          <a:off x="0" y="0"/>
          <a:ext cx="2185035" cy="685800"/>
        </a:xfrm>
        <a:prstGeom prst="rect">
          <a:avLst/>
        </a:prstGeom>
      </xdr:spPr>
    </xdr:pic>
    <xdr:clientData/>
  </xdr:twoCellAnchor>
  <xdr:twoCellAnchor>
    <xdr:from>
      <xdr:col>6</xdr:col>
      <xdr:colOff>0</xdr:colOff>
      <xdr:row>38</xdr:row>
      <xdr:rowOff>0</xdr:rowOff>
    </xdr:from>
    <xdr:to>
      <xdr:col>11</xdr:col>
      <xdr:colOff>0</xdr:colOff>
      <xdr:row>44</xdr:row>
      <xdr:rowOff>0</xdr:rowOff>
    </xdr:to>
    <mc:AlternateContent xmlns:mc="http://schemas.openxmlformats.org/markup-compatibility/2006">
      <mc:Choice xmlns:cx1="http://schemas.microsoft.com/office/drawing/2015/9/8/chartex" Requires="cx1">
        <xdr:graphicFrame macro="">
          <xdr:nvGraphicFramePr>
            <xdr:cNvPr id="20" name="Chart 19">
              <a:extLst>
                <a:ext uri="{FF2B5EF4-FFF2-40B4-BE49-F238E27FC236}">
                  <a16:creationId xmlns:a16="http://schemas.microsoft.com/office/drawing/2014/main" id="{00000000-0008-0000-0900-00001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6238875" y="91440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9525</xdr:colOff>
      <xdr:row>0</xdr:row>
      <xdr:rowOff>0</xdr:rowOff>
    </xdr:from>
    <xdr:to>
      <xdr:col>7</xdr:col>
      <xdr:colOff>29210</xdr:colOff>
      <xdr:row>1</xdr:row>
      <xdr:rowOff>0</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rotWithShape="1">
        <a:blip xmlns:r="http://schemas.openxmlformats.org/officeDocument/2006/relationships" r:embed="rId10"/>
        <a:srcRect l="-7757" t="-31000" r="-7757" b="-19000"/>
        <a:stretch/>
      </xdr:blipFill>
      <xdr:spPr>
        <a:xfrm>
          <a:off x="6029325" y="0"/>
          <a:ext cx="2105660" cy="685800"/>
        </a:xfrm>
        <a:prstGeom prst="rect">
          <a:avLst/>
        </a:prstGeom>
      </xdr:spPr>
    </xdr:pic>
    <xdr:clientData/>
  </xdr:twoCellAnchor>
  <xdr:oneCellAnchor>
    <xdr:from>
      <xdr:col>2</xdr:col>
      <xdr:colOff>476250</xdr:colOff>
      <xdr:row>0</xdr:row>
      <xdr:rowOff>0</xdr:rowOff>
    </xdr:from>
    <xdr:ext cx="2962275" cy="685800"/>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8</xdr:col>
      <xdr:colOff>257175</xdr:colOff>
      <xdr:row>0</xdr:row>
      <xdr:rowOff>0</xdr:rowOff>
    </xdr:from>
    <xdr:ext cx="2962275" cy="685800"/>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1972310</xdr:colOff>
      <xdr:row>1</xdr:row>
      <xdr:rowOff>0</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rotWithShape="1">
        <a:blip xmlns:r="http://schemas.openxmlformats.org/officeDocument/2006/relationships" r:embed="rId1"/>
        <a:srcRect l="-7757" t="-31000" r="-7757" b="-19000"/>
        <a:stretch/>
      </xdr:blipFill>
      <xdr:spPr>
        <a:xfrm>
          <a:off x="0" y="0"/>
          <a:ext cx="2200910" cy="685800"/>
        </a:xfrm>
        <a:prstGeom prst="rect">
          <a:avLst/>
        </a:prstGeom>
      </xdr:spPr>
    </xdr:pic>
    <xdr:clientData/>
  </xdr:twoCellAnchor>
  <xdr:twoCellAnchor>
    <xdr:from>
      <xdr:col>1</xdr:col>
      <xdr:colOff>0</xdr:colOff>
      <xdr:row>17</xdr:row>
      <xdr:rowOff>0</xdr:rowOff>
    </xdr:from>
    <xdr:to>
      <xdr:col>4</xdr:col>
      <xdr:colOff>0</xdr:colOff>
      <xdr:row>22</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xdr:colOff>
      <xdr:row>23</xdr:row>
      <xdr:rowOff>0</xdr:rowOff>
    </xdr:from>
    <xdr:to>
      <xdr:col>4</xdr:col>
      <xdr:colOff>1</xdr:colOff>
      <xdr:row>29</xdr:row>
      <xdr:rowOff>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19076" y="57150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xdr:colOff>
      <xdr:row>30</xdr:row>
      <xdr:rowOff>0</xdr:rowOff>
    </xdr:from>
    <xdr:to>
      <xdr:col>4</xdr:col>
      <xdr:colOff>1</xdr:colOff>
      <xdr:row>36</xdr:row>
      <xdr:rowOff>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19076" y="73152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17</xdr:row>
      <xdr:rowOff>0</xdr:rowOff>
    </xdr:from>
    <xdr:to>
      <xdr:col>9</xdr:col>
      <xdr:colOff>0</xdr:colOff>
      <xdr:row>22</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xdr:colOff>
      <xdr:row>23</xdr:row>
      <xdr:rowOff>0</xdr:rowOff>
    </xdr:from>
    <xdr:to>
      <xdr:col>9</xdr:col>
      <xdr:colOff>1</xdr:colOff>
      <xdr:row>29</xdr:row>
      <xdr:rowOff>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6238876" y="57150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1</xdr:colOff>
      <xdr:row>30</xdr:row>
      <xdr:rowOff>0</xdr:rowOff>
    </xdr:from>
    <xdr:to>
      <xdr:col>9</xdr:col>
      <xdr:colOff>1</xdr:colOff>
      <xdr:row>36</xdr:row>
      <xdr:rowOff>0</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238876" y="7315200"/>
              <a:ext cx="5581650" cy="1371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5</xdr:col>
      <xdr:colOff>9525</xdr:colOff>
      <xdr:row>0</xdr:row>
      <xdr:rowOff>0</xdr:rowOff>
    </xdr:from>
    <xdr:ext cx="2185035" cy="685800"/>
    <xdr:pic>
      <xdr:nvPicPr>
        <xdr:cNvPr id="11" name="Picture 10">
          <a:extLst>
            <a:ext uri="{FF2B5EF4-FFF2-40B4-BE49-F238E27FC236}">
              <a16:creationId xmlns:a16="http://schemas.microsoft.com/office/drawing/2014/main" id="{00000000-0008-0000-0A00-00000B000000}"/>
            </a:ext>
          </a:extLst>
        </xdr:cNvPr>
        <xdr:cNvPicPr>
          <a:picLocks noChangeAspect="1"/>
        </xdr:cNvPicPr>
      </xdr:nvPicPr>
      <xdr:blipFill rotWithShape="1">
        <a:blip xmlns:r="http://schemas.openxmlformats.org/officeDocument/2006/relationships" r:embed="rId1"/>
        <a:srcRect l="-7757" t="-31000" r="-7757" b="-19000"/>
        <a:stretch/>
      </xdr:blipFill>
      <xdr:spPr>
        <a:xfrm>
          <a:off x="6029325" y="0"/>
          <a:ext cx="2185035" cy="685800"/>
        </a:xfrm>
        <a:prstGeom prst="rect">
          <a:avLst/>
        </a:prstGeom>
      </xdr:spPr>
    </xdr:pic>
    <xdr:clientData/>
  </xdr:oneCellAnchor>
  <xdr:oneCellAnchor>
    <xdr:from>
      <xdr:col>10</xdr:col>
      <xdr:colOff>9525</xdr:colOff>
      <xdr:row>0</xdr:row>
      <xdr:rowOff>0</xdr:rowOff>
    </xdr:from>
    <xdr:ext cx="2185035" cy="685800"/>
    <xdr:pic>
      <xdr:nvPicPr>
        <xdr:cNvPr id="15" name="Picture 14">
          <a:extLst>
            <a:ext uri="{FF2B5EF4-FFF2-40B4-BE49-F238E27FC236}">
              <a16:creationId xmlns:a16="http://schemas.microsoft.com/office/drawing/2014/main" id="{00000000-0008-0000-0A00-00000F000000}"/>
            </a:ext>
          </a:extLst>
        </xdr:cNvPr>
        <xdr:cNvPicPr>
          <a:picLocks noChangeAspect="1"/>
        </xdr:cNvPicPr>
      </xdr:nvPicPr>
      <xdr:blipFill rotWithShape="1">
        <a:blip xmlns:r="http://schemas.openxmlformats.org/officeDocument/2006/relationships" r:embed="rId1"/>
        <a:srcRect l="-7757" t="-31000" r="-7757" b="-19000"/>
        <a:stretch/>
      </xdr:blipFill>
      <xdr:spPr>
        <a:xfrm>
          <a:off x="12049125" y="0"/>
          <a:ext cx="2185035" cy="685800"/>
        </a:xfrm>
        <a:prstGeom prst="rect">
          <a:avLst/>
        </a:prstGeom>
      </xdr:spPr>
    </xdr:pic>
    <xdr:clientData/>
  </xdr:oneCellAnchor>
  <xdr:twoCellAnchor>
    <xdr:from>
      <xdr:col>10</xdr:col>
      <xdr:colOff>219074</xdr:colOff>
      <xdr:row>5</xdr:row>
      <xdr:rowOff>0</xdr:rowOff>
    </xdr:from>
    <xdr:to>
      <xdr:col>14</xdr:col>
      <xdr:colOff>0</xdr:colOff>
      <xdr:row>12</xdr:row>
      <xdr:rowOff>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0</xdr:colOff>
      <xdr:row>14</xdr:row>
      <xdr:rowOff>0</xdr:rowOff>
    </xdr:from>
    <xdr:to>
      <xdr:col>14</xdr:col>
      <xdr:colOff>1</xdr:colOff>
      <xdr:row>21</xdr:row>
      <xdr:rowOff>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0</xdr:colOff>
      <xdr:row>23</xdr:row>
      <xdr:rowOff>0</xdr:rowOff>
    </xdr:from>
    <xdr:to>
      <xdr:col>14</xdr:col>
      <xdr:colOff>1</xdr:colOff>
      <xdr:row>30</xdr:row>
      <xdr:rowOff>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2</xdr:col>
      <xdr:colOff>476250</xdr:colOff>
      <xdr:row>0</xdr:row>
      <xdr:rowOff>0</xdr:rowOff>
    </xdr:from>
    <xdr:ext cx="2962275" cy="685800"/>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30575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7</xdr:col>
      <xdr:colOff>476250</xdr:colOff>
      <xdr:row>0</xdr:row>
      <xdr:rowOff>0</xdr:rowOff>
    </xdr:from>
    <xdr:ext cx="2962275" cy="685800"/>
    <xdr:sp macro="" textlink="">
      <xdr:nvSpPr>
        <xdr:cNvPr id="17" name="TextBox 16">
          <a:extLst>
            <a:ext uri="{FF2B5EF4-FFF2-40B4-BE49-F238E27FC236}">
              <a16:creationId xmlns:a16="http://schemas.microsoft.com/office/drawing/2014/main" id="{00000000-0008-0000-0A00-000011000000}"/>
            </a:ext>
          </a:extLst>
        </xdr:cNvPr>
        <xdr:cNvSpPr txBox="1"/>
      </xdr:nvSpPr>
      <xdr:spPr>
        <a:xfrm>
          <a:off x="90773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oneCellAnchor>
    <xdr:from>
      <xdr:col>12</xdr:col>
      <xdr:colOff>476250</xdr:colOff>
      <xdr:row>0</xdr:row>
      <xdr:rowOff>0</xdr:rowOff>
    </xdr:from>
    <xdr:ext cx="2962275" cy="685800"/>
    <xdr:sp macro="" textlink="">
      <xdr:nvSpPr>
        <xdr:cNvPr id="19" name="TextBox 18">
          <a:extLst>
            <a:ext uri="{FF2B5EF4-FFF2-40B4-BE49-F238E27FC236}">
              <a16:creationId xmlns:a16="http://schemas.microsoft.com/office/drawing/2014/main" id="{00000000-0008-0000-0A00-000013000000}"/>
            </a:ext>
          </a:extLst>
        </xdr:cNvPr>
        <xdr:cNvSpPr txBox="1"/>
      </xdr:nvSpPr>
      <xdr:spPr>
        <a:xfrm>
          <a:off x="15097125" y="0"/>
          <a:ext cx="296227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imes New Roman" panose="02020603050405020304" pitchFamily="18" charset="0"/>
              <a:cs typeface="Times New Roman" panose="02020603050405020304" pitchFamily="18" charset="0"/>
            </a:rPr>
            <a:t>Additive Manufacturing Cost Assessment Calculator</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ED10B0-757E-4706-80AE-118277E29D30}" name="Table20" displayName="Table20" ref="B5:C8" totalsRowShown="0" headerRowDxfId="212" dataDxfId="211">
  <autoFilter ref="B5:C8" xr:uid="{5FED10B0-757E-4706-80AE-118277E29D30}"/>
  <tableColumns count="2">
    <tableColumn id="1" xr3:uid="{BDE59781-F202-40A5-9358-D5CA4D0D11EC}" name="Input" dataDxfId="210"/>
    <tableColumn id="2" xr3:uid="{6DAB8DCA-6329-43F4-AA92-01D5C1DE4236}" name="Value" dataDxfId="209" dataCellStyle="Input"/>
  </tableColumns>
  <tableStyleInfo name="Input_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93E819-CB4F-4C93-A918-B014952A432F}" name="Table23" displayName="Table23" ref="B17:C28" totalsRowShown="0" headerRowDxfId="208" dataDxfId="207">
  <autoFilter ref="B17:C28" xr:uid="{6493E819-CB4F-4C93-A918-B014952A432F}"/>
  <tableColumns count="2">
    <tableColumn id="1" xr3:uid="{90D198D6-8E6E-475F-B1F2-6304A47198ED}" name="Saved Scenarios" dataDxfId="206"/>
    <tableColumn id="2" xr3:uid="{1022299C-DECC-4C2D-973A-22B52B686B61}" name="Date" dataDxfId="205"/>
  </tableColumns>
  <tableStyleInfo name="Output_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967195C-B4C0-4C7E-B5CE-E6C2ADD6EC98}" name="Geometry_In" displayName="Geometry_In" ref="B7:D11" totalsRowShown="0" headerRowDxfId="204" dataDxfId="203">
  <autoFilter ref="B7:D11" xr:uid="{8967195C-B4C0-4C7E-B5CE-E6C2ADD6EC98}"/>
  <tableColumns count="3">
    <tableColumn id="1" xr3:uid="{5B649F0A-FFDF-4654-86F0-DAC8236BB947}" name="Input" dataDxfId="202"/>
    <tableColumn id="2" xr3:uid="{BCB7A6EB-F51B-4CB8-95A3-DB46DD4AC0D0}" name="Unit" dataDxfId="201"/>
    <tableColumn id="3" xr3:uid="{9A021FB5-10ED-4AFE-853D-C7FE12C3E491}" name="Value" dataDxfId="200" dataCellStyle="Input"/>
  </tableColumns>
  <tableStyleInfo name="Input_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E4DEBF-7F65-41F5-8CAA-CA53CF9E7DCE}" name="Geometry_Out" displayName="Geometry_Out" ref="B13:D15" totalsRowShown="0" headerRowDxfId="199">
  <autoFilter ref="B13:D15" xr:uid="{C2E4DEBF-7F65-41F5-8CAA-CA53CF9E7DCE}"/>
  <tableColumns count="3">
    <tableColumn id="1" xr3:uid="{831C902E-0627-4954-AD53-E802D9566A22}" name="Output" dataDxfId="198"/>
    <tableColumn id="2" xr3:uid="{6C2E8167-16D0-459E-A765-5E50ABB1214D}" name="Unit" dataDxfId="197"/>
    <tableColumn id="3" xr3:uid="{F18DFB70-A996-42FD-B531-1863D7836C6E}" name="Value" dataDxfId="196" dataCellStyle="Output">
      <calculatedColumnFormula>D10/D13</calculatedColumnFormula>
    </tableColumn>
  </tableColumns>
  <tableStyleInfo name="Output_Tab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1C6F047-D632-4F49-8F38-223CA917FBED}" name="Material_Database" displayName="Material_Database" ref="B17:D21" totalsRowShown="0" headerRowDxfId="195" dataDxfId="194">
  <autoFilter ref="B17:D21" xr:uid="{C1C6F047-D632-4F49-8F38-223CA917FBED}"/>
  <tableColumns count="3">
    <tableColumn id="1" xr3:uid="{B6BCEC24-206A-4310-9D6C-D5373D1ED04C}" name="Database" dataDxfId="193"/>
    <tableColumn id="2" xr3:uid="{02F4137C-4BB5-44FE-AE82-27A67A25B340}" name="Unit" dataDxfId="192"/>
    <tableColumn id="3" xr3:uid="{0A8F4271-503C-409F-AD6B-26BB9832E6CD}" name="Value(s)" dataDxfId="191"/>
  </tableColumns>
  <tableStyleInfo name="Output_Tab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D12B76E-7A65-4357-A9AB-8F5E90B8A262}" name="Material_In" displayName="Material_In" ref="B23:D30" totalsRowShown="0" headerRowDxfId="190" dataDxfId="189">
  <autoFilter ref="B23:D30" xr:uid="{DD12B76E-7A65-4357-A9AB-8F5E90B8A262}"/>
  <tableColumns count="3">
    <tableColumn id="1" xr3:uid="{A8B75F6B-B9B5-4195-838F-48FF419BE435}" name="Input" dataDxfId="188"/>
    <tableColumn id="2" xr3:uid="{C30C128B-C3ED-4C38-860C-E62E79C9D084}" name="Unit" dataDxfId="187"/>
    <tableColumn id="3" xr3:uid="{9C610820-1E5A-4B03-8C53-D538FD457BCC}" name="Value" dataDxfId="186" dataCellStyle="Input"/>
  </tableColumns>
  <tableStyleInfo name="Input_Tab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FB8B22-21B0-4AB0-B777-DD4557751C8E}" name="Material_Out" displayName="Material_Out" ref="B32:D34" totalsRowShown="0" headerRowDxfId="185" dataDxfId="184">
  <autoFilter ref="B32:D34" xr:uid="{AEFB8B22-21B0-4AB0-B777-DD4557751C8E}"/>
  <tableColumns count="3">
    <tableColumn id="1" xr3:uid="{F8E10C82-5A80-4EF6-8FA1-2A2DB36C8146}" name="Output" dataDxfId="183"/>
    <tableColumn id="2" xr3:uid="{C3751F49-4E04-4D34-B207-21F8F16AEFB9}" name="Unit" dataDxfId="182"/>
    <tableColumn id="3" xr3:uid="{1C8FF4BA-3C51-47AF-AFFF-4C3C77E047E3}" name="Value" dataDxfId="181">
      <calculatedColumnFormula>(1-$D$26)*D29 + $D$26*D27</calculatedColumnFormula>
    </tableColumn>
  </tableColumns>
  <tableStyleInfo name="Output_Tab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7D68A797-58D9-4D0D-A483-6B4CA3D49D04}" name="Deposition_Database25" displayName="Deposition_Database25" ref="B15:D22" totalsRowShown="0" headerRowDxfId="179" dataDxfId="178">
  <autoFilter ref="B15:D22" xr:uid="{0AC13384-9FF3-46BF-8D62-BA5C6A17C129}"/>
  <tableColumns count="3">
    <tableColumn id="1" xr3:uid="{1E968B92-1E5C-4310-A684-7DD142E7D3F0}" name="Database" dataDxfId="177"/>
    <tableColumn id="2" xr3:uid="{8289823C-BBEB-4A60-B693-473EE51B40D3}" name="Unit" dataDxfId="176"/>
    <tableColumn id="3" xr3:uid="{509D4D49-E06D-46EF-A97D-68B282596A86}" name="Value(s)" dataDxfId="175"/>
  </tableColumns>
  <tableStyleInfo name="Output_Tab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540F21D-2BB9-4A34-AF85-E3570B9D2AF6}" name="Deposition_In42" displayName="Deposition_In42" ref="B24:D38" totalsRowShown="0" headerRowDxfId="174" dataDxfId="173">
  <autoFilter ref="B24:D38" xr:uid="{A4AA497A-A90D-4758-B64C-8290C5DF7A71}"/>
  <tableColumns count="3">
    <tableColumn id="1" xr3:uid="{C41EBC98-6C7E-4DC4-B569-EF3B192ABEA0}" name="Process Inputs" dataDxfId="172"/>
    <tableColumn id="2" xr3:uid="{3A7BBA0E-B4A5-44DA-B2B6-C02DAD8346A8}" name="Unit" dataDxfId="171"/>
    <tableColumn id="3" xr3:uid="{C5C96BDC-92C4-4F89-95A7-277328089A51}" name="Value" dataDxfId="170" dataCellStyle="Input"/>
  </tableColumns>
  <tableStyleInfo name="Input_Tabl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657F61D3-7177-4117-A041-B1487384847A}" name="TEA_Dep_Costs43" displayName="TEA_Dep_Costs43" ref="B45:D60" totalsRowShown="0" headerRowDxfId="169" dataDxfId="168">
  <autoFilter ref="B45:D60" xr:uid="{52121B31-96F5-463A-9DD7-474870FFC3BA}"/>
  <tableColumns count="3">
    <tableColumn id="1" xr3:uid="{81720548-79FB-48CA-B206-5EE0A1DA0862}" name="Operations Inputs" dataDxfId="167"/>
    <tableColumn id="2" xr3:uid="{369D2A2B-E484-4A1B-9710-7EEBE52C3823}" name="Unit" dataDxfId="166"/>
    <tableColumn id="3" xr3:uid="{D554843D-472F-4B94-A668-9B67C88BBD08}" name="Value" dataDxfId="165"/>
  </tableColumns>
  <tableStyleInfo name="Input_Table"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27F1A92-C83A-42E5-BE49-A04FBD00925C}" name="Deposition_Out45" displayName="Deposition_Out45" ref="G5:I11" totalsRowShown="0" headerRowDxfId="164" dataDxfId="163">
  <autoFilter ref="G5:I11" xr:uid="{E34C5B36-9486-4DE0-99E1-D083BB9B41DD}"/>
  <tableColumns count="3">
    <tableColumn id="1" xr3:uid="{EA79B085-13A4-46BE-9B8C-5E40CF1A9E60}" name="Output" dataDxfId="162"/>
    <tableColumn id="2" xr3:uid="{8BF19AC8-7FF9-4013-A2C5-6F93C4659EBF}" name="Unit" dataDxfId="161"/>
    <tableColumn id="3" xr3:uid="{8BEA01FE-20B1-47EB-9A91-5E69375D84BD}" name="Value" dataDxfId="160" dataCellStyle="Output"/>
  </tableColumns>
  <tableStyleInfo name="Output_Tabl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1023BF0A-DD71-414A-BC3E-7DDF703CF786}" name="PP_ProcessInputs46" displayName="PP_ProcessInputs46" ref="B15:D21" totalsRowShown="0" headerRowDxfId="159" dataDxfId="158">
  <autoFilter ref="B15:D21" xr:uid="{3DB0AEF8-4796-4E9D-9A9F-0EF1EF8AB543}"/>
  <tableColumns count="3">
    <tableColumn id="1" xr3:uid="{5FBE44F8-93AF-43EA-BA89-378293B9AB4E}" name="Process Inputs" dataDxfId="157"/>
    <tableColumn id="2" xr3:uid="{80A3981B-028D-417B-B2A1-9A25BB7F305F}" name="Unit" dataDxfId="156"/>
    <tableColumn id="3" xr3:uid="{3AD0FC02-8B91-4371-AD54-56AE1DBFB80C}" name="Value" dataDxfId="155" dataCellStyle="Input"/>
  </tableColumns>
  <tableStyleInfo name="Input_Table"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1C3CC96A-0FBB-42E4-920F-0338D105C0E3}" name="Table3047" displayName="Table3047" ref="B24:D35" totalsRowShown="0" headerRowDxfId="154" dataDxfId="153">
  <autoFilter ref="B24:D35" xr:uid="{1A14F5E4-FD03-4BA0-8619-744AB3D7D18B}"/>
  <tableColumns count="3">
    <tableColumn id="1" xr3:uid="{96ED44BE-4C0E-4882-A204-725375C935D0}" name="Operations Inputs" dataDxfId="152"/>
    <tableColumn id="2" xr3:uid="{D87C9A8F-1673-4985-AA2C-0EABAF406D76}" name="Unit" dataDxfId="151"/>
    <tableColumn id="3" xr3:uid="{252B88D1-3A08-4A2A-A4D4-074F3E2BAC0A}" name="Value" dataDxfId="150" dataCellStyle="Input"/>
  </tableColumns>
  <tableStyleInfo name="Input_Tabl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4FA485F-4C3F-493C-A796-19503C83E44B}" name="Table3249" displayName="Table3249" ref="G5:I8" totalsRowShown="0" headerRowDxfId="149" dataDxfId="148">
  <autoFilter ref="G5:I8" xr:uid="{A9D4C05D-5984-4AA4-83D5-57F84D257494}"/>
  <tableColumns count="3">
    <tableColumn id="1" xr3:uid="{D7793172-71FE-4327-B9C9-CE8B5B741D87}" name="Output" dataDxfId="147"/>
    <tableColumn id="2" xr3:uid="{8F25F988-2C01-44F3-96F4-0566FE57DF23}" name="Unit" dataDxfId="146"/>
    <tableColumn id="3" xr3:uid="{B796009C-8530-40B2-B5BB-C3AC291BA58C}" name="Value" dataDxfId="145"/>
  </tableColumns>
  <tableStyleInfo name="Output_Table"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B2225CA-F10A-465D-922A-3242655E1261}" name="Table303650" displayName="Table303650" ref="B28:D39" totalsRowShown="0" headerRowDxfId="144" dataDxfId="143">
  <autoFilter ref="B28:D39" xr:uid="{AC8AF1FD-969A-412D-9F45-286A1C9D15A6}"/>
  <tableColumns count="3">
    <tableColumn id="1" xr3:uid="{C85BF37B-D052-490E-8CE5-18E85166954C}" name="Operations Inputs" dataDxfId="142"/>
    <tableColumn id="2" xr3:uid="{2647C2C6-6AE0-4449-AEEB-F8D8DE104EC6}" name="Unit" dataDxfId="141"/>
    <tableColumn id="3" xr3:uid="{78E9786B-801D-4F8A-8CDF-1505A19DD2CA}" name="Value" dataDxfId="140" dataCellStyle="Input"/>
  </tableColumns>
  <tableStyleInfo name="Input_Table"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19231778-F60F-4538-97A2-B72906F85CA9}" name="Table3752" displayName="Table3752" ref="B15:D25" totalsRowShown="0" headerRowDxfId="139" dataDxfId="138">
  <autoFilter ref="B15:D25" xr:uid="{8EA895A2-41DF-4C48-A71A-F90D0717E372}"/>
  <tableColumns count="3">
    <tableColumn id="1" xr3:uid="{B7EDEE2B-A143-4D08-B022-F15050C57063}" name="Process Inputs" dataDxfId="137"/>
    <tableColumn id="2" xr3:uid="{533AF0B4-CEC8-450B-BEF5-1EFF7FE898A2}" name="Unit" dataDxfId="136"/>
    <tableColumn id="3" xr3:uid="{C0D9BDFB-70D5-4729-BD92-B9EE741CCDCA}" name="Value" dataDxfId="135" dataCellStyle="Input"/>
  </tableColumns>
  <tableStyleInfo name="Input_Tab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A54CB89D-53FD-41B0-AD49-5E671B375334}" name="Table3853" displayName="Table3853" ref="G5:I8" totalsRowShown="0" headerRowDxfId="134" dataDxfId="133">
  <autoFilter ref="G5:I8" xr:uid="{5ACD23D7-FAD8-44EF-AC52-4EB2526DD075}"/>
  <tableColumns count="3">
    <tableColumn id="1" xr3:uid="{3C7F943C-8CB5-451D-811D-3F9468809DBA}" name="Output" dataDxfId="132"/>
    <tableColumn id="2" xr3:uid="{4B8BA8DB-DC3D-4835-BC9A-F78BD32A6CA3}" name="Unit" dataDxfId="131"/>
    <tableColumn id="3" xr3:uid="{42E38E58-4634-499E-8878-D181D5D15EBE}" name="Value" dataDxfId="130"/>
  </tableColumns>
  <tableStyleInfo name="Output_Tab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C02DA1-36C0-4792-B80A-0D2688D00F39}" name="Table2" displayName="Table2" ref="B5:D18" totalsRowShown="0" headerRowDxfId="129" dataDxfId="128">
  <autoFilter ref="B5:D18" xr:uid="{18C02DA1-36C0-4792-B80A-0D2688D00F39}">
    <filterColumn colId="0" hiddenButton="1"/>
    <filterColumn colId="1" hiddenButton="1"/>
    <filterColumn colId="2" hiddenButton="1"/>
  </autoFilter>
  <tableColumns count="3">
    <tableColumn id="1" xr3:uid="{78597676-FC65-476A-B123-AECD21DDDDBF}" name="Summary of Inputs" dataDxfId="127"/>
    <tableColumn id="2" xr3:uid="{0F379945-82B1-4787-B98F-AA81E54447F9}" name="Unit" dataDxfId="126"/>
    <tableColumn id="3" xr3:uid="{EF1550FC-C520-4F68-96E1-BB0510658893}" name="Value" dataDxfId="125"/>
  </tableColumns>
  <tableStyleInfo name="Output_Table"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646C9DB-5725-4359-BF2F-5858CEE169CA}" name="Table22" displayName="Table22" ref="G5:K15" totalsRowCount="1" headerRowDxfId="124" dataDxfId="123" totalsRowDxfId="122">
  <autoFilter ref="G5:K14" xr:uid="{E646C9DB-5725-4359-BF2F-5858CEE169CA}">
    <filterColumn colId="0" hiddenButton="1"/>
    <filterColumn colId="1" hiddenButton="1"/>
    <filterColumn colId="2" hiddenButton="1"/>
    <filterColumn colId="3" hiddenButton="1"/>
    <filterColumn colId="4" hiddenButton="1"/>
  </autoFilter>
  <tableColumns count="5">
    <tableColumn id="1" xr3:uid="{56D667B1-3379-4AE0-9894-2D5109252CC1}" name="Costs by Process" totalsRowLabel="Cost by Process" dataDxfId="121" totalsRowDxfId="120"/>
    <tableColumn id="2" xr3:uid="{8EF08C68-178A-4A65-B39F-B612AC45A488}" name="Unit" totalsRowLabel="$/part" dataDxfId="119" totalsRowDxfId="118"/>
    <tableColumn id="3" xr3:uid="{6096CDD9-57A2-4BAA-885D-07DD0E99AE94}" name="Printing" totalsRowFunction="sum" dataDxfId="117" totalsRowDxfId="116"/>
    <tableColumn id="4" xr3:uid="{4FC6BBE4-17D4-4C71-A288-1E67088BEE61}" name="Post Processing" totalsRowFunction="sum" dataDxfId="115" totalsRowDxfId="114"/>
    <tableColumn id="5" xr3:uid="{A5132660-3FD7-4D6B-A212-E1133DD8D3C0}" name="Machining" totalsRowFunction="sum" dataDxfId="113" totalsRowDxfId="112"/>
  </tableColumns>
  <tableStyleInfo name="Output_Table"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9EF0716-B05E-4F46-B75C-7444FF39650C}" name="Table26" displayName="Table26" ref="G46:K47" totalsRowShown="0" headerRowDxfId="111" dataDxfId="110">
  <autoFilter ref="G46:K47" xr:uid="{C9EF0716-B05E-4F46-B75C-7444FF39650C}">
    <filterColumn colId="0" hiddenButton="1"/>
    <filterColumn colId="1" hiddenButton="1"/>
    <filterColumn colId="2" hiddenButton="1"/>
    <filterColumn colId="3" hiddenButton="1"/>
    <filterColumn colId="4" hiddenButton="1"/>
  </autoFilter>
  <tableColumns count="5">
    <tableColumn id="1" xr3:uid="{4FBE2ACF-EE85-43FA-A79E-15F31119CFCD}" name="Time by Process" dataDxfId="109"/>
    <tableColumn id="2" xr3:uid="{1DEE59E6-695A-4675-ABA9-A1166356C166}" name="Unit" dataDxfId="108"/>
    <tableColumn id="3" xr3:uid="{0D4BDD83-4F8D-4ECB-8269-FC0F58554064}" name="Printing" dataDxfId="107">
      <calculatedColumnFormula>'TEA Backend'!Q8</calculatedColumnFormula>
    </tableColumn>
    <tableColumn id="4" xr3:uid="{1BDAEF6E-8117-4371-8362-2A263FF6A34C}" name="Post Processing" dataDxfId="106">
      <calculatedColumnFormula>'TEA Backend'!Q9</calculatedColumnFormula>
    </tableColumn>
    <tableColumn id="5" xr3:uid="{E714B79F-2F87-4F19-AF82-9A15819F1E8D}" name="Machining" dataDxfId="105">
      <calculatedColumnFormula>'TEA Backend'!Q10</calculatedColumnFormula>
    </tableColumn>
  </tableColumns>
  <tableStyleInfo name="Output_Table"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43E6E92-0BDC-43A4-879E-AFFB9119EE05}" name="Table29" displayName="Table29" ref="B5:D15" totalsRowShown="0">
  <autoFilter ref="B5:D15" xr:uid="{743E6E92-0BDC-43A4-879E-AFFB9119EE05}">
    <filterColumn colId="0" hiddenButton="1"/>
    <filterColumn colId="1" hiddenButton="1"/>
    <filterColumn colId="2" hiddenButton="1"/>
  </autoFilter>
  <tableColumns count="3">
    <tableColumn id="1" xr3:uid="{2CFBC2F6-500A-4328-8C7A-1974D5E31E53}" name="Output"/>
    <tableColumn id="2" xr3:uid="{80C8B594-E4B1-4B39-87BD-65C404F3035B}" name="Unit" dataDxfId="104"/>
    <tableColumn id="3" xr3:uid="{4E6D7D0D-182B-4BAE-A1C1-C54C1FA9323D}" name="Value" dataDxfId="103">
      <calculatedColumnFormula>_xlfn.XLOOKUP($D$3,'Saved Scenarios'!$C$2:$N$2,'Saved Scenarios'!C64:N64,"N/A",0)</calculatedColumnFormula>
    </tableColumn>
  </tableColumns>
  <tableStyleInfo name="Output_Table"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B5A0E40-1F0A-42B4-B741-0000D26A6A32}" name="Table2931" displayName="Table2931" ref="G5:I15" totalsRowShown="0">
  <autoFilter ref="G5:I15" xr:uid="{9B5A0E40-1F0A-42B4-B741-0000D26A6A32}"/>
  <tableColumns count="3">
    <tableColumn id="1" xr3:uid="{FF4BF143-19A7-474C-A8AE-A40601DE6CFC}" name="Output"/>
    <tableColumn id="2" xr3:uid="{C9294418-2D2D-4DAD-B9E1-168CF27896D4}" name="Unit" dataDxfId="102"/>
    <tableColumn id="3" xr3:uid="{2E2EF082-3945-4BF0-AA9C-66BFF35A8696}" name="Value" dataDxfId="101"/>
  </tableColumns>
  <tableStyleInfo name="Output_Table"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796C77A-54BB-413D-B3F5-91CE92EDC133}" name="Tbl_PRNT_Cost" displayName="Tbl_PRNT_Cost" ref="E151:G160" totalsRowCount="1" headerRowDxfId="100" dataDxfId="99" totalsRowDxfId="98">
  <autoFilter ref="E151:G159" xr:uid="{7796C77A-54BB-413D-B3F5-91CE92EDC133}"/>
  <tableColumns count="3">
    <tableColumn id="1" xr3:uid="{B94CA260-C697-49C3-961D-17BCDC7D6959}" name="Value" totalsRowLabel="Total" dataDxfId="97" totalsRowDxfId="96"/>
    <tableColumn id="2" xr3:uid="{E186CD45-0CDF-4046-A243-F610F4D42CAB}" name="Cost" totalsRowFunction="sum" dataDxfId="95" totalsRowDxfId="94"/>
    <tableColumn id="3" xr3:uid="{1413ED72-C523-4C8C-AF07-DBC3BCCD408D}" name="Percent" totalsRowFunction="sum" dataDxfId="93" totalsRowDxfId="92" dataCellStyle="Percent">
      <calculatedColumnFormula>Tbl_PRNT_Cost[[#This Row],[Cost]]/Tbl_PRNT_Cost[[#Totals],[Cost]]</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E11B58B-368C-4ED2-913E-61D1945D2EED}" name="Tbl_PRNT_Time" displayName="Tbl_PRNT_Time" ref="E145:G149" totalsRowCount="1" headerRowDxfId="91" dataDxfId="90" totalsRowDxfId="89">
  <autoFilter ref="E145:G148" xr:uid="{4E11B58B-368C-4ED2-913E-61D1945D2EED}"/>
  <tableColumns count="3">
    <tableColumn id="1" xr3:uid="{7B3B869F-31CB-4443-A351-2E60B69F0EBA}" name="Value" totalsRowLabel="Total" dataDxfId="88" totalsRowDxfId="87"/>
    <tableColumn id="2" xr3:uid="{7B8699A8-EF15-430D-9D94-7C670353C64F}" name="Time" totalsRowFunction="sum" dataDxfId="86" totalsRowDxfId="85">
      <calculatedColumnFormula>F117</calculatedColumnFormula>
    </tableColumn>
    <tableColumn id="3" xr3:uid="{CAAEFE6D-4DD3-4AAE-9D7A-B25A2662AE95}" name="Percent" totalsRowFunction="sum" dataDxfId="84" totalsRowDxfId="83" dataCellStyle="Percent" totalsRowCellStyle="Percent">
      <calculatedColumnFormula>Tbl_PRNT_Time[[#This Row],[Time]]/Tbl_PRNT_Time[[#Totals],[Time]]</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59F0901C-D897-4980-A07F-D2EC54F37AFB}" name="Tbl_PP_Time" displayName="Tbl_PP_Time" ref="E85:G90" totalsRowCount="1">
  <autoFilter ref="E85:G89" xr:uid="{59F0901C-D897-4980-A07F-D2EC54F37AFB}"/>
  <tableColumns count="3">
    <tableColumn id="1" xr3:uid="{C563A543-CE60-433E-A0B0-9FB50F3CDCFD}" name="Value" totalsRowLabel="Total"/>
    <tableColumn id="2" xr3:uid="{139AC7F5-C05C-4F55-B205-89386A1A2041}" name="Time" totalsRowFunction="sum" dataDxfId="82" totalsRowDxfId="81">
      <calculatedColumnFormula>F65</calculatedColumnFormula>
    </tableColumn>
    <tableColumn id="3" xr3:uid="{5942C211-4C05-46D5-A1D4-D6E885220751}" name="Percent" totalsRowFunction="sum" dataDxfId="80" totalsRowDxfId="79" dataCellStyle="Percent" totalsRowCellStyle="Percent">
      <calculatedColumnFormula>Tbl_PP_Time[[#This Row],[Time]]/Tbl_PP_Time[[#Totals],[Time]]</calculatedColumnFormula>
    </tableColumn>
  </tableColumns>
  <tableStyleInfo name="TableStyleMedium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7020B20-1C18-4325-86A4-158E61FC6ADF}" name="Tbl_PP_Cost" displayName="Tbl_PP_Cost" ref="E92:G99" totalsRowCount="1">
  <autoFilter ref="E92:G98" xr:uid="{37020B20-1C18-4325-86A4-158E61FC6ADF}"/>
  <tableColumns count="3">
    <tableColumn id="1" xr3:uid="{6440978F-DD5A-4CDA-A1D3-D9AC4F700C59}" name="Value" totalsRowLabel="Total"/>
    <tableColumn id="2" xr3:uid="{800A7A88-A612-47D2-BEFA-F0B0D4280C10}" name="Cost" totalsRowFunction="sum" dataDxfId="78" totalsRowDxfId="77">
      <calculatedColumnFormula>#REF!</calculatedColumnFormula>
    </tableColumn>
    <tableColumn id="3" xr3:uid="{F729B739-A836-4167-9015-2B617C583FBB}" name="Percent" totalsRowFunction="sum" dataDxfId="76" totalsRowDxfId="75" dataCellStyle="Percent">
      <calculatedColumnFormula>Tbl_PP_Cost[[#This Row],[Cost]]/Tbl_PP_Cost[[#Totals],[Cost]]</calculatedColumnFormula>
    </tableColumn>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4DF49FCA-3FB0-4C4C-B15F-7178CF529BB0}" name="Tbl_MCN_Time" displayName="Tbl_MCN_Time" ref="E95:G98" totalsRowCount="1">
  <autoFilter ref="E95:G97" xr:uid="{4DF49FCA-3FB0-4C4C-B15F-7178CF529BB0}"/>
  <tableColumns count="3">
    <tableColumn id="1" xr3:uid="{CC19D1D1-5D5F-4D36-ABA0-0409A5863BE5}" name="Value" totalsRowLabel="Total"/>
    <tableColumn id="2" xr3:uid="{C38D6B46-C01B-4261-8D98-AE51E315C004}" name="Time" totalsRowFunction="sum" dataDxfId="74" totalsRowDxfId="73">
      <calculatedColumnFormula>F75</calculatedColumnFormula>
    </tableColumn>
    <tableColumn id="3" xr3:uid="{DD8E099C-A9DA-4A35-BDF1-BE242B973273}" name="Percent" totalsRowFunction="sum" dataDxfId="72" totalsRowDxfId="71" dataCellStyle="Percent" totalsRowCellStyle="Percent">
      <calculatedColumnFormula>Tbl_MCN_Time[[#This Row],[Time]]/Tbl_MCN_Time[[#Totals],[Time]]</calculatedColumnFormula>
    </tableColumn>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F066052-7A38-4D7D-AF97-387805590C5A}" name="Tbl_MCN_Cost" displayName="Tbl_MCN_Cost" ref="E100:G108" totalsRowCount="1">
  <autoFilter ref="E100:G107" xr:uid="{8F066052-7A38-4D7D-AF97-387805590C5A}"/>
  <tableColumns count="3">
    <tableColumn id="1" xr3:uid="{60A00483-2C52-4F69-9CBB-C0138240431D}" name="Value" totalsRowLabel="Total"/>
    <tableColumn id="2" xr3:uid="{D249D499-8CB0-4AE9-981D-DA75AF91886C}" name="Cost" totalsRowFunction="sum" dataDxfId="70" totalsRowDxfId="69">
      <calculatedColumnFormula>#REF!</calculatedColumnFormula>
    </tableColumn>
    <tableColumn id="3" xr3:uid="{B3C976D7-01D4-4022-8AFF-2A0AA7132C44}" name="Percent" totalsRowFunction="sum" dataDxfId="68" totalsRowDxfId="67" dataCellStyle="Percent">
      <calculatedColumnFormula>Tbl_MCN_Cost[[#This Row],[Cost]]/Tbl_MCN_Cost[[#Totals],[Cost]]</calculatedColumnFormula>
    </tableColumn>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791487-4797-43A4-8475-1D6EAC46DCDD}" name="Tbl_Bottleneck7" displayName="Tbl_Bottleneck7" ref="K2:R5" totalsRowShown="0" headerRowDxfId="66" dataDxfId="65">
  <autoFilter ref="K2:R5" xr:uid="{D2791487-4797-43A4-8475-1D6EAC46DCDD}"/>
  <tableColumns count="8">
    <tableColumn id="1" xr3:uid="{933D778A-9F6F-410E-BA7D-0FA5192AED94}" name="Bottleneck"/>
    <tableColumn id="8" xr3:uid="{5523F634-86C5-48F1-864C-D7146F5C7984}" name="Max Out" dataDxfId="64"/>
    <tableColumn id="2" xr3:uid="{8B6EC644-C10A-48E3-B2B3-D64E9DCE898D}" name="PRNT Out" dataDxfId="63"/>
    <tableColumn id="3" xr3:uid="{03CDC57D-4951-4233-8959-ED7D5421054B}" name="PP Out" dataDxfId="62"/>
    <tableColumn id="4" xr3:uid="{7433827C-D0AC-41FF-972E-F000E34D104B}" name="FIN Out" dataDxfId="61"/>
    <tableColumn id="5" xr3:uid="{ABC55D4E-B88B-4685-AB96-F63312A63F23}" name="PRNT OPH" dataDxfId="60"/>
    <tableColumn id="6" xr3:uid="{A5EF6AA2-B742-46C9-947F-984ECA8DEE17}" name="PP OPH" dataDxfId="59"/>
    <tableColumn id="7" xr3:uid="{13BBCA34-87EC-4DCD-BC34-69E28F641F0D}" name="FIN OPH" dataDxfId="58"/>
  </tableColumns>
  <tableStyleInfo name="TableStyleMedium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2852B7-BCA5-4DC0-ACB1-DF34E965906A}" name="Tbl_MetalPrinters" displayName="Tbl_MetalPrinters" ref="A1:A5" totalsRowShown="0">
  <autoFilter ref="A1:A5" xr:uid="{7D2852B7-BCA5-4DC0-ACB1-DF34E965906A}"/>
  <sortState xmlns:xlrd2="http://schemas.microsoft.com/office/spreadsheetml/2017/richdata2" ref="A2:A5">
    <sortCondition ref="A1:A5"/>
  </sortState>
  <tableColumns count="1">
    <tableColumn id="1" xr3:uid="{CC2C3781-7A53-49B0-AF8A-31C652DC5ACE}" name="Metal Print Dropdown"/>
  </tableColumns>
  <tableStyleInfo name="TableStyleMedium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F90DB26-EBA5-445F-BE5B-916B6B291053}" name="Tbl_PolymerPrinters" displayName="Tbl_PolymerPrinters" ref="A8:A12" totalsRowShown="0">
  <autoFilter ref="A8:A12" xr:uid="{4F90DB26-EBA5-445F-BE5B-916B6B291053}"/>
  <tableColumns count="1">
    <tableColumn id="1" xr3:uid="{CCC036B4-1B95-4BEB-9B15-566978C7F394}" name="Polymer Print Dropdown"/>
  </tableColumns>
  <tableStyleInfo name="TableStyleMedium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782939E-35E9-4CF2-8F08-9A2DE830FAA8}" name="Tbl_ASTM" displayName="Tbl_ASTM" ref="C1:R8" totalsRowShown="0">
  <autoFilter ref="C1:R8" xr:uid="{3782939E-35E9-4CF2-8F08-9A2DE830FAA8}"/>
  <tableColumns count="16">
    <tableColumn id="1" xr3:uid="{247FA3AD-6ADE-4CAC-B991-B2BEAC440896}" name="ASTM Process" dataDxfId="57"/>
    <tableColumn id="12" xr3:uid="{8A8CA4B9-CB91-4E03-BB85-BB00E0770420}" name="Min X (mm)" dataDxfId="56"/>
    <tableColumn id="13" xr3:uid="{5D959614-70DC-4298-853B-E816299C11EE}" name="Max X (mm)" dataDxfId="55"/>
    <tableColumn id="14" xr3:uid="{34B3A6CD-01E1-4A56-80E5-5BEB741E34A1}" name="Min Y (mm)" dataDxfId="54"/>
    <tableColumn id="15" xr3:uid="{A1CDDF3A-25A3-4310-84C7-D14E5D01861A}" name="Max Y (mm)" dataDxfId="53"/>
    <tableColumn id="16" xr3:uid="{BEE6DF57-FF52-4CF4-94A0-34DFCAC389C9}" name="Min LH (mm)" dataDxfId="52"/>
    <tableColumn id="20" xr3:uid="{C29E1956-01BE-433F-A176-5D79D698592D}" name="Max LH (mm)" dataDxfId="51"/>
    <tableColumn id="6" xr3:uid="{F721576D-0FF0-4776-BD21-3276A5A065F9}" name="Min Scan Rate (m/min)" dataDxfId="50"/>
    <tableColumn id="8" xr3:uid="{05FF51FC-8272-4A7F-930A-657760D54A53}" name="Max Scan Rate (m/min)" dataDxfId="49"/>
    <tableColumn id="9" xr3:uid="{5F020E6D-00D4-404D-9D60-CA1203A8B241}" name="Min Dep Rate (g/hr)" dataDxfId="48" dataCellStyle="Bad">
      <calculatedColumnFormula>_xlfn.MINIFS(#REF!,#REF!,Tbl_ASTM[[#This Row],[ASTM Process]])</calculatedColumnFormula>
    </tableColumn>
    <tableColumn id="10" xr3:uid="{AFEB665B-64EE-4185-9C61-6E5016E783C1}" name="Max Dep Rate (g/hr)" dataDxfId="47" dataCellStyle="Bad">
      <calculatedColumnFormula>_xlfn.MAXIFS(#REF!,#REF!,Tbl_ASTM[[#This Row],[ASTM Process]])</calculatedColumnFormula>
    </tableColumn>
    <tableColumn id="11" xr3:uid="{8DBDCD09-8C8D-4967-91EF-347492BB3754}" name="Min Cost ($)" dataDxfId="46"/>
    <tableColumn id="17" xr3:uid="{7E917610-5DBC-402E-98F9-3503D6496ED9}" name="Max Cost ($)" dataDxfId="45"/>
    <tableColumn id="18" xr3:uid="{F33613CD-280B-4360-B385-DAF294C5A26A}" name="Min Power (W)" dataDxfId="44"/>
    <tableColumn id="19" xr3:uid="{28C4381E-7B13-4E37-A506-D11E0DA7C686}" name="Max Power (W)" dataDxfId="43"/>
    <tableColumn id="7" xr3:uid="{8BFFD4A4-0009-4D4D-9C8B-4DABEB3ACB69}" name="Post Process" dataDxfId="42"/>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BA74591-4FEF-465E-A16A-C2F9A6F93CE7}" name="Tbl_Materials" displayName="Tbl_Materials" ref="A1:A4" totalsRowShown="0" headerRowDxfId="41" dataDxfId="40">
  <autoFilter ref="A1:A4" xr:uid="{ABA74591-4FEF-465E-A16A-C2F9A6F93CE7}"/>
  <tableColumns count="1">
    <tableColumn id="1" xr3:uid="{8A383B2E-F48A-489D-BB49-084816D9BF08}" name="Material Dropdown" dataDxfId="39"/>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62159-74D4-462B-8DCB-17CF632B85B6}" name="Db_Metal" displayName="Db_Metal" ref="C1:F61" totalsRowShown="0" headerRowDxfId="38" dataDxfId="37">
  <autoFilter ref="C1:F61" xr:uid="{54362159-74D4-462B-8DCB-17CF632B85B6}"/>
  <sortState xmlns:xlrd2="http://schemas.microsoft.com/office/spreadsheetml/2017/richdata2" ref="C2:F61">
    <sortCondition ref="D1:D61"/>
  </sortState>
  <tableColumns count="4">
    <tableColumn id="1" xr3:uid="{FBB309A9-083E-4D4D-A6B1-E6C2CB0CEDB5}" name="Metal" dataDxfId="36"/>
    <tableColumn id="5" xr3:uid="{2BB2D28D-E4FF-4A09-BC17-B69B33F8E4C3}" name="Type" dataDxfId="35"/>
    <tableColumn id="2" xr3:uid="{D54247EE-C4C0-4ECF-911A-2799837059F8}" name="Cost per kg" dataDxfId="34"/>
    <tableColumn id="3" xr3:uid="{717F052B-E392-4BC1-B957-9421972F1FF6}" name="Density (g/cm3)" dataDxfId="33"/>
  </tableColumns>
  <tableStyleInfo name="TableStyleMedium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B70530F-1FF1-46B0-B3B4-E024EF88C2AA}" name="Db_Polymer" displayName="Db_Polymer" ref="H1:K26" totalsRowShown="0">
  <autoFilter ref="H1:K26" xr:uid="{8B70530F-1FF1-46B0-B3B4-E024EF88C2AA}"/>
  <sortState xmlns:xlrd2="http://schemas.microsoft.com/office/spreadsheetml/2017/richdata2" ref="H2:K26">
    <sortCondition ref="I1:I26"/>
  </sortState>
  <tableColumns count="4">
    <tableColumn id="1" xr3:uid="{65DDB70C-7F73-40FC-B4D9-DAD50ADF8481}" name="Polymers" dataDxfId="32"/>
    <tableColumn id="4" xr3:uid="{0255B7BC-B419-489A-A880-86A1678F3AFB}" name="Type" dataDxfId="31"/>
    <tableColumn id="2" xr3:uid="{8B1C0059-6B4C-45C5-8EB4-42D12FA606EC}" name="Cost per kg" dataDxfId="30"/>
    <tableColumn id="3" xr3:uid="{3CFFF572-B278-4807-9282-CD64A6FA864F}" name="Density (g/cm3)" dataDxfId="29"/>
  </tableColumns>
  <tableStyleInfo name="TableStyleMedium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586BA08-313A-40A8-8679-F0ACCBFADDA0}" name="Db_Composite" displayName="Db_Composite" ref="R1:U32" totalsRowShown="0">
  <autoFilter ref="R1:U32" xr:uid="{6586BA08-313A-40A8-8679-F0ACCBFADDA0}"/>
  <sortState xmlns:xlrd2="http://schemas.microsoft.com/office/spreadsheetml/2017/richdata2" ref="R2:U32">
    <sortCondition ref="S1:S32"/>
  </sortState>
  <tableColumns count="4">
    <tableColumn id="1" xr3:uid="{34880D1B-231E-4073-9B24-9607583BA269}" name="Composites" dataDxfId="28"/>
    <tableColumn id="4" xr3:uid="{A3DA7562-7C74-4016-B6DB-C63A02BC8339}" name="Composite Types" dataDxfId="27">
      <calculatedColumnFormula>TRIM(RIGHT(Db_Composite[[#This Row],[Composites]],LEN(Db_Composite[[#This Row],[Composites]])-FIND("-",Db_Composite[[#This Row],[Composites]])))</calculatedColumnFormula>
    </tableColumn>
    <tableColumn id="2" xr3:uid="{C61F46B0-AFE9-48D2-AE52-EA7047EB2BAB}" name="Cost per kg" dataDxfId="26"/>
    <tableColumn id="3" xr3:uid="{9E08614E-76FA-48E9-8A3A-59D4E6FEC8FE}" name="Density (g/cm3)" dataDxfId="25"/>
  </tableColumns>
  <tableStyleInfo name="TableStyleMedium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02B72D5-F65B-44AD-BA35-216FE656B6CC}" name="Db_Fiber" displayName="Db_Fiber" ref="M1:P5" totalsRowShown="0">
  <autoFilter ref="M1:P5" xr:uid="{502B72D5-F65B-44AD-BA35-216FE656B6CC}"/>
  <tableColumns count="4">
    <tableColumn id="1" xr3:uid="{0810576A-0796-4478-811B-BD288BD9CF3F}" name="Fibers" dataDxfId="24"/>
    <tableColumn id="4" xr3:uid="{7B588DAF-E6DF-4625-B065-9F06AFB679DB}" name="Type" dataDxfId="23"/>
    <tableColumn id="2" xr3:uid="{B4A5C6FE-D2AD-4325-99E1-3F06F6B7DC46}" name="Cost per kg" dataDxfId="22"/>
    <tableColumn id="3" xr3:uid="{2F2019A8-6E09-482B-82CC-54135E0E5B8E}" name="Density (g/cm3)" dataDxfId="21"/>
  </tableColumns>
  <tableStyleInfo name="TableStyleMedium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363A03-A513-4B45-9E45-5D1F87909951}" name="Tbl_Polymers" displayName="Tbl_Polymers" ref="A7:A17" totalsRowShown="0" headerRowDxfId="20" dataDxfId="19">
  <autoFilter ref="A7:A17" xr:uid="{AB363A03-A513-4B45-9E45-5D1F87909951}"/>
  <tableColumns count="1">
    <tableColumn id="1" xr3:uid="{9B98AAE7-BDF8-4EA9-BF02-079D9AE503FB}" name="Polymer Dropdown" dataDxfId="18"/>
  </tableColumns>
  <tableStyleInfo name="TableStyleMedium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20BBB9F-5F25-4813-B959-F7DD971782C2}" name="Tbl_Fibers" displayName="Tbl_Fibers" ref="A20:A24" totalsRowShown="0">
  <autoFilter ref="A20:A24" xr:uid="{420BBB9F-5F25-4813-B959-F7DD971782C2}"/>
  <tableColumns count="1">
    <tableColumn id="1" xr3:uid="{ED641121-B277-41D3-BE8A-48DAA9C432EA}" name="Fiber Dropdown"/>
  </tableColumns>
  <tableStyleInfo name="TableStyleMedium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41061E9-7216-4EB0-9D07-2E5D6954F38C}" name="Tbl_Metals" displayName="Tbl_Metals" ref="A27:A44" totalsRowShown="0" dataDxfId="17">
  <autoFilter ref="A27:A44" xr:uid="{841061E9-7216-4EB0-9D07-2E5D6954F38C}"/>
  <tableColumns count="1">
    <tableColumn id="1" xr3:uid="{0A386E2B-C720-458A-BF37-D4A7DB103C8E}" name="Metal Dropdown" dataDxfId="16"/>
  </tableColumns>
  <tableStyleInfo name="TableStyleMedium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36CB7C8-0F8B-47F1-A2A0-AC37241A2B27}" name="Tbl_Scenarios" displayName="Tbl_Scenarios" ref="A1:O234" totalsRowShown="0" headerRowDxfId="15" dataDxfId="14">
  <autoFilter ref="A1:O234" xr:uid="{936CB7C8-0F8B-47F1-A2A0-AC37241A2B27}"/>
  <tableColumns count="15">
    <tableColumn id="1" xr3:uid="{E8BE83AE-2330-4AB0-BEEC-80E53789CA87}" name="Value"/>
    <tableColumn id="2" xr3:uid="{7E045E2B-4193-43D3-83F5-CBC8A7893650}" name="Location" dataDxfId="13"/>
    <tableColumn id="3" xr3:uid="{2302D6B9-3BC2-4367-8940-3B3F985092A0}" name="Current" dataDxfId="12" dataCellStyle="Currency"/>
    <tableColumn id="4" xr3:uid="{9AD662AC-1D5F-47BC-97FE-A3A33BA9FC88}" name="Example" dataDxfId="11" dataCellStyle="Currency"/>
    <tableColumn id="5" xr3:uid="{DB81710D-7DE1-411E-A764-C3F7386D0F2F}" name="1" dataDxfId="10" dataCellStyle="Currency"/>
    <tableColumn id="6" xr3:uid="{217CD23C-57B1-45BB-812A-E11199CE9B5E}" name="2" dataDxfId="9" dataCellStyle="Currency"/>
    <tableColumn id="7" xr3:uid="{93E0E690-844F-4AB7-ABAA-5C8AC1EF9C6B}" name="3" dataDxfId="8" dataCellStyle="Bad"/>
    <tableColumn id="8" xr3:uid="{B4CEDE5F-6A1E-4F97-9F00-240C83EA0C1D}" name="4" dataDxfId="7" dataCellStyle="Currency"/>
    <tableColumn id="9" xr3:uid="{36604545-55EA-4B8E-AE0A-B65B266EAA0B}" name="5" dataDxfId="6" dataCellStyle="Currency"/>
    <tableColumn id="10" xr3:uid="{6CDB9D57-F469-4B92-A30A-D485A198F644}" name="6" dataDxfId="5" dataCellStyle="Currency"/>
    <tableColumn id="11" xr3:uid="{2377367A-DC41-40E6-9A0D-03302A3A36D3}" name="7" dataDxfId="4" dataCellStyle="Currency"/>
    <tableColumn id="12" xr3:uid="{44E6F70F-1157-4C9F-8D6A-074E20B2B7BD}" name="8" dataDxfId="3" dataCellStyle="Currency"/>
    <tableColumn id="13" xr3:uid="{6431D0F8-208F-4B7C-A9B3-B38F540B4AE6}" name="9" dataDxfId="2" dataCellStyle="Currency"/>
    <tableColumn id="14" xr3:uid="{0A5030DD-AC33-46F5-9DCC-D7B3681652BC}" name="10" dataDxfId="1" dataCellStyle="Currency"/>
    <tableColumn id="15" xr3:uid="{A7188598-10D0-440D-8714-709112B09773}" name="Selected" dataDxfId="0" dataCellStyle="Currency">
      <calculatedColumnFormula>IF(Scenarios!$C$8 = "Example", Tbl_Scenarios[[#This Row],[Example]],OFFSET(Tbl_Scenarios[[#This Row],[Example]],0,Scenarios!$C$8))</calculatedColumnFormula>
    </tableColumn>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7.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1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20.xml"/><Relationship Id="rId4" Type="http://schemas.openxmlformats.org/officeDocument/2006/relationships/table" Target="../tables/table1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16.bin"/><Relationship Id="rId4" Type="http://schemas.openxmlformats.org/officeDocument/2006/relationships/table" Target="../tables/table32.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table" Target="../tables/table34.xml"/><Relationship Id="rId7" Type="http://schemas.openxmlformats.org/officeDocument/2006/relationships/table" Target="../tables/table38.xml"/><Relationship Id="rId2" Type="http://schemas.openxmlformats.org/officeDocument/2006/relationships/table" Target="../tables/table33.xml"/><Relationship Id="rId1" Type="http://schemas.openxmlformats.org/officeDocument/2006/relationships/printerSettings" Target="../printerSettings/printerSettings17.bin"/><Relationship Id="rId6" Type="http://schemas.openxmlformats.org/officeDocument/2006/relationships/table" Target="../tables/table37.xml"/><Relationship Id="rId5" Type="http://schemas.openxmlformats.org/officeDocument/2006/relationships/table" Target="../tables/table36.xml"/><Relationship Id="rId4" Type="http://schemas.openxmlformats.org/officeDocument/2006/relationships/table" Target="../tables/table35.xml"/><Relationship Id="rId9" Type="http://schemas.openxmlformats.org/officeDocument/2006/relationships/table" Target="../tables/table40.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60DA3-BBF9-463A-BEDE-92EA8B901B09}">
  <sheetPr codeName="Sheet3">
    <tabColor theme="7"/>
  </sheetPr>
  <dimension ref="A1:C36"/>
  <sheetViews>
    <sheetView tabSelected="1" workbookViewId="0">
      <selection activeCell="B1" sqref="B1"/>
    </sheetView>
  </sheetViews>
  <sheetFormatPr defaultColWidth="0" defaultRowHeight="18" customHeight="1" zeroHeight="1" x14ac:dyDescent="0.25"/>
  <cols>
    <col min="1" max="1" width="3.28515625" customWidth="1"/>
    <col min="2" max="2" width="83.7109375" customWidth="1"/>
    <col min="3" max="3" width="3.28515625" customWidth="1"/>
    <col min="4" max="16384" width="8.7109375" hidden="1"/>
  </cols>
  <sheetData>
    <row r="1" spans="1:3" ht="54" customHeight="1" x14ac:dyDescent="0.25">
      <c r="A1" s="5"/>
      <c r="B1" s="354" t="s">
        <v>1652</v>
      </c>
      <c r="C1" s="5"/>
    </row>
    <row r="2" spans="1:3" ht="18" customHeight="1" x14ac:dyDescent="0.25">
      <c r="A2" s="361"/>
      <c r="B2" s="361"/>
      <c r="C2" s="361"/>
    </row>
    <row r="3" spans="1:3" ht="18" customHeight="1" x14ac:dyDescent="0.25">
      <c r="A3" s="361"/>
      <c r="B3" s="361"/>
      <c r="C3" s="361"/>
    </row>
    <row r="4" spans="1:3" ht="18" customHeight="1" x14ac:dyDescent="0.25">
      <c r="A4" s="361"/>
      <c r="B4" s="362"/>
      <c r="C4" s="361"/>
    </row>
    <row r="5" spans="1:3" ht="18" customHeight="1" x14ac:dyDescent="0.25">
      <c r="A5" s="361"/>
      <c r="B5" s="362"/>
      <c r="C5" s="361"/>
    </row>
    <row r="6" spans="1:3" ht="18" customHeight="1" x14ac:dyDescent="0.25">
      <c r="A6" s="361"/>
      <c r="B6" s="362"/>
      <c r="C6" s="361"/>
    </row>
    <row r="7" spans="1:3" ht="18" customHeight="1" x14ac:dyDescent="0.3">
      <c r="A7" s="361"/>
      <c r="B7" s="363" t="s">
        <v>1599</v>
      </c>
      <c r="C7" s="361"/>
    </row>
    <row r="8" spans="1:3" ht="18" customHeight="1" x14ac:dyDescent="0.25">
      <c r="A8" s="361"/>
      <c r="B8" s="361"/>
      <c r="C8" s="361"/>
    </row>
    <row r="9" spans="1:3" ht="18" customHeight="1" x14ac:dyDescent="0.25">
      <c r="A9" s="361"/>
      <c r="B9" s="362"/>
      <c r="C9" s="361"/>
    </row>
    <row r="10" spans="1:3" ht="18" customHeight="1" x14ac:dyDescent="0.25">
      <c r="A10" s="361"/>
      <c r="B10" s="361"/>
      <c r="C10" s="361"/>
    </row>
    <row r="11" spans="1:3" ht="18" customHeight="1" x14ac:dyDescent="0.25">
      <c r="A11" s="361"/>
      <c r="B11" s="361"/>
      <c r="C11" s="361"/>
    </row>
    <row r="12" spans="1:3" ht="18" customHeight="1" x14ac:dyDescent="0.25">
      <c r="A12" s="361"/>
      <c r="B12" s="362"/>
      <c r="C12" s="361"/>
    </row>
    <row r="13" spans="1:3" ht="18" customHeight="1" x14ac:dyDescent="0.25">
      <c r="A13" s="361"/>
      <c r="B13" s="361"/>
      <c r="C13" s="361"/>
    </row>
    <row r="14" spans="1:3" ht="18" customHeight="1" x14ac:dyDescent="0.25">
      <c r="A14" s="361"/>
      <c r="B14" s="362"/>
      <c r="C14" s="361"/>
    </row>
    <row r="15" spans="1:3" ht="18" customHeight="1" x14ac:dyDescent="0.25">
      <c r="A15" s="361"/>
      <c r="B15" s="361"/>
      <c r="C15" s="361"/>
    </row>
    <row r="16" spans="1:3" ht="18" customHeight="1" x14ac:dyDescent="0.25">
      <c r="A16" s="361"/>
      <c r="B16" s="361"/>
      <c r="C16" s="361"/>
    </row>
    <row r="17" spans="1:3" ht="18" customHeight="1" x14ac:dyDescent="0.25">
      <c r="A17" s="361"/>
      <c r="B17" s="361"/>
      <c r="C17" s="361"/>
    </row>
    <row r="18" spans="1:3" ht="18" customHeight="1" x14ac:dyDescent="0.25">
      <c r="A18" s="361"/>
      <c r="B18" s="361"/>
      <c r="C18" s="361"/>
    </row>
    <row r="19" spans="1:3" ht="18" customHeight="1" x14ac:dyDescent="0.25">
      <c r="A19" s="361"/>
      <c r="B19" s="361"/>
      <c r="C19" s="361"/>
    </row>
    <row r="20" spans="1:3" ht="18" customHeight="1" x14ac:dyDescent="0.25">
      <c r="A20" s="361"/>
      <c r="B20" s="361"/>
      <c r="C20" s="361"/>
    </row>
    <row r="21" spans="1:3" ht="18" customHeight="1" x14ac:dyDescent="0.25">
      <c r="A21" s="361"/>
      <c r="B21" s="361"/>
      <c r="C21" s="361"/>
    </row>
    <row r="22" spans="1:3" ht="18" customHeight="1" x14ac:dyDescent="0.25">
      <c r="A22" s="361"/>
      <c r="B22" s="361"/>
      <c r="C22" s="361"/>
    </row>
    <row r="23" spans="1:3" ht="18" customHeight="1" x14ac:dyDescent="0.25">
      <c r="A23" s="361"/>
      <c r="B23" s="361"/>
      <c r="C23" s="361"/>
    </row>
    <row r="24" spans="1:3" ht="18" customHeight="1" x14ac:dyDescent="0.3">
      <c r="A24" s="361"/>
      <c r="B24" s="363"/>
      <c r="C24" s="361"/>
    </row>
    <row r="25" spans="1:3" ht="18" customHeight="1" x14ac:dyDescent="0.25">
      <c r="A25" s="361"/>
      <c r="B25" s="361"/>
      <c r="C25" s="361"/>
    </row>
    <row r="26" spans="1:3" ht="18" customHeight="1" x14ac:dyDescent="0.25">
      <c r="A26" s="361"/>
      <c r="B26" s="361"/>
      <c r="C26" s="361"/>
    </row>
    <row r="27" spans="1:3" ht="18" customHeight="1" x14ac:dyDescent="0.25">
      <c r="A27" s="361"/>
      <c r="B27" s="361"/>
      <c r="C27" s="361"/>
    </row>
    <row r="28" spans="1:3" ht="18" customHeight="1" x14ac:dyDescent="0.25">
      <c r="A28" s="361"/>
      <c r="B28" s="361"/>
      <c r="C28" s="361"/>
    </row>
    <row r="29" spans="1:3" ht="18" customHeight="1" x14ac:dyDescent="0.25">
      <c r="A29" s="361"/>
      <c r="B29" s="361"/>
      <c r="C29" s="361"/>
    </row>
    <row r="30" spans="1:3" ht="18" customHeight="1" x14ac:dyDescent="0.25">
      <c r="A30" s="361"/>
      <c r="B30" s="361"/>
      <c r="C30" s="361"/>
    </row>
    <row r="31" spans="1:3" ht="18" customHeight="1" x14ac:dyDescent="0.25">
      <c r="A31" s="361"/>
      <c r="B31" s="361"/>
      <c r="C31" s="361"/>
    </row>
    <row r="32" spans="1:3" ht="18" customHeight="1" x14ac:dyDescent="0.25">
      <c r="A32" s="361"/>
      <c r="B32" s="361"/>
      <c r="C32" s="361"/>
    </row>
    <row r="33" spans="1:3" ht="18" customHeight="1" x14ac:dyDescent="0.25">
      <c r="A33" s="361"/>
      <c r="B33" s="361"/>
      <c r="C33" s="361"/>
    </row>
    <row r="34" spans="1:3" ht="18" customHeight="1" x14ac:dyDescent="0.25">
      <c r="A34" s="361"/>
      <c r="B34" s="361"/>
      <c r="C34" s="361"/>
    </row>
    <row r="35" spans="1:3" ht="18" customHeight="1" x14ac:dyDescent="0.25">
      <c r="A35" s="361"/>
      <c r="B35" s="361"/>
      <c r="C35" s="361"/>
    </row>
    <row r="36" spans="1:3" ht="18" customHeight="1" x14ac:dyDescent="0.25">
      <c r="A36" s="361"/>
      <c r="B36" s="361"/>
      <c r="C36" s="361"/>
    </row>
  </sheetData>
  <sheetProtection algorithmName="SHA-512" hashValue="fNxMHT60gnIWDY6AiUkH8AxXIbjkKA17fvW6ww3z8F8TsflY7nMDBjVX+BupfKJ3Q01K+Cl2KEgeccxQ7tHwUw==" saltValue="YEiDDYghgNI40MROSLdPrQ==" spinCount="100000" sheet="1" objects="1" scenarios="1" selectLockedCells="1" selectUnlockedCells="1"/>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85A4B-D885-43BA-BCF9-573A66361371}">
  <sheetPr codeName="Sheet1">
    <tabColor theme="7"/>
  </sheetPr>
  <dimension ref="A1:F37"/>
  <sheetViews>
    <sheetView workbookViewId="0">
      <selection activeCell="A2" sqref="A2"/>
    </sheetView>
  </sheetViews>
  <sheetFormatPr defaultColWidth="0" defaultRowHeight="18" customHeight="1" zeroHeight="1" x14ac:dyDescent="0.25"/>
  <cols>
    <col min="1" max="1" width="3.28515625" customWidth="1"/>
    <col min="2" max="2" width="83.7109375" customWidth="1"/>
    <col min="3" max="4" width="3.28515625" customWidth="1"/>
    <col min="5" max="5" width="83.7109375" customWidth="1"/>
    <col min="6" max="6" width="3.28515625" customWidth="1"/>
    <col min="7" max="16384" width="12.7109375" hidden="1"/>
  </cols>
  <sheetData>
    <row r="1" spans="1:6" ht="54" customHeight="1" x14ac:dyDescent="0.25">
      <c r="A1" s="7"/>
      <c r="B1" s="8"/>
      <c r="C1" s="9"/>
      <c r="D1" s="7"/>
      <c r="E1" s="8"/>
      <c r="F1" s="7"/>
    </row>
    <row r="2" spans="1:6" ht="18" customHeight="1" x14ac:dyDescent="0.25">
      <c r="A2" s="361"/>
      <c r="B2" s="361"/>
      <c r="C2" s="361"/>
      <c r="D2" s="361"/>
      <c r="E2" s="361"/>
      <c r="F2" s="361"/>
    </row>
    <row r="3" spans="1:6" ht="18" customHeight="1" thickBot="1" x14ac:dyDescent="0.35">
      <c r="A3" s="361"/>
      <c r="B3" s="364" t="s">
        <v>1653</v>
      </c>
      <c r="C3" s="361"/>
      <c r="D3" s="361"/>
      <c r="E3" s="364" t="s">
        <v>450</v>
      </c>
      <c r="F3" s="361"/>
    </row>
    <row r="4" spans="1:6" ht="18" customHeight="1" thickTop="1" x14ac:dyDescent="0.25">
      <c r="A4" s="361"/>
      <c r="B4" s="365"/>
      <c r="C4" s="361"/>
      <c r="D4" s="361"/>
      <c r="E4" s="365"/>
      <c r="F4" s="361"/>
    </row>
    <row r="5" spans="1:6" ht="18" customHeight="1" x14ac:dyDescent="0.25">
      <c r="A5" s="361"/>
      <c r="B5" s="361"/>
      <c r="C5" s="361"/>
      <c r="D5" s="361"/>
      <c r="E5" s="361"/>
      <c r="F5" s="361"/>
    </row>
    <row r="6" spans="1:6" ht="18" customHeight="1" x14ac:dyDescent="0.25">
      <c r="A6" s="361"/>
      <c r="B6" s="361"/>
      <c r="C6" s="361"/>
      <c r="D6" s="361"/>
      <c r="E6" s="361"/>
      <c r="F6" s="361"/>
    </row>
    <row r="7" spans="1:6" ht="18" customHeight="1" x14ac:dyDescent="0.25">
      <c r="A7" s="361"/>
      <c r="B7" s="361"/>
      <c r="C7" s="361"/>
      <c r="D7" s="361"/>
      <c r="E7" s="361"/>
      <c r="F7" s="361"/>
    </row>
    <row r="8" spans="1:6" ht="18" customHeight="1" x14ac:dyDescent="0.25">
      <c r="A8" s="361"/>
      <c r="B8" s="366"/>
      <c r="C8" s="361"/>
      <c r="D8" s="361"/>
      <c r="E8" s="366"/>
      <c r="F8" s="361"/>
    </row>
    <row r="9" spans="1:6" ht="18" customHeight="1" x14ac:dyDescent="0.25">
      <c r="A9" s="361"/>
      <c r="B9" s="361"/>
      <c r="C9" s="361"/>
      <c r="D9" s="361"/>
      <c r="E9" s="361"/>
      <c r="F9" s="361"/>
    </row>
    <row r="10" spans="1:6" ht="18" customHeight="1" x14ac:dyDescent="0.25">
      <c r="A10" s="361"/>
      <c r="B10" s="361"/>
      <c r="C10" s="361"/>
      <c r="D10" s="361"/>
      <c r="E10" s="361"/>
      <c r="F10" s="361"/>
    </row>
    <row r="11" spans="1:6" ht="18" customHeight="1" x14ac:dyDescent="0.25">
      <c r="A11" s="361"/>
      <c r="B11" s="361"/>
      <c r="C11" s="361"/>
      <c r="D11" s="361"/>
      <c r="E11" s="361"/>
      <c r="F11" s="361"/>
    </row>
    <row r="12" spans="1:6" ht="18" customHeight="1" x14ac:dyDescent="0.25">
      <c r="A12" s="361"/>
      <c r="B12" s="367"/>
      <c r="C12" s="361"/>
      <c r="D12" s="361"/>
      <c r="E12" s="367"/>
      <c r="F12" s="361"/>
    </row>
    <row r="13" spans="1:6" ht="18" customHeight="1" x14ac:dyDescent="0.25">
      <c r="A13" s="361"/>
      <c r="B13" s="361"/>
      <c r="C13" s="361"/>
      <c r="D13" s="361"/>
      <c r="E13" s="361"/>
      <c r="F13" s="361"/>
    </row>
    <row r="14" spans="1:6" ht="18" customHeight="1" x14ac:dyDescent="0.25">
      <c r="A14" s="361"/>
      <c r="B14" s="361"/>
      <c r="C14" s="361"/>
      <c r="D14" s="361"/>
      <c r="E14" s="361"/>
      <c r="F14" s="361"/>
    </row>
    <row r="15" spans="1:6" ht="18" customHeight="1" x14ac:dyDescent="0.25">
      <c r="A15" s="361"/>
      <c r="B15" s="361"/>
      <c r="C15" s="361"/>
      <c r="D15" s="361"/>
      <c r="E15" s="361"/>
      <c r="F15" s="361"/>
    </row>
    <row r="16" spans="1:6" ht="18" customHeight="1" x14ac:dyDescent="0.25">
      <c r="A16" s="361"/>
      <c r="B16" s="361"/>
      <c r="C16" s="361"/>
      <c r="D16" s="361"/>
      <c r="E16" s="361"/>
      <c r="F16" s="361"/>
    </row>
    <row r="17" spans="1:6" ht="18" customHeight="1" x14ac:dyDescent="0.25">
      <c r="A17" s="361"/>
      <c r="B17" s="361"/>
      <c r="C17" s="361"/>
      <c r="D17" s="361"/>
      <c r="E17" s="361"/>
      <c r="F17" s="361"/>
    </row>
    <row r="18" spans="1:6" ht="18" customHeight="1" thickBot="1" x14ac:dyDescent="0.35">
      <c r="A18" s="361"/>
      <c r="B18" s="364" t="s">
        <v>449</v>
      </c>
      <c r="C18" s="361"/>
      <c r="D18" s="361"/>
      <c r="E18" s="364" t="s">
        <v>1654</v>
      </c>
      <c r="F18" s="361"/>
    </row>
    <row r="19" spans="1:6" ht="18" customHeight="1" thickTop="1" x14ac:dyDescent="0.25">
      <c r="A19" s="361"/>
      <c r="B19" s="367"/>
      <c r="C19" s="361"/>
      <c r="D19" s="361"/>
      <c r="E19" s="368"/>
      <c r="F19" s="361"/>
    </row>
    <row r="20" spans="1:6" ht="18" customHeight="1" x14ac:dyDescent="0.25">
      <c r="A20" s="361"/>
      <c r="B20" s="361"/>
      <c r="C20" s="361"/>
      <c r="D20" s="361"/>
      <c r="E20" s="361"/>
      <c r="F20" s="361"/>
    </row>
    <row r="21" spans="1:6" ht="18" customHeight="1" x14ac:dyDescent="0.25">
      <c r="A21" s="361"/>
      <c r="B21" s="361"/>
      <c r="C21" s="361"/>
      <c r="D21" s="361"/>
      <c r="E21" s="361"/>
      <c r="F21" s="361"/>
    </row>
    <row r="22" spans="1:6" ht="18" customHeight="1" x14ac:dyDescent="0.25">
      <c r="A22" s="361"/>
      <c r="B22" s="361"/>
      <c r="C22" s="361"/>
      <c r="D22" s="361"/>
      <c r="E22" s="361"/>
      <c r="F22" s="361"/>
    </row>
    <row r="23" spans="1:6" ht="18" customHeight="1" x14ac:dyDescent="0.25">
      <c r="A23" s="361"/>
      <c r="B23" s="361"/>
      <c r="C23" s="361"/>
      <c r="D23" s="361"/>
      <c r="E23" s="361"/>
      <c r="F23" s="361"/>
    </row>
    <row r="24" spans="1:6" ht="18" customHeight="1" x14ac:dyDescent="0.25">
      <c r="A24" s="361"/>
      <c r="B24" s="361"/>
      <c r="C24" s="361"/>
      <c r="D24" s="361"/>
      <c r="E24" s="361"/>
      <c r="F24" s="361"/>
    </row>
    <row r="25" spans="1:6" ht="18" customHeight="1" x14ac:dyDescent="0.25">
      <c r="A25" s="361"/>
      <c r="B25" s="361"/>
      <c r="C25" s="361"/>
      <c r="D25" s="361"/>
      <c r="E25" s="361"/>
      <c r="F25" s="361"/>
    </row>
    <row r="26" spans="1:6" ht="18" customHeight="1" x14ac:dyDescent="0.25">
      <c r="A26" s="361"/>
      <c r="B26" s="367"/>
      <c r="C26" s="361"/>
      <c r="D26" s="361"/>
      <c r="E26" s="367"/>
      <c r="F26" s="361"/>
    </row>
    <row r="27" spans="1:6" ht="18" customHeight="1" x14ac:dyDescent="0.25">
      <c r="A27" s="361"/>
      <c r="B27" s="361"/>
      <c r="C27" s="361"/>
      <c r="D27" s="361"/>
      <c r="E27" s="361"/>
      <c r="F27" s="361"/>
    </row>
    <row r="28" spans="1:6" ht="18" customHeight="1" x14ac:dyDescent="0.25">
      <c r="A28" s="361"/>
      <c r="B28" s="361"/>
      <c r="C28" s="361"/>
      <c r="D28" s="361"/>
      <c r="E28" s="361"/>
      <c r="F28" s="361"/>
    </row>
    <row r="29" spans="1:6" ht="18" customHeight="1" x14ac:dyDescent="0.25">
      <c r="A29" s="361"/>
      <c r="B29" s="361"/>
      <c r="C29" s="361"/>
      <c r="D29" s="361"/>
      <c r="E29" s="361"/>
      <c r="F29" s="361"/>
    </row>
    <row r="30" spans="1:6" ht="18" customHeight="1" x14ac:dyDescent="0.25">
      <c r="A30" s="361"/>
      <c r="B30" s="361"/>
      <c r="C30" s="361"/>
      <c r="D30" s="361"/>
      <c r="E30" s="361"/>
      <c r="F30" s="361"/>
    </row>
    <row r="31" spans="1:6" ht="18" customHeight="1" x14ac:dyDescent="0.25">
      <c r="A31" s="361"/>
      <c r="B31" s="361"/>
      <c r="C31" s="361"/>
      <c r="D31" s="361"/>
      <c r="E31" s="361"/>
      <c r="F31" s="361"/>
    </row>
    <row r="32" spans="1:6" ht="18" customHeight="1" x14ac:dyDescent="0.25">
      <c r="A32" s="361"/>
      <c r="B32" s="361"/>
      <c r="C32" s="361"/>
      <c r="D32" s="361"/>
      <c r="E32" s="361"/>
      <c r="F32" s="361"/>
    </row>
    <row r="33" spans="1:6" ht="18" customHeight="1" x14ac:dyDescent="0.25">
      <c r="A33" s="361"/>
      <c r="B33" s="361"/>
      <c r="C33" s="361"/>
      <c r="D33" s="361"/>
      <c r="E33" s="361"/>
      <c r="F33" s="361"/>
    </row>
    <row r="34" spans="1:6" ht="18" customHeight="1" x14ac:dyDescent="0.25">
      <c r="A34" s="361"/>
      <c r="B34" s="361"/>
      <c r="C34" s="361"/>
      <c r="D34" s="361"/>
      <c r="E34" s="361"/>
      <c r="F34" s="361"/>
    </row>
    <row r="35" spans="1:6" ht="18" customHeight="1" x14ac:dyDescent="0.25">
      <c r="A35" s="361"/>
      <c r="B35" s="361"/>
      <c r="C35" s="361"/>
      <c r="D35" s="361"/>
      <c r="E35" s="361"/>
      <c r="F35" s="361"/>
    </row>
    <row r="36" spans="1:6" ht="18" customHeight="1" thickBot="1" x14ac:dyDescent="0.3">
      <c r="A36" s="361"/>
      <c r="B36" s="369"/>
      <c r="C36" s="361"/>
      <c r="D36" s="361"/>
      <c r="E36" s="369"/>
      <c r="F36" s="361"/>
    </row>
    <row r="37" spans="1:6" ht="18" hidden="1" customHeight="1" thickTop="1" x14ac:dyDescent="0.25"/>
  </sheetData>
  <sheetProtection algorithmName="SHA-512" hashValue="wfFnBxTeFJzX+gVGF6Y86DeNr0NW3bmyswqogEp2VyIAcM13jLt1nbQTJSfFQkY5xu0U5xLeIiTFIWbxIjWD6A==" saltValue="HZQsHQ2Tt6EetfKEj5RVgw==" spinCount="100000" sheet="1" objects="1" scenarios="1" selectLockedCells="1" selectUnlockedCells="1"/>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16810-0B74-41E0-B0C9-FBEACA4FB634}">
  <sheetPr codeName="Sheet2">
    <tabColor theme="4"/>
  </sheetPr>
  <dimension ref="A1:D36"/>
  <sheetViews>
    <sheetView workbookViewId="0">
      <selection activeCell="C6" sqref="C6"/>
    </sheetView>
  </sheetViews>
  <sheetFormatPr defaultColWidth="0" defaultRowHeight="18" customHeight="1" zeroHeight="1" x14ac:dyDescent="0.25"/>
  <cols>
    <col min="1" max="1" width="3.28515625" style="1" customWidth="1"/>
    <col min="2" max="3" width="41.85546875" style="1" customWidth="1"/>
    <col min="4" max="4" width="3.28515625" style="1" customWidth="1"/>
    <col min="5" max="16384" width="12.7109375" style="1" hidden="1"/>
  </cols>
  <sheetData>
    <row r="1" spans="1:4" ht="54" customHeight="1" x14ac:dyDescent="0.25">
      <c r="A1" s="10"/>
      <c r="B1" s="10"/>
      <c r="C1" s="11"/>
      <c r="D1" s="10"/>
    </row>
    <row r="2" spans="1:4" s="6" customFormat="1" ht="18" customHeight="1" x14ac:dyDescent="0.25">
      <c r="A2" s="362"/>
      <c r="B2" s="362"/>
      <c r="C2" s="362"/>
      <c r="D2" s="362"/>
    </row>
    <row r="3" spans="1:4" ht="18" customHeight="1" thickBot="1" x14ac:dyDescent="0.35">
      <c r="A3" s="362"/>
      <c r="B3" s="373" t="s">
        <v>43</v>
      </c>
      <c r="C3" s="373"/>
      <c r="D3" s="362"/>
    </row>
    <row r="4" spans="1:4" ht="18" customHeight="1" thickTop="1" x14ac:dyDescent="0.25">
      <c r="A4" s="362"/>
      <c r="B4" s="361"/>
      <c r="C4" s="361"/>
      <c r="D4" s="362"/>
    </row>
    <row r="5" spans="1:4" ht="18" customHeight="1" x14ac:dyDescent="0.25">
      <c r="A5" s="362"/>
      <c r="B5" s="40" t="s">
        <v>6</v>
      </c>
      <c r="C5" s="41" t="s">
        <v>5</v>
      </c>
      <c r="D5" s="362"/>
    </row>
    <row r="6" spans="1:4" ht="18" customHeight="1" x14ac:dyDescent="0.25">
      <c r="A6" s="362"/>
      <c r="B6" s="2" t="s">
        <v>40</v>
      </c>
      <c r="C6" s="370" t="s">
        <v>1648</v>
      </c>
      <c r="D6" s="362"/>
    </row>
    <row r="7" spans="1:4" ht="18" customHeight="1" x14ac:dyDescent="0.25">
      <c r="A7" s="362"/>
      <c r="B7" s="2" t="s">
        <v>41</v>
      </c>
      <c r="C7" s="371">
        <f ca="1">TODAY()</f>
        <v>45488</v>
      </c>
      <c r="D7" s="362"/>
    </row>
    <row r="8" spans="1:4" ht="18" customHeight="1" x14ac:dyDescent="0.25">
      <c r="A8" s="362"/>
      <c r="B8" s="2" t="s">
        <v>1582</v>
      </c>
      <c r="C8" s="372">
        <v>1</v>
      </c>
      <c r="D8" s="362"/>
    </row>
    <row r="9" spans="1:4" ht="18" customHeight="1" x14ac:dyDescent="0.25">
      <c r="A9" s="362"/>
      <c r="B9" s="361"/>
      <c r="C9" s="361"/>
      <c r="D9" s="362"/>
    </row>
    <row r="10" spans="1:4" ht="18" customHeight="1" x14ac:dyDescent="0.3">
      <c r="A10" s="362"/>
      <c r="B10" s="363" t="s">
        <v>1556</v>
      </c>
      <c r="C10" s="361"/>
      <c r="D10" s="362"/>
    </row>
    <row r="11" spans="1:4" ht="18" customHeight="1" x14ac:dyDescent="0.3">
      <c r="A11" s="362"/>
      <c r="B11" s="363" t="s">
        <v>1557</v>
      </c>
      <c r="C11" s="361"/>
      <c r="D11" s="362"/>
    </row>
    <row r="12" spans="1:4" ht="18" customHeight="1" x14ac:dyDescent="0.3">
      <c r="A12" s="362"/>
      <c r="B12" s="363" t="s">
        <v>1558</v>
      </c>
      <c r="C12" s="361"/>
      <c r="D12" s="362"/>
    </row>
    <row r="13" spans="1:4" ht="18" customHeight="1" x14ac:dyDescent="0.25">
      <c r="A13" s="361"/>
      <c r="B13" s="361"/>
      <c r="C13" s="361"/>
      <c r="D13" s="362"/>
    </row>
    <row r="14" spans="1:4" ht="18" customHeight="1" x14ac:dyDescent="0.25">
      <c r="A14" s="361"/>
      <c r="B14" s="361"/>
      <c r="C14" s="361"/>
      <c r="D14" s="361"/>
    </row>
    <row r="15" spans="1:4" ht="18" customHeight="1" x14ac:dyDescent="0.25">
      <c r="A15" s="361"/>
      <c r="B15" s="361"/>
      <c r="C15" s="361"/>
      <c r="D15" s="361"/>
    </row>
    <row r="16" spans="1:4" ht="18" customHeight="1" x14ac:dyDescent="0.25">
      <c r="A16" s="361"/>
      <c r="B16" s="361"/>
      <c r="C16" s="361"/>
      <c r="D16" s="361"/>
    </row>
    <row r="17" spans="1:4" ht="18" customHeight="1" x14ac:dyDescent="0.25">
      <c r="A17" s="361"/>
      <c r="B17" s="19" t="s">
        <v>39</v>
      </c>
      <c r="C17" s="19" t="s">
        <v>41</v>
      </c>
      <c r="D17" s="361"/>
    </row>
    <row r="18" spans="1:4" ht="18" customHeight="1" x14ac:dyDescent="0.25">
      <c r="A18" s="361"/>
      <c r="B18" s="19" t="s">
        <v>1220</v>
      </c>
      <c r="C18" s="177">
        <v>44927</v>
      </c>
      <c r="D18" s="361"/>
    </row>
    <row r="19" spans="1:4" ht="18" customHeight="1" x14ac:dyDescent="0.25">
      <c r="A19" s="361"/>
      <c r="B19" s="19" t="str">
        <f>_xlfn.CONCAT('Saved Scenarios'!E1, " - ", 'Saved Scenarios'!E2)</f>
        <v>1 - AM Optimized Bracket (Base Case)</v>
      </c>
      <c r="C19" s="177">
        <f>IF('Saved Scenarios'!E3=0,"---", 'Saved Scenarios'!E3)</f>
        <v>44869</v>
      </c>
      <c r="D19" s="361"/>
    </row>
    <row r="20" spans="1:4" ht="18" customHeight="1" x14ac:dyDescent="0.25">
      <c r="A20" s="361"/>
      <c r="B20" s="19" t="str">
        <f>_xlfn.CONCAT('Saved Scenarios'!F1, " - ", 'Saved Scenarios'!F2)</f>
        <v xml:space="preserve">2 - </v>
      </c>
      <c r="C20" s="177" t="str">
        <f>IF('Saved Scenarios'!F3=0,"---", 'Saved Scenarios'!F3)</f>
        <v>---</v>
      </c>
      <c r="D20" s="361"/>
    </row>
    <row r="21" spans="1:4" ht="18" customHeight="1" x14ac:dyDescent="0.25">
      <c r="A21" s="361"/>
      <c r="B21" s="19" t="str">
        <f>_xlfn.CONCAT('Saved Scenarios'!G1, " - ", 'Saved Scenarios'!G2)</f>
        <v xml:space="preserve">3 - </v>
      </c>
      <c r="C21" s="177" t="str">
        <f>IF('Saved Scenarios'!G3=0,"---", 'Saved Scenarios'!G3)</f>
        <v>---</v>
      </c>
      <c r="D21" s="361"/>
    </row>
    <row r="22" spans="1:4" ht="18" customHeight="1" x14ac:dyDescent="0.25">
      <c r="A22" s="361"/>
      <c r="B22" s="19" t="str">
        <f>_xlfn.CONCAT('Saved Scenarios'!H1, " - ", 'Saved Scenarios'!H2)</f>
        <v xml:space="preserve">4 - </v>
      </c>
      <c r="C22" s="177" t="str">
        <f>IF('Saved Scenarios'!H3=0,"---", 'Saved Scenarios'!H3)</f>
        <v>---</v>
      </c>
      <c r="D22" s="361"/>
    </row>
    <row r="23" spans="1:4" ht="18" customHeight="1" x14ac:dyDescent="0.25">
      <c r="A23" s="361"/>
      <c r="B23" s="19" t="str">
        <f>_xlfn.CONCAT('Saved Scenarios'!I1, " - ", 'Saved Scenarios'!I2)</f>
        <v xml:space="preserve">5 - </v>
      </c>
      <c r="C23" s="177" t="str">
        <f>IF('Saved Scenarios'!I3=0,"---", 'Saved Scenarios'!I3)</f>
        <v>---</v>
      </c>
      <c r="D23" s="361"/>
    </row>
    <row r="24" spans="1:4" ht="18" customHeight="1" x14ac:dyDescent="0.25">
      <c r="A24" s="361"/>
      <c r="B24" s="19" t="str">
        <f>_xlfn.CONCAT('Saved Scenarios'!J1, " - ", 'Saved Scenarios'!J2)</f>
        <v xml:space="preserve">6 - </v>
      </c>
      <c r="C24" s="177" t="str">
        <f>IF('Saved Scenarios'!J3=0,"---", 'Saved Scenarios'!J3)</f>
        <v>---</v>
      </c>
      <c r="D24" s="361"/>
    </row>
    <row r="25" spans="1:4" ht="18" customHeight="1" x14ac:dyDescent="0.25">
      <c r="A25" s="361"/>
      <c r="B25" s="19" t="str">
        <f>_xlfn.CONCAT('Saved Scenarios'!K1, " - ", 'Saved Scenarios'!K2)</f>
        <v xml:space="preserve">7 - </v>
      </c>
      <c r="C25" s="177" t="str">
        <f>IF('Saved Scenarios'!K3=0,"---", 'Saved Scenarios'!K3)</f>
        <v>---</v>
      </c>
      <c r="D25" s="361"/>
    </row>
    <row r="26" spans="1:4" ht="18" customHeight="1" x14ac:dyDescent="0.25">
      <c r="A26" s="361"/>
      <c r="B26" s="19" t="str">
        <f>_xlfn.CONCAT('Saved Scenarios'!L1, " - ", 'Saved Scenarios'!L2)</f>
        <v xml:space="preserve">8 - </v>
      </c>
      <c r="C26" s="177" t="str">
        <f>IF('Saved Scenarios'!L3=0,"---", 'Saved Scenarios'!L3)</f>
        <v>---</v>
      </c>
      <c r="D26" s="361"/>
    </row>
    <row r="27" spans="1:4" ht="18" customHeight="1" x14ac:dyDescent="0.25">
      <c r="A27" s="361"/>
      <c r="B27" s="19" t="str">
        <f>_xlfn.CONCAT('Saved Scenarios'!M1, " - ", 'Saved Scenarios'!M2)</f>
        <v xml:space="preserve">9 - </v>
      </c>
      <c r="C27" s="177" t="str">
        <f>IF('Saved Scenarios'!M3=0,"---", 'Saved Scenarios'!M3)</f>
        <v>---</v>
      </c>
      <c r="D27" s="361"/>
    </row>
    <row r="28" spans="1:4" ht="18" customHeight="1" x14ac:dyDescent="0.25">
      <c r="A28" s="361"/>
      <c r="B28" s="19" t="str">
        <f>_xlfn.CONCAT('Saved Scenarios'!N1, " - ", 'Saved Scenarios'!N2)</f>
        <v xml:space="preserve">10 - </v>
      </c>
      <c r="C28" s="177" t="str">
        <f>IF('Saved Scenarios'!N3=0,"---", 'Saved Scenarios'!N3)</f>
        <v>---</v>
      </c>
      <c r="D28" s="361"/>
    </row>
    <row r="29" spans="1:4" ht="18" customHeight="1" x14ac:dyDescent="0.25">
      <c r="A29" s="361"/>
      <c r="B29" s="361"/>
      <c r="C29" s="361"/>
      <c r="D29" s="361"/>
    </row>
    <row r="30" spans="1:4" ht="18" customHeight="1" x14ac:dyDescent="0.25">
      <c r="A30" s="361"/>
      <c r="B30" s="361"/>
      <c r="C30" s="361"/>
      <c r="D30" s="361"/>
    </row>
    <row r="31" spans="1:4" ht="18" customHeight="1" x14ac:dyDescent="0.25">
      <c r="A31" s="361"/>
      <c r="B31" s="361"/>
      <c r="C31" s="361"/>
      <c r="D31" s="361"/>
    </row>
    <row r="32" spans="1:4" ht="18" customHeight="1" x14ac:dyDescent="0.25">
      <c r="A32" s="361"/>
      <c r="B32" s="361"/>
      <c r="C32" s="361"/>
      <c r="D32" s="361"/>
    </row>
    <row r="33" spans="1:4" ht="18" customHeight="1" x14ac:dyDescent="0.25">
      <c r="A33" s="361"/>
      <c r="B33" s="361"/>
      <c r="C33" s="361"/>
      <c r="D33" s="361"/>
    </row>
    <row r="34" spans="1:4" ht="18" customHeight="1" x14ac:dyDescent="0.25">
      <c r="A34" s="361"/>
      <c r="B34" s="361"/>
      <c r="C34" s="361"/>
      <c r="D34" s="361"/>
    </row>
    <row r="35" spans="1:4" ht="18" customHeight="1" x14ac:dyDescent="0.25">
      <c r="A35" s="361"/>
      <c r="B35" s="361"/>
      <c r="C35" s="361"/>
      <c r="D35" s="361"/>
    </row>
    <row r="36" spans="1:4" ht="18" customHeight="1" x14ac:dyDescent="0.25">
      <c r="A36" s="361"/>
      <c r="B36" s="361"/>
      <c r="C36" s="361"/>
      <c r="D36" s="361"/>
    </row>
  </sheetData>
  <sheetProtection algorithmName="SHA-512" hashValue="prW0XxKwKRULt3Pshsh6ViGRuRAqJRPPACR4AJRv8bQ+mVBXGs1gZg0MGtfkqrv8seC3OqAL5I7Y5Ohe7NTvog==" saltValue="mJG0ZEukYYNoRJnP3Z+eVA==" spinCount="100000" sheet="1" objects="1" scenarios="1" selectLockedCells="1"/>
  <dataValidations count="1">
    <dataValidation type="list" allowBlank="1" showInputMessage="1" showErrorMessage="1" sqref="C8" xr:uid="{F7C12647-738C-4A11-B461-CA648E0CF2B6}">
      <formula1>"Example,1,2,3,4,5,6,7,8,9,10"</formula1>
    </dataValidation>
  </dataValidations>
  <pageMargins left="0.7" right="0.7" top="0.75" bottom="0.75" header="0.3" footer="0.3"/>
  <pageSetup orientation="portrait" horizontalDpi="1200" verticalDpi="1200" r:id="rId1"/>
  <ignoredErrors>
    <ignoredError sqref="C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5" r:id="rId4" name="Check Box 3">
              <controlPr defaultSize="0" autoFill="0" autoLine="0" autoPict="0" macro="[0]!SUB_HIDE_PRINT">
                <anchor moveWithCells="1">
                  <from>
                    <xdr:col>1</xdr:col>
                    <xdr:colOff>9525</xdr:colOff>
                    <xdr:row>9</xdr:row>
                    <xdr:rowOff>9525</xdr:rowOff>
                  </from>
                  <to>
                    <xdr:col>1</xdr:col>
                    <xdr:colOff>2476500</xdr:colOff>
                    <xdr:row>10</xdr:row>
                    <xdr:rowOff>0</xdr:rowOff>
                  </to>
                </anchor>
              </controlPr>
            </control>
          </mc:Choice>
        </mc:AlternateContent>
        <mc:AlternateContent xmlns:mc="http://schemas.openxmlformats.org/markup-compatibility/2006">
          <mc:Choice Requires="x14">
            <control shapeId="3076" r:id="rId5" name="Check Box 4">
              <controlPr defaultSize="0" autoFill="0" autoLine="0" autoPict="0" macro="[0]!SUB_HIDEPP">
                <anchor moveWithCells="1">
                  <from>
                    <xdr:col>1</xdr:col>
                    <xdr:colOff>9525</xdr:colOff>
                    <xdr:row>10</xdr:row>
                    <xdr:rowOff>9525</xdr:rowOff>
                  </from>
                  <to>
                    <xdr:col>2</xdr:col>
                    <xdr:colOff>238125</xdr:colOff>
                    <xdr:row>11</xdr:row>
                    <xdr:rowOff>0</xdr:rowOff>
                  </to>
                </anchor>
              </controlPr>
            </control>
          </mc:Choice>
        </mc:AlternateContent>
        <mc:AlternateContent xmlns:mc="http://schemas.openxmlformats.org/markup-compatibility/2006">
          <mc:Choice Requires="x14">
            <control shapeId="3077" r:id="rId6" name="Check Box 5">
              <controlPr defaultSize="0" autoFill="0" autoLine="0" autoPict="0" macro="[0]!SUB_HIDE_FINISHINGTYPE">
                <anchor moveWithCells="1">
                  <from>
                    <xdr:col>1</xdr:col>
                    <xdr:colOff>9525</xdr:colOff>
                    <xdr:row>11</xdr:row>
                    <xdr:rowOff>9525</xdr:rowOff>
                  </from>
                  <to>
                    <xdr:col>1</xdr:col>
                    <xdr:colOff>2657475</xdr:colOff>
                    <xdr:row>12</xdr:row>
                    <xdr:rowOff>0</xdr:rowOff>
                  </to>
                </anchor>
              </controlPr>
            </control>
          </mc:Choice>
        </mc:AlternateContent>
      </controls>
    </mc:Choice>
  </mc:AlternateContent>
  <tableParts count="2">
    <tablePart r:id="rId7"/>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1D0B3-7EC2-4DB8-9963-846465F59CEE}">
  <sheetPr codeName="Sheet9">
    <tabColor theme="9"/>
  </sheetPr>
  <dimension ref="A1:H76"/>
  <sheetViews>
    <sheetView workbookViewId="0">
      <selection activeCell="D11" sqref="D11:F11"/>
    </sheetView>
  </sheetViews>
  <sheetFormatPr defaultColWidth="0" defaultRowHeight="18" customHeight="1" zeroHeight="1" x14ac:dyDescent="0.25"/>
  <cols>
    <col min="1" max="1" width="3.28515625" customWidth="1"/>
    <col min="2" max="2" width="28" customWidth="1"/>
    <col min="3" max="3" width="10.7109375" style="13" customWidth="1"/>
    <col min="4" max="6" width="15" customWidth="1"/>
    <col min="7" max="7" width="3.28515625" customWidth="1"/>
    <col min="8" max="8" width="0" hidden="1" customWidth="1"/>
    <col min="9" max="16384" width="16.7109375" hidden="1"/>
  </cols>
  <sheetData>
    <row r="1" spans="1:8" ht="54" customHeight="1" x14ac:dyDescent="0.25">
      <c r="A1" s="10"/>
      <c r="B1" s="44"/>
      <c r="C1" s="234"/>
      <c r="D1" s="11"/>
      <c r="E1" s="10"/>
      <c r="F1" s="5"/>
      <c r="G1" s="5"/>
    </row>
    <row r="2" spans="1:8" ht="18" customHeight="1" x14ac:dyDescent="0.25">
      <c r="A2" s="361"/>
      <c r="B2" s="361"/>
      <c r="C2" s="378"/>
      <c r="D2" s="361"/>
      <c r="E2" s="361"/>
      <c r="F2" s="361"/>
      <c r="G2" s="361"/>
    </row>
    <row r="3" spans="1:8" ht="18" customHeight="1" thickBot="1" x14ac:dyDescent="0.35">
      <c r="A3" s="361"/>
      <c r="B3" s="379" t="s">
        <v>1122</v>
      </c>
      <c r="C3" s="379"/>
      <c r="D3" s="379"/>
      <c r="E3" s="379"/>
      <c r="F3" s="379"/>
      <c r="G3" s="361"/>
    </row>
    <row r="4" spans="1:8" ht="18" customHeight="1" thickTop="1" x14ac:dyDescent="0.25">
      <c r="A4" s="361"/>
      <c r="B4" s="361"/>
      <c r="C4" s="378"/>
      <c r="D4" s="361"/>
      <c r="E4" s="361"/>
      <c r="F4" s="361"/>
      <c r="G4" s="361"/>
    </row>
    <row r="5" spans="1:8" ht="18" customHeight="1" x14ac:dyDescent="0.25">
      <c r="A5" s="361"/>
      <c r="B5" s="361"/>
      <c r="C5" s="378"/>
      <c r="D5" s="361"/>
      <c r="E5" s="361"/>
      <c r="F5" s="361"/>
      <c r="G5" s="361"/>
      <c r="H5" t="s">
        <v>1600</v>
      </c>
    </row>
    <row r="6" spans="1:8" ht="18" customHeight="1" x14ac:dyDescent="0.25">
      <c r="A6" s="361"/>
      <c r="B6" s="361"/>
      <c r="C6" s="378"/>
      <c r="D6" s="361"/>
      <c r="E6" s="361"/>
      <c r="F6" s="361"/>
      <c r="G6" s="361"/>
      <c r="H6" t="s">
        <v>1125</v>
      </c>
    </row>
    <row r="7" spans="1:8" ht="18" customHeight="1" x14ac:dyDescent="0.25">
      <c r="A7" s="361"/>
      <c r="B7" s="361"/>
      <c r="C7" s="378"/>
      <c r="D7" s="361"/>
      <c r="E7" s="361"/>
      <c r="F7" s="361"/>
      <c r="G7" s="361"/>
      <c r="H7" t="s">
        <v>1127</v>
      </c>
    </row>
    <row r="8" spans="1:8" ht="18" customHeight="1" x14ac:dyDescent="0.25">
      <c r="A8" s="361"/>
      <c r="B8" s="361"/>
      <c r="C8" s="378"/>
      <c r="D8" s="361"/>
      <c r="E8" s="361"/>
      <c r="F8" s="361"/>
      <c r="G8" s="361"/>
      <c r="H8" t="s">
        <v>1126</v>
      </c>
    </row>
    <row r="9" spans="1:8" ht="18" customHeight="1" x14ac:dyDescent="0.25">
      <c r="A9" s="361"/>
      <c r="B9" s="361"/>
      <c r="C9" s="378"/>
      <c r="D9" s="361"/>
      <c r="E9" s="361"/>
      <c r="F9" s="361"/>
      <c r="G9" s="361"/>
    </row>
    <row r="10" spans="1:8" ht="18" customHeight="1" x14ac:dyDescent="0.25">
      <c r="A10" s="361"/>
      <c r="B10" s="361"/>
      <c r="C10" s="378"/>
      <c r="D10" s="361"/>
      <c r="E10" s="361"/>
      <c r="F10" s="361"/>
      <c r="G10" s="361"/>
    </row>
    <row r="11" spans="1:8" ht="18" customHeight="1" x14ac:dyDescent="0.25">
      <c r="A11" s="361"/>
      <c r="B11" s="380" t="s">
        <v>1123</v>
      </c>
      <c r="C11" s="381"/>
      <c r="D11" s="495" t="s">
        <v>1634</v>
      </c>
      <c r="E11" s="495"/>
      <c r="F11" s="495"/>
      <c r="G11" s="361"/>
    </row>
    <row r="12" spans="1:8" ht="18" customHeight="1" x14ac:dyDescent="0.25">
      <c r="A12" s="361"/>
      <c r="B12" s="361"/>
      <c r="C12" s="378"/>
      <c r="D12" s="361"/>
      <c r="E12" s="361"/>
      <c r="F12" s="361"/>
      <c r="G12" s="361"/>
    </row>
    <row r="13" spans="1:8" ht="18" hidden="1" customHeight="1" x14ac:dyDescent="0.25">
      <c r="A13" s="361"/>
      <c r="B13" s="248" t="s">
        <v>1133</v>
      </c>
      <c r="C13" s="249" t="s">
        <v>2</v>
      </c>
      <c r="D13" s="498" t="s">
        <v>5</v>
      </c>
      <c r="E13" s="498"/>
      <c r="F13" s="499"/>
      <c r="G13" s="361"/>
    </row>
    <row r="14" spans="1:8" ht="18" hidden="1" customHeight="1" x14ac:dyDescent="0.25">
      <c r="A14" s="361"/>
      <c r="B14" s="238" t="s">
        <v>1106</v>
      </c>
      <c r="C14" s="49" t="s">
        <v>592</v>
      </c>
      <c r="D14" s="493">
        <v>3</v>
      </c>
      <c r="E14" s="493"/>
      <c r="F14" s="494"/>
      <c r="G14" s="361"/>
    </row>
    <row r="15" spans="1:8" ht="18" hidden="1" customHeight="1" x14ac:dyDescent="0.25">
      <c r="A15" s="361"/>
      <c r="B15" s="238" t="s">
        <v>21</v>
      </c>
      <c r="C15" s="49" t="s">
        <v>8</v>
      </c>
      <c r="D15" s="500">
        <v>0.05</v>
      </c>
      <c r="E15" s="500"/>
      <c r="F15" s="501"/>
      <c r="G15" s="361"/>
    </row>
    <row r="16" spans="1:8" ht="18" hidden="1" customHeight="1" x14ac:dyDescent="0.25">
      <c r="A16" s="361"/>
      <c r="B16" s="250" t="s">
        <v>1601</v>
      </c>
      <c r="C16" s="49" t="s">
        <v>8</v>
      </c>
      <c r="D16" s="500">
        <v>0.1</v>
      </c>
      <c r="E16" s="500"/>
      <c r="F16" s="501"/>
      <c r="G16" s="361"/>
    </row>
    <row r="17" spans="1:7" ht="18" hidden="1" customHeight="1" x14ac:dyDescent="0.25">
      <c r="A17" s="361"/>
      <c r="B17" s="250" t="s">
        <v>1113</v>
      </c>
      <c r="C17" s="49" t="s">
        <v>8</v>
      </c>
      <c r="D17" s="500">
        <v>0.05</v>
      </c>
      <c r="E17" s="500"/>
      <c r="F17" s="501"/>
      <c r="G17" s="361"/>
    </row>
    <row r="18" spans="1:7" ht="18" hidden="1" customHeight="1" x14ac:dyDescent="0.25">
      <c r="A18" s="361"/>
      <c r="B18" s="250" t="s">
        <v>1114</v>
      </c>
      <c r="C18" s="49" t="s">
        <v>8</v>
      </c>
      <c r="D18" s="500">
        <v>2.5000000000000001E-2</v>
      </c>
      <c r="E18" s="500"/>
      <c r="F18" s="501"/>
      <c r="G18" s="361"/>
    </row>
    <row r="19" spans="1:7" ht="18" hidden="1" customHeight="1" x14ac:dyDescent="0.25">
      <c r="A19" s="361"/>
      <c r="B19" s="250" t="s">
        <v>320</v>
      </c>
      <c r="C19" s="49" t="s">
        <v>8</v>
      </c>
      <c r="D19" s="500">
        <v>0.05</v>
      </c>
      <c r="E19" s="500"/>
      <c r="F19" s="501"/>
      <c r="G19" s="361"/>
    </row>
    <row r="20" spans="1:7" ht="18" hidden="1" customHeight="1" x14ac:dyDescent="0.25">
      <c r="A20" s="361"/>
      <c r="B20" s="250" t="s">
        <v>1116</v>
      </c>
      <c r="C20" s="49" t="s">
        <v>8</v>
      </c>
      <c r="D20" s="502">
        <v>0.55000000000000004</v>
      </c>
      <c r="E20" s="502"/>
      <c r="F20" s="503"/>
      <c r="G20" s="361"/>
    </row>
    <row r="21" spans="1:7" ht="18" hidden="1" customHeight="1" x14ac:dyDescent="0.25">
      <c r="A21" s="361"/>
      <c r="B21" s="250" t="s">
        <v>1115</v>
      </c>
      <c r="C21" s="49" t="s">
        <v>42</v>
      </c>
      <c r="D21" s="504">
        <v>0.5</v>
      </c>
      <c r="E21" s="504"/>
      <c r="F21" s="505"/>
      <c r="G21" s="361"/>
    </row>
    <row r="22" spans="1:7" ht="18" hidden="1" customHeight="1" x14ac:dyDescent="0.25">
      <c r="A22" s="361"/>
      <c r="B22" s="238" t="s">
        <v>1109</v>
      </c>
      <c r="C22" s="49" t="s">
        <v>289</v>
      </c>
      <c r="D22" s="490">
        <v>30</v>
      </c>
      <c r="E22" s="491"/>
      <c r="F22" s="492"/>
      <c r="G22" s="361"/>
    </row>
    <row r="23" spans="1:7" ht="18" hidden="1" customHeight="1" x14ac:dyDescent="0.25">
      <c r="A23" s="361"/>
      <c r="B23" s="250" t="s">
        <v>1108</v>
      </c>
      <c r="C23" s="49" t="s">
        <v>591</v>
      </c>
      <c r="D23" s="490">
        <v>75000</v>
      </c>
      <c r="E23" s="491"/>
      <c r="F23" s="492"/>
      <c r="G23" s="361"/>
    </row>
    <row r="24" spans="1:7" ht="18" hidden="1" customHeight="1" x14ac:dyDescent="0.25">
      <c r="A24" s="361"/>
      <c r="B24" s="250" t="s">
        <v>19</v>
      </c>
      <c r="C24" s="49" t="s">
        <v>20</v>
      </c>
      <c r="D24" s="490">
        <v>0.1</v>
      </c>
      <c r="E24" s="491"/>
      <c r="F24" s="492"/>
      <c r="G24" s="361"/>
    </row>
    <row r="25" spans="1:7" ht="18" hidden="1" customHeight="1" x14ac:dyDescent="0.25">
      <c r="A25" s="361"/>
      <c r="B25" s="250" t="s">
        <v>323</v>
      </c>
      <c r="C25" s="49" t="s">
        <v>1111</v>
      </c>
      <c r="D25" s="490">
        <v>20</v>
      </c>
      <c r="E25" s="491"/>
      <c r="F25" s="492"/>
      <c r="G25" s="361"/>
    </row>
    <row r="26" spans="1:7" ht="18" hidden="1" customHeight="1" x14ac:dyDescent="0.25">
      <c r="A26" s="361"/>
      <c r="B26" s="250" t="s">
        <v>33</v>
      </c>
      <c r="C26" s="49" t="s">
        <v>1110</v>
      </c>
      <c r="D26" s="493">
        <v>15</v>
      </c>
      <c r="E26" s="493"/>
      <c r="F26" s="494"/>
      <c r="G26" s="361"/>
    </row>
    <row r="27" spans="1:7" ht="18" hidden="1" customHeight="1" x14ac:dyDescent="0.25">
      <c r="A27" s="361"/>
      <c r="B27" s="251" t="s">
        <v>316</v>
      </c>
      <c r="C27" s="252" t="s">
        <v>1110</v>
      </c>
      <c r="D27" s="488">
        <v>15</v>
      </c>
      <c r="E27" s="488"/>
      <c r="F27" s="489"/>
      <c r="G27" s="361"/>
    </row>
    <row r="28" spans="1:7" ht="18" hidden="1" customHeight="1" x14ac:dyDescent="0.25">
      <c r="A28" s="361"/>
      <c r="B28" s="361"/>
      <c r="C28" s="378"/>
      <c r="D28" s="361"/>
      <c r="E28" s="361"/>
      <c r="F28" s="361"/>
      <c r="G28" s="361"/>
    </row>
    <row r="29" spans="1:7" ht="18" customHeight="1" x14ac:dyDescent="0.25">
      <c r="A29" s="361"/>
      <c r="B29" s="361"/>
      <c r="C29" s="378"/>
      <c r="D29" s="361"/>
      <c r="E29" s="361"/>
      <c r="F29" s="382" t="s">
        <v>1154</v>
      </c>
      <c r="G29" s="361"/>
    </row>
    <row r="30" spans="1:7" ht="18" customHeight="1" x14ac:dyDescent="0.25">
      <c r="A30" s="361"/>
      <c r="B30" s="71" t="s">
        <v>1131</v>
      </c>
      <c r="C30" s="244" t="s">
        <v>2</v>
      </c>
      <c r="D30" s="496" t="s">
        <v>5</v>
      </c>
      <c r="E30" s="496"/>
      <c r="F30" s="497"/>
      <c r="G30" s="361"/>
    </row>
    <row r="31" spans="1:7" ht="18" customHeight="1" x14ac:dyDescent="0.25">
      <c r="A31" s="361"/>
      <c r="B31" s="69" t="s">
        <v>1106</v>
      </c>
      <c r="C31" s="18" t="s">
        <v>592</v>
      </c>
      <c r="D31" s="476">
        <v>3</v>
      </c>
      <c r="E31" s="477"/>
      <c r="F31" s="478"/>
      <c r="G31" s="361"/>
    </row>
    <row r="32" spans="1:7" ht="18" customHeight="1" x14ac:dyDescent="0.25">
      <c r="A32" s="361"/>
      <c r="B32" s="69" t="s">
        <v>21</v>
      </c>
      <c r="C32" s="18" t="s">
        <v>8</v>
      </c>
      <c r="D32" s="473">
        <v>7.4999999999999997E-2</v>
      </c>
      <c r="E32" s="474"/>
      <c r="F32" s="475"/>
      <c r="G32" s="361"/>
    </row>
    <row r="33" spans="1:7" ht="18" customHeight="1" x14ac:dyDescent="0.25">
      <c r="A33" s="361"/>
      <c r="B33" s="236" t="s">
        <v>1601</v>
      </c>
      <c r="C33" s="18" t="s">
        <v>8</v>
      </c>
      <c r="D33" s="473">
        <v>0.1</v>
      </c>
      <c r="E33" s="474"/>
      <c r="F33" s="475"/>
      <c r="G33" s="361"/>
    </row>
    <row r="34" spans="1:7" ht="18" customHeight="1" x14ac:dyDescent="0.25">
      <c r="A34" s="361"/>
      <c r="B34" s="236" t="s">
        <v>1113</v>
      </c>
      <c r="C34" s="18" t="s">
        <v>8</v>
      </c>
      <c r="D34" s="473">
        <v>0.1</v>
      </c>
      <c r="E34" s="474"/>
      <c r="F34" s="475"/>
      <c r="G34" s="361"/>
    </row>
    <row r="35" spans="1:7" ht="18" customHeight="1" x14ac:dyDescent="0.25">
      <c r="A35" s="361"/>
      <c r="B35" s="236" t="s">
        <v>1114</v>
      </c>
      <c r="C35" s="18" t="s">
        <v>8</v>
      </c>
      <c r="D35" s="473">
        <v>0.1</v>
      </c>
      <c r="E35" s="474"/>
      <c r="F35" s="475"/>
      <c r="G35" s="361"/>
    </row>
    <row r="36" spans="1:7" ht="18" customHeight="1" x14ac:dyDescent="0.25">
      <c r="A36" s="361"/>
      <c r="B36" s="236" t="s">
        <v>320</v>
      </c>
      <c r="C36" s="18" t="s">
        <v>8</v>
      </c>
      <c r="D36" s="473">
        <v>0.05</v>
      </c>
      <c r="E36" s="474"/>
      <c r="F36" s="475"/>
      <c r="G36" s="361"/>
    </row>
    <row r="37" spans="1:7" ht="18" customHeight="1" x14ac:dyDescent="0.25">
      <c r="A37" s="361"/>
      <c r="B37" s="236" t="s">
        <v>1116</v>
      </c>
      <c r="C37" s="18" t="s">
        <v>8</v>
      </c>
      <c r="D37" s="485">
        <v>0.55000000000000004</v>
      </c>
      <c r="E37" s="486"/>
      <c r="F37" s="487"/>
      <c r="G37" s="361"/>
    </row>
    <row r="38" spans="1:7" ht="18" customHeight="1" x14ac:dyDescent="0.25">
      <c r="A38" s="361"/>
      <c r="B38" s="236" t="s">
        <v>1115</v>
      </c>
      <c r="C38" s="18" t="s">
        <v>42</v>
      </c>
      <c r="D38" s="482">
        <v>0.5</v>
      </c>
      <c r="E38" s="483"/>
      <c r="F38" s="484"/>
      <c r="G38" s="361"/>
    </row>
    <row r="39" spans="1:7" ht="18" customHeight="1" x14ac:dyDescent="0.25">
      <c r="A39" s="361"/>
      <c r="B39" s="69" t="s">
        <v>1109</v>
      </c>
      <c r="C39" s="18" t="s">
        <v>289</v>
      </c>
      <c r="D39" s="479">
        <v>30</v>
      </c>
      <c r="E39" s="480"/>
      <c r="F39" s="481"/>
      <c r="G39" s="361"/>
    </row>
    <row r="40" spans="1:7" ht="18" customHeight="1" x14ac:dyDescent="0.25">
      <c r="A40" s="361"/>
      <c r="B40" s="236" t="s">
        <v>1108</v>
      </c>
      <c r="C40" s="18" t="s">
        <v>591</v>
      </c>
      <c r="D40" s="479">
        <v>75000</v>
      </c>
      <c r="E40" s="480"/>
      <c r="F40" s="481"/>
      <c r="G40" s="361"/>
    </row>
    <row r="41" spans="1:7" ht="18" customHeight="1" x14ac:dyDescent="0.25">
      <c r="A41" s="361"/>
      <c r="B41" s="236" t="s">
        <v>19</v>
      </c>
      <c r="C41" s="18" t="s">
        <v>20</v>
      </c>
      <c r="D41" s="479">
        <v>0.1</v>
      </c>
      <c r="E41" s="480"/>
      <c r="F41" s="481"/>
      <c r="G41" s="361"/>
    </row>
    <row r="42" spans="1:7" ht="18" customHeight="1" x14ac:dyDescent="0.25">
      <c r="A42" s="361"/>
      <c r="B42" s="236" t="s">
        <v>323</v>
      </c>
      <c r="C42" s="18" t="s">
        <v>1111</v>
      </c>
      <c r="D42" s="479">
        <v>25</v>
      </c>
      <c r="E42" s="480"/>
      <c r="F42" s="481"/>
      <c r="G42" s="361"/>
    </row>
    <row r="43" spans="1:7" ht="18" customHeight="1" x14ac:dyDescent="0.25">
      <c r="A43" s="361"/>
      <c r="B43" s="236" t="s">
        <v>33</v>
      </c>
      <c r="C43" s="18" t="s">
        <v>1110</v>
      </c>
      <c r="D43" s="476">
        <v>10</v>
      </c>
      <c r="E43" s="477"/>
      <c r="F43" s="478"/>
      <c r="G43" s="361"/>
    </row>
    <row r="44" spans="1:7" ht="18" customHeight="1" x14ac:dyDescent="0.25">
      <c r="A44" s="361"/>
      <c r="B44" s="243" t="s">
        <v>316</v>
      </c>
      <c r="C44" s="237" t="s">
        <v>1110</v>
      </c>
      <c r="D44" s="476">
        <v>20</v>
      </c>
      <c r="E44" s="477"/>
      <c r="F44" s="478"/>
      <c r="G44" s="361"/>
    </row>
    <row r="45" spans="1:7" ht="18" customHeight="1" x14ac:dyDescent="0.25">
      <c r="A45" s="361"/>
      <c r="B45" s="361"/>
      <c r="C45" s="378"/>
      <c r="D45" s="361"/>
      <c r="E45" s="361"/>
      <c r="F45" s="361"/>
      <c r="G45" s="361"/>
    </row>
    <row r="46" spans="1:7" ht="18" hidden="1" customHeight="1" x14ac:dyDescent="0.25">
      <c r="A46" s="361"/>
      <c r="B46" s="361"/>
      <c r="C46" s="378"/>
      <c r="D46" s="361"/>
      <c r="E46" s="361"/>
      <c r="F46" s="382" t="s">
        <v>1154</v>
      </c>
      <c r="G46" s="361"/>
    </row>
    <row r="47" spans="1:7" ht="18" hidden="1" customHeight="1" x14ac:dyDescent="0.25">
      <c r="A47" s="361"/>
      <c r="B47" s="71" t="s">
        <v>1132</v>
      </c>
      <c r="C47" s="244" t="s">
        <v>578</v>
      </c>
      <c r="D47" s="244" t="s">
        <v>461</v>
      </c>
      <c r="E47" s="244" t="s">
        <v>67</v>
      </c>
      <c r="F47" s="245" t="s">
        <v>1107</v>
      </c>
      <c r="G47" s="361"/>
    </row>
    <row r="48" spans="1:7" ht="18" hidden="1" customHeight="1" x14ac:dyDescent="0.25">
      <c r="A48" s="361"/>
      <c r="B48" s="69" t="s">
        <v>1106</v>
      </c>
      <c r="C48" s="18" t="s">
        <v>592</v>
      </c>
      <c r="D48" s="370">
        <v>0</v>
      </c>
      <c r="E48" s="370">
        <v>0</v>
      </c>
      <c r="F48" s="370">
        <v>0</v>
      </c>
      <c r="G48" s="361"/>
    </row>
    <row r="49" spans="1:7" ht="18" hidden="1" customHeight="1" x14ac:dyDescent="0.25">
      <c r="A49" s="361"/>
      <c r="B49" s="69" t="s">
        <v>21</v>
      </c>
      <c r="C49" s="18" t="s">
        <v>8</v>
      </c>
      <c r="D49" s="374">
        <v>0</v>
      </c>
      <c r="E49" s="374">
        <v>0</v>
      </c>
      <c r="F49" s="374">
        <v>0</v>
      </c>
      <c r="G49" s="361"/>
    </row>
    <row r="50" spans="1:7" ht="18" hidden="1" customHeight="1" x14ac:dyDescent="0.25">
      <c r="A50" s="361"/>
      <c r="B50" s="236" t="s">
        <v>1601</v>
      </c>
      <c r="C50" s="18" t="s">
        <v>8</v>
      </c>
      <c r="D50" s="374">
        <v>0</v>
      </c>
      <c r="E50" s="374">
        <v>0</v>
      </c>
      <c r="F50" s="374">
        <v>0</v>
      </c>
      <c r="G50" s="361"/>
    </row>
    <row r="51" spans="1:7" ht="18" hidden="1" customHeight="1" x14ac:dyDescent="0.25">
      <c r="A51" s="361"/>
      <c r="B51" s="236" t="s">
        <v>1113</v>
      </c>
      <c r="C51" s="18" t="s">
        <v>8</v>
      </c>
      <c r="D51" s="374">
        <v>0</v>
      </c>
      <c r="E51" s="374">
        <v>0</v>
      </c>
      <c r="F51" s="374">
        <v>0</v>
      </c>
      <c r="G51" s="361"/>
    </row>
    <row r="52" spans="1:7" ht="18" hidden="1" customHeight="1" x14ac:dyDescent="0.25">
      <c r="A52" s="361"/>
      <c r="B52" s="236" t="s">
        <v>1114</v>
      </c>
      <c r="C52" s="18" t="s">
        <v>8</v>
      </c>
      <c r="D52" s="374">
        <v>0</v>
      </c>
      <c r="E52" s="374">
        <v>0</v>
      </c>
      <c r="F52" s="374">
        <v>0</v>
      </c>
      <c r="G52" s="361"/>
    </row>
    <row r="53" spans="1:7" ht="18" hidden="1" customHeight="1" x14ac:dyDescent="0.25">
      <c r="A53" s="361"/>
      <c r="B53" s="236" t="s">
        <v>320</v>
      </c>
      <c r="C53" s="18" t="s">
        <v>8</v>
      </c>
      <c r="D53" s="374">
        <v>0</v>
      </c>
      <c r="E53" s="374">
        <v>0</v>
      </c>
      <c r="F53" s="374">
        <v>0</v>
      </c>
      <c r="G53" s="361"/>
    </row>
    <row r="54" spans="1:7" ht="18" hidden="1" customHeight="1" x14ac:dyDescent="0.25">
      <c r="A54" s="361"/>
      <c r="B54" s="236" t="s">
        <v>1116</v>
      </c>
      <c r="C54" s="18" t="s">
        <v>8</v>
      </c>
      <c r="D54" s="375">
        <v>0</v>
      </c>
      <c r="E54" s="375">
        <v>0</v>
      </c>
      <c r="F54" s="375">
        <v>0</v>
      </c>
      <c r="G54" s="361"/>
    </row>
    <row r="55" spans="1:7" ht="18" hidden="1" customHeight="1" x14ac:dyDescent="0.25">
      <c r="A55" s="361"/>
      <c r="B55" s="236" t="s">
        <v>1115</v>
      </c>
      <c r="C55" s="18" t="s">
        <v>42</v>
      </c>
      <c r="D55" s="376">
        <v>0</v>
      </c>
      <c r="E55" s="376">
        <v>0</v>
      </c>
      <c r="F55" s="376">
        <v>0</v>
      </c>
      <c r="G55" s="361"/>
    </row>
    <row r="56" spans="1:7" ht="18" hidden="1" customHeight="1" x14ac:dyDescent="0.25">
      <c r="A56" s="361"/>
      <c r="B56" s="69" t="s">
        <v>1109</v>
      </c>
      <c r="C56" s="18" t="s">
        <v>289</v>
      </c>
      <c r="D56" s="377">
        <v>0</v>
      </c>
      <c r="E56" s="377">
        <v>0</v>
      </c>
      <c r="F56" s="377">
        <v>0</v>
      </c>
      <c r="G56" s="361"/>
    </row>
    <row r="57" spans="1:7" ht="18" hidden="1" customHeight="1" x14ac:dyDescent="0.25">
      <c r="A57" s="361"/>
      <c r="B57" s="236" t="s">
        <v>1108</v>
      </c>
      <c r="C57" s="18" t="s">
        <v>591</v>
      </c>
      <c r="D57" s="377">
        <v>0</v>
      </c>
      <c r="E57" s="377">
        <v>0</v>
      </c>
      <c r="F57" s="377">
        <v>0</v>
      </c>
      <c r="G57" s="361"/>
    </row>
    <row r="58" spans="1:7" ht="18" hidden="1" customHeight="1" x14ac:dyDescent="0.25">
      <c r="A58" s="361"/>
      <c r="B58" s="236" t="s">
        <v>19</v>
      </c>
      <c r="C58" s="18" t="s">
        <v>20</v>
      </c>
      <c r="D58" s="377">
        <v>0</v>
      </c>
      <c r="E58" s="377">
        <v>0</v>
      </c>
      <c r="F58" s="377">
        <v>0</v>
      </c>
      <c r="G58" s="361"/>
    </row>
    <row r="59" spans="1:7" ht="18" hidden="1" customHeight="1" x14ac:dyDescent="0.25">
      <c r="A59" s="361"/>
      <c r="B59" s="236" t="s">
        <v>323</v>
      </c>
      <c r="C59" s="18" t="s">
        <v>1111</v>
      </c>
      <c r="D59" s="377">
        <v>0</v>
      </c>
      <c r="E59" s="377">
        <v>0</v>
      </c>
      <c r="F59" s="377">
        <v>0</v>
      </c>
      <c r="G59" s="361"/>
    </row>
    <row r="60" spans="1:7" ht="18" hidden="1" customHeight="1" x14ac:dyDescent="0.25">
      <c r="A60" s="361"/>
      <c r="B60" s="236" t="s">
        <v>33</v>
      </c>
      <c r="C60" s="18" t="s">
        <v>1110</v>
      </c>
      <c r="D60" s="370">
        <v>0</v>
      </c>
      <c r="E60" s="370">
        <v>0</v>
      </c>
      <c r="F60" s="370">
        <v>0</v>
      </c>
      <c r="G60" s="361"/>
    </row>
    <row r="61" spans="1:7" ht="18" hidden="1" customHeight="1" x14ac:dyDescent="0.25">
      <c r="A61" s="361"/>
      <c r="B61" s="243" t="s">
        <v>316</v>
      </c>
      <c r="C61" s="237" t="s">
        <v>1110</v>
      </c>
      <c r="D61" s="370">
        <v>0</v>
      </c>
      <c r="E61" s="370">
        <v>0</v>
      </c>
      <c r="F61" s="370">
        <v>0</v>
      </c>
      <c r="G61" s="361"/>
    </row>
    <row r="62" spans="1:7" ht="18" hidden="1" customHeight="1" x14ac:dyDescent="0.25">
      <c r="B62" s="361"/>
      <c r="C62" s="378"/>
      <c r="D62" s="361"/>
      <c r="E62" s="361"/>
      <c r="F62" s="361"/>
    </row>
    <row r="63" spans="1:7" ht="18" customHeight="1" x14ac:dyDescent="0.25">
      <c r="A63" s="361"/>
      <c r="B63" s="361"/>
      <c r="C63" s="378"/>
      <c r="D63" s="361"/>
      <c r="E63" s="361"/>
      <c r="F63" s="361"/>
      <c r="G63" s="361"/>
    </row>
    <row r="64" spans="1:7" ht="18" customHeight="1" x14ac:dyDescent="0.25">
      <c r="A64" s="361"/>
      <c r="B64" s="361"/>
      <c r="C64" s="378"/>
      <c r="D64" s="361"/>
      <c r="E64" s="361"/>
      <c r="F64" s="361"/>
      <c r="G64" s="361"/>
    </row>
    <row r="65" spans="1:7" ht="18" customHeight="1" x14ac:dyDescent="0.25">
      <c r="A65" s="361"/>
      <c r="B65" s="361"/>
      <c r="C65" s="378"/>
      <c r="D65" s="361"/>
      <c r="E65" s="361"/>
      <c r="F65" s="361"/>
      <c r="G65" s="361"/>
    </row>
    <row r="66" spans="1:7" ht="18" customHeight="1" x14ac:dyDescent="0.25">
      <c r="A66" s="361"/>
      <c r="B66" s="361"/>
      <c r="C66" s="378"/>
      <c r="D66" s="361"/>
      <c r="E66" s="361"/>
      <c r="F66" s="361"/>
      <c r="G66" s="361"/>
    </row>
    <row r="67" spans="1:7" ht="18" customHeight="1" x14ac:dyDescent="0.25">
      <c r="A67" s="361"/>
      <c r="B67" s="361"/>
      <c r="C67" s="378"/>
      <c r="D67" s="361"/>
      <c r="E67" s="361"/>
      <c r="F67" s="361"/>
      <c r="G67" s="361"/>
    </row>
    <row r="68" spans="1:7" ht="18" customHeight="1" x14ac:dyDescent="0.25">
      <c r="A68" s="361"/>
      <c r="B68" s="361"/>
      <c r="C68" s="378"/>
      <c r="D68" s="361"/>
      <c r="E68" s="361"/>
      <c r="F68" s="361"/>
      <c r="G68" s="361"/>
    </row>
    <row r="69" spans="1:7" ht="18" customHeight="1" x14ac:dyDescent="0.25">
      <c r="A69" s="361"/>
      <c r="B69" s="361"/>
      <c r="C69" s="378"/>
      <c r="D69" s="361"/>
      <c r="E69" s="361"/>
      <c r="F69" s="361"/>
      <c r="G69" s="361"/>
    </row>
    <row r="70" spans="1:7" ht="18" hidden="1" customHeight="1" x14ac:dyDescent="0.25">
      <c r="A70" s="361"/>
      <c r="B70" s="361"/>
      <c r="C70" s="378"/>
      <c r="D70" s="361"/>
      <c r="E70" s="361"/>
      <c r="F70" s="361"/>
      <c r="G70" s="361"/>
    </row>
    <row r="71" spans="1:7" ht="18" hidden="1" customHeight="1" x14ac:dyDescent="0.25">
      <c r="A71" s="1"/>
    </row>
    <row r="72" spans="1:7" ht="18" hidden="1" customHeight="1" x14ac:dyDescent="0.25">
      <c r="A72" s="1"/>
    </row>
    <row r="73" spans="1:7" ht="18" hidden="1" customHeight="1" x14ac:dyDescent="0.25">
      <c r="A73" s="1"/>
    </row>
    <row r="74" spans="1:7" ht="18" hidden="1" customHeight="1" x14ac:dyDescent="0.25">
      <c r="A74" s="1"/>
    </row>
    <row r="75" spans="1:7" ht="18" hidden="1" customHeight="1" x14ac:dyDescent="0.25">
      <c r="A75" s="1"/>
    </row>
    <row r="76" spans="1:7" ht="18" hidden="1" customHeight="1" x14ac:dyDescent="0.25">
      <c r="A76" s="1"/>
    </row>
  </sheetData>
  <sheetProtection algorithmName="SHA-512" hashValue="qUUCwwq4eAYzQvn9w6nZIQWCm2Fiw2Z2o9d8t/jA2F/GbibOqAy4jkowQMUXYhqENM3a3BK6Lw5MUujUByW1bw==" saltValue="uLGcAkIBgy1K1Zm2qn4Rcg==" spinCount="100000" sheet="1" objects="1" scenarios="1" selectLockedCells="1"/>
  <mergeCells count="31">
    <mergeCell ref="D11:F11"/>
    <mergeCell ref="D30:F30"/>
    <mergeCell ref="D44:F44"/>
    <mergeCell ref="D13:F13"/>
    <mergeCell ref="D14:F14"/>
    <mergeCell ref="D15:F15"/>
    <mergeCell ref="D16:F16"/>
    <mergeCell ref="D17:F17"/>
    <mergeCell ref="D43:F43"/>
    <mergeCell ref="D42:F42"/>
    <mergeCell ref="D41:F41"/>
    <mergeCell ref="D40:F40"/>
    <mergeCell ref="D18:F18"/>
    <mergeCell ref="D19:F19"/>
    <mergeCell ref="D20:F20"/>
    <mergeCell ref="D21:F21"/>
    <mergeCell ref="D27:F27"/>
    <mergeCell ref="D22:F22"/>
    <mergeCell ref="D23:F23"/>
    <mergeCell ref="D24:F24"/>
    <mergeCell ref="D25:F25"/>
    <mergeCell ref="D26:F26"/>
    <mergeCell ref="D34:F34"/>
    <mergeCell ref="D33:F33"/>
    <mergeCell ref="D32:F32"/>
    <mergeCell ref="D31:F31"/>
    <mergeCell ref="D39:F39"/>
    <mergeCell ref="D38:F38"/>
    <mergeCell ref="D37:F37"/>
    <mergeCell ref="D36:F36"/>
    <mergeCell ref="D35:F35"/>
  </mergeCells>
  <dataValidations count="1">
    <dataValidation type="list" allowBlank="1" showInputMessage="1" showErrorMessage="1" sqref="D11:F11" xr:uid="{FE742A0C-1317-4EA2-8590-E8C27BD4E6A4}">
      <formula1>"Default, Intermediate, Advanced"</formula1>
    </dataValidation>
  </dataValidation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D8074-EAD7-4301-9325-E80DB0F316FF}">
  <sheetPr codeName="Sheet4">
    <tabColor theme="9"/>
  </sheetPr>
  <dimension ref="A1:E28"/>
  <sheetViews>
    <sheetView workbookViewId="0">
      <selection activeCell="D8" sqref="D8"/>
    </sheetView>
  </sheetViews>
  <sheetFormatPr defaultColWidth="0" defaultRowHeight="18" customHeight="1" zeroHeight="1" x14ac:dyDescent="0.25"/>
  <cols>
    <col min="1" max="1" width="3.28515625" style="1" customWidth="1"/>
    <col min="2" max="2" width="35.42578125" style="47" customWidth="1"/>
    <col min="3" max="3" width="12.85546875" style="1" customWidth="1"/>
    <col min="4" max="4" width="35.42578125" style="1" customWidth="1"/>
    <col min="5" max="5" width="3.28515625" style="1" customWidth="1"/>
    <col min="6" max="16384" width="12.7109375" style="1" hidden="1"/>
  </cols>
  <sheetData>
    <row r="1" spans="1:5" ht="54" customHeight="1" x14ac:dyDescent="0.25">
      <c r="A1" s="10"/>
      <c r="B1" s="44"/>
      <c r="C1" s="10"/>
      <c r="D1" s="11"/>
      <c r="E1" s="10"/>
    </row>
    <row r="2" spans="1:5" s="6" customFormat="1" ht="18" customHeight="1" x14ac:dyDescent="0.25">
      <c r="A2" s="362"/>
      <c r="B2" s="384"/>
      <c r="C2" s="362"/>
      <c r="D2" s="362"/>
      <c r="E2" s="362"/>
    </row>
    <row r="3" spans="1:5" ht="18" customHeight="1" thickBot="1" x14ac:dyDescent="0.35">
      <c r="A3" s="362"/>
      <c r="B3" s="373" t="s">
        <v>0</v>
      </c>
      <c r="C3" s="373"/>
      <c r="D3" s="373"/>
      <c r="E3" s="362"/>
    </row>
    <row r="4" spans="1:5" ht="36" customHeight="1" thickTop="1" x14ac:dyDescent="0.25">
      <c r="A4" s="362"/>
      <c r="B4" s="385" t="s">
        <v>66</v>
      </c>
      <c r="C4" s="362"/>
      <c r="D4" s="385" t="s">
        <v>65</v>
      </c>
      <c r="E4" s="362"/>
    </row>
    <row r="5" spans="1:5" ht="186" customHeight="1" x14ac:dyDescent="0.25">
      <c r="A5" s="362"/>
      <c r="B5" s="384"/>
      <c r="C5" s="362"/>
      <c r="D5" s="362"/>
      <c r="E5" s="362"/>
    </row>
    <row r="6" spans="1:5" ht="18" customHeight="1" x14ac:dyDescent="0.25">
      <c r="A6" s="362"/>
      <c r="B6" s="384"/>
      <c r="C6" s="362"/>
      <c r="D6" s="362"/>
      <c r="E6" s="362"/>
    </row>
    <row r="7" spans="1:5" ht="18" customHeight="1" x14ac:dyDescent="0.25">
      <c r="A7" s="362"/>
      <c r="B7" s="40" t="s">
        <v>6</v>
      </c>
      <c r="C7" s="41" t="s">
        <v>2</v>
      </c>
      <c r="D7" s="41" t="s">
        <v>5</v>
      </c>
      <c r="E7" s="362"/>
    </row>
    <row r="8" spans="1:5" ht="18" customHeight="1" x14ac:dyDescent="0.25">
      <c r="A8" s="362"/>
      <c r="B8" s="45" t="str">
        <f>IF(D28="Cuboid","Length (L)","Outer Diameter (OD)")</f>
        <v>Length (L)</v>
      </c>
      <c r="C8" s="4" t="s">
        <v>1</v>
      </c>
      <c r="D8" s="370">
        <v>150</v>
      </c>
      <c r="E8" s="362"/>
    </row>
    <row r="9" spans="1:5" ht="18" customHeight="1" x14ac:dyDescent="0.25">
      <c r="A9" s="362"/>
      <c r="B9" s="45" t="str">
        <f>IF(D28="Cuboid","Width (W)","Inner Diameter (ID)")</f>
        <v>Width (W)</v>
      </c>
      <c r="C9" s="4" t="s">
        <v>1</v>
      </c>
      <c r="D9" s="370">
        <v>100</v>
      </c>
      <c r="E9" s="362"/>
    </row>
    <row r="10" spans="1:5" ht="18" customHeight="1" x14ac:dyDescent="0.25">
      <c r="A10" s="362"/>
      <c r="B10" s="45" t="s">
        <v>3</v>
      </c>
      <c r="C10" s="4" t="s">
        <v>1</v>
      </c>
      <c r="D10" s="370">
        <v>130</v>
      </c>
      <c r="E10" s="362"/>
    </row>
    <row r="11" spans="1:5" ht="18" customHeight="1" x14ac:dyDescent="0.25">
      <c r="A11" s="362"/>
      <c r="B11" s="45" t="s">
        <v>4</v>
      </c>
      <c r="C11" s="4" t="s">
        <v>580</v>
      </c>
      <c r="D11" s="383">
        <v>85</v>
      </c>
      <c r="E11" s="362"/>
    </row>
    <row r="12" spans="1:5" ht="18" customHeight="1" x14ac:dyDescent="0.25">
      <c r="A12" s="362"/>
      <c r="B12" s="387"/>
      <c r="C12" s="388"/>
      <c r="D12" s="388"/>
      <c r="E12" s="362"/>
    </row>
    <row r="13" spans="1:5" ht="18" customHeight="1" x14ac:dyDescent="0.25">
      <c r="A13" s="362"/>
      <c r="B13" s="40" t="s">
        <v>7</v>
      </c>
      <c r="C13" s="41" t="s">
        <v>2</v>
      </c>
      <c r="D13" s="41" t="s">
        <v>5</v>
      </c>
      <c r="E13" s="362"/>
    </row>
    <row r="14" spans="1:5" ht="18" customHeight="1" x14ac:dyDescent="0.35">
      <c r="A14" s="362"/>
      <c r="B14" s="46" t="s">
        <v>9</v>
      </c>
      <c r="C14" s="13" t="s">
        <v>580</v>
      </c>
      <c r="D14" s="42">
        <f>'PRNT Backend'!F13</f>
        <v>1950</v>
      </c>
      <c r="E14" s="362"/>
    </row>
    <row r="15" spans="1:5" ht="18" customHeight="1" x14ac:dyDescent="0.25">
      <c r="A15" s="362"/>
      <c r="B15" s="46" t="s">
        <v>70</v>
      </c>
      <c r="C15" s="13" t="s">
        <v>8</v>
      </c>
      <c r="D15" s="43">
        <f>'PRNT Backend'!F14</f>
        <v>4.3589743589743588E-2</v>
      </c>
      <c r="E15" s="362"/>
    </row>
    <row r="16" spans="1:5" ht="18" customHeight="1" thickBot="1" x14ac:dyDescent="0.3">
      <c r="A16" s="361"/>
      <c r="B16" s="386"/>
      <c r="C16" s="369"/>
      <c r="D16" s="369"/>
      <c r="E16" s="361"/>
    </row>
    <row r="17" spans="1:5" ht="18" customHeight="1" thickTop="1" x14ac:dyDescent="0.25">
      <c r="A17" s="361"/>
      <c r="B17" s="389"/>
      <c r="C17" s="361"/>
      <c r="D17" s="361"/>
      <c r="E17" s="361"/>
    </row>
    <row r="18" spans="1:5" ht="18" customHeight="1" x14ac:dyDescent="0.25">
      <c r="A18" s="361"/>
      <c r="B18" s="389"/>
      <c r="C18" s="361"/>
      <c r="D18" s="361"/>
      <c r="E18" s="361"/>
    </row>
    <row r="19" spans="1:5" ht="18" customHeight="1" x14ac:dyDescent="0.25">
      <c r="A19" s="361"/>
      <c r="B19" s="389"/>
      <c r="C19" s="361"/>
      <c r="D19" s="361"/>
      <c r="E19" s="361"/>
    </row>
    <row r="20" spans="1:5" ht="18" customHeight="1" x14ac:dyDescent="0.25">
      <c r="A20" s="361"/>
      <c r="B20" s="389"/>
      <c r="C20" s="361"/>
      <c r="D20" s="361"/>
      <c r="E20" s="361"/>
    </row>
    <row r="21" spans="1:5" ht="18" customHeight="1" x14ac:dyDescent="0.25">
      <c r="A21" s="361"/>
      <c r="B21" s="389"/>
      <c r="C21" s="361"/>
      <c r="D21" s="361"/>
      <c r="E21" s="361"/>
    </row>
    <row r="22" spans="1:5" ht="18" customHeight="1" x14ac:dyDescent="0.25">
      <c r="A22" s="361"/>
      <c r="B22" s="389"/>
      <c r="C22" s="361"/>
      <c r="D22" s="361"/>
      <c r="E22" s="361"/>
    </row>
    <row r="23" spans="1:5" ht="18" customHeight="1" x14ac:dyDescent="0.25">
      <c r="A23" s="361"/>
      <c r="B23" s="389"/>
      <c r="C23" s="361"/>
      <c r="D23" s="361"/>
      <c r="E23" s="361"/>
    </row>
    <row r="24" spans="1:5" ht="18" customHeight="1" x14ac:dyDescent="0.25">
      <c r="A24" s="361"/>
      <c r="B24" s="389"/>
      <c r="C24" s="361"/>
      <c r="D24" s="361"/>
      <c r="E24" s="361"/>
    </row>
    <row r="25" spans="1:5" ht="18" customHeight="1" x14ac:dyDescent="0.25">
      <c r="A25" s="361"/>
      <c r="B25" s="389"/>
      <c r="C25" s="361"/>
      <c r="D25" s="361"/>
      <c r="E25" s="361"/>
    </row>
    <row r="26" spans="1:5" ht="18" customHeight="1" x14ac:dyDescent="0.25">
      <c r="A26" s="361"/>
      <c r="B26" s="389"/>
      <c r="C26" s="361"/>
      <c r="D26" s="361"/>
      <c r="E26" s="361"/>
    </row>
    <row r="28" spans="1:5" ht="18" hidden="1" customHeight="1" x14ac:dyDescent="0.25">
      <c r="B28" s="84" t="s">
        <v>69</v>
      </c>
      <c r="C28" s="391">
        <v>1</v>
      </c>
      <c r="D28" s="392" t="str">
        <f>IF(C28=1,"Cuboid","Cylinder")</f>
        <v>Cuboid</v>
      </c>
    </row>
  </sheetData>
  <sheetProtection algorithmName="SHA-512" hashValue="vDs8D//XlF1JAS2Qus2Ui4LcMOXb1cSMH+LOE8ETTTvwwfsz2NrDg0HInZf6oatueGWRbIV34HiD6KmStwhflw==" saltValue="1VyxzuRHsXTpQq5xK33dDw==" spinCount="100000" sheet="1" objects="1" scenarios="1" selectLockedCells="1"/>
  <pageMargins left="0.7" right="0.7" top="0.75" bottom="0.75" header="0.3" footer="0.3"/>
  <pageSetup orientation="portrait" horizontalDpi="1200" verticalDpi="1200" r:id="rId1"/>
  <ignoredErrors>
    <ignoredError sqref="D14:D1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RadioButton_Cuboid">
              <controlPr defaultSize="0" autoFill="0" autoLine="0" autoPict="0" macro="[0]!SUB_HIDE_FINISHINGTYPE">
                <anchor moveWithCells="1">
                  <from>
                    <xdr:col>1</xdr:col>
                    <xdr:colOff>9525</xdr:colOff>
                    <xdr:row>3</xdr:row>
                    <xdr:rowOff>0</xdr:rowOff>
                  </from>
                  <to>
                    <xdr:col>1</xdr:col>
                    <xdr:colOff>2362200</xdr:colOff>
                    <xdr:row>4</xdr:row>
                    <xdr:rowOff>0</xdr:rowOff>
                  </to>
                </anchor>
              </controlPr>
            </control>
          </mc:Choice>
        </mc:AlternateContent>
        <mc:AlternateContent xmlns:mc="http://schemas.openxmlformats.org/markup-compatibility/2006">
          <mc:Choice Requires="x14">
            <control shapeId="12290" r:id="rId5" name="RadioButton_Cylinder">
              <controlPr defaultSize="0" autoFill="0" autoLine="0" autoPict="0" macro="[0]!SUB_HIDE_FINISHINGTYPE">
                <anchor moveWithCells="1">
                  <from>
                    <xdr:col>3</xdr:col>
                    <xdr:colOff>9525</xdr:colOff>
                    <xdr:row>3</xdr:row>
                    <xdr:rowOff>0</xdr:rowOff>
                  </from>
                  <to>
                    <xdr:col>3</xdr:col>
                    <xdr:colOff>2362200</xdr:colOff>
                    <xdr:row>4</xdr:row>
                    <xdr:rowOff>0</xdr:rowOff>
                  </to>
                </anchor>
              </controlPr>
            </control>
          </mc:Choice>
        </mc:AlternateContent>
      </controls>
    </mc:Choice>
  </mc:AlternateContent>
  <tableParts count="2">
    <tablePart r:id="rId6"/>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7AF1-CDB1-4FF9-A785-196C6EC803A2}">
  <sheetPr codeName="Sheet5">
    <tabColor theme="9"/>
  </sheetPr>
  <dimension ref="A1:O47"/>
  <sheetViews>
    <sheetView workbookViewId="0">
      <selection activeCell="C12" sqref="C12:D12"/>
    </sheetView>
  </sheetViews>
  <sheetFormatPr defaultColWidth="0" defaultRowHeight="18" customHeight="1" zeroHeight="1" x14ac:dyDescent="0.25"/>
  <cols>
    <col min="1" max="1" width="3.28515625" style="12" customWidth="1"/>
    <col min="2" max="2" width="35.42578125" style="366" customWidth="1"/>
    <col min="3" max="3" width="12.85546875" style="366" customWidth="1"/>
    <col min="4" max="4" width="35.42578125" style="366" customWidth="1"/>
    <col min="5" max="5" width="3.28515625" style="12" customWidth="1"/>
    <col min="6" max="7" width="0" style="12" hidden="1" customWidth="1"/>
    <col min="8" max="8" width="0" style="83" hidden="1" customWidth="1"/>
    <col min="9" max="15" width="0" style="12" hidden="1" customWidth="1"/>
    <col min="16" max="16384" width="12.7109375" style="12" hidden="1"/>
  </cols>
  <sheetData>
    <row r="1" spans="1:8" s="1" customFormat="1" ht="54" customHeight="1" x14ac:dyDescent="0.25">
      <c r="A1" s="5"/>
      <c r="B1" s="5"/>
      <c r="C1" s="5"/>
      <c r="D1" s="5"/>
      <c r="E1" s="5"/>
      <c r="H1" s="82"/>
    </row>
    <row r="2" spans="1:8" s="1" customFormat="1" ht="18" customHeight="1" x14ac:dyDescent="0.25">
      <c r="A2" s="361"/>
      <c r="B2" s="361"/>
      <c r="C2" s="361"/>
      <c r="D2" s="361"/>
      <c r="E2" s="361"/>
      <c r="H2" s="82"/>
    </row>
    <row r="3" spans="1:8" s="1" customFormat="1" ht="18" customHeight="1" thickBot="1" x14ac:dyDescent="0.35">
      <c r="A3" s="361"/>
      <c r="B3" s="379" t="s">
        <v>17</v>
      </c>
      <c r="C3" s="379"/>
      <c r="D3" s="379"/>
      <c r="E3" s="361"/>
      <c r="H3" s="82"/>
    </row>
    <row r="4" spans="1:8" s="1" customFormat="1" ht="18" customHeight="1" thickTop="1" x14ac:dyDescent="0.3">
      <c r="A4" s="361"/>
      <c r="B4" s="394"/>
      <c r="C4" s="394"/>
      <c r="D4" s="394"/>
      <c r="E4" s="361"/>
      <c r="H4" s="82"/>
    </row>
    <row r="5" spans="1:8" s="1" customFormat="1" ht="18" customHeight="1" x14ac:dyDescent="0.3">
      <c r="A5" s="361"/>
      <c r="B5" s="395"/>
      <c r="C5" s="395"/>
      <c r="D5" s="395"/>
      <c r="E5" s="361"/>
      <c r="F5" s="83" t="s">
        <v>1600</v>
      </c>
    </row>
    <row r="6" spans="1:8" s="1" customFormat="1" ht="18" customHeight="1" x14ac:dyDescent="0.3">
      <c r="A6" s="361"/>
      <c r="B6" s="395"/>
      <c r="C6" s="395"/>
      <c r="D6" s="395"/>
      <c r="E6" s="361"/>
      <c r="F6" s="19" t="s">
        <v>242</v>
      </c>
    </row>
    <row r="7" spans="1:8" s="1" customFormat="1" ht="18" customHeight="1" x14ac:dyDescent="0.3">
      <c r="A7" s="361"/>
      <c r="B7" s="395"/>
      <c r="C7" s="395"/>
      <c r="D7" s="395"/>
      <c r="E7" s="361"/>
      <c r="F7" s="83" t="s">
        <v>241</v>
      </c>
    </row>
    <row r="8" spans="1:8" s="1" customFormat="1" ht="18" customHeight="1" x14ac:dyDescent="0.3">
      <c r="A8" s="361"/>
      <c r="B8" s="395"/>
      <c r="C8" s="395"/>
      <c r="D8" s="395"/>
      <c r="E8" s="361"/>
      <c r="F8" s="19" t="s">
        <v>243</v>
      </c>
    </row>
    <row r="9" spans="1:8" s="1" customFormat="1" ht="18" customHeight="1" x14ac:dyDescent="0.3">
      <c r="A9" s="361"/>
      <c r="B9" s="395"/>
      <c r="C9" s="395"/>
      <c r="D9" s="395"/>
      <c r="E9" s="361"/>
      <c r="H9" s="82"/>
    </row>
    <row r="10" spans="1:8" s="2" customFormat="1" ht="18" customHeight="1" x14ac:dyDescent="0.25">
      <c r="A10" s="366"/>
      <c r="B10" s="366"/>
      <c r="C10" s="366"/>
      <c r="D10" s="366"/>
      <c r="E10" s="366"/>
      <c r="H10" s="19"/>
    </row>
    <row r="11" spans="1:8" s="2" customFormat="1" ht="18" customHeight="1" x14ac:dyDescent="0.25">
      <c r="A11" s="366"/>
      <c r="B11" s="71" t="s">
        <v>6</v>
      </c>
      <c r="C11" s="496" t="s">
        <v>5</v>
      </c>
      <c r="D11" s="497"/>
      <c r="E11" s="366"/>
      <c r="H11" s="19"/>
    </row>
    <row r="12" spans="1:8" s="2" customFormat="1" ht="18" customHeight="1" x14ac:dyDescent="0.25">
      <c r="A12" s="366"/>
      <c r="B12" s="69" t="s">
        <v>22</v>
      </c>
      <c r="C12" s="476" t="s">
        <v>11</v>
      </c>
      <c r="D12" s="508"/>
      <c r="E12" s="366"/>
      <c r="H12" s="19"/>
    </row>
    <row r="13" spans="1:8" s="2" customFormat="1" ht="18" customHeight="1" x14ac:dyDescent="0.25">
      <c r="A13" s="366"/>
      <c r="B13" s="69" t="str">
        <f>IF(C12="Composite","Matrix Type","Material Type")</f>
        <v>Material Type</v>
      </c>
      <c r="C13" s="476" t="s">
        <v>206</v>
      </c>
      <c r="D13" s="508"/>
      <c r="E13" s="366"/>
      <c r="H13" s="19"/>
    </row>
    <row r="14" spans="1:8" s="2" customFormat="1" ht="18" hidden="1" customHeight="1" x14ac:dyDescent="0.25">
      <c r="A14" s="366"/>
      <c r="B14" s="69" t="s">
        <v>217</v>
      </c>
      <c r="C14" s="506" t="s">
        <v>213</v>
      </c>
      <c r="D14" s="507"/>
      <c r="E14" s="366"/>
      <c r="G14" s="19"/>
    </row>
    <row r="15" spans="1:8" s="2" customFormat="1" ht="18" hidden="1" customHeight="1" x14ac:dyDescent="0.25">
      <c r="A15" s="366"/>
      <c r="B15" s="69" t="s">
        <v>310</v>
      </c>
      <c r="C15" s="506" t="s">
        <v>307</v>
      </c>
      <c r="D15" s="507"/>
      <c r="E15" s="366"/>
      <c r="G15" s="19"/>
    </row>
    <row r="16" spans="1:8" ht="18" customHeight="1" x14ac:dyDescent="0.25">
      <c r="A16" s="366"/>
      <c r="B16" s="396"/>
      <c r="E16" s="366"/>
      <c r="G16" s="83"/>
      <c r="H16" s="12"/>
    </row>
    <row r="17" spans="1:15" s="2" customFormat="1" ht="18" customHeight="1" x14ac:dyDescent="0.25">
      <c r="A17" s="366"/>
      <c r="B17" s="40" t="s">
        <v>338</v>
      </c>
      <c r="C17" s="41" t="s">
        <v>2</v>
      </c>
      <c r="D17" s="41" t="s">
        <v>227</v>
      </c>
      <c r="E17" s="366"/>
      <c r="F17" s="19" t="s">
        <v>248</v>
      </c>
      <c r="G17" s="18" t="s">
        <v>12</v>
      </c>
      <c r="H17" s="18" t="s">
        <v>13</v>
      </c>
    </row>
    <row r="18" spans="1:15" s="2" customFormat="1" ht="18" hidden="1" customHeight="1" x14ac:dyDescent="0.25">
      <c r="A18" s="366"/>
      <c r="B18" s="2" t="s">
        <v>230</v>
      </c>
      <c r="C18" s="18" t="s">
        <v>228</v>
      </c>
      <c r="D18" s="18" t="str">
        <f>_xlfn.CONCAT(TEXT(G18,"0.00")," – ",TEXT(H18,"0.00"))</f>
        <v>1.85 – 1.85</v>
      </c>
      <c r="E18" s="366"/>
      <c r="F18" s="19" t="s">
        <v>245</v>
      </c>
      <c r="G18" s="18">
        <f>_xlfn.MINIFS(Db_Fiber[Cost per kg],Db_Fiber[Type],$C$14)</f>
        <v>1.85</v>
      </c>
      <c r="H18" s="18">
        <f>_xlfn.MAXIFS(Db_Fiber[Cost per kg],Db_Fiber[Type],$C$14)</f>
        <v>1.85</v>
      </c>
    </row>
    <row r="19" spans="1:15" s="2" customFormat="1" ht="18" hidden="1" customHeight="1" x14ac:dyDescent="0.25">
      <c r="A19" s="366"/>
      <c r="B19" s="2" t="s">
        <v>231</v>
      </c>
      <c r="C19" s="18" t="s">
        <v>229</v>
      </c>
      <c r="D19" s="18" t="str">
        <f>_xlfn.CONCAT(TEXT(G19,"0.00")," – ",TEXT(H19,"0.00"))</f>
        <v>2.50 – 2.50</v>
      </c>
      <c r="E19" s="366"/>
      <c r="F19" s="19" t="s">
        <v>245</v>
      </c>
      <c r="G19" s="18">
        <f>_xlfn.MINIFS(Db_Fiber[Density (g/cm3)],Db_Fiber[Type],$C$14)</f>
        <v>2.5</v>
      </c>
      <c r="H19" s="18">
        <f>_xlfn.MAXIFS(Db_Fiber[Density (g/cm3)],Db_Fiber[Type],$C$14)</f>
        <v>2.5</v>
      </c>
    </row>
    <row r="20" spans="1:15" s="2" customFormat="1" ht="18" customHeight="1" x14ac:dyDescent="0.25">
      <c r="A20" s="366"/>
      <c r="B20" s="2" t="str">
        <f>IF(C12="Composite", "Matrix Cost", "Material Cost")</f>
        <v>Material Cost</v>
      </c>
      <c r="C20" s="18" t="s">
        <v>228</v>
      </c>
      <c r="D20" s="18" t="str">
        <f ca="1">_xlfn.CONCAT(TEXT(G20,"0.00")," – ",TEXT(H20,"0.00"))</f>
        <v>0.00 – 0.00</v>
      </c>
      <c r="E20" s="366"/>
      <c r="F20" s="19" t="str">
        <f>_xlfn.CONCAT("Db_",IF($C$12="Composite","Polymer",$C$12))</f>
        <v>Db_Metal</v>
      </c>
      <c r="G20" s="21">
        <f ca="1">_xlfn.MINIFS(INDIRECT(_xlfn.CONCAT($F$20,"[Cost per kg]")),INDIRECT(_xlfn.CONCAT($F$20,"[Type]")),$C$13)</f>
        <v>0</v>
      </c>
      <c r="H20" s="21">
        <f ca="1">_xlfn.MAXIFS(INDIRECT(_xlfn.CONCAT($F$20,"[Cost per kg]")),INDIRECT(_xlfn.CONCAT($F$20,"[Type]")),$C$13)</f>
        <v>0</v>
      </c>
    </row>
    <row r="21" spans="1:15" s="2" customFormat="1" ht="18" customHeight="1" x14ac:dyDescent="0.25">
      <c r="A21" s="366"/>
      <c r="B21" s="2" t="str">
        <f>IF(C12="Composite","Matrix Density", "Material Density")</f>
        <v>Material Density</v>
      </c>
      <c r="C21" s="18" t="s">
        <v>229</v>
      </c>
      <c r="D21" s="18" t="str">
        <f ca="1">_xlfn.CONCAT(TEXT(G21,"0.00")," – ",TEXT(H21,"0.00"))</f>
        <v>2.75 – 3.71</v>
      </c>
      <c r="E21" s="366"/>
      <c r="F21" s="19" t="str">
        <f>_xlfn.CONCAT("Db_",IF($C$12="Composite","Polymer",$C$12))</f>
        <v>Db_Metal</v>
      </c>
      <c r="G21" s="21">
        <f ca="1">_xlfn.MINIFS(INDIRECT(_xlfn.CONCAT($F$20,"[Density (g/cm3)]")),INDIRECT(_xlfn.CONCAT($F$20,"[Type]")),$C$13)</f>
        <v>2.7455000000000007</v>
      </c>
      <c r="H21" s="21">
        <f ca="1">_xlfn.MAXIFS(INDIRECT(_xlfn.CONCAT($F$20,"[Density (g/cm3)]")),INDIRECT(_xlfn.CONCAT($F$20,"[Type]")),$C$13)</f>
        <v>3.7128571428571426</v>
      </c>
    </row>
    <row r="22" spans="1:15" s="2" customFormat="1" ht="18" customHeight="1" x14ac:dyDescent="0.25">
      <c r="A22" s="366"/>
      <c r="B22" s="366"/>
      <c r="C22" s="366"/>
      <c r="D22" s="366"/>
      <c r="E22" s="366"/>
    </row>
    <row r="23" spans="1:15" s="2" customFormat="1" ht="18" customHeight="1" x14ac:dyDescent="0.25">
      <c r="A23" s="366"/>
      <c r="B23" s="40" t="s">
        <v>6</v>
      </c>
      <c r="C23" s="41" t="s">
        <v>2</v>
      </c>
      <c r="D23" s="41" t="s">
        <v>5</v>
      </c>
      <c r="E23" s="366"/>
      <c r="G23" s="19"/>
      <c r="O23"/>
    </row>
    <row r="24" spans="1:15" ht="18" customHeight="1" x14ac:dyDescent="0.25">
      <c r="A24" s="366"/>
      <c r="B24" s="2" t="s">
        <v>14</v>
      </c>
      <c r="C24" s="18" t="s">
        <v>42</v>
      </c>
      <c r="D24" s="370" t="s">
        <v>1629</v>
      </c>
      <c r="E24" s="366"/>
      <c r="G24" s="83"/>
      <c r="H24" s="12"/>
    </row>
    <row r="25" spans="1:15" ht="18" customHeight="1" x14ac:dyDescent="0.25">
      <c r="A25" s="366"/>
      <c r="B25" s="2" t="s">
        <v>10</v>
      </c>
      <c r="C25" s="33" t="s">
        <v>42</v>
      </c>
      <c r="D25" s="370" t="s">
        <v>123</v>
      </c>
      <c r="E25" s="366"/>
      <c r="G25" s="83"/>
      <c r="H25" s="12"/>
    </row>
    <row r="26" spans="1:15" s="2" customFormat="1" ht="18" hidden="1" customHeight="1" x14ac:dyDescent="0.25">
      <c r="A26" s="366"/>
      <c r="B26" s="2" t="s">
        <v>233</v>
      </c>
      <c r="C26" s="18" t="s">
        <v>8</v>
      </c>
      <c r="D26" s="393">
        <v>0.25</v>
      </c>
      <c r="E26" s="366"/>
      <c r="G26" s="19"/>
    </row>
    <row r="27" spans="1:15" s="2" customFormat="1" ht="18" hidden="1" customHeight="1" x14ac:dyDescent="0.25">
      <c r="A27" s="366"/>
      <c r="B27" s="2" t="s">
        <v>230</v>
      </c>
      <c r="C27" s="18" t="s">
        <v>228</v>
      </c>
      <c r="D27" s="376">
        <v>1.85</v>
      </c>
      <c r="E27" s="366"/>
      <c r="G27" s="19"/>
    </row>
    <row r="28" spans="1:15" s="2" customFormat="1" ht="18" hidden="1" customHeight="1" x14ac:dyDescent="0.25">
      <c r="A28" s="366"/>
      <c r="B28" s="2" t="s">
        <v>231</v>
      </c>
      <c r="C28" s="18" t="s">
        <v>229</v>
      </c>
      <c r="D28" s="376">
        <v>2.5</v>
      </c>
      <c r="E28" s="366"/>
      <c r="G28" s="19"/>
    </row>
    <row r="29" spans="1:15" s="2" customFormat="1" ht="18" customHeight="1" x14ac:dyDescent="0.25">
      <c r="A29" s="366"/>
      <c r="B29" s="12" t="str">
        <f>IF(AND(C12="Composite",C15="No"), "Matrix Cost", "Material Cost")</f>
        <v>Material Cost</v>
      </c>
      <c r="C29" s="18" t="s">
        <v>228</v>
      </c>
      <c r="D29" s="376">
        <v>300</v>
      </c>
      <c r="E29" s="366"/>
      <c r="G29" s="19"/>
      <c r="L29"/>
    </row>
    <row r="30" spans="1:15" s="2" customFormat="1" ht="18" customHeight="1" x14ac:dyDescent="0.25">
      <c r="A30" s="366"/>
      <c r="B30" s="12" t="str">
        <f>IF(AND(C12="Composite",C15="No"),"Matrix Density", "Material Density")</f>
        <v>Material Density</v>
      </c>
      <c r="C30" s="18" t="s">
        <v>229</v>
      </c>
      <c r="D30" s="376">
        <v>4.5060000000000002</v>
      </c>
      <c r="E30" s="366"/>
      <c r="G30" s="19"/>
      <c r="J30"/>
    </row>
    <row r="31" spans="1:15" s="2" customFormat="1" ht="18" hidden="1" customHeight="1" x14ac:dyDescent="0.25">
      <c r="A31" s="366"/>
      <c r="E31" s="366"/>
      <c r="G31" s="19"/>
    </row>
    <row r="32" spans="1:15" s="2" customFormat="1" ht="18" hidden="1" customHeight="1" x14ac:dyDescent="0.25">
      <c r="A32" s="366"/>
      <c r="B32" s="2" t="s">
        <v>7</v>
      </c>
      <c r="C32" s="18" t="s">
        <v>2</v>
      </c>
      <c r="D32" s="18" t="s">
        <v>5</v>
      </c>
      <c r="E32" s="366"/>
      <c r="G32" s="19"/>
    </row>
    <row r="33" spans="1:7" s="2" customFormat="1" ht="18" hidden="1" customHeight="1" x14ac:dyDescent="0.25">
      <c r="A33" s="366"/>
      <c r="B33" s="12" t="s">
        <v>235</v>
      </c>
      <c r="C33" s="76" t="s">
        <v>228</v>
      </c>
      <c r="D33" s="80">
        <f>'PRNT Backend'!G28</f>
        <v>300</v>
      </c>
      <c r="E33" s="366"/>
      <c r="G33" s="19"/>
    </row>
    <row r="34" spans="1:7" ht="18" hidden="1" customHeight="1" x14ac:dyDescent="0.25">
      <c r="A34" s="366"/>
      <c r="B34" s="12" t="s">
        <v>238</v>
      </c>
      <c r="C34" s="76" t="s">
        <v>229</v>
      </c>
      <c r="D34" s="81">
        <f>'PRNT Backend'!G29</f>
        <v>4.5060000000000002</v>
      </c>
      <c r="E34" s="366"/>
    </row>
    <row r="35" spans="1:7" ht="18" customHeight="1" thickBot="1" x14ac:dyDescent="0.3">
      <c r="A35" s="366"/>
      <c r="B35" s="397"/>
      <c r="C35" s="397"/>
      <c r="D35" s="397"/>
      <c r="E35" s="366"/>
    </row>
    <row r="36" spans="1:7" ht="18" customHeight="1" thickTop="1" x14ac:dyDescent="0.25">
      <c r="A36" s="366"/>
      <c r="E36" s="366"/>
    </row>
    <row r="37" spans="1:7" ht="18" customHeight="1" x14ac:dyDescent="0.25">
      <c r="A37" s="366"/>
      <c r="E37" s="366"/>
    </row>
    <row r="38" spans="1:7" ht="18" customHeight="1" x14ac:dyDescent="0.25">
      <c r="A38" s="366"/>
      <c r="E38" s="366"/>
    </row>
    <row r="39" spans="1:7" ht="18" customHeight="1" x14ac:dyDescent="0.25">
      <c r="A39" s="366"/>
      <c r="E39" s="366"/>
    </row>
    <row r="40" spans="1:7" ht="18" customHeight="1" x14ac:dyDescent="0.25">
      <c r="A40" s="366"/>
      <c r="E40" s="366"/>
    </row>
    <row r="41" spans="1:7" ht="18" customHeight="1" x14ac:dyDescent="0.25">
      <c r="A41" s="366"/>
      <c r="E41" s="366"/>
    </row>
    <row r="42" spans="1:7" ht="18" customHeight="1" x14ac:dyDescent="0.25">
      <c r="A42" s="366"/>
      <c r="E42" s="366"/>
    </row>
    <row r="43" spans="1:7" ht="18" customHeight="1" x14ac:dyDescent="0.25">
      <c r="A43" s="366"/>
      <c r="E43" s="366"/>
    </row>
    <row r="44" spans="1:7" ht="18" customHeight="1" x14ac:dyDescent="0.25">
      <c r="A44" s="366"/>
      <c r="E44" s="366"/>
    </row>
    <row r="45" spans="1:7" ht="18" customHeight="1" x14ac:dyDescent="0.25">
      <c r="A45" s="366"/>
      <c r="E45" s="366"/>
    </row>
    <row r="46" spans="1:7" ht="18" customHeight="1" x14ac:dyDescent="0.25">
      <c r="A46" s="366"/>
      <c r="E46" s="366"/>
    </row>
    <row r="47" spans="1:7" ht="18" customHeight="1" x14ac:dyDescent="0.25">
      <c r="A47" s="366"/>
      <c r="E47" s="366"/>
    </row>
  </sheetData>
  <sheetProtection algorithmName="SHA-512" hashValue="ih+ZVt+t3DvVeTluL6eO7r55qZhzrR6JHvrAc1f9AbPcBj8cpl0tCBFEyiKk7HhOh9deXb3gKPXylQyaPn8Pbg==" saltValue="suky/5ifV5fuDOrxifCOJg==" spinCount="100000" sheet="1" objects="1" scenarios="1" selectLockedCells="1"/>
  <mergeCells count="5">
    <mergeCell ref="C14:D14"/>
    <mergeCell ref="C11:D11"/>
    <mergeCell ref="C12:D12"/>
    <mergeCell ref="C13:D13"/>
    <mergeCell ref="C15:D15"/>
  </mergeCells>
  <dataValidations count="5">
    <dataValidation type="list" allowBlank="1" showInputMessage="1" showErrorMessage="1" sqref="C12:D12" xr:uid="{1807AF8D-8DE7-4DB9-82DA-B2B414AD65AB}">
      <formula1>INDIRECT("Tbl_Materials")</formula1>
    </dataValidation>
    <dataValidation type="list" allowBlank="1" showInputMessage="1" showErrorMessage="1" sqref="C14:D14" xr:uid="{CE825812-77FF-4E06-A9B7-28FA995E0C8B}">
      <formula1>INDIRECT("Tbl_Fibers")</formula1>
    </dataValidation>
    <dataValidation type="list" allowBlank="1" showInputMessage="1" showErrorMessage="1" sqref="C13:D13" xr:uid="{7BA2A17F-42EF-41D2-90A1-919D939B4681}">
      <formula1>INDIRECT(_xlfn.CONCAT("Tbl_",IF(C12="Composite","Polymer",C12),"s"))</formula1>
    </dataValidation>
    <dataValidation type="list" allowBlank="1" showInputMessage="1" showErrorMessage="1" sqref="C15:D15" xr:uid="{C2C6D082-A7A8-4239-BF75-F98D8CCFCD60}">
      <formula1>"Yes,No"</formula1>
    </dataValidation>
    <dataValidation type="decimal" allowBlank="1" showInputMessage="1" showErrorMessage="1" errorTitle="Invalid Fiber Fraction" error="Please enter a number between 0 and 1 (0% to 100%)." sqref="D26" xr:uid="{85C95F9E-DCC5-43FE-B697-C95AEDEAFFF5}">
      <formula1>0</formula1>
      <formula2>1</formula2>
    </dataValidation>
  </dataValidations>
  <pageMargins left="0.7" right="0.7" top="0.75" bottom="0.75" header="0.3" footer="0.3"/>
  <pageSetup orientation="portrait" horizontalDpi="1200" verticalDpi="1200" r:id="rId1"/>
  <ignoredErrors>
    <ignoredError sqref="D33:D34" calculatedColumn="1"/>
  </ignoredErrors>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11E3C-E823-4264-9A4F-3227CE4587C4}">
  <sheetPr codeName="Sheet21">
    <tabColor theme="9"/>
  </sheetPr>
  <dimension ref="A1:M79"/>
  <sheetViews>
    <sheetView workbookViewId="0">
      <selection activeCell="C13" sqref="C13:D13"/>
    </sheetView>
  </sheetViews>
  <sheetFormatPr defaultColWidth="0" defaultRowHeight="18" customHeight="1" zeroHeight="1" x14ac:dyDescent="0.25"/>
  <cols>
    <col min="1" max="1" width="3.28515625" customWidth="1"/>
    <col min="2" max="2" width="35.42578125" customWidth="1"/>
    <col min="3" max="3" width="12.85546875" customWidth="1"/>
    <col min="4" max="4" width="35.42578125" customWidth="1"/>
    <col min="5" max="6" width="3.28515625" customWidth="1"/>
    <col min="7" max="7" width="35.42578125" customWidth="1"/>
    <col min="8" max="8" width="12.85546875" customWidth="1"/>
    <col min="9" max="9" width="35.42578125" customWidth="1"/>
    <col min="10" max="10" width="3.28515625" customWidth="1"/>
    <col min="11" max="16384" width="12.7109375" hidden="1"/>
  </cols>
  <sheetData>
    <row r="1" spans="1:13" ht="54" customHeight="1" x14ac:dyDescent="0.25">
      <c r="A1" s="5"/>
      <c r="B1" s="5"/>
      <c r="C1" s="5"/>
      <c r="D1" s="5"/>
      <c r="E1" s="5"/>
      <c r="F1" s="5"/>
      <c r="G1" s="5"/>
      <c r="H1" s="5"/>
      <c r="I1" s="5"/>
      <c r="J1" s="5"/>
    </row>
    <row r="2" spans="1:13" s="1" customFormat="1" ht="18" customHeight="1" x14ac:dyDescent="0.25">
      <c r="A2" s="361"/>
      <c r="B2" s="361"/>
      <c r="C2" s="361"/>
      <c r="D2" s="361"/>
      <c r="E2" s="361"/>
      <c r="F2" s="361"/>
      <c r="G2" s="361"/>
      <c r="H2" s="361"/>
      <c r="I2" s="361"/>
      <c r="J2" s="361"/>
    </row>
    <row r="3" spans="1:13" ht="18" customHeight="1" thickBot="1" x14ac:dyDescent="0.35">
      <c r="A3" s="361"/>
      <c r="B3" s="379" t="s">
        <v>1134</v>
      </c>
      <c r="C3" s="379"/>
      <c r="D3" s="379"/>
      <c r="E3" s="361"/>
      <c r="F3" s="361"/>
      <c r="G3" s="379" t="s">
        <v>283</v>
      </c>
      <c r="H3" s="379"/>
      <c r="I3" s="379"/>
      <c r="J3" s="361"/>
    </row>
    <row r="4" spans="1:13" ht="18" customHeight="1" thickTop="1" x14ac:dyDescent="0.25">
      <c r="A4" s="366"/>
      <c r="B4" s="366"/>
      <c r="C4" s="366"/>
      <c r="D4" s="366"/>
      <c r="E4" s="366"/>
      <c r="F4" s="366"/>
      <c r="G4" s="361"/>
      <c r="H4" s="361"/>
      <c r="I4" s="361"/>
      <c r="J4" s="361"/>
    </row>
    <row r="5" spans="1:13" ht="18" customHeight="1" x14ac:dyDescent="0.25">
      <c r="A5" s="361"/>
      <c r="B5" s="361"/>
      <c r="C5" s="361"/>
      <c r="D5" s="361"/>
      <c r="E5" s="366"/>
      <c r="F5" s="366"/>
      <c r="G5" s="2" t="s">
        <v>7</v>
      </c>
      <c r="H5" s="18" t="s">
        <v>2</v>
      </c>
      <c r="I5" s="18" t="s">
        <v>5</v>
      </c>
      <c r="J5" s="361"/>
    </row>
    <row r="6" spans="1:13" ht="18" customHeight="1" x14ac:dyDescent="0.25">
      <c r="A6" s="361"/>
      <c r="B6" s="361"/>
      <c r="C6" s="361"/>
      <c r="D6" s="361"/>
      <c r="E6" s="366"/>
      <c r="F6" s="366"/>
      <c r="G6" s="2" t="s">
        <v>332</v>
      </c>
      <c r="H6" s="33" t="s">
        <v>42</v>
      </c>
      <c r="I6" s="235" t="str">
        <f>'PRNT Backend'!F112</f>
        <v>Yes</v>
      </c>
      <c r="J6" s="361"/>
    </row>
    <row r="7" spans="1:13" ht="18" customHeight="1" x14ac:dyDescent="0.25">
      <c r="A7" s="361"/>
      <c r="B7" s="361"/>
      <c r="C7" s="361"/>
      <c r="D7" s="361"/>
      <c r="E7" s="366"/>
      <c r="F7" s="366"/>
      <c r="G7" s="2" t="s">
        <v>334</v>
      </c>
      <c r="H7" s="18" t="s">
        <v>333</v>
      </c>
      <c r="I7" s="124">
        <f>'PRNT Backend'!F113</f>
        <v>6</v>
      </c>
      <c r="J7" s="361"/>
    </row>
    <row r="8" spans="1:13" ht="18" customHeight="1" x14ac:dyDescent="0.25">
      <c r="A8" s="361"/>
      <c r="B8" s="361"/>
      <c r="C8" s="361"/>
      <c r="D8" s="361"/>
      <c r="E8" s="361"/>
      <c r="F8" s="361"/>
      <c r="G8" s="2" t="s">
        <v>1602</v>
      </c>
      <c r="H8" s="18" t="s">
        <v>618</v>
      </c>
      <c r="I8" s="124">
        <f>'PRNT Backend'!F115</f>
        <v>455.0980928501653</v>
      </c>
      <c r="J8" s="361"/>
    </row>
    <row r="9" spans="1:13" ht="18" customHeight="1" x14ac:dyDescent="0.25">
      <c r="A9" s="361"/>
      <c r="B9" s="361"/>
      <c r="C9" s="361"/>
      <c r="D9" s="361"/>
      <c r="E9" s="361"/>
      <c r="F9" s="361"/>
      <c r="G9" s="2" t="s">
        <v>335</v>
      </c>
      <c r="H9" s="18" t="s">
        <v>339</v>
      </c>
      <c r="I9" s="125">
        <f>'PRNT Backend'!F104</f>
        <v>47.462295138888884</v>
      </c>
      <c r="J9" s="361"/>
    </row>
    <row r="10" spans="1:13" ht="18" customHeight="1" x14ac:dyDescent="0.25">
      <c r="A10" s="361"/>
      <c r="B10" s="361"/>
      <c r="C10" s="361"/>
      <c r="D10" s="361"/>
      <c r="E10" s="361"/>
      <c r="F10" s="361"/>
      <c r="G10" s="2" t="s">
        <v>336</v>
      </c>
      <c r="H10" s="18" t="s">
        <v>340</v>
      </c>
      <c r="I10" s="425">
        <f>'PRNT Backend'!F122/1000</f>
        <v>6.6348597000000007</v>
      </c>
      <c r="J10" s="361"/>
    </row>
    <row r="11" spans="1:13" ht="18" customHeight="1" x14ac:dyDescent="0.25">
      <c r="A11" s="361"/>
      <c r="B11" s="71" t="s">
        <v>6</v>
      </c>
      <c r="C11" s="509" t="s">
        <v>5</v>
      </c>
      <c r="D11" s="510"/>
      <c r="E11" s="361"/>
      <c r="F11" s="361"/>
      <c r="G11" s="2" t="s">
        <v>337</v>
      </c>
      <c r="H11" s="18" t="s">
        <v>341</v>
      </c>
      <c r="I11" s="125">
        <f>('PRNT Backend'!F124+'PRNT Backend'!F125)/'PRNT Backend'!F107</f>
        <v>1921.4163958333334</v>
      </c>
      <c r="J11" s="361"/>
    </row>
    <row r="12" spans="1:13" ht="18" customHeight="1" x14ac:dyDescent="0.25">
      <c r="A12" s="361"/>
      <c r="B12" s="69" t="s">
        <v>18</v>
      </c>
      <c r="C12" s="493" t="str">
        <f>'PRNT Backend'!G17</f>
        <v>Metal</v>
      </c>
      <c r="D12" s="511"/>
      <c r="E12" s="361"/>
      <c r="F12" s="361"/>
      <c r="G12" s="361"/>
      <c r="H12" s="361"/>
      <c r="I12" s="361"/>
      <c r="J12" s="361"/>
    </row>
    <row r="13" spans="1:13" ht="18" customHeight="1" thickBot="1" x14ac:dyDescent="0.35">
      <c r="A13" s="361"/>
      <c r="B13" s="70" t="s">
        <v>15</v>
      </c>
      <c r="C13" s="512" t="s">
        <v>16</v>
      </c>
      <c r="D13" s="513"/>
      <c r="E13" s="361"/>
      <c r="F13" s="361"/>
      <c r="G13" s="379" t="s">
        <v>349</v>
      </c>
      <c r="H13" s="379"/>
      <c r="I13" s="379"/>
      <c r="J13" s="361"/>
    </row>
    <row r="14" spans="1:13" ht="18" customHeight="1" thickTop="1" x14ac:dyDescent="0.25">
      <c r="A14" s="361"/>
      <c r="B14" s="361"/>
      <c r="C14" s="361"/>
      <c r="D14" s="361"/>
      <c r="E14" s="361"/>
      <c r="F14" s="361"/>
      <c r="G14" s="361"/>
      <c r="H14" s="361"/>
      <c r="I14" s="361"/>
      <c r="J14" s="361"/>
    </row>
    <row r="15" spans="1:13" ht="18" customHeight="1" x14ac:dyDescent="0.25">
      <c r="A15" s="361"/>
      <c r="B15" s="40" t="s">
        <v>338</v>
      </c>
      <c r="C15" s="41" t="s">
        <v>2</v>
      </c>
      <c r="D15" s="41" t="s">
        <v>227</v>
      </c>
      <c r="E15" s="361"/>
      <c r="F15" s="361"/>
      <c r="J15" s="361"/>
      <c r="K15" s="19" t="s">
        <v>248</v>
      </c>
      <c r="L15" s="18" t="s">
        <v>12</v>
      </c>
      <c r="M15" s="18" t="s">
        <v>13</v>
      </c>
    </row>
    <row r="16" spans="1:13" ht="18" customHeight="1" x14ac:dyDescent="0.25">
      <c r="A16" s="361"/>
      <c r="B16" s="2" t="s">
        <v>254</v>
      </c>
      <c r="C16" s="18" t="s">
        <v>1</v>
      </c>
      <c r="D16" s="18" t="str">
        <f>_xlfn.CONCAT(TEXT(L16,"#,##0")," – ",TEXT(M16,"#,##0"))</f>
        <v>90 – 1,200</v>
      </c>
      <c r="E16" s="361"/>
      <c r="F16" s="361"/>
      <c r="J16" s="361"/>
      <c r="K16" s="19" t="s">
        <v>264</v>
      </c>
      <c r="L16" s="18">
        <f>_xlfn.XLOOKUP($C$13,Tbl_ASTM[ASTM Process],Tbl_ASTM[Min X (mm)],"N/A",0)</f>
        <v>90</v>
      </c>
      <c r="M16" s="18">
        <f>_xlfn.XLOOKUP($C$13,Tbl_ASTM[ASTM Process],Tbl_ASTM[Max X (mm)],"N/A",0)</f>
        <v>1200</v>
      </c>
    </row>
    <row r="17" spans="1:13" ht="18" customHeight="1" x14ac:dyDescent="0.25">
      <c r="A17" s="361"/>
      <c r="B17" s="2" t="s">
        <v>255</v>
      </c>
      <c r="C17" s="18" t="s">
        <v>1</v>
      </c>
      <c r="D17" s="18" t="str">
        <f>_xlfn.CONCAT(TEXT(L17,"#,##0")," – ",TEXT(M17,"#,##0"))</f>
        <v>90 – 600</v>
      </c>
      <c r="E17" s="361"/>
      <c r="F17" s="361"/>
      <c r="J17" s="361"/>
      <c r="K17" s="19" t="s">
        <v>264</v>
      </c>
      <c r="L17" s="18">
        <f>_xlfn.XLOOKUP($C$13,Tbl_ASTM[ASTM Process],Tbl_ASTM[Min Y (mm)],"N/A",0)</f>
        <v>90</v>
      </c>
      <c r="M17" s="18">
        <f>_xlfn.XLOOKUP($C$13,Tbl_ASTM[ASTM Process],Tbl_ASTM[Max Y (mm)],"N/A",0)</f>
        <v>600</v>
      </c>
    </row>
    <row r="18" spans="1:13" ht="18" customHeight="1" x14ac:dyDescent="0.25">
      <c r="A18" s="361"/>
      <c r="B18" s="238" t="s">
        <v>54</v>
      </c>
      <c r="C18" s="18" t="s">
        <v>1</v>
      </c>
      <c r="D18" s="239" t="str">
        <f>_xlfn.CONCAT(TEXT(L18,"0.000")," – ",TEXT(M18,"0.000"))</f>
        <v>0.012 – 0.100</v>
      </c>
      <c r="E18" s="361"/>
      <c r="F18" s="361"/>
      <c r="J18" s="361"/>
      <c r="K18" s="19" t="s">
        <v>264</v>
      </c>
      <c r="L18" s="18">
        <f>_xlfn.XLOOKUP($C$13,Tbl_ASTM[ASTM Process],Tbl_ASTM[Min LH (mm)],"N/A",0)</f>
        <v>1.2E-2</v>
      </c>
      <c r="M18" s="21">
        <f>_xlfn.XLOOKUP($C$13,Tbl_ASTM[ASTM Process],Tbl_ASTM[Max LH (mm)],"N/A",0)</f>
        <v>0.1</v>
      </c>
    </row>
    <row r="19" spans="1:13" ht="18" customHeight="1" x14ac:dyDescent="0.25">
      <c r="A19" s="361"/>
      <c r="B19" s="12" t="s">
        <v>1598</v>
      </c>
      <c r="C19" s="76" t="s">
        <v>249</v>
      </c>
      <c r="D19" s="18" t="str">
        <f>_xlfn.CONCAT(TEXT(L19,"#,##0.0")," – ",TEXT(M19,"#,##0.0"))</f>
        <v>4.5 – 15.2</v>
      </c>
      <c r="E19" s="361"/>
      <c r="F19" s="361"/>
      <c r="J19" s="361"/>
      <c r="K19" s="19" t="s">
        <v>264</v>
      </c>
      <c r="L19" s="360">
        <f>_xlfn.XLOOKUP($C$13,Tbl_ASTM[ASTM Process],Tbl_ASTM[Min Scan Rate (m/min)],"N/A",0)</f>
        <v>4.5</v>
      </c>
      <c r="M19" s="360">
        <f>_xlfn.XLOOKUP($C$13,Tbl_ASTM[ASTM Process],Tbl_ASTM[Max Scan Rate (m/min)],"N/A",0)</f>
        <v>15.2</v>
      </c>
    </row>
    <row r="20" spans="1:13" ht="18" customHeight="1" x14ac:dyDescent="0.25">
      <c r="A20" s="361"/>
      <c r="B20" s="2" t="s">
        <v>53</v>
      </c>
      <c r="C20" s="18" t="s">
        <v>252</v>
      </c>
      <c r="D20" s="18" t="str">
        <f>_xlfn.CONCAT(TEXT(L20,"#,##0.0")," – ",TEXT(M20,"#,##0.0"))</f>
        <v>10.0 – 1,000.0</v>
      </c>
      <c r="E20" s="361"/>
      <c r="F20" s="361"/>
      <c r="J20" s="361"/>
      <c r="K20" s="19" t="s">
        <v>264</v>
      </c>
      <c r="L20" s="18">
        <f>_xlfn.XLOOKUP($C$13,Tbl_ASTM[ASTM Process],Tbl_ASTM[Min Dep Rate (g/hr)],"N/A",0)</f>
        <v>10</v>
      </c>
      <c r="M20" s="18">
        <f>_xlfn.XLOOKUP($C$13,Tbl_ASTM[ASTM Process],Tbl_ASTM[Max Dep Rate (g/hr)],"N/A",0)</f>
        <v>1000</v>
      </c>
    </row>
    <row r="21" spans="1:13" ht="18" customHeight="1" x14ac:dyDescent="0.25">
      <c r="A21" s="361"/>
      <c r="B21" s="2" t="s">
        <v>24</v>
      </c>
      <c r="C21" s="18" t="s">
        <v>250</v>
      </c>
      <c r="D21" s="18" t="str">
        <f>_xlfn.CONCAT(TEXT(L21,"$#,##0")," – ",TEXT(M21,"$#,##0"))</f>
        <v>$150,000 – $950,000</v>
      </c>
      <c r="E21" s="361"/>
      <c r="F21" s="361"/>
      <c r="J21" s="361"/>
      <c r="K21" s="19" t="s">
        <v>264</v>
      </c>
      <c r="L21" s="18">
        <f>_xlfn.XLOOKUP($C$13,Tbl_ASTM[ASTM Process],Tbl_ASTM[Min Cost ($)],"N/A",0)</f>
        <v>150000</v>
      </c>
      <c r="M21" s="18">
        <f>_xlfn.XLOOKUP($C$13,Tbl_ASTM[ASTM Process],Tbl_ASTM[Max Cost ($)],"N/A",0)</f>
        <v>950000</v>
      </c>
    </row>
    <row r="22" spans="1:13" ht="18" customHeight="1" x14ac:dyDescent="0.25">
      <c r="A22" s="361"/>
      <c r="B22" s="2" t="s">
        <v>1112</v>
      </c>
      <c r="C22" s="18" t="s">
        <v>353</v>
      </c>
      <c r="D22" s="18" t="str">
        <f>_xlfn.CONCAT(TEXT(L22/1000,"#,##0.00")," – ",TEXT(M22/1000,"#,##0.00"))</f>
        <v>1.50 – 9.00</v>
      </c>
      <c r="E22" s="361"/>
      <c r="F22" s="361"/>
      <c r="G22" s="361"/>
      <c r="H22" s="361"/>
      <c r="I22" s="361"/>
      <c r="J22" s="361"/>
      <c r="K22" s="19" t="s">
        <v>264</v>
      </c>
      <c r="L22" s="18">
        <f>_xlfn.XLOOKUP($C$13,Tbl_ASTM[ASTM Process],Tbl_ASTM[Min Power (W)],"N/A",0)</f>
        <v>1500</v>
      </c>
      <c r="M22" s="18">
        <f>_xlfn.XLOOKUP($C$13,Tbl_ASTM[ASTM Process],Tbl_ASTM[Max Power (W)],"N/A",0)</f>
        <v>9000</v>
      </c>
    </row>
    <row r="23" spans="1:13" ht="18" customHeight="1" thickBot="1" x14ac:dyDescent="0.35">
      <c r="A23" s="361"/>
      <c r="B23" s="361"/>
      <c r="C23" s="361"/>
      <c r="D23" s="361"/>
      <c r="E23" s="361"/>
      <c r="F23" s="361"/>
      <c r="G23" s="379" t="s">
        <v>350</v>
      </c>
      <c r="H23" s="379"/>
      <c r="I23" s="379"/>
      <c r="J23" s="361"/>
    </row>
    <row r="24" spans="1:13" ht="18" customHeight="1" thickTop="1" x14ac:dyDescent="0.25">
      <c r="A24" s="361"/>
      <c r="B24" s="40" t="s">
        <v>1129</v>
      </c>
      <c r="C24" s="41" t="s">
        <v>2</v>
      </c>
      <c r="D24" s="41" t="s">
        <v>5</v>
      </c>
      <c r="E24" s="361"/>
      <c r="F24" s="361"/>
      <c r="G24" s="361"/>
      <c r="H24" s="361"/>
      <c r="I24" s="361"/>
      <c r="J24" s="361"/>
    </row>
    <row r="25" spans="1:13" ht="18" customHeight="1" x14ac:dyDescent="0.25">
      <c r="A25" s="361"/>
      <c r="B25" s="2" t="s">
        <v>254</v>
      </c>
      <c r="C25" s="18" t="s">
        <v>1</v>
      </c>
      <c r="D25" s="383">
        <v>350</v>
      </c>
      <c r="E25" s="361"/>
      <c r="F25" s="361"/>
      <c r="J25" s="361"/>
    </row>
    <row r="26" spans="1:13" ht="18" customHeight="1" x14ac:dyDescent="0.25">
      <c r="A26" s="361"/>
      <c r="B26" s="2" t="s">
        <v>255</v>
      </c>
      <c r="C26" s="18" t="s">
        <v>1</v>
      </c>
      <c r="D26" s="383">
        <v>350</v>
      </c>
      <c r="E26" s="361"/>
      <c r="F26" s="361"/>
      <c r="J26" s="361"/>
    </row>
    <row r="27" spans="1:13" ht="18" customHeight="1" x14ac:dyDescent="0.25">
      <c r="A27" s="361"/>
      <c r="B27" s="2" t="s">
        <v>1622</v>
      </c>
      <c r="C27" s="18" t="s">
        <v>1</v>
      </c>
      <c r="D27" s="398">
        <v>5</v>
      </c>
      <c r="E27" s="361"/>
      <c r="F27" s="361"/>
      <c r="J27" s="361"/>
    </row>
    <row r="28" spans="1:13" ht="18" customHeight="1" x14ac:dyDescent="0.25">
      <c r="A28" s="361"/>
      <c r="B28" s="2" t="s">
        <v>1623</v>
      </c>
      <c r="C28" s="18" t="s">
        <v>1</v>
      </c>
      <c r="D28" s="398">
        <v>5</v>
      </c>
      <c r="E28" s="361"/>
      <c r="F28" s="361"/>
      <c r="J28" s="361"/>
    </row>
    <row r="29" spans="1:13" ht="18" customHeight="1" x14ac:dyDescent="0.25">
      <c r="A29" s="361"/>
      <c r="B29" s="2" t="s">
        <v>1112</v>
      </c>
      <c r="C29" s="18" t="s">
        <v>353</v>
      </c>
      <c r="D29" s="398">
        <v>7</v>
      </c>
      <c r="E29" s="361"/>
      <c r="F29" s="361"/>
      <c r="J29" s="361"/>
    </row>
    <row r="30" spans="1:13" ht="18" customHeight="1" x14ac:dyDescent="0.25">
      <c r="A30" s="361"/>
      <c r="B30" s="2" t="s">
        <v>456</v>
      </c>
      <c r="C30" s="18" t="s">
        <v>353</v>
      </c>
      <c r="D30" s="398">
        <v>4</v>
      </c>
      <c r="E30" s="361"/>
      <c r="F30" s="361"/>
      <c r="J30" s="361"/>
    </row>
    <row r="31" spans="1:13" ht="18" customHeight="1" x14ac:dyDescent="0.25">
      <c r="A31" s="361"/>
      <c r="B31" s="2" t="s">
        <v>256</v>
      </c>
      <c r="C31" s="18" t="s">
        <v>8</v>
      </c>
      <c r="D31" s="375">
        <v>0.02</v>
      </c>
      <c r="E31" s="361"/>
      <c r="F31" s="361"/>
      <c r="J31" s="361"/>
    </row>
    <row r="32" spans="1:13" ht="18" customHeight="1" x14ac:dyDescent="0.25">
      <c r="A32" s="361"/>
      <c r="B32" s="2" t="s">
        <v>278</v>
      </c>
      <c r="C32" s="18" t="s">
        <v>277</v>
      </c>
      <c r="D32" s="398">
        <v>40</v>
      </c>
      <c r="E32" s="361"/>
      <c r="F32" s="361"/>
      <c r="G32" s="361"/>
      <c r="H32" s="361"/>
      <c r="I32" s="361"/>
      <c r="J32" s="361"/>
    </row>
    <row r="33" spans="1:11" ht="18" customHeight="1" x14ac:dyDescent="0.25">
      <c r="A33" s="361"/>
      <c r="B33" s="69" t="s">
        <v>54</v>
      </c>
      <c r="C33" s="18" t="s">
        <v>1</v>
      </c>
      <c r="D33" s="390">
        <v>0.1</v>
      </c>
      <c r="E33" s="361"/>
      <c r="F33" s="361"/>
      <c r="G33" s="361"/>
      <c r="H33" s="361"/>
      <c r="I33" s="361"/>
      <c r="J33" s="361"/>
    </row>
    <row r="34" spans="1:11" ht="18" customHeight="1" x14ac:dyDescent="0.25">
      <c r="A34" s="361"/>
      <c r="B34" s="12" t="s">
        <v>1598</v>
      </c>
      <c r="C34" s="76" t="s">
        <v>1597</v>
      </c>
      <c r="D34" s="399">
        <v>8</v>
      </c>
      <c r="E34" s="361"/>
      <c r="F34" s="361"/>
      <c r="G34" s="361"/>
      <c r="H34" s="361"/>
      <c r="I34" s="378"/>
      <c r="J34" s="361"/>
    </row>
    <row r="35" spans="1:11" ht="18" hidden="1" customHeight="1" x14ac:dyDescent="0.25">
      <c r="A35" s="361"/>
      <c r="B35" s="2" t="s">
        <v>300</v>
      </c>
      <c r="C35" s="18" t="s">
        <v>1559</v>
      </c>
      <c r="D35" s="398">
        <v>0</v>
      </c>
      <c r="E35" s="361"/>
      <c r="F35" s="361"/>
      <c r="G35" s="361"/>
      <c r="H35" s="361"/>
      <c r="I35" s="361"/>
      <c r="J35" s="361"/>
    </row>
    <row r="36" spans="1:11" ht="18" customHeight="1" x14ac:dyDescent="0.25">
      <c r="A36" s="406"/>
      <c r="B36" s="69" t="s">
        <v>274</v>
      </c>
      <c r="C36" s="18" t="s">
        <v>1</v>
      </c>
      <c r="D36" s="390">
        <v>0.14000000000000001</v>
      </c>
      <c r="E36" s="361"/>
      <c r="F36" s="361"/>
      <c r="G36" s="361"/>
      <c r="H36" s="361"/>
      <c r="I36" s="361"/>
      <c r="J36" s="361"/>
    </row>
    <row r="37" spans="1:11" ht="18" customHeight="1" x14ac:dyDescent="0.25">
      <c r="A37" s="361"/>
      <c r="B37" s="69" t="s">
        <v>622</v>
      </c>
      <c r="C37" s="49" t="s">
        <v>8</v>
      </c>
      <c r="D37" s="400">
        <v>0.05</v>
      </c>
      <c r="E37" s="361"/>
      <c r="F37" s="361"/>
      <c r="G37" s="361"/>
      <c r="H37" s="361"/>
      <c r="I37" s="361"/>
      <c r="J37" s="361"/>
    </row>
    <row r="38" spans="1:11" ht="18" hidden="1" customHeight="1" x14ac:dyDescent="0.25">
      <c r="A38" s="361"/>
      <c r="B38" s="247" t="s">
        <v>53</v>
      </c>
      <c r="C38" s="240" t="s">
        <v>252</v>
      </c>
      <c r="D38" s="383">
        <v>0</v>
      </c>
      <c r="E38" s="361"/>
      <c r="F38" s="361"/>
      <c r="G38" s="361"/>
      <c r="H38" s="361"/>
      <c r="I38" s="361"/>
      <c r="J38" s="361"/>
    </row>
    <row r="39" spans="1:11" ht="18" hidden="1" customHeight="1" x14ac:dyDescent="0.25">
      <c r="A39" s="361"/>
      <c r="B39" s="361"/>
      <c r="C39" s="361"/>
      <c r="D39" s="361"/>
      <c r="E39" s="361"/>
      <c r="F39" s="361"/>
      <c r="G39" s="361"/>
      <c r="H39" s="361"/>
      <c r="I39" s="361"/>
      <c r="J39" s="361"/>
    </row>
    <row r="40" spans="1:11" ht="18" hidden="1" customHeight="1" x14ac:dyDescent="0.25">
      <c r="A40" s="361"/>
      <c r="B40" s="361"/>
      <c r="C40" s="361"/>
      <c r="D40" s="361"/>
      <c r="E40" s="361"/>
      <c r="F40" s="361"/>
      <c r="G40" s="361"/>
      <c r="H40" s="361"/>
      <c r="I40" s="361"/>
      <c r="J40" s="361"/>
    </row>
    <row r="41" spans="1:11" ht="18" customHeight="1" x14ac:dyDescent="0.25">
      <c r="A41" s="361"/>
      <c r="B41" s="362"/>
      <c r="C41" s="362"/>
      <c r="D41" s="362"/>
      <c r="E41" s="361"/>
      <c r="F41" s="361"/>
      <c r="G41" s="407"/>
      <c r="H41" s="408"/>
      <c r="I41" s="408"/>
      <c r="J41" s="361"/>
    </row>
    <row r="42" spans="1:11" ht="18" customHeight="1" x14ac:dyDescent="0.25">
      <c r="A42" s="361"/>
      <c r="B42" s="361"/>
      <c r="C42" s="361"/>
      <c r="D42" s="361"/>
      <c r="E42" s="361"/>
      <c r="F42" s="361"/>
      <c r="G42" s="361"/>
      <c r="H42" s="361"/>
      <c r="I42" s="361"/>
      <c r="J42" s="361"/>
    </row>
    <row r="43" spans="1:11" ht="18" customHeight="1" thickBot="1" x14ac:dyDescent="0.35">
      <c r="A43" s="361"/>
      <c r="B43" s="379" t="s">
        <v>1135</v>
      </c>
      <c r="C43" s="379"/>
      <c r="D43" s="379"/>
      <c r="E43" s="361"/>
      <c r="F43" s="361"/>
      <c r="G43" s="366"/>
      <c r="H43" s="409"/>
      <c r="I43" s="409"/>
      <c r="J43" s="361"/>
    </row>
    <row r="44" spans="1:11" ht="18" customHeight="1" thickTop="1" x14ac:dyDescent="0.25">
      <c r="A44" s="361"/>
      <c r="B44" s="361"/>
      <c r="C44" s="361"/>
      <c r="D44" s="361"/>
      <c r="E44" s="361"/>
      <c r="F44" s="361"/>
      <c r="G44" s="366"/>
      <c r="H44" s="409"/>
      <c r="I44" s="409"/>
      <c r="J44" s="361"/>
    </row>
    <row r="45" spans="1:11" ht="18" customHeight="1" x14ac:dyDescent="0.25">
      <c r="A45" s="361"/>
      <c r="B45" s="92" t="s">
        <v>1130</v>
      </c>
      <c r="C45" s="41" t="s">
        <v>2</v>
      </c>
      <c r="D45" s="41" t="s">
        <v>5</v>
      </c>
      <c r="E45" s="361"/>
      <c r="F45" s="361"/>
      <c r="G45" s="366"/>
      <c r="H45" s="409"/>
      <c r="I45" s="409"/>
      <c r="J45" s="361"/>
    </row>
    <row r="46" spans="1:11" ht="18" customHeight="1" x14ac:dyDescent="0.25">
      <c r="A46" s="361"/>
      <c r="B46" s="2" t="s">
        <v>288</v>
      </c>
      <c r="C46" s="18" t="s">
        <v>284</v>
      </c>
      <c r="D46" s="372">
        <v>250</v>
      </c>
      <c r="E46" s="361"/>
      <c r="F46" s="361"/>
      <c r="G46" s="361"/>
      <c r="H46" s="409"/>
      <c r="I46" s="409"/>
      <c r="J46" s="361"/>
      <c r="K46" s="2"/>
    </row>
    <row r="47" spans="1:11" ht="18" customHeight="1" x14ac:dyDescent="0.25">
      <c r="A47" s="361"/>
      <c r="B47" s="2" t="s">
        <v>287</v>
      </c>
      <c r="C47" s="18" t="s">
        <v>285</v>
      </c>
      <c r="D47" s="372">
        <v>16</v>
      </c>
      <c r="E47" s="361"/>
      <c r="F47" s="361"/>
      <c r="G47" s="361"/>
      <c r="H47" s="361"/>
      <c r="I47" s="361"/>
      <c r="J47" s="361"/>
    </row>
    <row r="48" spans="1:11" ht="18" customHeight="1" x14ac:dyDescent="0.25">
      <c r="A48" s="361"/>
      <c r="B48" s="69" t="s">
        <v>465</v>
      </c>
      <c r="C48" s="18" t="s">
        <v>292</v>
      </c>
      <c r="D48" s="390">
        <v>1</v>
      </c>
      <c r="E48" s="361"/>
      <c r="F48" s="361"/>
      <c r="G48" s="361"/>
      <c r="H48" s="361"/>
      <c r="I48" s="361"/>
      <c r="J48" s="361"/>
    </row>
    <row r="49" spans="1:10" ht="18" customHeight="1" x14ac:dyDescent="0.25">
      <c r="A49" s="361"/>
      <c r="B49" s="69" t="s">
        <v>1118</v>
      </c>
      <c r="C49" s="18" t="s">
        <v>621</v>
      </c>
      <c r="D49" s="390">
        <v>100</v>
      </c>
      <c r="E49" s="361"/>
      <c r="F49" s="361"/>
      <c r="G49" s="361"/>
      <c r="H49" s="361"/>
      <c r="I49" s="361"/>
      <c r="J49" s="361"/>
    </row>
    <row r="50" spans="1:10" ht="18" customHeight="1" x14ac:dyDescent="0.25">
      <c r="A50" s="361"/>
      <c r="B50" s="69" t="s">
        <v>1136</v>
      </c>
      <c r="C50" s="18" t="s">
        <v>714</v>
      </c>
      <c r="D50" s="402">
        <v>1</v>
      </c>
      <c r="E50" s="361"/>
      <c r="F50" s="361"/>
      <c r="G50" s="361"/>
      <c r="H50" s="361"/>
      <c r="I50" s="361"/>
      <c r="J50" s="361"/>
    </row>
    <row r="51" spans="1:10" ht="18" customHeight="1" x14ac:dyDescent="0.25">
      <c r="A51" s="361"/>
      <c r="B51" s="2" t="s">
        <v>1121</v>
      </c>
      <c r="C51" s="18" t="s">
        <v>8</v>
      </c>
      <c r="D51" s="400">
        <v>0.25</v>
      </c>
      <c r="E51" s="361"/>
      <c r="F51" s="361"/>
      <c r="G51" s="361"/>
      <c r="H51" s="361"/>
      <c r="I51" s="361"/>
      <c r="J51" s="361"/>
    </row>
    <row r="52" spans="1:10" ht="18" customHeight="1" x14ac:dyDescent="0.25">
      <c r="A52" s="361"/>
      <c r="B52" s="69" t="s">
        <v>1117</v>
      </c>
      <c r="C52" s="240" t="s">
        <v>292</v>
      </c>
      <c r="D52" s="390">
        <v>1</v>
      </c>
      <c r="E52" s="361"/>
      <c r="F52" s="361"/>
      <c r="G52" s="361"/>
      <c r="H52" s="361"/>
      <c r="I52" s="361"/>
      <c r="J52" s="361"/>
    </row>
    <row r="53" spans="1:10" ht="18" customHeight="1" x14ac:dyDescent="0.25">
      <c r="A53" s="361"/>
      <c r="B53" s="69" t="s">
        <v>1119</v>
      </c>
      <c r="C53" s="18" t="s">
        <v>339</v>
      </c>
      <c r="D53" s="402">
        <v>2</v>
      </c>
      <c r="E53" s="361"/>
      <c r="F53" s="361"/>
      <c r="G53" s="361"/>
      <c r="H53" s="361"/>
      <c r="I53" s="361"/>
      <c r="J53" s="361"/>
    </row>
    <row r="54" spans="1:10" ht="18" customHeight="1" x14ac:dyDescent="0.25">
      <c r="A54" s="361"/>
      <c r="B54" s="69" t="s">
        <v>1626</v>
      </c>
      <c r="C54" s="18" t="s">
        <v>339</v>
      </c>
      <c r="D54" s="402">
        <v>2</v>
      </c>
      <c r="E54" s="361"/>
      <c r="F54" s="361"/>
      <c r="G54" s="361"/>
      <c r="H54" s="361"/>
      <c r="I54" s="361"/>
      <c r="J54" s="361"/>
    </row>
    <row r="55" spans="1:10" ht="18" customHeight="1" x14ac:dyDescent="0.25">
      <c r="A55" s="361"/>
      <c r="B55" s="69" t="s">
        <v>1120</v>
      </c>
      <c r="C55" s="18" t="s">
        <v>290</v>
      </c>
      <c r="D55" s="390">
        <v>0.25</v>
      </c>
      <c r="E55" s="361"/>
      <c r="F55" s="361"/>
      <c r="G55" s="361"/>
      <c r="H55" s="361"/>
      <c r="I55" s="361"/>
      <c r="J55" s="361"/>
    </row>
    <row r="56" spans="1:10" ht="18" customHeight="1" x14ac:dyDescent="0.25">
      <c r="A56" s="361"/>
      <c r="B56" s="69" t="s">
        <v>296</v>
      </c>
      <c r="C56" s="49" t="s">
        <v>8</v>
      </c>
      <c r="D56" s="375">
        <v>0.9</v>
      </c>
      <c r="E56" s="361"/>
      <c r="F56" s="361"/>
      <c r="G56" s="361"/>
      <c r="H56" s="361"/>
      <c r="I56" s="361"/>
      <c r="J56" s="361"/>
    </row>
    <row r="57" spans="1:10" ht="18" customHeight="1" x14ac:dyDescent="0.25">
      <c r="A57" s="361"/>
      <c r="B57" s="69" t="s">
        <v>462</v>
      </c>
      <c r="C57" s="18" t="s">
        <v>585</v>
      </c>
      <c r="D57" s="403">
        <v>500</v>
      </c>
      <c r="E57" s="361"/>
      <c r="F57" s="361"/>
      <c r="G57" s="361"/>
      <c r="H57" s="361"/>
      <c r="I57" s="361"/>
      <c r="J57" s="361"/>
    </row>
    <row r="58" spans="1:10" ht="18" customHeight="1" x14ac:dyDescent="0.25">
      <c r="A58" s="361"/>
      <c r="B58" s="69" t="s">
        <v>24</v>
      </c>
      <c r="C58" s="18" t="s">
        <v>250</v>
      </c>
      <c r="D58" s="404">
        <v>750000</v>
      </c>
      <c r="E58" s="361"/>
      <c r="F58" s="361"/>
      <c r="G58" s="361"/>
      <c r="H58" s="361"/>
      <c r="I58" s="361"/>
      <c r="J58" s="361"/>
    </row>
    <row r="59" spans="1:10" ht="18" customHeight="1" x14ac:dyDescent="0.25">
      <c r="A59" s="361"/>
      <c r="B59" s="69" t="s">
        <v>266</v>
      </c>
      <c r="C59" s="18" t="s">
        <v>250</v>
      </c>
      <c r="D59" s="404">
        <v>1000</v>
      </c>
      <c r="E59" s="361"/>
      <c r="F59" s="361"/>
      <c r="G59" s="361"/>
      <c r="H59" s="361"/>
      <c r="I59" s="361"/>
      <c r="J59" s="361"/>
    </row>
    <row r="60" spans="1:10" ht="18" customHeight="1" x14ac:dyDescent="0.25">
      <c r="A60" s="361"/>
      <c r="B60" s="69" t="s">
        <v>257</v>
      </c>
      <c r="C60" s="49" t="s">
        <v>250</v>
      </c>
      <c r="D60" s="405">
        <v>75000</v>
      </c>
      <c r="E60" s="361"/>
      <c r="F60" s="361"/>
      <c r="G60" s="361"/>
      <c r="H60" s="361"/>
      <c r="I60" s="361"/>
      <c r="J60" s="361"/>
    </row>
    <row r="61" spans="1:10" ht="18" customHeight="1" x14ac:dyDescent="0.25">
      <c r="A61" s="361"/>
      <c r="B61" s="361"/>
      <c r="C61" s="361"/>
      <c r="D61" s="361"/>
      <c r="E61" s="361"/>
      <c r="F61" s="361"/>
      <c r="G61" s="361"/>
      <c r="H61" s="361"/>
      <c r="I61" s="361"/>
      <c r="J61" s="361"/>
    </row>
    <row r="62" spans="1:10" ht="18" customHeight="1" x14ac:dyDescent="0.25">
      <c r="A62" s="361"/>
      <c r="B62" s="361"/>
      <c r="C62" s="361"/>
      <c r="D62" s="361"/>
      <c r="E62" s="361"/>
      <c r="F62" s="361"/>
      <c r="G62" s="361"/>
      <c r="H62" s="361"/>
      <c r="I62" s="361"/>
      <c r="J62" s="361"/>
    </row>
    <row r="63" spans="1:10" ht="18" customHeight="1" x14ac:dyDescent="0.25">
      <c r="A63" s="361"/>
      <c r="B63" s="361"/>
      <c r="C63" s="361"/>
      <c r="D63" s="361"/>
      <c r="E63" s="361"/>
      <c r="F63" s="361"/>
      <c r="G63" s="361"/>
      <c r="H63" s="361"/>
      <c r="I63" s="361"/>
      <c r="J63" s="361"/>
    </row>
    <row r="64" spans="1:10" ht="18" customHeight="1" x14ac:dyDescent="0.25">
      <c r="A64" s="361"/>
      <c r="B64" s="361"/>
      <c r="C64" s="361"/>
      <c r="D64" s="361"/>
      <c r="E64" s="361"/>
      <c r="F64" s="361"/>
      <c r="G64" s="361"/>
      <c r="H64" s="361"/>
      <c r="I64" s="361"/>
      <c r="J64" s="361"/>
    </row>
    <row r="65" spans="1:10" ht="18" customHeight="1" x14ac:dyDescent="0.25">
      <c r="A65" s="361"/>
      <c r="B65" s="361"/>
      <c r="C65" s="361"/>
      <c r="D65" s="361"/>
      <c r="E65" s="361"/>
      <c r="F65" s="361"/>
      <c r="G65" s="361"/>
      <c r="H65" s="361"/>
      <c r="I65" s="361"/>
      <c r="J65" s="361"/>
    </row>
    <row r="66" spans="1:10" ht="18" customHeight="1" x14ac:dyDescent="0.25">
      <c r="A66" s="361"/>
      <c r="B66" s="361"/>
      <c r="C66" s="361"/>
      <c r="D66" s="361"/>
      <c r="E66" s="361"/>
      <c r="F66" s="361"/>
      <c r="G66" s="361"/>
      <c r="H66" s="361"/>
      <c r="I66" s="361"/>
      <c r="J66" s="361"/>
    </row>
    <row r="67" spans="1:10" ht="18" customHeight="1" x14ac:dyDescent="0.25">
      <c r="A67" s="361"/>
      <c r="B67" s="361"/>
      <c r="C67" s="361"/>
      <c r="D67" s="361"/>
      <c r="E67" s="361"/>
      <c r="F67" s="361"/>
      <c r="G67" s="361"/>
      <c r="H67" s="361"/>
      <c r="I67" s="361"/>
      <c r="J67" s="361"/>
    </row>
    <row r="68" spans="1:10" ht="18" customHeight="1" x14ac:dyDescent="0.25">
      <c r="A68" s="361"/>
      <c r="B68" s="361"/>
      <c r="C68" s="361"/>
      <c r="D68" s="361"/>
      <c r="E68" s="361"/>
      <c r="F68" s="361"/>
      <c r="G68" s="361"/>
      <c r="H68" s="361"/>
      <c r="I68" s="361"/>
      <c r="J68" s="361"/>
    </row>
    <row r="69" spans="1:10" ht="18" customHeight="1" x14ac:dyDescent="0.25">
      <c r="A69" s="361"/>
      <c r="B69" s="361"/>
      <c r="C69" s="361"/>
      <c r="D69" s="361"/>
      <c r="E69" s="361"/>
      <c r="F69" s="361"/>
      <c r="G69" s="361"/>
      <c r="H69" s="361"/>
      <c r="I69" s="361"/>
      <c r="J69" s="361"/>
    </row>
    <row r="70" spans="1:10" ht="18" customHeight="1" x14ac:dyDescent="0.25">
      <c r="A70" s="361"/>
      <c r="B70" s="361"/>
      <c r="C70" s="361"/>
      <c r="D70" s="361"/>
      <c r="E70" s="361"/>
      <c r="F70" s="361"/>
      <c r="G70" s="361"/>
      <c r="H70" s="361"/>
      <c r="I70" s="361"/>
      <c r="J70" s="361"/>
    </row>
    <row r="71" spans="1:10" ht="18" customHeight="1" x14ac:dyDescent="0.25">
      <c r="A71" s="361"/>
      <c r="B71" s="361"/>
      <c r="C71" s="361"/>
      <c r="D71" s="361"/>
      <c r="E71" s="361"/>
      <c r="F71" s="361"/>
      <c r="G71" s="361"/>
      <c r="H71" s="361"/>
      <c r="I71" s="361"/>
      <c r="J71" s="361"/>
    </row>
    <row r="72" spans="1:10" ht="18" customHeight="1" x14ac:dyDescent="0.25">
      <c r="A72" s="361"/>
      <c r="B72" s="361"/>
      <c r="C72" s="361"/>
      <c r="D72" s="361"/>
      <c r="E72" s="361"/>
      <c r="F72" s="361"/>
      <c r="G72" s="361"/>
      <c r="H72" s="361"/>
      <c r="I72" s="361"/>
      <c r="J72" s="361"/>
    </row>
    <row r="73" spans="1:10" ht="18" customHeight="1" x14ac:dyDescent="0.25">
      <c r="A73" s="361"/>
      <c r="B73" s="361"/>
      <c r="C73" s="361"/>
      <c r="D73" s="361"/>
      <c r="E73" s="361"/>
      <c r="F73" s="361"/>
      <c r="G73" s="361"/>
      <c r="H73" s="361"/>
      <c r="I73" s="361"/>
      <c r="J73" s="361"/>
    </row>
    <row r="74" spans="1:10" ht="18" customHeight="1" x14ac:dyDescent="0.25">
      <c r="A74" s="361"/>
      <c r="B74" s="361"/>
      <c r="C74" s="361"/>
      <c r="D74" s="361"/>
      <c r="E74" s="361"/>
      <c r="F74" s="361"/>
      <c r="G74" s="361"/>
      <c r="H74" s="361"/>
      <c r="I74" s="361"/>
      <c r="J74" s="361"/>
    </row>
    <row r="75" spans="1:10" ht="18" customHeight="1" x14ac:dyDescent="0.25">
      <c r="A75" s="361"/>
      <c r="B75" s="361"/>
      <c r="C75" s="361"/>
      <c r="D75" s="361"/>
      <c r="E75" s="361"/>
      <c r="F75" s="361"/>
      <c r="G75" s="361"/>
      <c r="H75" s="361"/>
      <c r="I75" s="361"/>
      <c r="J75" s="361"/>
    </row>
    <row r="76" spans="1:10" ht="18" customHeight="1" x14ac:dyDescent="0.25">
      <c r="A76" s="361"/>
      <c r="B76" s="361"/>
      <c r="C76" s="361"/>
      <c r="D76" s="361"/>
      <c r="E76" s="361"/>
      <c r="F76" s="361"/>
      <c r="G76" s="361"/>
      <c r="H76" s="361"/>
      <c r="I76" s="361"/>
      <c r="J76" s="361"/>
    </row>
    <row r="77" spans="1:10" ht="18" customHeight="1" x14ac:dyDescent="0.25">
      <c r="A77" s="361"/>
      <c r="B77" s="361"/>
      <c r="C77" s="361"/>
      <c r="D77" s="361"/>
      <c r="E77" s="361"/>
      <c r="F77" s="361"/>
      <c r="G77" s="361"/>
      <c r="H77" s="361"/>
      <c r="I77" s="361"/>
      <c r="J77" s="361"/>
    </row>
    <row r="78" spans="1:10" ht="18" customHeight="1" x14ac:dyDescent="0.25">
      <c r="A78" s="361"/>
      <c r="B78" s="361"/>
      <c r="C78" s="361"/>
      <c r="D78" s="361"/>
      <c r="E78" s="361"/>
      <c r="F78" s="361"/>
      <c r="G78" s="361"/>
      <c r="H78" s="361"/>
      <c r="I78" s="361"/>
      <c r="J78" s="361"/>
    </row>
    <row r="79" spans="1:10" ht="18" hidden="1" customHeight="1" x14ac:dyDescent="0.25">
      <c r="J79" s="1"/>
    </row>
  </sheetData>
  <sheetProtection algorithmName="SHA-512" hashValue="RA5cp2phKpWIMJXHwn5O1HQKeMzUitS0s4DGZJm34elZ0mwLNvbqbwejogF3fZDB4kfsrocbsge6Z2eJIbScbQ==" saltValue="T+JHlx5z2GCzR7EXMK1ehA==" spinCount="100000" sheet="1" objects="1" scenarios="1" selectLockedCells="1"/>
  <mergeCells count="3">
    <mergeCell ref="C11:D11"/>
    <mergeCell ref="C12:D12"/>
    <mergeCell ref="C13:D13"/>
  </mergeCells>
  <conditionalFormatting sqref="I6">
    <cfRule type="cellIs" dxfId="180" priority="1" operator="equal">
      <formula>"No"</formula>
    </cfRule>
  </conditionalFormatting>
  <dataValidations count="2">
    <dataValidation type="decimal" allowBlank="1" showInputMessage="1" showErrorMessage="1" sqref="D51 D56" xr:uid="{2B952D29-90C4-4A40-AC45-78267489274A}">
      <formula1>0</formula1>
      <formula2>1</formula2>
    </dataValidation>
    <dataValidation type="list" allowBlank="1" showInputMessage="1" showErrorMessage="1" sqref="C13:D13" xr:uid="{10CF2D3C-498F-4C41-A56D-ECE8ECB87E98}">
      <formula1>INDIRECT(IF(C12="Metal","Tbl_MetalPrinters","Tbl_PolymerPrinters"))</formula1>
    </dataValidation>
  </dataValidations>
  <pageMargins left="0.7" right="0.7" top="0.75" bottom="0.75" header="0.3" footer="0.3"/>
  <pageSetup orientation="portrait" horizontalDpi="1200" verticalDpi="1200"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31B17-55A8-4748-8755-BE8EB3869126}">
  <sheetPr codeName="Sheet22">
    <tabColor theme="9"/>
  </sheetPr>
  <dimension ref="A1:O54"/>
  <sheetViews>
    <sheetView workbookViewId="0">
      <selection activeCell="D16" sqref="D16"/>
    </sheetView>
  </sheetViews>
  <sheetFormatPr defaultColWidth="0" defaultRowHeight="18" customHeight="1" zeroHeight="1" x14ac:dyDescent="0.25"/>
  <cols>
    <col min="1" max="1" width="3.28515625" style="1" customWidth="1"/>
    <col min="2" max="2" width="35.42578125" style="1" customWidth="1"/>
    <col min="3" max="3" width="12.85546875" style="1" customWidth="1"/>
    <col min="4" max="4" width="35.42578125" style="1" customWidth="1"/>
    <col min="5" max="6" width="3.28515625" style="1" customWidth="1"/>
    <col min="7" max="7" width="35.42578125" style="1" customWidth="1"/>
    <col min="8" max="8" width="12.85546875" style="1" customWidth="1"/>
    <col min="9" max="9" width="35.42578125" style="1" customWidth="1"/>
    <col min="10" max="10" width="3.28515625" style="1" customWidth="1"/>
    <col min="11" max="16384" width="12.7109375" style="1" hidden="1"/>
  </cols>
  <sheetData>
    <row r="1" spans="1:15" ht="54" customHeight="1" x14ac:dyDescent="0.25">
      <c r="A1" s="10"/>
      <c r="B1" s="10"/>
      <c r="C1" s="10"/>
      <c r="D1" s="11"/>
      <c r="E1" s="10"/>
      <c r="F1" s="10"/>
      <c r="G1" s="10"/>
      <c r="H1" s="10"/>
      <c r="I1" s="10"/>
      <c r="J1" s="10"/>
      <c r="K1"/>
      <c r="L1"/>
      <c r="M1"/>
      <c r="N1"/>
      <c r="O1"/>
    </row>
    <row r="2" spans="1:15" s="6" customFormat="1" ht="18" customHeight="1" x14ac:dyDescent="0.25">
      <c r="A2" s="362"/>
      <c r="B2" s="362"/>
      <c r="C2" s="362"/>
      <c r="D2" s="362"/>
      <c r="E2" s="362"/>
      <c r="F2" s="362"/>
      <c r="G2" s="362"/>
      <c r="H2" s="362"/>
      <c r="I2" s="362"/>
      <c r="J2" s="362"/>
      <c r="K2"/>
      <c r="L2"/>
      <c r="M2"/>
      <c r="N2"/>
      <c r="O2"/>
    </row>
    <row r="3" spans="1:15" ht="18" customHeight="1" thickBot="1" x14ac:dyDescent="0.35">
      <c r="A3" s="362"/>
      <c r="B3" s="373" t="s">
        <v>38</v>
      </c>
      <c r="C3" s="373"/>
      <c r="D3" s="373"/>
      <c r="E3" s="362"/>
      <c r="F3" s="361"/>
      <c r="G3" s="373" t="s">
        <v>1128</v>
      </c>
      <c r="H3" s="373"/>
      <c r="I3" s="412"/>
      <c r="J3" s="361"/>
      <c r="K3"/>
      <c r="L3"/>
      <c r="M3"/>
      <c r="N3"/>
      <c r="O3"/>
    </row>
    <row r="4" spans="1:15" ht="18" customHeight="1" thickTop="1" x14ac:dyDescent="0.25">
      <c r="A4" s="362"/>
      <c r="B4" s="380"/>
      <c r="C4" s="362"/>
      <c r="D4" s="380"/>
      <c r="E4" s="362"/>
      <c r="F4" s="361"/>
      <c r="G4" s="361"/>
      <c r="H4" s="361"/>
      <c r="I4" s="361"/>
      <c r="J4" s="361"/>
      <c r="K4"/>
      <c r="L4"/>
      <c r="M4"/>
      <c r="N4"/>
      <c r="O4"/>
    </row>
    <row r="5" spans="1:15" ht="18" customHeight="1" x14ac:dyDescent="0.25">
      <c r="A5" s="362"/>
      <c r="B5" s="380"/>
      <c r="C5" s="362"/>
      <c r="D5" s="380"/>
      <c r="E5" s="362"/>
      <c r="F5" s="361"/>
      <c r="G5" s="147" t="s">
        <v>7</v>
      </c>
      <c r="H5" s="149" t="s">
        <v>2</v>
      </c>
      <c r="I5" s="149" t="s">
        <v>5</v>
      </c>
      <c r="J5" s="361"/>
      <c r="K5"/>
      <c r="L5"/>
      <c r="M5"/>
      <c r="N5"/>
      <c r="O5"/>
    </row>
    <row r="6" spans="1:15" ht="18" customHeight="1" x14ac:dyDescent="0.25">
      <c r="A6" s="362"/>
      <c r="B6" s="380"/>
      <c r="C6" s="362"/>
      <c r="D6" s="380"/>
      <c r="E6" s="362"/>
      <c r="F6" s="361"/>
      <c r="G6" s="12" t="s">
        <v>1602</v>
      </c>
      <c r="H6" s="76" t="s">
        <v>618</v>
      </c>
      <c r="I6" s="426">
        <f>'PP Backend'!F61</f>
        <v>4984.6153846153848</v>
      </c>
      <c r="J6" s="361"/>
      <c r="K6"/>
      <c r="L6"/>
      <c r="M6"/>
      <c r="N6"/>
      <c r="O6"/>
    </row>
    <row r="7" spans="1:15" ht="18" customHeight="1" x14ac:dyDescent="0.25">
      <c r="A7" s="362"/>
      <c r="B7" s="380"/>
      <c r="C7" s="362"/>
      <c r="D7" s="380"/>
      <c r="E7" s="362"/>
      <c r="F7" s="361"/>
      <c r="G7" s="12" t="s">
        <v>380</v>
      </c>
      <c r="H7" s="76" t="s">
        <v>371</v>
      </c>
      <c r="I7" s="80">
        <f>'PP Backend'!F54</f>
        <v>26</v>
      </c>
      <c r="J7" s="361"/>
      <c r="K7"/>
      <c r="L7"/>
      <c r="M7"/>
      <c r="N7"/>
      <c r="O7"/>
    </row>
    <row r="8" spans="1:15" ht="18" customHeight="1" x14ac:dyDescent="0.25">
      <c r="A8" s="362"/>
      <c r="B8" s="380"/>
      <c r="C8" s="362"/>
      <c r="D8" s="380"/>
      <c r="E8" s="362"/>
      <c r="F8" s="361"/>
      <c r="G8" s="12" t="s">
        <v>383</v>
      </c>
      <c r="H8" s="76" t="s">
        <v>369</v>
      </c>
      <c r="I8" s="80">
        <f>'PP Backend'!F57</f>
        <v>114.25</v>
      </c>
      <c r="J8" s="361"/>
      <c r="K8"/>
      <c r="L8"/>
      <c r="M8"/>
      <c r="N8"/>
      <c r="O8"/>
    </row>
    <row r="9" spans="1:15" ht="18" customHeight="1" x14ac:dyDescent="0.25">
      <c r="A9" s="362"/>
      <c r="B9" s="380"/>
      <c r="C9" s="362"/>
      <c r="D9" s="380"/>
      <c r="E9" s="362"/>
      <c r="F9" s="361"/>
      <c r="G9" s="361"/>
      <c r="H9" s="361"/>
      <c r="I9" s="361"/>
      <c r="J9" s="361"/>
      <c r="K9"/>
      <c r="L9"/>
      <c r="M9"/>
      <c r="N9"/>
      <c r="O9"/>
    </row>
    <row r="10" spans="1:15" ht="18" customHeight="1" thickBot="1" x14ac:dyDescent="0.35">
      <c r="A10" s="362"/>
      <c r="B10" s="380"/>
      <c r="C10" s="362"/>
      <c r="D10" s="380"/>
      <c r="E10" s="362"/>
      <c r="F10" s="361"/>
      <c r="G10" s="379" t="s">
        <v>381</v>
      </c>
      <c r="H10" s="379"/>
      <c r="I10" s="379"/>
      <c r="J10" s="361"/>
      <c r="K10"/>
      <c r="L10"/>
      <c r="M10"/>
      <c r="N10"/>
      <c r="O10"/>
    </row>
    <row r="11" spans="1:15" ht="18" customHeight="1" thickTop="1" x14ac:dyDescent="0.25">
      <c r="A11" s="362"/>
      <c r="B11" s="380" t="s">
        <v>351</v>
      </c>
      <c r="C11" s="362"/>
      <c r="D11" s="380"/>
      <c r="E11" s="362"/>
      <c r="F11" s="361"/>
      <c r="G11" s="361"/>
      <c r="H11" s="361"/>
      <c r="I11" s="361"/>
      <c r="J11" s="361"/>
      <c r="L11" s="12"/>
      <c r="M11"/>
      <c r="N11"/>
      <c r="O11"/>
    </row>
    <row r="12" spans="1:15" ht="18" customHeight="1" x14ac:dyDescent="0.25">
      <c r="A12" s="362"/>
      <c r="B12" s="361"/>
      <c r="C12" s="361"/>
      <c r="D12" s="361"/>
      <c r="E12" s="362"/>
      <c r="F12" s="361"/>
      <c r="G12" s="361"/>
      <c r="H12" s="361"/>
      <c r="I12" s="361"/>
      <c r="J12" s="361"/>
      <c r="K12"/>
      <c r="L12"/>
      <c r="M12"/>
      <c r="N12"/>
      <c r="O12"/>
    </row>
    <row r="13" spans="1:15" ht="18" customHeight="1" x14ac:dyDescent="0.25">
      <c r="A13" s="362"/>
      <c r="B13" s="380" t="s">
        <v>29</v>
      </c>
      <c r="C13" s="514" t="str">
        <f>_xlfn.XLOOKUP('4. Printing'!C13,Tbl_ASTM[ASTM Process],Tbl_ASTM[Post Process],"N/A",0)</f>
        <v>Heat Treatment</v>
      </c>
      <c r="D13" s="514"/>
      <c r="E13" s="362"/>
      <c r="F13" s="361"/>
      <c r="G13" s="361"/>
      <c r="H13" s="361"/>
      <c r="I13" s="361"/>
      <c r="J13" s="361"/>
      <c r="K13"/>
      <c r="L13"/>
      <c r="M13"/>
      <c r="N13"/>
      <c r="O13"/>
    </row>
    <row r="14" spans="1:15" ht="18" customHeight="1" x14ac:dyDescent="0.25">
      <c r="A14" s="362"/>
      <c r="B14" s="380"/>
      <c r="C14" s="362"/>
      <c r="D14" s="380"/>
      <c r="E14" s="362"/>
      <c r="F14" s="361"/>
      <c r="G14" s="361"/>
      <c r="H14" s="361"/>
      <c r="I14" s="361"/>
      <c r="J14" s="361"/>
      <c r="K14"/>
      <c r="L14"/>
      <c r="M14"/>
      <c r="N14"/>
      <c r="O14"/>
    </row>
    <row r="15" spans="1:15" ht="18" customHeight="1" x14ac:dyDescent="0.25">
      <c r="A15" s="362"/>
      <c r="B15" s="40" t="s">
        <v>1129</v>
      </c>
      <c r="C15" s="41" t="s">
        <v>2</v>
      </c>
      <c r="D15" s="41" t="s">
        <v>5</v>
      </c>
      <c r="E15" s="362"/>
      <c r="F15" s="361"/>
      <c r="G15" s="361"/>
      <c r="H15" s="361"/>
      <c r="I15" s="361"/>
      <c r="J15" s="361"/>
      <c r="K15"/>
      <c r="L15"/>
      <c r="M15"/>
      <c r="N15"/>
      <c r="O15"/>
    </row>
    <row r="16" spans="1:15" customFormat="1" ht="18" customHeight="1" x14ac:dyDescent="0.25">
      <c r="A16" s="361"/>
      <c r="B16" s="12" t="s">
        <v>352</v>
      </c>
      <c r="C16" s="129" t="s">
        <v>42</v>
      </c>
      <c r="D16" s="372">
        <v>36</v>
      </c>
      <c r="E16" s="361"/>
      <c r="F16" s="361"/>
      <c r="G16" s="361"/>
      <c r="H16" s="361"/>
      <c r="I16" s="361"/>
      <c r="J16" s="361"/>
    </row>
    <row r="17" spans="1:14" customFormat="1" ht="18" hidden="1" customHeight="1" x14ac:dyDescent="0.25">
      <c r="A17" s="361"/>
      <c r="B17" s="2" t="s">
        <v>26</v>
      </c>
      <c r="C17" s="18" t="s">
        <v>357</v>
      </c>
      <c r="D17" s="399">
        <v>0</v>
      </c>
      <c r="E17" s="361"/>
      <c r="F17" s="361"/>
      <c r="G17" s="361"/>
      <c r="H17" s="361"/>
      <c r="I17" s="361"/>
      <c r="J17" s="361"/>
    </row>
    <row r="18" spans="1:14" customFormat="1" ht="18" customHeight="1" x14ac:dyDescent="0.25">
      <c r="A18" s="361"/>
      <c r="B18" s="12" t="s">
        <v>356</v>
      </c>
      <c r="C18" s="18" t="s">
        <v>253</v>
      </c>
      <c r="D18" s="399">
        <v>17</v>
      </c>
      <c r="E18" s="361"/>
      <c r="F18" s="361"/>
      <c r="G18" s="362"/>
      <c r="H18" s="362"/>
      <c r="I18" s="362"/>
      <c r="J18" s="361"/>
    </row>
    <row r="19" spans="1:14" customFormat="1" ht="18" customHeight="1" x14ac:dyDescent="0.25">
      <c r="A19" s="361"/>
      <c r="B19" s="12" t="s">
        <v>1563</v>
      </c>
      <c r="C19" s="18" t="s">
        <v>253</v>
      </c>
      <c r="D19" s="399">
        <v>5</v>
      </c>
      <c r="E19" s="361"/>
      <c r="F19" s="361"/>
      <c r="G19" s="361"/>
      <c r="H19" s="361"/>
      <c r="I19" s="361"/>
      <c r="J19" s="361"/>
    </row>
    <row r="20" spans="1:14" customFormat="1" ht="18" customHeight="1" x14ac:dyDescent="0.25">
      <c r="A20" s="361"/>
      <c r="B20" s="12" t="s">
        <v>354</v>
      </c>
      <c r="C20" s="18" t="s">
        <v>353</v>
      </c>
      <c r="D20" s="376">
        <v>0</v>
      </c>
      <c r="E20" s="361"/>
      <c r="F20" s="361"/>
      <c r="G20" s="361"/>
      <c r="H20" s="361"/>
      <c r="I20" s="361"/>
      <c r="J20" s="361"/>
      <c r="M20" s="1"/>
      <c r="N20" s="1"/>
    </row>
    <row r="21" spans="1:14" customFormat="1" ht="18" customHeight="1" thickBot="1" x14ac:dyDescent="0.35">
      <c r="A21" s="361"/>
      <c r="B21" s="12" t="s">
        <v>355</v>
      </c>
      <c r="C21" s="18" t="s">
        <v>353</v>
      </c>
      <c r="D21" s="376">
        <v>22.85</v>
      </c>
      <c r="E21" s="361"/>
      <c r="F21" s="361"/>
      <c r="G21" s="379" t="s">
        <v>382</v>
      </c>
      <c r="H21" s="379"/>
      <c r="I21" s="379"/>
      <c r="J21" s="361"/>
      <c r="M21" s="1"/>
      <c r="N21" s="1"/>
    </row>
    <row r="22" spans="1:14" customFormat="1" ht="18" customHeight="1" thickTop="1" x14ac:dyDescent="0.25">
      <c r="A22" s="361"/>
      <c r="B22" s="366"/>
      <c r="C22" s="409"/>
      <c r="D22" s="361"/>
      <c r="E22" s="361"/>
      <c r="F22" s="361"/>
      <c r="G22" s="361"/>
      <c r="H22" s="361"/>
      <c r="I22" s="361"/>
      <c r="J22" s="361"/>
      <c r="M22" s="1"/>
      <c r="N22" s="1"/>
    </row>
    <row r="23" spans="1:14" ht="18" customHeight="1" x14ac:dyDescent="0.25">
      <c r="A23" s="362"/>
      <c r="B23" s="361"/>
      <c r="C23" s="361"/>
      <c r="D23" s="411" t="s">
        <v>388</v>
      </c>
      <c r="E23" s="362"/>
      <c r="F23" s="361"/>
      <c r="G23" s="361"/>
      <c r="H23" s="361"/>
      <c r="I23" s="361"/>
      <c r="J23" s="361"/>
    </row>
    <row r="24" spans="1:14" ht="18" customHeight="1" x14ac:dyDescent="0.25">
      <c r="A24" s="362"/>
      <c r="B24" s="159" t="s">
        <v>1130</v>
      </c>
      <c r="C24" s="148" t="s">
        <v>2</v>
      </c>
      <c r="D24" s="148" t="s">
        <v>5</v>
      </c>
      <c r="E24" s="362"/>
      <c r="F24" s="361"/>
      <c r="G24" s="361"/>
      <c r="H24" s="361"/>
      <c r="I24" s="361"/>
      <c r="J24" s="361"/>
    </row>
    <row r="25" spans="1:14" ht="18" customHeight="1" x14ac:dyDescent="0.25">
      <c r="A25" s="362"/>
      <c r="B25" s="12" t="s">
        <v>288</v>
      </c>
      <c r="C25" s="76" t="s">
        <v>284</v>
      </c>
      <c r="D25" s="370">
        <v>250</v>
      </c>
      <c r="E25" s="362"/>
      <c r="F25" s="361"/>
      <c r="G25" s="361"/>
      <c r="H25" s="361"/>
      <c r="I25" s="361"/>
      <c r="J25" s="361"/>
    </row>
    <row r="26" spans="1:14" ht="18" customHeight="1" x14ac:dyDescent="0.25">
      <c r="A26" s="361"/>
      <c r="B26" s="12" t="s">
        <v>287</v>
      </c>
      <c r="C26" s="76" t="s">
        <v>285</v>
      </c>
      <c r="D26" s="370">
        <v>16</v>
      </c>
      <c r="E26" s="361"/>
      <c r="F26" s="361"/>
      <c r="G26" s="361"/>
      <c r="H26" s="361"/>
      <c r="I26" s="361"/>
      <c r="J26" s="361"/>
      <c r="K26"/>
      <c r="L26"/>
    </row>
    <row r="27" spans="1:14" ht="18" customHeight="1" x14ac:dyDescent="0.25">
      <c r="A27" s="361"/>
      <c r="B27" s="12" t="s">
        <v>1140</v>
      </c>
      <c r="C27" s="76" t="s">
        <v>292</v>
      </c>
      <c r="D27" s="370">
        <v>1</v>
      </c>
      <c r="E27" s="361"/>
      <c r="F27" s="361"/>
      <c r="G27" s="361"/>
      <c r="H27" s="361"/>
      <c r="I27" s="361"/>
      <c r="J27" s="361"/>
    </row>
    <row r="28" spans="1:14" ht="18" customHeight="1" x14ac:dyDescent="0.25">
      <c r="A28" s="361"/>
      <c r="B28" s="12" t="s">
        <v>297</v>
      </c>
      <c r="C28" s="76" t="s">
        <v>291</v>
      </c>
      <c r="D28" s="370">
        <v>100</v>
      </c>
      <c r="E28" s="361"/>
      <c r="F28" s="361"/>
      <c r="G28" s="361"/>
      <c r="H28" s="361"/>
      <c r="I28" s="361"/>
      <c r="J28" s="361"/>
    </row>
    <row r="29" spans="1:14" ht="18" customHeight="1" x14ac:dyDescent="0.25">
      <c r="A29" s="361"/>
      <c r="B29" s="12" t="s">
        <v>1136</v>
      </c>
      <c r="C29" s="76" t="s">
        <v>292</v>
      </c>
      <c r="D29" s="370">
        <v>1</v>
      </c>
      <c r="E29" s="361"/>
      <c r="F29" s="361"/>
      <c r="G29" s="362"/>
      <c r="H29" s="362"/>
      <c r="I29" s="362"/>
      <c r="J29" s="361"/>
    </row>
    <row r="30" spans="1:14" ht="18" customHeight="1" x14ac:dyDescent="0.25">
      <c r="A30" s="361"/>
      <c r="B30" s="12" t="s">
        <v>1153</v>
      </c>
      <c r="C30" s="76" t="s">
        <v>8</v>
      </c>
      <c r="D30" s="370">
        <v>0.25</v>
      </c>
      <c r="E30" s="361"/>
      <c r="F30" s="361"/>
      <c r="G30" s="361"/>
      <c r="H30" s="361"/>
      <c r="I30" s="361"/>
      <c r="J30" s="361"/>
    </row>
    <row r="31" spans="1:14" ht="18" customHeight="1" x14ac:dyDescent="0.25">
      <c r="A31" s="361"/>
      <c r="B31" s="12" t="s">
        <v>281</v>
      </c>
      <c r="C31" s="76" t="s">
        <v>253</v>
      </c>
      <c r="D31" s="399">
        <v>2</v>
      </c>
      <c r="E31" s="361"/>
      <c r="F31" s="361"/>
      <c r="G31" s="361"/>
      <c r="H31" s="361"/>
      <c r="I31" s="361"/>
      <c r="J31" s="361"/>
    </row>
    <row r="32" spans="1:14" ht="18" customHeight="1" x14ac:dyDescent="0.25">
      <c r="A32" s="361"/>
      <c r="B32" s="12" t="s">
        <v>1627</v>
      </c>
      <c r="C32" s="76" t="s">
        <v>253</v>
      </c>
      <c r="D32" s="399">
        <v>2</v>
      </c>
      <c r="E32" s="361"/>
      <c r="F32" s="361"/>
      <c r="G32" s="361"/>
      <c r="H32" s="361"/>
      <c r="I32" s="361"/>
      <c r="J32" s="361"/>
    </row>
    <row r="33" spans="1:10" ht="18" customHeight="1" x14ac:dyDescent="0.25">
      <c r="A33" s="361"/>
      <c r="B33" s="12" t="s">
        <v>359</v>
      </c>
      <c r="C33" s="76" t="s">
        <v>8</v>
      </c>
      <c r="D33" s="374">
        <v>0.9</v>
      </c>
      <c r="E33" s="361"/>
      <c r="F33" s="361"/>
      <c r="G33" s="361"/>
      <c r="H33" s="361"/>
      <c r="I33" s="361"/>
      <c r="J33" s="361"/>
    </row>
    <row r="34" spans="1:10" ht="18" customHeight="1" x14ac:dyDescent="0.25">
      <c r="A34" s="361"/>
      <c r="B34" s="1" t="s">
        <v>24</v>
      </c>
      <c r="C34" s="28" t="s">
        <v>250</v>
      </c>
      <c r="D34" s="410">
        <v>2500000</v>
      </c>
      <c r="E34" s="361"/>
      <c r="F34" s="361"/>
      <c r="G34" s="361"/>
      <c r="H34" s="361"/>
      <c r="I34" s="361"/>
      <c r="J34" s="361"/>
    </row>
    <row r="35" spans="1:10" ht="18" customHeight="1" x14ac:dyDescent="0.25">
      <c r="A35" s="361"/>
      <c r="B35" s="1" t="s">
        <v>257</v>
      </c>
      <c r="C35" s="28" t="s">
        <v>250</v>
      </c>
      <c r="D35" s="410">
        <v>250000</v>
      </c>
      <c r="E35" s="361"/>
      <c r="F35" s="361"/>
      <c r="G35" s="361"/>
      <c r="H35" s="361"/>
      <c r="I35" s="361"/>
      <c r="J35" s="361"/>
    </row>
    <row r="36" spans="1:10" ht="18" customHeight="1" x14ac:dyDescent="0.25">
      <c r="A36" s="361"/>
      <c r="B36" s="361"/>
      <c r="C36" s="361"/>
      <c r="D36" s="361"/>
      <c r="E36" s="361"/>
      <c r="F36" s="361"/>
      <c r="G36" s="361"/>
      <c r="H36" s="361"/>
      <c r="I36" s="361"/>
      <c r="J36" s="361"/>
    </row>
    <row r="37" spans="1:10" s="6" customFormat="1" ht="18" hidden="1" customHeight="1" x14ac:dyDescent="0.25">
      <c r="B37" s="1"/>
      <c r="C37" s="1"/>
      <c r="D37" s="246"/>
    </row>
    <row r="38" spans="1:10" ht="18" hidden="1" customHeight="1" x14ac:dyDescent="0.25">
      <c r="B38"/>
      <c r="C38"/>
      <c r="D38"/>
    </row>
    <row r="39" spans="1:10" ht="18" hidden="1" customHeight="1" x14ac:dyDescent="0.25">
      <c r="B39"/>
      <c r="C39"/>
      <c r="D39"/>
    </row>
    <row r="40" spans="1:10" ht="18" hidden="1" customHeight="1" x14ac:dyDescent="0.25">
      <c r="D40"/>
    </row>
    <row r="43" spans="1:10" ht="18" hidden="1" customHeight="1" x14ac:dyDescent="0.25">
      <c r="B43"/>
      <c r="D43"/>
    </row>
    <row r="44" spans="1:10" ht="18" hidden="1" customHeight="1" x14ac:dyDescent="0.25">
      <c r="C44"/>
      <c r="D44"/>
    </row>
    <row r="45" spans="1:10" ht="18" hidden="1" customHeight="1" x14ac:dyDescent="0.25">
      <c r="C45"/>
      <c r="D45"/>
    </row>
    <row r="46" spans="1:10" ht="18" hidden="1" customHeight="1" x14ac:dyDescent="0.25">
      <c r="C46"/>
      <c r="D46"/>
    </row>
    <row r="47" spans="1:10" ht="18" hidden="1" customHeight="1" x14ac:dyDescent="0.25">
      <c r="C47"/>
      <c r="D47"/>
    </row>
    <row r="48" spans="1:10" ht="18" hidden="1" customHeight="1" x14ac:dyDescent="0.25">
      <c r="B48"/>
      <c r="C48"/>
      <c r="D48"/>
    </row>
    <row r="50" spans="2:2" ht="18" hidden="1" customHeight="1" x14ac:dyDescent="0.25">
      <c r="B50"/>
    </row>
    <row r="51" spans="2:2" ht="18" hidden="1" customHeight="1" x14ac:dyDescent="0.25">
      <c r="B51"/>
    </row>
    <row r="52" spans="2:2" ht="18" hidden="1" customHeight="1" x14ac:dyDescent="0.25">
      <c r="B52"/>
    </row>
    <row r="53" spans="2:2" ht="18" hidden="1" customHeight="1" x14ac:dyDescent="0.25">
      <c r="B53"/>
    </row>
    <row r="54" spans="2:2" ht="18" hidden="1" customHeight="1" x14ac:dyDescent="0.25">
      <c r="B54"/>
    </row>
  </sheetData>
  <sheetProtection algorithmName="SHA-512" hashValue="+3pK0W4jUc57Jz1g0hxpc41W3B/wMyD0I2+r0+43yfeiFLPxwxOWLBbyjAhPUMYfVeCtsTPMCKcTv69Z0LzTJQ==" saltValue="ZCoX1LqbQwzEACJVtmT6hw==" spinCount="100000" sheet="1" objects="1" scenarios="1" selectLockedCells="1"/>
  <mergeCells count="1">
    <mergeCell ref="C13:D13"/>
  </mergeCells>
  <pageMargins left="0.7" right="0.7" top="0.75" bottom="0.75" header="0.3" footer="0.3"/>
  <pageSetup fitToWidth="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locked="0" defaultSize="0" autoFill="0" autoLine="0" autoPict="0" macro="[0]!SUB_HIDE_POST">
                <anchor moveWithCells="1">
                  <from>
                    <xdr:col>1</xdr:col>
                    <xdr:colOff>9525</xdr:colOff>
                    <xdr:row>10</xdr:row>
                    <xdr:rowOff>9525</xdr:rowOff>
                  </from>
                  <to>
                    <xdr:col>2</xdr:col>
                    <xdr:colOff>704850</xdr:colOff>
                    <xdr:row>11</xdr:row>
                    <xdr:rowOff>0</xdr:rowOff>
                  </to>
                </anchor>
              </controlPr>
            </control>
          </mc:Choice>
        </mc:AlternateContent>
      </controls>
    </mc:Choice>
  </mc:AlternateContent>
  <tableParts count="3">
    <tablePart r:id="rId5"/>
    <tablePart r:id="rId6"/>
    <tablePart r:id="rId7"/>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4ACD7-722F-49F6-95A0-597B59496D27}">
  <sheetPr codeName="Sheet23">
    <tabColor theme="9"/>
  </sheetPr>
  <dimension ref="A1:L44"/>
  <sheetViews>
    <sheetView topLeftCell="A8" workbookViewId="0">
      <selection activeCell="D16" sqref="D16"/>
    </sheetView>
  </sheetViews>
  <sheetFormatPr defaultColWidth="0" defaultRowHeight="18" customHeight="1" zeroHeight="1" x14ac:dyDescent="0.25"/>
  <cols>
    <col min="1" max="1" width="3.28515625" customWidth="1"/>
    <col min="2" max="2" width="35.42578125" customWidth="1"/>
    <col min="3" max="3" width="12.85546875" customWidth="1"/>
    <col min="4" max="4" width="35.42578125" customWidth="1"/>
    <col min="5" max="6" width="3.28515625" customWidth="1"/>
    <col min="7" max="7" width="35.42578125" customWidth="1"/>
    <col min="8" max="8" width="12.85546875" customWidth="1"/>
    <col min="9" max="9" width="35.42578125" customWidth="1"/>
    <col min="10" max="10" width="3.28515625" customWidth="1"/>
    <col min="11" max="12" width="0" hidden="1" customWidth="1"/>
    <col min="13" max="16384" width="12.7109375" hidden="1"/>
  </cols>
  <sheetData>
    <row r="1" spans="1:12" ht="54" customHeight="1" x14ac:dyDescent="0.25">
      <c r="A1" s="5"/>
      <c r="B1" s="5"/>
      <c r="C1" s="5"/>
      <c r="D1" s="5"/>
      <c r="E1" s="5"/>
      <c r="F1" s="5"/>
      <c r="G1" s="5"/>
      <c r="H1" s="5"/>
      <c r="I1" s="5"/>
      <c r="J1" s="5"/>
    </row>
    <row r="2" spans="1:12" ht="18" customHeight="1" x14ac:dyDescent="0.25">
      <c r="A2" s="361"/>
      <c r="B2" s="361"/>
      <c r="C2" s="361"/>
      <c r="D2" s="361"/>
      <c r="E2" s="361"/>
      <c r="F2" s="361"/>
      <c r="G2" s="361"/>
      <c r="H2" s="361"/>
      <c r="I2" s="361"/>
      <c r="J2" s="361"/>
    </row>
    <row r="3" spans="1:12" ht="18" customHeight="1" thickBot="1" x14ac:dyDescent="0.35">
      <c r="A3" s="361"/>
      <c r="B3" s="373" t="s">
        <v>393</v>
      </c>
      <c r="C3" s="373"/>
      <c r="D3" s="414"/>
      <c r="E3" s="361"/>
      <c r="F3" s="361"/>
      <c r="G3" s="373" t="s">
        <v>391</v>
      </c>
      <c r="H3" s="373"/>
      <c r="I3" s="412"/>
      <c r="J3" s="361"/>
    </row>
    <row r="4" spans="1:12" ht="18" customHeight="1" thickTop="1" x14ac:dyDescent="0.25">
      <c r="A4" s="361"/>
      <c r="B4" s="361"/>
      <c r="C4" s="361"/>
      <c r="D4" s="361"/>
      <c r="E4" s="361"/>
      <c r="F4" s="361"/>
      <c r="G4" s="361"/>
      <c r="H4" s="361"/>
      <c r="I4" s="361"/>
      <c r="J4" s="361"/>
    </row>
    <row r="5" spans="1:12" ht="18" customHeight="1" x14ac:dyDescent="0.25">
      <c r="A5" s="361"/>
      <c r="B5" s="361"/>
      <c r="C5" s="361"/>
      <c r="D5" s="361"/>
      <c r="E5" s="361"/>
      <c r="F5" s="361"/>
      <c r="G5" s="40" t="s">
        <v>7</v>
      </c>
      <c r="H5" s="41" t="s">
        <v>2</v>
      </c>
      <c r="I5" s="41" t="s">
        <v>5</v>
      </c>
      <c r="J5" s="361"/>
    </row>
    <row r="6" spans="1:12" ht="18" customHeight="1" x14ac:dyDescent="0.25">
      <c r="A6" s="362"/>
      <c r="B6" s="361"/>
      <c r="C6" s="361"/>
      <c r="D6" s="361"/>
      <c r="E6" s="362"/>
      <c r="F6" s="362"/>
      <c r="G6" s="2" t="s">
        <v>1602</v>
      </c>
      <c r="H6" s="18" t="s">
        <v>618</v>
      </c>
      <c r="I6" s="427">
        <f>'MCN Backend'!F71</f>
        <v>580.34176830023637</v>
      </c>
      <c r="J6" s="362"/>
    </row>
    <row r="7" spans="1:12" ht="18" customHeight="1" x14ac:dyDescent="0.25">
      <c r="A7" s="362"/>
      <c r="B7" s="361"/>
      <c r="C7" s="361"/>
      <c r="D7" s="361"/>
      <c r="E7" s="362"/>
      <c r="F7" s="362"/>
      <c r="G7" s="2" t="s">
        <v>380</v>
      </c>
      <c r="H7" s="18" t="s">
        <v>372</v>
      </c>
      <c r="I7" s="158">
        <f>'MCN Backend'!F66/60</f>
        <v>6.2032412565169039</v>
      </c>
      <c r="J7" s="362"/>
    </row>
    <row r="8" spans="1:12" ht="18" customHeight="1" x14ac:dyDescent="0.25">
      <c r="A8" s="362"/>
      <c r="B8" s="380"/>
      <c r="C8" s="362"/>
      <c r="D8" s="380"/>
      <c r="E8" s="362"/>
      <c r="F8" s="362"/>
      <c r="G8" s="2" t="s">
        <v>383</v>
      </c>
      <c r="H8" s="18" t="s">
        <v>370</v>
      </c>
      <c r="I8" s="158">
        <f>'MCN Backend'!F69</f>
        <v>43.77430942387678</v>
      </c>
      <c r="J8" s="362"/>
    </row>
    <row r="9" spans="1:12" ht="18" customHeight="1" x14ac:dyDescent="0.25">
      <c r="A9" s="362"/>
      <c r="B9" s="361"/>
      <c r="C9" s="361"/>
      <c r="D9" s="361"/>
      <c r="E9" s="362"/>
      <c r="F9" s="362"/>
      <c r="G9" s="361"/>
      <c r="H9" s="361"/>
      <c r="I9" s="361"/>
      <c r="J9" s="362"/>
    </row>
    <row r="10" spans="1:12" ht="18" customHeight="1" thickBot="1" x14ac:dyDescent="0.35">
      <c r="A10" s="361"/>
      <c r="B10" s="361"/>
      <c r="C10" s="361"/>
      <c r="D10" s="361"/>
      <c r="E10" s="361"/>
      <c r="F10" s="361"/>
      <c r="G10" s="379" t="s">
        <v>411</v>
      </c>
      <c r="H10" s="379"/>
      <c r="I10" s="379"/>
      <c r="J10" s="361"/>
    </row>
    <row r="11" spans="1:12" ht="18" customHeight="1" thickTop="1" x14ac:dyDescent="0.25">
      <c r="A11" s="361"/>
      <c r="B11" s="380" t="s">
        <v>389</v>
      </c>
      <c r="C11" s="362"/>
      <c r="D11" s="380"/>
      <c r="E11" s="361"/>
      <c r="F11" s="361"/>
      <c r="G11" s="361"/>
      <c r="H11" s="361"/>
      <c r="I11" s="361"/>
      <c r="J11" s="361"/>
    </row>
    <row r="12" spans="1:12" ht="18" customHeight="1" x14ac:dyDescent="0.25">
      <c r="A12" s="361"/>
      <c r="B12" s="361"/>
      <c r="C12" s="361"/>
      <c r="D12" s="361"/>
      <c r="E12" s="361"/>
      <c r="F12" s="361"/>
      <c r="G12" s="361"/>
      <c r="H12" s="361"/>
      <c r="I12" s="361"/>
      <c r="J12" s="361"/>
    </row>
    <row r="13" spans="1:12" ht="18" customHeight="1" x14ac:dyDescent="0.25">
      <c r="A13" s="361"/>
      <c r="B13" s="415" t="s">
        <v>390</v>
      </c>
      <c r="C13" s="515" t="str">
        <f>'MCN Backend'!F16</f>
        <v>Milling</v>
      </c>
      <c r="D13" s="514"/>
      <c r="E13" s="361"/>
      <c r="F13" s="361"/>
      <c r="G13" s="361"/>
      <c r="H13" s="361"/>
      <c r="I13" s="361"/>
      <c r="J13" s="361"/>
      <c r="K13" s="45"/>
      <c r="L13" s="2"/>
    </row>
    <row r="14" spans="1:12" ht="18" customHeight="1" x14ac:dyDescent="0.25">
      <c r="A14" s="361"/>
      <c r="B14" s="361"/>
      <c r="C14" s="361"/>
      <c r="D14" s="361"/>
      <c r="E14" s="361"/>
      <c r="F14" s="361"/>
      <c r="G14" s="361"/>
      <c r="H14" s="361"/>
      <c r="I14" s="361"/>
      <c r="J14" s="361"/>
      <c r="L14" s="18"/>
    </row>
    <row r="15" spans="1:12" ht="18" customHeight="1" x14ac:dyDescent="0.25">
      <c r="A15" s="361"/>
      <c r="B15" s="40" t="s">
        <v>1129</v>
      </c>
      <c r="C15" s="41" t="s">
        <v>2</v>
      </c>
      <c r="D15" s="41" t="s">
        <v>5</v>
      </c>
      <c r="E15" s="361"/>
      <c r="F15" s="361"/>
      <c r="G15" s="361"/>
      <c r="H15" s="361"/>
      <c r="I15" s="361"/>
      <c r="J15" s="361"/>
    </row>
    <row r="16" spans="1:12" ht="18" customHeight="1" x14ac:dyDescent="0.25">
      <c r="A16" s="361"/>
      <c r="B16" s="2" t="s">
        <v>392</v>
      </c>
      <c r="C16" s="18" t="s">
        <v>249</v>
      </c>
      <c r="D16" s="399">
        <v>100</v>
      </c>
      <c r="E16" s="361"/>
      <c r="F16" s="361"/>
      <c r="G16" s="361"/>
      <c r="H16" s="361"/>
      <c r="I16" s="361"/>
      <c r="J16" s="361"/>
    </row>
    <row r="17" spans="1:10" ht="18" customHeight="1" x14ac:dyDescent="0.25">
      <c r="A17" s="361"/>
      <c r="B17" s="2" t="s">
        <v>34</v>
      </c>
      <c r="C17" s="18" t="s">
        <v>1</v>
      </c>
      <c r="D17" s="399">
        <v>0.2</v>
      </c>
      <c r="E17" s="361"/>
      <c r="F17" s="361"/>
      <c r="G17" s="361"/>
      <c r="H17" s="361"/>
      <c r="I17" s="361"/>
      <c r="J17" s="361"/>
    </row>
    <row r="18" spans="1:10" ht="18" customHeight="1" x14ac:dyDescent="0.25">
      <c r="A18" s="361"/>
      <c r="B18" s="2" t="s">
        <v>394</v>
      </c>
      <c r="C18" s="18" t="s">
        <v>1</v>
      </c>
      <c r="D18" s="399">
        <v>6.35</v>
      </c>
      <c r="E18" s="361"/>
      <c r="F18" s="361"/>
      <c r="G18" s="361"/>
      <c r="H18" s="361"/>
      <c r="I18" s="361"/>
      <c r="J18" s="361"/>
    </row>
    <row r="19" spans="1:10" ht="18" customHeight="1" x14ac:dyDescent="0.25">
      <c r="A19" s="361"/>
      <c r="B19" s="2" t="s">
        <v>396</v>
      </c>
      <c r="C19" s="18" t="s">
        <v>1</v>
      </c>
      <c r="D19" s="448">
        <v>1.2699999999999999E-2</v>
      </c>
      <c r="E19" s="361"/>
      <c r="F19" s="361"/>
      <c r="G19" s="361"/>
      <c r="H19" s="361"/>
      <c r="I19" s="361"/>
      <c r="J19" s="361"/>
    </row>
    <row r="20" spans="1:10" ht="18" customHeight="1" x14ac:dyDescent="0.25">
      <c r="A20" s="361"/>
      <c r="B20" s="2" t="s">
        <v>395</v>
      </c>
      <c r="C20" s="33" t="s">
        <v>42</v>
      </c>
      <c r="D20" s="399">
        <v>3</v>
      </c>
      <c r="E20" s="361"/>
      <c r="F20" s="361"/>
      <c r="G20" s="361"/>
      <c r="H20" s="361"/>
      <c r="I20" s="361"/>
      <c r="J20" s="361"/>
    </row>
    <row r="21" spans="1:10" ht="18" hidden="1" customHeight="1" x14ac:dyDescent="0.25">
      <c r="A21" s="361"/>
      <c r="B21" s="69" t="s">
        <v>32</v>
      </c>
      <c r="C21" s="18" t="s">
        <v>399</v>
      </c>
      <c r="D21" s="424">
        <v>0</v>
      </c>
      <c r="E21" s="361"/>
      <c r="F21" s="361"/>
      <c r="G21" s="361"/>
      <c r="H21" s="361"/>
      <c r="I21" s="361"/>
      <c r="J21" s="361"/>
    </row>
    <row r="22" spans="1:10" ht="18" hidden="1" customHeight="1" x14ac:dyDescent="0.25">
      <c r="A22" s="361"/>
      <c r="B22" s="247" t="s">
        <v>1570</v>
      </c>
      <c r="C22" s="18" t="s">
        <v>358</v>
      </c>
      <c r="D22" s="399">
        <v>0</v>
      </c>
      <c r="E22" s="361"/>
      <c r="F22" s="361"/>
      <c r="G22" s="361"/>
      <c r="H22" s="361"/>
      <c r="I22" s="361"/>
      <c r="J22" s="361"/>
    </row>
    <row r="23" spans="1:10" ht="18" customHeight="1" x14ac:dyDescent="0.25">
      <c r="A23" s="361"/>
      <c r="B23" s="2" t="s">
        <v>27</v>
      </c>
      <c r="C23" s="18" t="s">
        <v>358</v>
      </c>
      <c r="D23" s="399">
        <v>30</v>
      </c>
      <c r="E23" s="361"/>
      <c r="F23" s="361"/>
      <c r="G23" s="361"/>
      <c r="H23" s="361"/>
      <c r="I23" s="361"/>
      <c r="J23" s="361"/>
    </row>
    <row r="24" spans="1:10" ht="18" customHeight="1" x14ac:dyDescent="0.25">
      <c r="A24" s="361"/>
      <c r="B24" s="69" t="s">
        <v>354</v>
      </c>
      <c r="C24" s="18" t="s">
        <v>353</v>
      </c>
      <c r="D24" s="401">
        <v>2</v>
      </c>
      <c r="E24" s="361"/>
      <c r="F24" s="361"/>
      <c r="G24" s="361"/>
      <c r="H24" s="361"/>
      <c r="I24" s="361"/>
      <c r="J24" s="361"/>
    </row>
    <row r="25" spans="1:10" ht="18" customHeight="1" x14ac:dyDescent="0.25">
      <c r="A25" s="361"/>
      <c r="B25" s="69" t="s">
        <v>355</v>
      </c>
      <c r="C25" s="18" t="s">
        <v>353</v>
      </c>
      <c r="D25" s="401">
        <v>7.5</v>
      </c>
      <c r="E25" s="361"/>
      <c r="F25" s="361"/>
      <c r="G25" s="361"/>
      <c r="H25" s="361"/>
      <c r="I25" s="361"/>
      <c r="J25" s="361"/>
    </row>
    <row r="26" spans="1:10" ht="18" customHeight="1" x14ac:dyDescent="0.25">
      <c r="A26" s="361"/>
      <c r="B26" s="361"/>
      <c r="C26" s="361"/>
      <c r="D26" s="361"/>
      <c r="E26" s="361"/>
      <c r="F26" s="361"/>
      <c r="G26" s="361"/>
      <c r="H26" s="361"/>
      <c r="I26" s="361"/>
      <c r="J26" s="361"/>
    </row>
    <row r="27" spans="1:10" ht="18" customHeight="1" x14ac:dyDescent="0.25">
      <c r="A27" s="361"/>
      <c r="B27" s="361"/>
      <c r="C27" s="361"/>
      <c r="D27" s="411" t="s">
        <v>388</v>
      </c>
      <c r="E27" s="361"/>
      <c r="F27" s="361"/>
      <c r="G27" s="361"/>
      <c r="H27" s="361"/>
      <c r="I27" s="361"/>
      <c r="J27" s="361"/>
    </row>
    <row r="28" spans="1:10" ht="18" customHeight="1" x14ac:dyDescent="0.25">
      <c r="A28" s="361"/>
      <c r="B28" s="159" t="s">
        <v>1130</v>
      </c>
      <c r="C28" s="148" t="s">
        <v>2</v>
      </c>
      <c r="D28" s="148" t="s">
        <v>5</v>
      </c>
      <c r="E28" s="361"/>
      <c r="F28" s="361"/>
      <c r="G28" s="361"/>
      <c r="H28" s="361"/>
      <c r="I28" s="361"/>
      <c r="J28" s="361"/>
    </row>
    <row r="29" spans="1:10" ht="18" customHeight="1" x14ac:dyDescent="0.25">
      <c r="A29" s="361"/>
      <c r="B29" s="12" t="s">
        <v>288</v>
      </c>
      <c r="C29" s="76" t="s">
        <v>284</v>
      </c>
      <c r="D29" s="370">
        <v>250</v>
      </c>
      <c r="E29" s="361"/>
      <c r="F29" s="361"/>
      <c r="G29" s="361"/>
      <c r="H29" s="361"/>
      <c r="I29" s="361"/>
      <c r="J29" s="361"/>
    </row>
    <row r="30" spans="1:10" ht="18" customHeight="1" x14ac:dyDescent="0.25">
      <c r="A30" s="361"/>
      <c r="B30" s="12" t="s">
        <v>287</v>
      </c>
      <c r="C30" s="76" t="s">
        <v>285</v>
      </c>
      <c r="D30" s="370">
        <v>16</v>
      </c>
      <c r="E30" s="361"/>
      <c r="F30" s="361"/>
      <c r="G30" s="361"/>
      <c r="H30" s="361"/>
      <c r="I30" s="361"/>
      <c r="J30" s="361"/>
    </row>
    <row r="31" spans="1:10" ht="18" customHeight="1" x14ac:dyDescent="0.25">
      <c r="A31" s="361"/>
      <c r="B31" s="12" t="s">
        <v>1145</v>
      </c>
      <c r="C31" s="76" t="s">
        <v>292</v>
      </c>
      <c r="D31" s="370">
        <v>1</v>
      </c>
      <c r="E31" s="361"/>
      <c r="F31" s="361"/>
      <c r="G31" s="361"/>
      <c r="H31" s="361"/>
      <c r="I31" s="361"/>
      <c r="J31" s="361"/>
    </row>
    <row r="32" spans="1:10" ht="18" customHeight="1" x14ac:dyDescent="0.25">
      <c r="A32" s="361"/>
      <c r="B32" s="12" t="s">
        <v>297</v>
      </c>
      <c r="C32" s="76" t="s">
        <v>291</v>
      </c>
      <c r="D32" s="370">
        <v>200</v>
      </c>
      <c r="E32" s="361"/>
      <c r="F32" s="361"/>
      <c r="G32" s="361"/>
      <c r="H32" s="361"/>
      <c r="I32" s="361"/>
      <c r="J32" s="361"/>
    </row>
    <row r="33" spans="1:10" ht="18" customHeight="1" x14ac:dyDescent="0.25">
      <c r="A33" s="361"/>
      <c r="B33" s="12" t="s">
        <v>1136</v>
      </c>
      <c r="C33" s="76" t="s">
        <v>292</v>
      </c>
      <c r="D33" s="413">
        <v>1</v>
      </c>
      <c r="E33" s="361"/>
      <c r="F33" s="361"/>
      <c r="H33" s="361"/>
      <c r="I33" s="361"/>
      <c r="J33" s="361"/>
    </row>
    <row r="34" spans="1:10" ht="18" customHeight="1" x14ac:dyDescent="0.25">
      <c r="A34" s="361"/>
      <c r="B34" s="12" t="s">
        <v>1146</v>
      </c>
      <c r="C34" s="76" t="s">
        <v>8</v>
      </c>
      <c r="D34" s="374">
        <v>0.25</v>
      </c>
      <c r="E34" s="361"/>
      <c r="F34" s="361"/>
      <c r="G34" s="361"/>
      <c r="H34" s="361"/>
      <c r="I34" s="361"/>
      <c r="J34" s="361"/>
    </row>
    <row r="35" spans="1:10" ht="18" customHeight="1" x14ac:dyDescent="0.25">
      <c r="A35" s="361"/>
      <c r="B35" s="69" t="s">
        <v>326</v>
      </c>
      <c r="C35" s="18" t="s">
        <v>290</v>
      </c>
      <c r="D35" s="390">
        <v>2E-3</v>
      </c>
      <c r="E35" s="361"/>
      <c r="F35" s="361"/>
      <c r="G35" s="361"/>
      <c r="H35" s="361"/>
      <c r="I35" s="361"/>
      <c r="J35" s="361"/>
    </row>
    <row r="36" spans="1:10" ht="18" customHeight="1" x14ac:dyDescent="0.25">
      <c r="A36" s="361"/>
      <c r="B36" s="12" t="s">
        <v>1148</v>
      </c>
      <c r="C36" s="76" t="s">
        <v>8</v>
      </c>
      <c r="D36" s="374">
        <v>0.9</v>
      </c>
      <c r="E36" s="361"/>
      <c r="F36" s="361"/>
      <c r="G36" s="361"/>
      <c r="H36" s="361"/>
      <c r="I36" s="361"/>
      <c r="J36" s="361"/>
    </row>
    <row r="37" spans="1:10" ht="18" customHeight="1" x14ac:dyDescent="0.25">
      <c r="A37" s="361"/>
      <c r="B37" s="1" t="s">
        <v>24</v>
      </c>
      <c r="C37" s="28" t="s">
        <v>250</v>
      </c>
      <c r="D37" s="377">
        <v>25000</v>
      </c>
      <c r="E37" s="361"/>
      <c r="F37" s="361"/>
      <c r="G37" s="361"/>
      <c r="H37" s="361"/>
      <c r="I37" s="361"/>
      <c r="J37" s="361"/>
    </row>
    <row r="38" spans="1:10" ht="18" customHeight="1" x14ac:dyDescent="0.25">
      <c r="A38" s="361"/>
      <c r="B38" s="69" t="s">
        <v>266</v>
      </c>
      <c r="C38" s="18" t="s">
        <v>250</v>
      </c>
      <c r="D38" s="377">
        <v>50</v>
      </c>
      <c r="E38" s="361"/>
      <c r="F38" s="361"/>
      <c r="G38" s="361"/>
      <c r="H38" s="361"/>
      <c r="I38" s="361"/>
      <c r="J38" s="361"/>
    </row>
    <row r="39" spans="1:10" ht="18" customHeight="1" x14ac:dyDescent="0.25">
      <c r="A39" s="361"/>
      <c r="B39" s="1" t="s">
        <v>257</v>
      </c>
      <c r="C39" s="28" t="s">
        <v>250</v>
      </c>
      <c r="D39" s="377">
        <v>5000</v>
      </c>
      <c r="E39" s="361"/>
      <c r="F39" s="361"/>
      <c r="G39" s="361"/>
      <c r="H39" s="361"/>
      <c r="I39" s="361"/>
      <c r="J39" s="361"/>
    </row>
    <row r="40" spans="1:10" ht="18" customHeight="1" x14ac:dyDescent="0.25">
      <c r="A40" s="361"/>
      <c r="B40" s="361"/>
      <c r="C40" s="361"/>
      <c r="D40" s="361"/>
      <c r="E40" s="361"/>
      <c r="F40" s="361"/>
      <c r="G40" s="361"/>
      <c r="H40" s="361"/>
      <c r="I40" s="361"/>
      <c r="J40" s="361"/>
    </row>
    <row r="41" spans="1:10" ht="18" hidden="1" customHeight="1" x14ac:dyDescent="0.25">
      <c r="A41" s="361"/>
      <c r="B41" s="361"/>
      <c r="C41" s="361"/>
      <c r="D41" s="361"/>
      <c r="E41" s="361"/>
      <c r="F41" s="361"/>
      <c r="G41" s="361"/>
      <c r="H41" s="361"/>
      <c r="I41" s="361"/>
      <c r="J41" s="361"/>
    </row>
    <row r="42" spans="1:10" ht="18" hidden="1" customHeight="1" x14ac:dyDescent="0.25">
      <c r="A42" s="361"/>
      <c r="B42" s="361"/>
      <c r="C42" s="361"/>
      <c r="D42" s="361"/>
      <c r="E42" s="361"/>
      <c r="F42" s="361"/>
      <c r="G42" s="361"/>
      <c r="H42" s="361"/>
      <c r="I42" s="361"/>
      <c r="J42" s="361"/>
    </row>
    <row r="43" spans="1:10" ht="18" hidden="1" customHeight="1" x14ac:dyDescent="0.25">
      <c r="A43" s="361"/>
      <c r="B43" s="361"/>
      <c r="C43" s="361"/>
      <c r="D43" s="361"/>
      <c r="E43" s="361"/>
      <c r="F43" s="361"/>
      <c r="G43" s="361"/>
      <c r="H43" s="361"/>
      <c r="I43" s="361"/>
      <c r="J43" s="361"/>
    </row>
    <row r="44" spans="1:10" ht="18" hidden="1" customHeight="1" x14ac:dyDescent="0.25">
      <c r="A44" s="361"/>
      <c r="B44" s="361"/>
      <c r="C44" s="361"/>
      <c r="D44" s="361"/>
      <c r="E44" s="361"/>
      <c r="F44" s="361"/>
      <c r="G44" s="361"/>
      <c r="H44" s="361"/>
      <c r="I44" s="361"/>
      <c r="J44" s="361"/>
    </row>
  </sheetData>
  <sheetProtection algorithmName="SHA-512" hashValue="b48dn5SR5b36VuIMEWORO4sv8Tk/2rmsnbSFfcKirjfApYecmbkzf23aHiwXBBi0sqgz2GUPv0SgzDnVtPD8dg==" saltValue="NYbunswwAAMnqVEzoVdICQ==" spinCount="100000" sheet="1" objects="1" scenarios="1" selectLockedCells="1"/>
  <mergeCells count="1">
    <mergeCell ref="C13:D13"/>
  </mergeCells>
  <pageMargins left="0.7" right="0.7" top="0.75" bottom="0.3"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Check Box 1">
              <controlPr defaultSize="0" autoFill="0" autoLine="0" autoPict="0" macro="[0]!SUB_HIDE_MACHINING">
                <anchor moveWithCells="1">
                  <from>
                    <xdr:col>1</xdr:col>
                    <xdr:colOff>9525</xdr:colOff>
                    <xdr:row>10</xdr:row>
                    <xdr:rowOff>9525</xdr:rowOff>
                  </from>
                  <to>
                    <xdr:col>2</xdr:col>
                    <xdr:colOff>390525</xdr:colOff>
                    <xdr:row>11</xdr:row>
                    <xdr:rowOff>0</xdr:rowOff>
                  </to>
                </anchor>
              </controlPr>
            </control>
          </mc:Choice>
        </mc:AlternateContent>
      </controls>
    </mc:Choice>
  </mc:AlternateContent>
  <tableParts count="3">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02B8E-F56E-462D-8BA9-359185105483}">
  <sheetPr codeName="Sheet12">
    <tabColor theme="4"/>
  </sheetPr>
  <dimension ref="A1:L88"/>
  <sheetViews>
    <sheetView workbookViewId="0">
      <selection activeCell="A2" sqref="A2"/>
    </sheetView>
  </sheetViews>
  <sheetFormatPr defaultColWidth="0" defaultRowHeight="18" customHeight="1" zeroHeight="1" x14ac:dyDescent="0.25"/>
  <cols>
    <col min="1" max="1" width="3.28515625" customWidth="1"/>
    <col min="2" max="2" width="35.42578125" customWidth="1"/>
    <col min="3" max="3" width="12.85546875" customWidth="1"/>
    <col min="4" max="4" width="35.42578125" customWidth="1"/>
    <col min="5" max="6" width="3.28515625" customWidth="1"/>
    <col min="7" max="7" width="28" customWidth="1"/>
    <col min="8" max="8" width="10.7109375" customWidth="1"/>
    <col min="9" max="11" width="15" customWidth="1"/>
    <col min="12" max="12" width="3.28515625" customWidth="1"/>
    <col min="13" max="16384" width="12.7109375" hidden="1"/>
  </cols>
  <sheetData>
    <row r="1" spans="1:12" ht="54" customHeight="1" x14ac:dyDescent="0.25">
      <c r="A1" s="5"/>
      <c r="B1" s="5"/>
      <c r="C1" s="5"/>
      <c r="D1" s="5"/>
      <c r="E1" s="5"/>
      <c r="F1" s="5"/>
      <c r="G1" s="5"/>
      <c r="H1" s="5"/>
      <c r="I1" s="5"/>
      <c r="J1" s="5"/>
      <c r="K1" s="5"/>
      <c r="L1" s="5"/>
    </row>
    <row r="2" spans="1:12" ht="18" customHeight="1" x14ac:dyDescent="0.25">
      <c r="A2" s="361"/>
      <c r="B2" s="361"/>
      <c r="C2" s="361"/>
      <c r="D2" s="361"/>
      <c r="E2" s="361"/>
      <c r="F2" s="361"/>
      <c r="G2" s="361"/>
      <c r="H2" s="361"/>
      <c r="I2" s="361"/>
      <c r="J2" s="361"/>
      <c r="K2" s="361"/>
      <c r="L2" s="361"/>
    </row>
    <row r="3" spans="1:12" ht="18" customHeight="1" thickBot="1" x14ac:dyDescent="0.35">
      <c r="A3" s="361"/>
      <c r="B3" s="373" t="s">
        <v>1192</v>
      </c>
      <c r="C3" s="373"/>
      <c r="D3" s="373"/>
      <c r="E3" s="361"/>
      <c r="F3" s="361"/>
      <c r="G3" s="373" t="s">
        <v>1492</v>
      </c>
      <c r="H3" s="373"/>
      <c r="I3" s="373"/>
      <c r="J3" s="373"/>
      <c r="K3" s="373"/>
      <c r="L3" s="361"/>
    </row>
    <row r="4" spans="1:12" ht="18" customHeight="1" thickTop="1" x14ac:dyDescent="0.25">
      <c r="A4" s="361"/>
      <c r="B4" s="361"/>
      <c r="C4" s="361"/>
      <c r="D4" s="361"/>
      <c r="E4" s="361"/>
      <c r="F4" s="361"/>
      <c r="G4" s="361"/>
      <c r="H4" s="361"/>
      <c r="I4" s="361"/>
      <c r="J4" s="361"/>
      <c r="K4" s="361"/>
      <c r="L4" s="361"/>
    </row>
    <row r="5" spans="1:12" ht="18" customHeight="1" x14ac:dyDescent="0.25">
      <c r="A5" s="361"/>
      <c r="B5" s="92" t="s">
        <v>1490</v>
      </c>
      <c r="C5" s="149" t="s">
        <v>2</v>
      </c>
      <c r="D5" s="149" t="s">
        <v>5</v>
      </c>
      <c r="E5" s="361"/>
      <c r="F5" s="361"/>
      <c r="G5" s="40" t="s">
        <v>1491</v>
      </c>
      <c r="H5" s="41" t="s">
        <v>2</v>
      </c>
      <c r="I5" s="41" t="s">
        <v>461</v>
      </c>
      <c r="J5" s="41" t="s">
        <v>67</v>
      </c>
      <c r="K5" s="41" t="s">
        <v>1107</v>
      </c>
      <c r="L5" s="361"/>
    </row>
    <row r="6" spans="1:12" ht="18" customHeight="1" x14ac:dyDescent="0.25">
      <c r="A6" s="361"/>
      <c r="B6" s="2" t="s">
        <v>1183</v>
      </c>
      <c r="C6" s="33" t="s">
        <v>42</v>
      </c>
      <c r="D6" s="18" t="str">
        <f>'PRNT Backend'!F8</f>
        <v>Cuboid</v>
      </c>
      <c r="E6" s="361"/>
      <c r="F6" s="361"/>
      <c r="G6" s="40" t="s">
        <v>1164</v>
      </c>
      <c r="H6" s="41" t="s">
        <v>1063</v>
      </c>
      <c r="I6" s="315">
        <f>'TEA Backend'!M8</f>
        <v>576.50966787791208</v>
      </c>
      <c r="J6" s="316">
        <v>0</v>
      </c>
      <c r="K6" s="316">
        <v>0</v>
      </c>
      <c r="L6" s="361"/>
    </row>
    <row r="7" spans="1:12" ht="18" customHeight="1" x14ac:dyDescent="0.25">
      <c r="A7" s="361"/>
      <c r="B7" s="2" t="s">
        <v>269</v>
      </c>
      <c r="C7" s="18" t="s">
        <v>580</v>
      </c>
      <c r="D7" s="312">
        <f>'PRNT Backend'!F91</f>
        <v>126.5</v>
      </c>
      <c r="E7" s="361"/>
      <c r="F7" s="361"/>
      <c r="G7" s="2" t="s">
        <v>305</v>
      </c>
      <c r="H7" s="18" t="s">
        <v>1063</v>
      </c>
      <c r="I7" s="315">
        <f>'TEA Backend'!M15</f>
        <v>158.03593529711551</v>
      </c>
      <c r="J7" s="315">
        <f>'TEA Backend'!M26</f>
        <v>15.149176954732511</v>
      </c>
      <c r="K7" s="315">
        <f>'TEA Backend'!M37</f>
        <v>89.550179607009014</v>
      </c>
      <c r="L7" s="361"/>
    </row>
    <row r="8" spans="1:12" ht="18" customHeight="1" x14ac:dyDescent="0.25">
      <c r="A8" s="361"/>
      <c r="B8" s="2" t="s">
        <v>1184</v>
      </c>
      <c r="C8" s="18" t="s">
        <v>580</v>
      </c>
      <c r="D8" s="312">
        <f>'PRNT Backend'!F12</f>
        <v>85</v>
      </c>
      <c r="E8" s="361"/>
      <c r="F8" s="361"/>
      <c r="G8" s="2" t="s">
        <v>304</v>
      </c>
      <c r="H8" s="18" t="s">
        <v>1063</v>
      </c>
      <c r="I8" s="315">
        <f>'TEA Backend'!M16</f>
        <v>7.3213549604989074</v>
      </c>
      <c r="J8" s="315">
        <f>'TEA Backend'!M27</f>
        <v>0.39180384087791498</v>
      </c>
      <c r="K8" s="315">
        <f>'TEA Backend'!M38</f>
        <v>4.3774309423876785</v>
      </c>
      <c r="L8" s="361"/>
    </row>
    <row r="9" spans="1:12" ht="18" customHeight="1" x14ac:dyDescent="0.25">
      <c r="A9" s="361"/>
      <c r="B9" s="2" t="s">
        <v>236</v>
      </c>
      <c r="C9" s="33" t="s">
        <v>42</v>
      </c>
      <c r="D9" s="18" t="str">
        <f>'PRNT Backend'!F17</f>
        <v>Metal</v>
      </c>
      <c r="E9" s="361"/>
      <c r="F9" s="361"/>
      <c r="G9" s="2" t="s">
        <v>319</v>
      </c>
      <c r="H9" s="18" t="s">
        <v>1063</v>
      </c>
      <c r="I9" s="315">
        <f>'TEA Backend'!M17</f>
        <v>49.386229780348586</v>
      </c>
      <c r="J9" s="315">
        <f>'TEA Backend'!M28</f>
        <v>4.7341177983539087</v>
      </c>
      <c r="K9" s="315">
        <f>'TEA Backend'!M39</f>
        <v>31.093812363544799</v>
      </c>
      <c r="L9" s="361"/>
    </row>
    <row r="10" spans="1:12" ht="18" customHeight="1" x14ac:dyDescent="0.25">
      <c r="A10" s="361"/>
      <c r="B10" s="2" t="s">
        <v>1185</v>
      </c>
      <c r="C10" s="33" t="s">
        <v>42</v>
      </c>
      <c r="D10" s="18" t="str">
        <f>'PRNT Backend'!F23</f>
        <v>Ti6Al4V</v>
      </c>
      <c r="E10" s="361"/>
      <c r="F10" s="361"/>
      <c r="G10" s="2" t="s">
        <v>303</v>
      </c>
      <c r="H10" s="18" t="s">
        <v>1063</v>
      </c>
      <c r="I10" s="315">
        <f>'TEA Backend'!M18</f>
        <v>256.35498917609732</v>
      </c>
      <c r="J10" s="315">
        <f>'TEA Backend'!M29</f>
        <v>70.216049382716051</v>
      </c>
      <c r="K10" s="315">
        <f>'TEA Backend'!M40</f>
        <v>5.8801557744066493</v>
      </c>
      <c r="L10" s="361"/>
    </row>
    <row r="11" spans="1:12" ht="18" customHeight="1" x14ac:dyDescent="0.25">
      <c r="A11" s="361"/>
      <c r="B11" s="2" t="s">
        <v>1187</v>
      </c>
      <c r="C11" s="33" t="s">
        <v>42</v>
      </c>
      <c r="D11" s="18" t="str">
        <f>'PRNT Backend'!F32</f>
        <v>Powder Bed Fusion</v>
      </c>
      <c r="E11" s="361"/>
      <c r="F11" s="361"/>
      <c r="G11" s="2" t="s">
        <v>472</v>
      </c>
      <c r="H11" s="18" t="s">
        <v>1063</v>
      </c>
      <c r="I11" s="315">
        <f>'TEA Backend'!M19</f>
        <v>0.33909390102658371</v>
      </c>
      <c r="J11" s="315">
        <f>'TEA Backend'!M30</f>
        <v>2.7863511659807955E-2</v>
      </c>
      <c r="K11" s="315">
        <f>'TEA Backend'!M41</f>
        <v>0.4307806428136739</v>
      </c>
      <c r="L11" s="361"/>
    </row>
    <row r="12" spans="1:12" ht="18" customHeight="1" x14ac:dyDescent="0.25">
      <c r="A12" s="361"/>
      <c r="B12" s="2" t="s">
        <v>1186</v>
      </c>
      <c r="C12" s="33" t="s">
        <v>42</v>
      </c>
      <c r="D12" s="18">
        <f>'4. Printing'!C14</f>
        <v>0</v>
      </c>
      <c r="E12" s="361"/>
      <c r="F12" s="361"/>
      <c r="G12" s="2" t="s">
        <v>342</v>
      </c>
      <c r="H12" s="18" t="s">
        <v>1063</v>
      </c>
      <c r="I12" s="315">
        <f>'TEA Backend'!M20</f>
        <v>10.851004832850679</v>
      </c>
      <c r="J12" s="315">
        <f>'TEA Backend'!M31</f>
        <v>0</v>
      </c>
      <c r="K12" s="315">
        <f>'TEA Backend'!M42</f>
        <v>43.078064281367389</v>
      </c>
      <c r="L12" s="361"/>
    </row>
    <row r="13" spans="1:12" ht="18" customHeight="1" x14ac:dyDescent="0.25">
      <c r="A13" s="361"/>
      <c r="B13" s="2" t="s">
        <v>1163</v>
      </c>
      <c r="C13" s="18" t="s">
        <v>629</v>
      </c>
      <c r="D13" s="313">
        <f>SUM('TEA Backend'!F48:F50)</f>
        <v>44569.475103950041</v>
      </c>
      <c r="E13" s="361"/>
      <c r="F13" s="361"/>
      <c r="G13" s="2" t="s">
        <v>464</v>
      </c>
      <c r="H13" s="18" t="s">
        <v>1063</v>
      </c>
      <c r="I13" s="315">
        <f>'TEA Backend'!M21</f>
        <v>117.04177825145946</v>
      </c>
      <c r="J13" s="315">
        <f>'TEA Backend'!M32</f>
        <v>31.477224544044251</v>
      </c>
      <c r="K13" s="315">
        <f>'TEA Backend'!M43</f>
        <v>4.7094061105467304</v>
      </c>
      <c r="L13" s="361"/>
    </row>
    <row r="14" spans="1:12" ht="18" customHeight="1" x14ac:dyDescent="0.25">
      <c r="A14" s="361"/>
      <c r="B14" s="2" t="s">
        <v>1189</v>
      </c>
      <c r="C14" s="33" t="s">
        <v>42</v>
      </c>
      <c r="D14" s="18" t="str">
        <f>IF('PP Backend'!F11,"Yes","No")</f>
        <v>Yes</v>
      </c>
      <c r="E14" s="361"/>
      <c r="F14" s="361"/>
      <c r="G14" s="2" t="s">
        <v>216</v>
      </c>
      <c r="H14" s="18" t="s">
        <v>1063</v>
      </c>
      <c r="I14" s="315">
        <f>'TEA Backend'!M22</f>
        <v>406.91268123190048</v>
      </c>
      <c r="J14" s="315">
        <f>'TEA Backend'!M33</f>
        <v>111.45404663923182</v>
      </c>
      <c r="K14" s="315">
        <f>'TEA Backend'!M44</f>
        <v>8.6156128562734775</v>
      </c>
      <c r="L14" s="361"/>
    </row>
    <row r="15" spans="1:12" ht="18" customHeight="1" x14ac:dyDescent="0.25">
      <c r="A15" s="361"/>
      <c r="B15" s="2" t="s">
        <v>1188</v>
      </c>
      <c r="C15" s="33" t="s">
        <v>42</v>
      </c>
      <c r="D15" s="18" t="str">
        <f>IF('MCN Backend'!F15,"Yes","No")</f>
        <v>Yes</v>
      </c>
      <c r="E15" s="361"/>
      <c r="F15" s="361"/>
      <c r="G15" s="40" t="s">
        <v>1646</v>
      </c>
      <c r="H15" s="41" t="s">
        <v>1063</v>
      </c>
      <c r="I15" s="316">
        <f>SUBTOTAL(109,Table22[Printing])</f>
        <v>1582.7527353092096</v>
      </c>
      <c r="J15" s="316">
        <f>SUBTOTAL(109,Table22[Post Processing])</f>
        <v>233.45028267161626</v>
      </c>
      <c r="K15" s="316">
        <f>SUBTOTAL(109,Table22[Machining])</f>
        <v>187.73544257834942</v>
      </c>
      <c r="L15" s="361"/>
    </row>
    <row r="16" spans="1:12" ht="18" customHeight="1" x14ac:dyDescent="0.25">
      <c r="A16" s="361"/>
      <c r="B16" s="2" t="s">
        <v>412</v>
      </c>
      <c r="C16" s="33" t="s">
        <v>42</v>
      </c>
      <c r="D16" s="18" t="str">
        <f>IF('TEA Backend'!F29="PRNT","Printing",IF('TEA Backend'!F29="PP","Post Processing",IF('TEA Backend'!F29="FIN","Finishing","Error")))</f>
        <v>Printing</v>
      </c>
      <c r="E16" s="361"/>
      <c r="F16" s="361"/>
      <c r="G16" s="361"/>
      <c r="H16" s="361"/>
      <c r="I16" s="361"/>
      <c r="J16" s="361"/>
      <c r="K16" s="361"/>
      <c r="L16" s="361"/>
    </row>
    <row r="17" spans="1:12" ht="18" customHeight="1" x14ac:dyDescent="0.25">
      <c r="A17" s="361"/>
      <c r="B17" s="2" t="s">
        <v>1190</v>
      </c>
      <c r="C17" s="18" t="s">
        <v>618</v>
      </c>
      <c r="D17" s="312">
        <f>'TEA Backend'!F40</f>
        <v>368.62945520863394</v>
      </c>
      <c r="E17" s="361"/>
      <c r="F17" s="361"/>
      <c r="G17" s="416" t="s">
        <v>1162</v>
      </c>
      <c r="H17" s="417" t="s">
        <v>1063</v>
      </c>
      <c r="I17" s="518">
        <f>D18</f>
        <v>2003.9384605591752</v>
      </c>
      <c r="J17" s="518"/>
      <c r="K17" s="518"/>
      <c r="L17" s="361"/>
    </row>
    <row r="18" spans="1:12" ht="18" customHeight="1" x14ac:dyDescent="0.25">
      <c r="A18" s="361"/>
      <c r="B18" s="2" t="s">
        <v>1191</v>
      </c>
      <c r="C18" s="18" t="s">
        <v>1063</v>
      </c>
      <c r="D18" s="314">
        <f>'TEA Backend'!M12</f>
        <v>2003.9384605591752</v>
      </c>
      <c r="E18" s="361"/>
      <c r="F18" s="361"/>
      <c r="G18" s="361"/>
      <c r="H18" s="361"/>
      <c r="I18" s="361"/>
      <c r="J18" s="361"/>
      <c r="K18" s="361"/>
      <c r="L18" s="361"/>
    </row>
    <row r="19" spans="1:12" ht="18" customHeight="1" x14ac:dyDescent="0.25">
      <c r="A19" s="361"/>
      <c r="B19" s="361"/>
      <c r="C19" s="361"/>
      <c r="D19" s="361"/>
      <c r="E19" s="361"/>
      <c r="F19" s="361"/>
      <c r="G19" s="361"/>
      <c r="H19" s="361"/>
      <c r="I19" s="361"/>
      <c r="J19" s="361"/>
      <c r="K19" s="361"/>
      <c r="L19" s="361"/>
    </row>
    <row r="20" spans="1:12" ht="18" customHeight="1" x14ac:dyDescent="0.25">
      <c r="A20" s="361"/>
      <c r="B20" s="416" t="s">
        <v>1180</v>
      </c>
      <c r="C20" s="361"/>
      <c r="D20" s="361"/>
      <c r="E20" s="361"/>
      <c r="F20" s="361"/>
      <c r="G20" s="361"/>
      <c r="H20" s="361"/>
      <c r="I20" s="361"/>
      <c r="J20" s="361"/>
      <c r="K20" s="361"/>
      <c r="L20" s="361"/>
    </row>
    <row r="21" spans="1:12" ht="18" customHeight="1" x14ac:dyDescent="0.25">
      <c r="A21" s="361"/>
      <c r="B21" s="361"/>
      <c r="C21" s="361"/>
      <c r="D21" s="361"/>
      <c r="E21" s="361"/>
      <c r="F21" s="361"/>
      <c r="G21" s="361"/>
      <c r="H21" s="361"/>
      <c r="I21" s="361"/>
      <c r="J21" s="361"/>
      <c r="K21" s="361"/>
      <c r="L21" s="361"/>
    </row>
    <row r="22" spans="1:12" ht="18" customHeight="1" x14ac:dyDescent="0.25">
      <c r="A22" s="361"/>
      <c r="B22" s="361"/>
      <c r="C22" s="361"/>
      <c r="D22" s="361"/>
      <c r="E22" s="361"/>
      <c r="F22" s="361"/>
      <c r="G22" s="361"/>
      <c r="H22" s="361"/>
      <c r="I22" s="361"/>
      <c r="J22" s="361"/>
      <c r="K22" s="361"/>
      <c r="L22" s="361"/>
    </row>
    <row r="23" spans="1:12" ht="18" customHeight="1" x14ac:dyDescent="0.25">
      <c r="A23" s="361"/>
      <c r="B23" s="361"/>
      <c r="C23" s="361"/>
      <c r="D23" s="361"/>
      <c r="E23" s="361"/>
      <c r="F23" s="361"/>
      <c r="G23" s="361"/>
      <c r="H23" s="361"/>
      <c r="I23" s="361"/>
      <c r="J23" s="361"/>
      <c r="K23" s="361"/>
      <c r="L23" s="361"/>
    </row>
    <row r="24" spans="1:12" ht="18" customHeight="1" x14ac:dyDescent="0.25">
      <c r="A24" s="361"/>
      <c r="B24" s="361"/>
      <c r="C24" s="361"/>
      <c r="D24" s="361"/>
      <c r="E24" s="361"/>
      <c r="F24" s="361"/>
      <c r="G24" s="416" t="s">
        <v>1159</v>
      </c>
      <c r="H24" s="417" t="s">
        <v>1063</v>
      </c>
      <c r="I24" s="518">
        <f>SUM(I7:I14)</f>
        <v>1006.2430674312975</v>
      </c>
      <c r="J24" s="518"/>
      <c r="K24" s="518"/>
      <c r="L24" s="361"/>
    </row>
    <row r="25" spans="1:12" ht="18" customHeight="1" x14ac:dyDescent="0.25">
      <c r="A25" s="361"/>
      <c r="B25" s="361"/>
      <c r="C25" s="361"/>
      <c r="D25" s="361"/>
      <c r="E25" s="361"/>
      <c r="F25" s="361"/>
      <c r="G25" s="361"/>
      <c r="H25" s="361"/>
      <c r="I25" s="361"/>
      <c r="J25" s="361"/>
      <c r="K25" s="361"/>
      <c r="L25" s="361"/>
    </row>
    <row r="26" spans="1:12" ht="18" customHeight="1" x14ac:dyDescent="0.25">
      <c r="A26" s="361"/>
      <c r="B26" s="361"/>
      <c r="C26" s="361"/>
      <c r="D26" s="361"/>
      <c r="E26" s="361"/>
      <c r="F26" s="361"/>
      <c r="G26" s="361"/>
      <c r="H26" s="361"/>
      <c r="I26" s="361"/>
      <c r="J26" s="361"/>
      <c r="K26" s="361"/>
      <c r="L26" s="361"/>
    </row>
    <row r="27" spans="1:12" ht="18" customHeight="1" x14ac:dyDescent="0.25">
      <c r="A27" s="361"/>
      <c r="B27" s="361"/>
      <c r="C27" s="361"/>
      <c r="D27" s="361"/>
      <c r="E27" s="361"/>
      <c r="F27" s="361"/>
      <c r="G27" s="361"/>
      <c r="H27" s="361"/>
      <c r="I27" s="361"/>
      <c r="J27" s="361"/>
      <c r="K27" s="361"/>
      <c r="L27" s="361"/>
    </row>
    <row r="28" spans="1:12" ht="18" customHeight="1" x14ac:dyDescent="0.25">
      <c r="A28" s="361"/>
      <c r="B28" s="416" t="s">
        <v>412</v>
      </c>
      <c r="C28" s="416"/>
      <c r="D28" s="416"/>
      <c r="E28" s="361"/>
      <c r="F28" s="361"/>
      <c r="G28" s="361"/>
      <c r="H28" s="361"/>
      <c r="I28" s="361"/>
      <c r="J28" s="361"/>
      <c r="K28" s="361"/>
      <c r="L28" s="361"/>
    </row>
    <row r="29" spans="1:12" ht="18" customHeight="1" x14ac:dyDescent="0.25">
      <c r="A29" s="361"/>
      <c r="B29" s="361"/>
      <c r="C29" s="361"/>
      <c r="D29" s="361"/>
      <c r="E29" s="361"/>
      <c r="F29" s="361"/>
      <c r="G29" s="361"/>
      <c r="H29" s="361"/>
      <c r="I29" s="361"/>
      <c r="J29" s="361"/>
      <c r="K29" s="361"/>
      <c r="L29" s="361"/>
    </row>
    <row r="30" spans="1:12" ht="18" customHeight="1" x14ac:dyDescent="0.25">
      <c r="A30" s="361"/>
      <c r="B30" s="361"/>
      <c r="C30" s="361"/>
      <c r="D30" s="361"/>
      <c r="E30" s="361"/>
      <c r="F30" s="361"/>
      <c r="G30" s="361"/>
      <c r="H30" s="361"/>
      <c r="I30" s="361"/>
      <c r="J30" s="361"/>
      <c r="K30" s="361"/>
      <c r="L30" s="361"/>
    </row>
    <row r="31" spans="1:12" ht="18" customHeight="1" x14ac:dyDescent="0.25">
      <c r="A31" s="361"/>
      <c r="B31" s="361"/>
      <c r="C31" s="361"/>
      <c r="D31" s="361"/>
      <c r="E31" s="361"/>
      <c r="F31" s="361"/>
      <c r="G31" s="416" t="s">
        <v>1160</v>
      </c>
      <c r="H31" s="417" t="s">
        <v>1063</v>
      </c>
      <c r="I31" s="518">
        <f>Table22[[#Totals],[Post Processing]]</f>
        <v>233.45028267161626</v>
      </c>
      <c r="J31" s="518"/>
      <c r="K31" s="518"/>
      <c r="L31" s="361"/>
    </row>
    <row r="32" spans="1:12" ht="18" customHeight="1" x14ac:dyDescent="0.25">
      <c r="A32" s="361"/>
      <c r="B32" s="361"/>
      <c r="C32" s="361"/>
      <c r="D32" s="361"/>
      <c r="E32" s="361"/>
      <c r="F32" s="361"/>
      <c r="G32" s="361"/>
      <c r="H32" s="361"/>
      <c r="I32" s="361"/>
      <c r="J32" s="361"/>
      <c r="K32" s="361"/>
      <c r="L32" s="361"/>
    </row>
    <row r="33" spans="1:12" ht="18" customHeight="1" x14ac:dyDescent="0.25">
      <c r="A33" s="361"/>
      <c r="B33" s="361"/>
      <c r="C33" s="361"/>
      <c r="D33" s="361"/>
      <c r="E33" s="361"/>
      <c r="F33" s="361"/>
      <c r="G33" s="361"/>
      <c r="H33" s="361"/>
      <c r="I33" s="361"/>
      <c r="J33" s="361"/>
      <c r="K33" s="361"/>
      <c r="L33" s="361"/>
    </row>
    <row r="34" spans="1:12" ht="18" customHeight="1" x14ac:dyDescent="0.25">
      <c r="A34" s="361"/>
      <c r="B34" s="361"/>
      <c r="C34" s="361"/>
      <c r="D34" s="361"/>
      <c r="E34" s="361"/>
      <c r="F34" s="361"/>
      <c r="G34" s="361"/>
      <c r="H34" s="361"/>
      <c r="I34" s="361"/>
      <c r="J34" s="361"/>
      <c r="K34" s="361"/>
      <c r="L34" s="361"/>
    </row>
    <row r="35" spans="1:12" ht="18" customHeight="1" x14ac:dyDescent="0.25">
      <c r="A35" s="361"/>
      <c r="B35" s="361"/>
      <c r="C35" s="361"/>
      <c r="D35" s="361"/>
      <c r="E35" s="361"/>
      <c r="F35" s="361"/>
      <c r="G35" s="361"/>
      <c r="H35" s="361"/>
      <c r="I35" s="361"/>
      <c r="J35" s="361"/>
      <c r="K35" s="361"/>
      <c r="L35" s="361"/>
    </row>
    <row r="36" spans="1:12" ht="18" customHeight="1" x14ac:dyDescent="0.25">
      <c r="A36" s="361"/>
      <c r="B36" s="361"/>
      <c r="C36" s="361"/>
      <c r="D36" s="361"/>
      <c r="E36" s="361"/>
      <c r="F36" s="361"/>
      <c r="G36" s="361"/>
      <c r="H36" s="361"/>
      <c r="I36" s="361"/>
      <c r="J36" s="361"/>
      <c r="K36" s="361"/>
      <c r="L36" s="361"/>
    </row>
    <row r="37" spans="1:12" ht="18" customHeight="1" x14ac:dyDescent="0.25">
      <c r="A37" s="361"/>
      <c r="B37" s="361"/>
      <c r="C37" s="361"/>
      <c r="D37" s="361"/>
      <c r="E37" s="361"/>
      <c r="F37" s="361"/>
      <c r="G37" s="361"/>
      <c r="H37" s="361"/>
      <c r="I37" s="361"/>
      <c r="J37" s="361"/>
      <c r="K37" s="361"/>
      <c r="L37" s="361"/>
    </row>
    <row r="38" spans="1:12" ht="18" customHeight="1" x14ac:dyDescent="0.25">
      <c r="A38" s="361"/>
      <c r="B38" s="361"/>
      <c r="C38" s="361"/>
      <c r="D38" s="361"/>
      <c r="E38" s="361"/>
      <c r="F38" s="361"/>
      <c r="G38" s="416" t="s">
        <v>1171</v>
      </c>
      <c r="H38" s="417" t="s">
        <v>1063</v>
      </c>
      <c r="I38" s="518">
        <f>Table22[[#Totals],[Machining]]</f>
        <v>187.73544257834942</v>
      </c>
      <c r="J38" s="518"/>
      <c r="K38" s="518"/>
      <c r="L38" s="361"/>
    </row>
    <row r="39" spans="1:12" ht="18" customHeight="1" x14ac:dyDescent="0.25">
      <c r="A39" s="361"/>
      <c r="B39" s="361"/>
      <c r="C39" s="361"/>
      <c r="D39" s="361"/>
      <c r="E39" s="361"/>
      <c r="F39" s="361"/>
      <c r="G39" s="361"/>
      <c r="H39" s="361"/>
      <c r="I39" s="361"/>
      <c r="J39" s="361"/>
      <c r="K39" s="361"/>
      <c r="L39" s="361"/>
    </row>
    <row r="40" spans="1:12" ht="18" customHeight="1" x14ac:dyDescent="0.25">
      <c r="A40" s="361"/>
      <c r="B40" s="361"/>
      <c r="C40" s="361"/>
      <c r="D40" s="361"/>
      <c r="E40" s="361"/>
      <c r="F40" s="361"/>
      <c r="G40" s="361"/>
      <c r="H40" s="361"/>
      <c r="I40" s="361"/>
      <c r="J40" s="361"/>
      <c r="K40" s="361"/>
      <c r="L40" s="361"/>
    </row>
    <row r="41" spans="1:12" ht="18" customHeight="1" x14ac:dyDescent="0.25">
      <c r="A41" s="361"/>
      <c r="B41" s="361"/>
      <c r="C41" s="361"/>
      <c r="D41" s="361"/>
      <c r="E41" s="361"/>
      <c r="F41" s="361"/>
      <c r="G41" s="361"/>
      <c r="H41" s="361"/>
      <c r="I41" s="361"/>
      <c r="J41" s="361"/>
      <c r="K41" s="361"/>
      <c r="L41" s="361"/>
    </row>
    <row r="42" spans="1:12" ht="18" customHeight="1" x14ac:dyDescent="0.25">
      <c r="A42" s="361"/>
      <c r="B42" s="361"/>
      <c r="C42" s="361"/>
      <c r="D42" s="361"/>
      <c r="E42" s="361"/>
      <c r="F42" s="361"/>
      <c r="G42" s="361"/>
      <c r="H42" s="361"/>
      <c r="I42" s="361"/>
      <c r="J42" s="361"/>
      <c r="K42" s="361"/>
      <c r="L42" s="361"/>
    </row>
    <row r="43" spans="1:12" ht="18" customHeight="1" x14ac:dyDescent="0.25">
      <c r="A43" s="361"/>
      <c r="B43" s="361"/>
      <c r="C43" s="361"/>
      <c r="D43" s="361"/>
      <c r="E43" s="361"/>
      <c r="F43" s="361"/>
      <c r="G43" s="361"/>
      <c r="H43" s="361"/>
      <c r="I43" s="361"/>
      <c r="J43" s="361"/>
      <c r="K43" s="361"/>
      <c r="L43" s="361"/>
    </row>
    <row r="44" spans="1:12" ht="18" customHeight="1" x14ac:dyDescent="0.25">
      <c r="A44" s="361"/>
      <c r="B44" s="361"/>
      <c r="C44" s="361"/>
      <c r="D44" s="361"/>
      <c r="E44" s="361"/>
      <c r="F44" s="361"/>
      <c r="G44" s="361"/>
      <c r="H44" s="361"/>
      <c r="I44" s="361"/>
      <c r="J44" s="361"/>
      <c r="K44" s="361"/>
      <c r="L44" s="361"/>
    </row>
    <row r="45" spans="1:12" ht="18" customHeight="1" x14ac:dyDescent="0.25">
      <c r="A45" s="361"/>
      <c r="B45" s="361"/>
      <c r="C45" s="361"/>
      <c r="D45" s="361"/>
      <c r="E45" s="361"/>
      <c r="F45" s="361"/>
      <c r="G45" s="361"/>
      <c r="H45" s="361"/>
      <c r="I45" s="361"/>
      <c r="J45" s="361"/>
      <c r="K45" s="361"/>
      <c r="L45" s="361"/>
    </row>
    <row r="46" spans="1:12" ht="18" customHeight="1" x14ac:dyDescent="0.25">
      <c r="A46" s="361"/>
      <c r="B46" s="361"/>
      <c r="C46" s="361"/>
      <c r="D46" s="361"/>
      <c r="E46" s="361"/>
      <c r="F46" s="361"/>
      <c r="G46" s="317" t="s">
        <v>1165</v>
      </c>
      <c r="H46" s="41" t="s">
        <v>2</v>
      </c>
      <c r="I46" s="41" t="s">
        <v>461</v>
      </c>
      <c r="J46" s="318" t="s">
        <v>67</v>
      </c>
      <c r="K46" s="318" t="s">
        <v>1107</v>
      </c>
      <c r="L46" s="361"/>
    </row>
    <row r="47" spans="1:12" ht="18" customHeight="1" x14ac:dyDescent="0.25">
      <c r="A47" s="361"/>
      <c r="B47" s="361"/>
      <c r="C47" s="361"/>
      <c r="D47" s="361"/>
      <c r="E47" s="361"/>
      <c r="F47" s="361"/>
      <c r="G47" s="2" t="s">
        <v>1166</v>
      </c>
      <c r="H47" s="18" t="s">
        <v>372</v>
      </c>
      <c r="I47" s="21">
        <f>'TEA Backend'!Q8</f>
        <v>51.462295138888884</v>
      </c>
      <c r="J47" s="21">
        <f>'TEA Backend'!Q9</f>
        <v>26</v>
      </c>
      <c r="K47" s="21">
        <f>'TEA Backend'!Q10</f>
        <v>6.2032412565169039</v>
      </c>
      <c r="L47" s="361"/>
    </row>
    <row r="48" spans="1:12" ht="18" customHeight="1" x14ac:dyDescent="0.25">
      <c r="A48" s="361"/>
      <c r="B48" s="361"/>
      <c r="C48" s="361"/>
      <c r="D48" s="361"/>
      <c r="E48" s="361"/>
      <c r="F48" s="361"/>
      <c r="G48" s="361"/>
      <c r="H48" s="361"/>
      <c r="I48" s="361"/>
      <c r="J48" s="361"/>
      <c r="K48" s="361"/>
      <c r="L48" s="361"/>
    </row>
    <row r="49" spans="1:12" ht="18" customHeight="1" x14ac:dyDescent="0.25">
      <c r="A49" s="361"/>
      <c r="B49" s="361"/>
      <c r="C49" s="361"/>
      <c r="D49" s="361"/>
      <c r="E49" s="361"/>
      <c r="F49" s="361"/>
      <c r="G49" s="416" t="s">
        <v>1167</v>
      </c>
      <c r="H49" s="417" t="s">
        <v>372</v>
      </c>
      <c r="I49" s="516">
        <f>SUM(I47:K47)</f>
        <v>83.665536395405795</v>
      </c>
      <c r="J49" s="516"/>
      <c r="K49" s="516"/>
      <c r="L49" s="361"/>
    </row>
    <row r="50" spans="1:12" ht="18" customHeight="1" x14ac:dyDescent="0.25">
      <c r="A50" s="361"/>
      <c r="B50" s="361"/>
      <c r="C50" s="361"/>
      <c r="D50" s="361"/>
      <c r="E50" s="361"/>
      <c r="F50" s="361"/>
      <c r="G50" s="361"/>
      <c r="H50" s="361"/>
      <c r="I50" s="361"/>
      <c r="J50" s="361"/>
      <c r="K50" s="361"/>
      <c r="L50" s="361"/>
    </row>
    <row r="51" spans="1:12" ht="18" customHeight="1" x14ac:dyDescent="0.25">
      <c r="A51" s="361"/>
      <c r="B51" s="361"/>
      <c r="C51" s="361"/>
      <c r="D51" s="361"/>
      <c r="E51" s="361"/>
      <c r="F51" s="361"/>
      <c r="G51" s="361"/>
      <c r="H51" s="361"/>
      <c r="I51" s="361"/>
      <c r="J51" s="361"/>
      <c r="K51" s="361"/>
      <c r="L51" s="361"/>
    </row>
    <row r="52" spans="1:12" ht="18" customHeight="1" x14ac:dyDescent="0.25">
      <c r="A52" s="361"/>
      <c r="B52" s="361"/>
      <c r="C52" s="361"/>
      <c r="D52" s="361"/>
      <c r="E52" s="361"/>
      <c r="F52" s="361"/>
      <c r="G52" s="361"/>
      <c r="H52" s="361"/>
      <c r="I52" s="361"/>
      <c r="J52" s="361"/>
      <c r="K52" s="361"/>
      <c r="L52" s="361"/>
    </row>
    <row r="53" spans="1:12" ht="18" customHeight="1" x14ac:dyDescent="0.25">
      <c r="A53" s="361"/>
      <c r="B53" s="361"/>
      <c r="C53" s="361"/>
      <c r="D53" s="361"/>
      <c r="E53" s="361"/>
      <c r="F53" s="361"/>
      <c r="G53" s="361"/>
      <c r="H53" s="361"/>
      <c r="I53" s="361"/>
      <c r="J53" s="361"/>
      <c r="K53" s="361"/>
      <c r="L53" s="361"/>
    </row>
    <row r="54" spans="1:12" ht="18" customHeight="1" x14ac:dyDescent="0.25">
      <c r="A54" s="361"/>
      <c r="B54" s="361"/>
      <c r="C54" s="361"/>
      <c r="D54" s="361"/>
      <c r="E54" s="361"/>
      <c r="F54" s="361"/>
      <c r="G54" s="361"/>
      <c r="H54" s="361"/>
      <c r="I54" s="361"/>
      <c r="J54" s="361"/>
      <c r="K54" s="361"/>
      <c r="L54" s="361"/>
    </row>
    <row r="55" spans="1:12" ht="18" customHeight="1" x14ac:dyDescent="0.25">
      <c r="A55" s="361"/>
      <c r="B55" s="361"/>
      <c r="C55" s="361"/>
      <c r="D55" s="361"/>
      <c r="E55" s="361"/>
      <c r="F55" s="361"/>
      <c r="G55" s="361"/>
      <c r="H55" s="361"/>
      <c r="I55" s="361"/>
      <c r="J55" s="361"/>
      <c r="K55" s="361"/>
      <c r="L55" s="361"/>
    </row>
    <row r="56" spans="1:12" ht="18" customHeight="1" x14ac:dyDescent="0.25">
      <c r="A56" s="361"/>
      <c r="B56" s="361"/>
      <c r="C56" s="361"/>
      <c r="D56" s="361"/>
      <c r="E56" s="361"/>
      <c r="F56" s="361"/>
      <c r="G56" s="416" t="s">
        <v>1168</v>
      </c>
      <c r="H56" s="417" t="s">
        <v>372</v>
      </c>
      <c r="I56" s="516">
        <f>'TEA Backend'!Q8</f>
        <v>51.462295138888884</v>
      </c>
      <c r="J56" s="517"/>
      <c r="K56" s="517"/>
      <c r="L56" s="361"/>
    </row>
    <row r="57" spans="1:12" ht="18" customHeight="1" x14ac:dyDescent="0.25">
      <c r="A57" s="361"/>
      <c r="B57" s="361"/>
      <c r="C57" s="361"/>
      <c r="D57" s="361"/>
      <c r="E57" s="361"/>
      <c r="F57" s="361"/>
      <c r="G57" s="361"/>
      <c r="H57" s="361"/>
      <c r="I57" s="361"/>
      <c r="J57" s="361"/>
      <c r="K57" s="361"/>
      <c r="L57" s="361"/>
    </row>
    <row r="58" spans="1:12" ht="18" customHeight="1" x14ac:dyDescent="0.25">
      <c r="A58" s="361"/>
      <c r="B58" s="361"/>
      <c r="C58" s="361"/>
      <c r="D58" s="361"/>
      <c r="E58" s="361"/>
      <c r="F58" s="361"/>
      <c r="G58" s="361"/>
      <c r="H58" s="361"/>
      <c r="I58" s="361"/>
      <c r="J58" s="361"/>
      <c r="K58" s="361"/>
      <c r="L58" s="361"/>
    </row>
    <row r="59" spans="1:12" ht="18" customHeight="1" x14ac:dyDescent="0.25">
      <c r="A59" s="361"/>
      <c r="B59" s="361"/>
      <c r="C59" s="361"/>
      <c r="D59" s="361"/>
      <c r="E59" s="361"/>
      <c r="F59" s="361"/>
      <c r="G59" s="361"/>
      <c r="H59" s="361"/>
      <c r="I59" s="361"/>
      <c r="J59" s="361"/>
      <c r="K59" s="361"/>
      <c r="L59" s="361"/>
    </row>
    <row r="60" spans="1:12" ht="18" customHeight="1" x14ac:dyDescent="0.25">
      <c r="A60" s="361"/>
      <c r="B60" s="361"/>
      <c r="C60" s="361"/>
      <c r="D60" s="361"/>
      <c r="E60" s="361"/>
      <c r="F60" s="361"/>
      <c r="G60" s="361"/>
      <c r="H60" s="361"/>
      <c r="I60" s="418"/>
      <c r="J60" s="418"/>
      <c r="K60" s="418"/>
      <c r="L60" s="361"/>
    </row>
    <row r="61" spans="1:12" ht="18" customHeight="1" x14ac:dyDescent="0.25">
      <c r="A61" s="361"/>
      <c r="B61" s="361"/>
      <c r="C61" s="361"/>
      <c r="D61" s="361"/>
      <c r="E61" s="361"/>
      <c r="F61" s="361"/>
      <c r="G61" s="361"/>
      <c r="H61" s="361"/>
      <c r="I61" s="418"/>
      <c r="J61" s="418"/>
      <c r="K61" s="418"/>
      <c r="L61" s="361"/>
    </row>
    <row r="62" spans="1:12" ht="18" customHeight="1" x14ac:dyDescent="0.25">
      <c r="A62" s="361"/>
      <c r="B62" s="361"/>
      <c r="C62" s="361"/>
      <c r="D62" s="361"/>
      <c r="E62" s="361"/>
      <c r="F62" s="361"/>
      <c r="G62" s="361"/>
      <c r="H62" s="361"/>
      <c r="I62" s="418"/>
      <c r="J62" s="418"/>
      <c r="K62" s="418"/>
      <c r="L62" s="361"/>
    </row>
    <row r="63" spans="1:12" ht="18" customHeight="1" x14ac:dyDescent="0.25">
      <c r="A63" s="361"/>
      <c r="B63" s="361"/>
      <c r="C63" s="361"/>
      <c r="D63" s="361"/>
      <c r="E63" s="361"/>
      <c r="F63" s="361"/>
      <c r="G63" s="416" t="s">
        <v>1169</v>
      </c>
      <c r="H63" s="417" t="s">
        <v>372</v>
      </c>
      <c r="I63" s="516">
        <f>'TEA Backend'!Q9</f>
        <v>26</v>
      </c>
      <c r="J63" s="516"/>
      <c r="K63" s="516"/>
      <c r="L63" s="361"/>
    </row>
    <row r="64" spans="1:12" ht="18" customHeight="1" x14ac:dyDescent="0.25">
      <c r="A64" s="361"/>
      <c r="B64" s="361"/>
      <c r="C64" s="361"/>
      <c r="D64" s="361"/>
      <c r="E64" s="361"/>
      <c r="F64" s="361"/>
      <c r="G64" s="361"/>
      <c r="H64" s="361"/>
      <c r="I64" s="361"/>
      <c r="J64" s="361"/>
      <c r="K64" s="361"/>
      <c r="L64" s="361"/>
    </row>
    <row r="65" spans="1:12" ht="18" customHeight="1" x14ac:dyDescent="0.25">
      <c r="A65" s="361"/>
      <c r="B65" s="361"/>
      <c r="C65" s="361"/>
      <c r="D65" s="361"/>
      <c r="E65" s="361"/>
      <c r="F65" s="361"/>
      <c r="G65" s="361"/>
      <c r="H65" s="361"/>
      <c r="I65" s="361"/>
      <c r="J65" s="361"/>
      <c r="K65" s="361"/>
      <c r="L65" s="361"/>
    </row>
    <row r="66" spans="1:12" ht="18" customHeight="1" x14ac:dyDescent="0.25">
      <c r="A66" s="361"/>
      <c r="B66" s="361"/>
      <c r="C66" s="361"/>
      <c r="D66" s="361"/>
      <c r="E66" s="361"/>
      <c r="F66" s="361"/>
      <c r="G66" s="361"/>
      <c r="H66" s="361"/>
      <c r="I66" s="361"/>
      <c r="J66" s="361"/>
      <c r="K66" s="361"/>
      <c r="L66" s="361"/>
    </row>
    <row r="67" spans="1:12" ht="18" customHeight="1" x14ac:dyDescent="0.25">
      <c r="A67" s="361"/>
      <c r="B67" s="361"/>
      <c r="C67" s="361"/>
      <c r="D67" s="361"/>
      <c r="E67" s="361"/>
      <c r="F67" s="361"/>
      <c r="G67" s="361"/>
      <c r="H67" s="361"/>
      <c r="I67" s="361"/>
      <c r="J67" s="361"/>
      <c r="K67" s="361"/>
      <c r="L67" s="361"/>
    </row>
    <row r="68" spans="1:12" ht="18" customHeight="1" x14ac:dyDescent="0.25">
      <c r="A68" s="361"/>
      <c r="B68" s="361"/>
      <c r="C68" s="361"/>
      <c r="D68" s="361"/>
      <c r="E68" s="361"/>
      <c r="F68" s="361"/>
      <c r="G68" s="361"/>
      <c r="H68" s="361"/>
      <c r="I68" s="361"/>
      <c r="J68" s="361"/>
      <c r="K68" s="361"/>
      <c r="L68" s="361"/>
    </row>
    <row r="69" spans="1:12" ht="18" customHeight="1" x14ac:dyDescent="0.25">
      <c r="A69" s="361"/>
      <c r="B69" s="361"/>
      <c r="C69" s="361"/>
      <c r="D69" s="361"/>
      <c r="E69" s="361"/>
      <c r="F69" s="361"/>
      <c r="G69" s="361"/>
      <c r="H69" s="361"/>
      <c r="I69" s="361"/>
      <c r="J69" s="361"/>
      <c r="K69" s="361"/>
      <c r="L69" s="361"/>
    </row>
    <row r="70" spans="1:12" ht="18" customHeight="1" x14ac:dyDescent="0.25">
      <c r="A70" s="361"/>
      <c r="B70" s="361"/>
      <c r="C70" s="361"/>
      <c r="D70" s="361"/>
      <c r="E70" s="361"/>
      <c r="F70" s="361"/>
      <c r="G70" s="416" t="s">
        <v>1170</v>
      </c>
      <c r="H70" s="417" t="s">
        <v>372</v>
      </c>
      <c r="I70" s="516">
        <f>'TEA Backend'!Q10</f>
        <v>6.2032412565169039</v>
      </c>
      <c r="J70" s="516"/>
      <c r="K70" s="516"/>
      <c r="L70" s="361"/>
    </row>
    <row r="71" spans="1:12" ht="18" customHeight="1" x14ac:dyDescent="0.25">
      <c r="A71" s="361"/>
      <c r="B71" s="361"/>
      <c r="C71" s="361"/>
      <c r="D71" s="361"/>
      <c r="E71" s="361"/>
      <c r="F71" s="361"/>
      <c r="G71" s="361"/>
      <c r="H71" s="361"/>
      <c r="I71" s="361"/>
      <c r="J71" s="361"/>
      <c r="K71" s="361"/>
      <c r="L71" s="361"/>
    </row>
    <row r="72" spans="1:12" ht="18" customHeight="1" x14ac:dyDescent="0.25">
      <c r="A72" s="361"/>
      <c r="B72" s="361"/>
      <c r="C72" s="361"/>
      <c r="D72" s="361"/>
      <c r="E72" s="361"/>
      <c r="F72" s="361"/>
      <c r="G72" s="361"/>
      <c r="H72" s="361"/>
      <c r="I72" s="361"/>
      <c r="J72" s="361"/>
      <c r="K72" s="361"/>
      <c r="L72" s="361"/>
    </row>
    <row r="73" spans="1:12" ht="18" customHeight="1" x14ac:dyDescent="0.25">
      <c r="A73" s="361"/>
      <c r="B73" s="361"/>
      <c r="C73" s="361"/>
      <c r="D73" s="361"/>
      <c r="E73" s="361"/>
      <c r="F73" s="361"/>
      <c r="G73" s="361"/>
      <c r="H73" s="361"/>
      <c r="I73" s="361"/>
      <c r="J73" s="361"/>
      <c r="K73" s="361"/>
      <c r="L73" s="361"/>
    </row>
    <row r="74" spans="1:12" ht="18" customHeight="1" x14ac:dyDescent="0.25">
      <c r="A74" s="361"/>
      <c r="B74" s="361"/>
      <c r="C74" s="361"/>
      <c r="D74" s="361"/>
      <c r="E74" s="361"/>
      <c r="F74" s="361"/>
      <c r="G74" s="361"/>
      <c r="H74" s="361"/>
      <c r="I74" s="361"/>
      <c r="J74" s="361"/>
      <c r="K74" s="361"/>
      <c r="L74" s="361"/>
    </row>
    <row r="75" spans="1:12" ht="18" customHeight="1" x14ac:dyDescent="0.25">
      <c r="A75" s="361"/>
      <c r="B75" s="361"/>
      <c r="C75" s="361"/>
      <c r="D75" s="361"/>
      <c r="E75" s="361"/>
      <c r="F75" s="361"/>
      <c r="G75" s="361"/>
      <c r="H75" s="361"/>
      <c r="I75" s="361"/>
      <c r="J75" s="361"/>
      <c r="K75" s="361"/>
      <c r="L75" s="361"/>
    </row>
    <row r="76" spans="1:12" ht="18" customHeight="1" x14ac:dyDescent="0.25">
      <c r="A76" s="361"/>
      <c r="B76" s="361"/>
      <c r="C76" s="361"/>
      <c r="D76" s="361"/>
      <c r="E76" s="361"/>
      <c r="F76" s="361"/>
      <c r="G76" s="361"/>
      <c r="H76" s="361"/>
      <c r="I76" s="361"/>
      <c r="J76" s="361"/>
      <c r="K76" s="361"/>
      <c r="L76" s="361"/>
    </row>
    <row r="81" customFormat="1" ht="18" hidden="1" customHeight="1" x14ac:dyDescent="0.25"/>
    <row r="82" customFormat="1" ht="18" hidden="1" customHeight="1" x14ac:dyDescent="0.25"/>
    <row r="83" customFormat="1" ht="18" hidden="1" customHeight="1" x14ac:dyDescent="0.25"/>
    <row r="84" customFormat="1" ht="18" hidden="1" customHeight="1" x14ac:dyDescent="0.25"/>
    <row r="85" customFormat="1" ht="18" hidden="1" customHeight="1" x14ac:dyDescent="0.25"/>
    <row r="86" customFormat="1" ht="18" hidden="1" customHeight="1" x14ac:dyDescent="0.25"/>
    <row r="87" customFormat="1" ht="18" hidden="1" customHeight="1" x14ac:dyDescent="0.25"/>
    <row r="88" customFormat="1" ht="18" hidden="1" customHeight="1" x14ac:dyDescent="0.25"/>
  </sheetData>
  <sheetProtection algorithmName="SHA-512" hashValue="bBQ1U4bsFncgCnFT5bHxjiRIiyayTsKbMbBNp/F5Q9HI7LM3i04u0BjZh3w6owITG9L7ocK/flolMgRNPQUJTA==" saltValue="EUvfO4bEsY9mQkoIcas42Q==" spinCount="100000" sheet="1" objects="1" scenarios="1" selectLockedCells="1"/>
  <mergeCells count="8">
    <mergeCell ref="I56:K56"/>
    <mergeCell ref="I63:K63"/>
    <mergeCell ref="I70:K70"/>
    <mergeCell ref="I49:K49"/>
    <mergeCell ref="I17:K17"/>
    <mergeCell ref="I38:K38"/>
    <mergeCell ref="I31:K31"/>
    <mergeCell ref="I24:K24"/>
  </mergeCells>
  <pageMargins left="0.7" right="0.7" top="0.75" bottom="0.5" header="0.3" footer="0.3"/>
  <pageSetup orientation="portrait" horizontalDpi="1200" verticalDpi="1200" r:id="rId1"/>
  <drawing r:id="rId2"/>
  <tableParts count="3">
    <tablePart r:id="rId3"/>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86A91-9C51-4344-89E8-68AA2BBC4A28}">
  <sheetPr codeName="Sheet13">
    <tabColor theme="4"/>
  </sheetPr>
  <dimension ref="A1:O39"/>
  <sheetViews>
    <sheetView workbookViewId="0">
      <selection activeCell="D3" sqref="D3"/>
    </sheetView>
  </sheetViews>
  <sheetFormatPr defaultColWidth="0" defaultRowHeight="0" customHeight="1" zeroHeight="1" x14ac:dyDescent="0.25"/>
  <cols>
    <col min="1" max="1" width="3.28515625" customWidth="1"/>
    <col min="2" max="2" width="35.42578125" style="361" customWidth="1"/>
    <col min="3" max="3" width="12.85546875" style="361" customWidth="1"/>
    <col min="4" max="4" width="35.42578125" style="361" customWidth="1"/>
    <col min="5" max="6" width="3.28515625" style="361" customWidth="1"/>
    <col min="7" max="7" width="35.42578125" style="361" customWidth="1"/>
    <col min="8" max="8" width="12.85546875" style="361" customWidth="1"/>
    <col min="9" max="9" width="35.42578125" style="361" customWidth="1"/>
    <col min="10" max="11" width="3.28515625" customWidth="1"/>
    <col min="12" max="12" width="35.42578125" customWidth="1"/>
    <col min="13" max="13" width="12.85546875" customWidth="1"/>
    <col min="14" max="14" width="35.42578125" customWidth="1"/>
    <col min="15" max="15" width="3.28515625" customWidth="1"/>
    <col min="16" max="16384" width="12.7109375" hidden="1"/>
  </cols>
  <sheetData>
    <row r="1" spans="1:15" ht="54" customHeight="1" x14ac:dyDescent="0.25">
      <c r="A1" s="5"/>
      <c r="B1" s="5"/>
      <c r="C1" s="5"/>
      <c r="D1" s="5"/>
      <c r="E1" s="5"/>
      <c r="F1" s="5"/>
      <c r="G1" s="5"/>
      <c r="H1" s="5"/>
      <c r="I1" s="5"/>
      <c r="J1" s="5"/>
      <c r="K1" s="5"/>
      <c r="L1" s="5"/>
      <c r="M1" s="5"/>
      <c r="N1" s="5"/>
      <c r="O1" s="5"/>
    </row>
    <row r="2" spans="1:15" ht="18" customHeight="1" x14ac:dyDescent="0.25">
      <c r="A2" s="361"/>
      <c r="J2" s="361"/>
      <c r="K2" s="361"/>
      <c r="L2" s="361"/>
      <c r="M2" s="361"/>
      <c r="N2" s="361"/>
      <c r="O2" s="361"/>
    </row>
    <row r="3" spans="1:15" ht="18" customHeight="1" thickBot="1" x14ac:dyDescent="0.35">
      <c r="A3" s="361"/>
      <c r="B3" s="373" t="s">
        <v>1503</v>
      </c>
      <c r="C3" s="373"/>
      <c r="D3" s="419" t="s">
        <v>1220</v>
      </c>
      <c r="G3" s="373" t="s">
        <v>1504</v>
      </c>
      <c r="H3" s="373"/>
      <c r="I3" s="419" t="s">
        <v>1220</v>
      </c>
      <c r="J3" s="361"/>
      <c r="K3" s="361"/>
      <c r="L3" s="373" t="s">
        <v>37</v>
      </c>
      <c r="M3" s="373"/>
      <c r="N3" s="373"/>
      <c r="O3" s="361"/>
    </row>
    <row r="4" spans="1:15" ht="18" customHeight="1" thickTop="1" x14ac:dyDescent="0.25">
      <c r="A4" s="361"/>
      <c r="J4" s="361"/>
      <c r="K4" s="361"/>
      <c r="L4" s="361"/>
      <c r="M4" s="361"/>
      <c r="N4" s="361"/>
      <c r="O4" s="361"/>
    </row>
    <row r="5" spans="1:15" ht="18" customHeight="1" x14ac:dyDescent="0.25">
      <c r="A5" s="361"/>
      <c r="B5" t="s">
        <v>7</v>
      </c>
      <c r="C5" s="304" t="s">
        <v>2</v>
      </c>
      <c r="D5" s="304" t="s">
        <v>5</v>
      </c>
      <c r="G5" t="s">
        <v>7</v>
      </c>
      <c r="H5" s="304" t="s">
        <v>2</v>
      </c>
      <c r="I5" s="304" t="s">
        <v>5</v>
      </c>
      <c r="J5" s="361"/>
      <c r="K5" s="361"/>
      <c r="L5" s="416" t="s">
        <v>1553</v>
      </c>
      <c r="M5" s="417" t="s">
        <v>618</v>
      </c>
      <c r="N5" s="361"/>
      <c r="O5" s="361"/>
    </row>
    <row r="6" spans="1:15" ht="18" customHeight="1" x14ac:dyDescent="0.25">
      <c r="A6" s="361"/>
      <c r="B6" t="s">
        <v>1183</v>
      </c>
      <c r="C6" s="304" t="s">
        <v>42</v>
      </c>
      <c r="D6" s="304" t="str">
        <f>_xlfn.XLOOKUP(D$3,'Saved Scenarios'!$C$2:$N$2,'Saved Scenarios'!$C$64:$N$64,"N/A",0)</f>
        <v>Cuboid</v>
      </c>
      <c r="G6" t="s">
        <v>1183</v>
      </c>
      <c r="H6" s="304" t="s">
        <v>42</v>
      </c>
      <c r="I6" s="304" t="str">
        <f>_xlfn.XLOOKUP(I$3,'Saved Scenarios'!$C$2:$N$2,'Saved Scenarios'!$C$64:$N$64,"N/A",0)</f>
        <v>Cuboid</v>
      </c>
      <c r="J6" s="361"/>
      <c r="K6" s="361"/>
      <c r="L6" s="361"/>
      <c r="M6" s="378"/>
      <c r="N6" s="361"/>
      <c r="O6" s="361"/>
    </row>
    <row r="7" spans="1:15" ht="18" customHeight="1" x14ac:dyDescent="0.25">
      <c r="A7" s="361"/>
      <c r="B7" t="s">
        <v>269</v>
      </c>
      <c r="C7" s="304" t="s">
        <v>580</v>
      </c>
      <c r="D7" s="293">
        <f>_xlfn.XLOOKUP(D$3,'Saved Scenarios'!$C$2:$N$2,'Saved Scenarios'!$C$150:$N$150,"N/A",0)</f>
        <v>1733.4375</v>
      </c>
      <c r="G7" t="s">
        <v>269</v>
      </c>
      <c r="H7" s="304" t="s">
        <v>580</v>
      </c>
      <c r="I7" s="293">
        <f>_xlfn.XLOOKUP(I$3,'Saved Scenarios'!$C$2:$N$2,'Saved Scenarios'!$C$150:$N$150,"N/A",0)</f>
        <v>1733.4375</v>
      </c>
      <c r="J7" s="361"/>
      <c r="K7" s="361"/>
      <c r="L7" s="361"/>
      <c r="M7" s="378"/>
      <c r="N7" s="361"/>
      <c r="O7" s="361"/>
    </row>
    <row r="8" spans="1:15" ht="18" customHeight="1" x14ac:dyDescent="0.25">
      <c r="A8" s="361"/>
      <c r="B8" t="s">
        <v>1184</v>
      </c>
      <c r="C8" s="304" t="s">
        <v>580</v>
      </c>
      <c r="D8" s="293">
        <f>_xlfn.XLOOKUP(D$3,'Saved Scenarios'!$C$2:$N$2,'Saved Scenarios'!$C$68:$N$68,"N/A",0)/1000</f>
        <v>1</v>
      </c>
      <c r="G8" t="s">
        <v>1184</v>
      </c>
      <c r="H8" s="304" t="s">
        <v>580</v>
      </c>
      <c r="I8" s="293">
        <f>_xlfn.XLOOKUP(I$3,'Saved Scenarios'!$C$2:$N$2,'Saved Scenarios'!$C$68:$N$68,"N/A",0)/1000</f>
        <v>1</v>
      </c>
      <c r="J8" s="361"/>
      <c r="K8" s="361"/>
      <c r="L8" s="361"/>
      <c r="M8" s="378"/>
      <c r="N8" s="361"/>
      <c r="O8" s="361"/>
    </row>
    <row r="9" spans="1:15" ht="18" customHeight="1" x14ac:dyDescent="0.25">
      <c r="A9" s="361"/>
      <c r="B9" t="s">
        <v>1185</v>
      </c>
      <c r="C9" s="304" t="s">
        <v>42</v>
      </c>
      <c r="D9" s="304" t="str">
        <f>_xlfn.XLOOKUP(D$3,'Saved Scenarios'!$C$2:$N$2,'Saved Scenarios'!$C$74:$N$74,"N/A",0)</f>
        <v>ABS</v>
      </c>
      <c r="G9" t="s">
        <v>1185</v>
      </c>
      <c r="H9" s="304" t="s">
        <v>42</v>
      </c>
      <c r="I9" s="304" t="str">
        <f>_xlfn.XLOOKUP(I$3,'Saved Scenarios'!$C$2:$N$2,'Saved Scenarios'!$C$74:$N$74,"N/A",0)</f>
        <v>ABS</v>
      </c>
      <c r="J9" s="361"/>
      <c r="K9" s="361"/>
      <c r="L9" s="361"/>
      <c r="M9" s="378"/>
      <c r="N9" s="361"/>
      <c r="O9" s="361"/>
    </row>
    <row r="10" spans="1:15" ht="18" customHeight="1" x14ac:dyDescent="0.25">
      <c r="A10" s="361"/>
      <c r="B10" t="s">
        <v>1187</v>
      </c>
      <c r="C10" s="304" t="s">
        <v>42</v>
      </c>
      <c r="D10" s="304" t="str">
        <f>_xlfn.XLOOKUP(D$3,'Saved Scenarios'!$C$2:$N$2,'Saved Scenarios'!$C$80:$N$80,"N/A",0)</f>
        <v>Material Extrusion</v>
      </c>
      <c r="G10" t="s">
        <v>1187</v>
      </c>
      <c r="H10" s="304" t="s">
        <v>42</v>
      </c>
      <c r="I10" s="304" t="str">
        <f>_xlfn.XLOOKUP(I$3,'Saved Scenarios'!$C$2:$N$2,'Saved Scenarios'!$C$80:$N$80,"N/A",0)</f>
        <v>Material Extrusion</v>
      </c>
      <c r="J10" s="361"/>
      <c r="K10" s="361"/>
      <c r="L10" s="361"/>
      <c r="M10" s="378"/>
      <c r="N10" s="361"/>
      <c r="O10" s="361"/>
    </row>
    <row r="11" spans="1:15" ht="18" customHeight="1" x14ac:dyDescent="0.25">
      <c r="A11" s="361"/>
      <c r="B11" t="s">
        <v>1163</v>
      </c>
      <c r="C11" s="304" t="s">
        <v>629</v>
      </c>
      <c r="D11" s="305">
        <f>_xlfn.XLOOKUP(D$3,'Saved Scenarios'!$C$2:$N$2,'Saved Scenarios'!$C$184:$N$184,"N/A",0)</f>
        <v>126599.1039558045</v>
      </c>
      <c r="G11" t="s">
        <v>1163</v>
      </c>
      <c r="H11" s="304" t="s">
        <v>629</v>
      </c>
      <c r="I11" s="305">
        <f>_xlfn.XLOOKUP(I$3,'Saved Scenarios'!$C$2:$N$2,'Saved Scenarios'!$C$184:$N$184,"N/A",0)</f>
        <v>126599.1039558045</v>
      </c>
      <c r="J11" s="361"/>
      <c r="K11" s="361"/>
      <c r="L11" s="361"/>
      <c r="M11" s="378"/>
      <c r="N11" s="361"/>
      <c r="O11" s="361"/>
    </row>
    <row r="12" spans="1:15" ht="18" customHeight="1" x14ac:dyDescent="0.25">
      <c r="A12" s="361"/>
      <c r="B12" t="s">
        <v>1189</v>
      </c>
      <c r="C12" s="304" t="s">
        <v>42</v>
      </c>
      <c r="D12" s="304" t="str" cm="1">
        <f t="array" ref="D12">_xlfn.SWITCH(_xlfn.XLOOKUP(D$3,'Saved Scenarios'!$C$2:$N$2,'Saved Scenarios'!$C$154:$N$154,"N/A",0),0,"N/A",TRUE,"Yes",FALSE,"No")</f>
        <v>Yes</v>
      </c>
      <c r="G12" t="s">
        <v>1189</v>
      </c>
      <c r="H12" s="304" t="s">
        <v>42</v>
      </c>
      <c r="I12" s="304" t="str" cm="1">
        <f t="array" ref="I12">_xlfn.SWITCH(_xlfn.XLOOKUP(I$3,'Saved Scenarios'!$C$2:$N$2,'Saved Scenarios'!$C$154:$N$154,"N/A",0),0,"N/A",TRUE,"Yes",FALSE,"No")</f>
        <v>Yes</v>
      </c>
      <c r="J12" s="361"/>
      <c r="K12" s="361"/>
      <c r="L12" s="361"/>
      <c r="M12" s="378"/>
      <c r="N12" s="361"/>
      <c r="O12" s="361"/>
    </row>
    <row r="13" spans="1:15" ht="18" customHeight="1" x14ac:dyDescent="0.25">
      <c r="A13" s="361"/>
      <c r="B13" t="s">
        <v>1188</v>
      </c>
      <c r="C13" s="304" t="s">
        <v>42</v>
      </c>
      <c r="D13" s="304" t="str" cm="1">
        <f t="array" ref="D13">_xlfn.SWITCH(_xlfn.XLOOKUP(D$3,'Saved Scenarios'!$C$2:$N$2,'Saved Scenarios'!$C$159:$N$159,"N/A",0),0,"N/A",TRUE,"Yes",FALSE,"No")</f>
        <v>Yes</v>
      </c>
      <c r="G13" t="s">
        <v>1188</v>
      </c>
      <c r="H13" s="304" t="s">
        <v>42</v>
      </c>
      <c r="I13" s="304" t="str" cm="1">
        <f t="array" ref="I13">_xlfn.SWITCH(_xlfn.XLOOKUP(I$3,'Saved Scenarios'!$C$2:$N$2,'Saved Scenarios'!$C$159:$N$159,"N/A",0),0,"N/A",TRUE,"Yes",FALSE,"No")</f>
        <v>Yes</v>
      </c>
      <c r="J13" s="361"/>
      <c r="K13" s="361"/>
      <c r="L13" s="361"/>
      <c r="M13" s="361"/>
      <c r="N13" s="361"/>
      <c r="O13" s="361"/>
    </row>
    <row r="14" spans="1:15" ht="18" customHeight="1" x14ac:dyDescent="0.25">
      <c r="A14" s="361"/>
      <c r="B14" t="s">
        <v>412</v>
      </c>
      <c r="C14" s="304" t="s">
        <v>42</v>
      </c>
      <c r="D14" s="304" t="str">
        <f>IFERROR(CHOOSE(_xlfn.XLOOKUP(D$3,'Saved Scenarios'!$C$2:$N$2,'Saved Scenarios'!$C$162:$N$162,"N/A",0),"Printing","Post Processing","Machining"),"N/A")</f>
        <v>Printing</v>
      </c>
      <c r="G14" t="s">
        <v>412</v>
      </c>
      <c r="H14" s="304" t="s">
        <v>42</v>
      </c>
      <c r="I14" s="304" t="str">
        <f>IFERROR(CHOOSE(_xlfn.XLOOKUP(I$3,'Saved Scenarios'!$C$2:$N$2,'Saved Scenarios'!$C$162:$N$162,"N/A",0),"Printing","Post Processing","Machining"),"N/A")</f>
        <v>Printing</v>
      </c>
      <c r="J14" s="361"/>
      <c r="K14" s="361"/>
      <c r="L14" s="416" t="s">
        <v>1554</v>
      </c>
      <c r="M14" s="417" t="s">
        <v>1063</v>
      </c>
      <c r="N14" s="361"/>
      <c r="O14" s="361"/>
    </row>
    <row r="15" spans="1:15" ht="18" customHeight="1" x14ac:dyDescent="0.25">
      <c r="A15" s="361"/>
      <c r="B15" t="s">
        <v>1190</v>
      </c>
      <c r="C15" s="304" t="s">
        <v>618</v>
      </c>
      <c r="D15" s="305">
        <f>_xlfn.XLOOKUP(D$3,'Saved Scenarios'!$C$2:$N$2,'Saved Scenarios'!$C$175:$N$175,"N/A",0)</f>
        <v>1214.6517736807064</v>
      </c>
      <c r="G15" t="s">
        <v>1190</v>
      </c>
      <c r="H15" s="304" t="s">
        <v>618</v>
      </c>
      <c r="I15" s="305">
        <f>_xlfn.XLOOKUP(I$3,'Saved Scenarios'!$C$2:$N$2,'Saved Scenarios'!$C$175:$N$175,"N/A",0)</f>
        <v>1214.6517736807064</v>
      </c>
      <c r="J15" s="361"/>
      <c r="K15" s="361"/>
      <c r="L15" s="361"/>
      <c r="M15" s="378"/>
      <c r="N15" s="361"/>
      <c r="O15" s="361"/>
    </row>
    <row r="16" spans="1:15" ht="18" customHeight="1" x14ac:dyDescent="0.25">
      <c r="A16" s="361"/>
      <c r="J16" s="361"/>
      <c r="K16" s="361"/>
      <c r="L16" s="361"/>
      <c r="M16" s="378"/>
      <c r="N16" s="361"/>
      <c r="O16" s="361"/>
    </row>
    <row r="17" spans="1:15" ht="18" customHeight="1" x14ac:dyDescent="0.25">
      <c r="A17" s="361"/>
      <c r="B17" s="416" t="s">
        <v>1180</v>
      </c>
      <c r="G17" s="416" t="s">
        <v>1180</v>
      </c>
      <c r="J17" s="361"/>
      <c r="K17" s="361"/>
      <c r="L17" s="361"/>
      <c r="M17" s="378"/>
      <c r="N17" s="361"/>
      <c r="O17" s="361"/>
    </row>
    <row r="18" spans="1:15" ht="18" customHeight="1" x14ac:dyDescent="0.25">
      <c r="A18" s="361"/>
      <c r="J18" s="361"/>
      <c r="K18" s="361"/>
      <c r="L18" s="361"/>
      <c r="M18" s="378"/>
      <c r="N18" s="361"/>
      <c r="O18" s="361"/>
    </row>
    <row r="19" spans="1:15" ht="18" customHeight="1" x14ac:dyDescent="0.25">
      <c r="A19" s="361"/>
      <c r="J19" s="361"/>
      <c r="K19" s="361"/>
      <c r="L19" s="361"/>
      <c r="M19" s="361"/>
      <c r="N19" s="361"/>
      <c r="O19" s="361"/>
    </row>
    <row r="20" spans="1:15" ht="18" customHeight="1" x14ac:dyDescent="0.25">
      <c r="A20" s="361"/>
      <c r="J20" s="361"/>
      <c r="K20" s="361"/>
      <c r="L20" s="416"/>
      <c r="M20" s="361"/>
      <c r="N20" s="416"/>
      <c r="O20" s="361"/>
    </row>
    <row r="21" spans="1:15" ht="18" customHeight="1" x14ac:dyDescent="0.25">
      <c r="A21" s="361"/>
      <c r="J21" s="361"/>
      <c r="K21" s="361"/>
      <c r="L21" s="361"/>
      <c r="M21" s="361"/>
      <c r="N21" s="361"/>
      <c r="O21" s="361"/>
    </row>
    <row r="22" spans="1:15" ht="18" customHeight="1" x14ac:dyDescent="0.25">
      <c r="A22" s="361"/>
      <c r="J22" s="361"/>
      <c r="K22" s="361"/>
      <c r="L22" s="361"/>
      <c r="M22" s="361"/>
      <c r="N22" s="361"/>
      <c r="O22" s="361"/>
    </row>
    <row r="23" spans="1:15" ht="18" customHeight="1" x14ac:dyDescent="0.25">
      <c r="A23" s="361"/>
      <c r="B23" s="416" t="s">
        <v>1162</v>
      </c>
      <c r="C23" s="417" t="s">
        <v>1063</v>
      </c>
      <c r="D23" s="420">
        <f>IF(D15&lt;&gt;0,'Saved Scenarios'!Q12/D15,0)</f>
        <v>1175.5761124093015</v>
      </c>
      <c r="G23" s="416" t="s">
        <v>1162</v>
      </c>
      <c r="H23" s="417" t="s">
        <v>1063</v>
      </c>
      <c r="I23" s="420">
        <f>IF(I15&lt;&gt;0,'Saved Scenarios'!U12/I15,0)</f>
        <v>1175.5761124093015</v>
      </c>
      <c r="J23" s="361"/>
      <c r="K23" s="361"/>
      <c r="L23" s="416" t="s">
        <v>1555</v>
      </c>
      <c r="M23" s="417" t="s">
        <v>372</v>
      </c>
      <c r="N23" s="361"/>
      <c r="O23" s="361"/>
    </row>
    <row r="24" spans="1:15" ht="18" customHeight="1" x14ac:dyDescent="0.25">
      <c r="A24" s="361"/>
      <c r="J24" s="361"/>
      <c r="K24" s="361"/>
      <c r="L24" s="361"/>
      <c r="M24" s="361"/>
      <c r="N24" s="361"/>
      <c r="O24" s="361"/>
    </row>
    <row r="25" spans="1:15" ht="18" customHeight="1" x14ac:dyDescent="0.25">
      <c r="A25" s="361"/>
      <c r="J25" s="361"/>
      <c r="K25" s="361"/>
      <c r="L25" s="361"/>
      <c r="M25" s="361"/>
      <c r="N25" s="361"/>
      <c r="O25" s="361"/>
    </row>
    <row r="26" spans="1:15" ht="18" customHeight="1" x14ac:dyDescent="0.25">
      <c r="A26" s="361"/>
      <c r="J26" s="361"/>
      <c r="K26" s="361"/>
      <c r="L26" s="361"/>
      <c r="M26" s="361"/>
      <c r="N26" s="361"/>
      <c r="O26" s="361"/>
    </row>
    <row r="27" spans="1:15" ht="18" customHeight="1" x14ac:dyDescent="0.25">
      <c r="A27" s="361"/>
      <c r="F27" s="420"/>
      <c r="J27" s="361"/>
      <c r="K27" s="420"/>
      <c r="L27" s="416"/>
      <c r="M27" s="417"/>
      <c r="N27" s="416"/>
      <c r="O27" s="420"/>
    </row>
    <row r="28" spans="1:15" ht="18" customHeight="1" x14ac:dyDescent="0.25">
      <c r="A28" s="361"/>
      <c r="E28" s="420"/>
      <c r="J28" s="420"/>
      <c r="K28" s="361"/>
      <c r="L28" s="361"/>
      <c r="M28" s="361"/>
      <c r="N28" s="361"/>
      <c r="O28" s="361"/>
    </row>
    <row r="29" spans="1:15" ht="18" customHeight="1" x14ac:dyDescent="0.25">
      <c r="A29" s="361"/>
      <c r="J29" s="361"/>
      <c r="K29" s="361"/>
      <c r="L29" s="361"/>
      <c r="M29" s="361"/>
      <c r="N29" s="361"/>
      <c r="O29" s="361"/>
    </row>
    <row r="30" spans="1:15" ht="18" customHeight="1" x14ac:dyDescent="0.25">
      <c r="A30" s="361"/>
      <c r="B30" s="416" t="s">
        <v>1167</v>
      </c>
      <c r="C30" s="417" t="s">
        <v>372</v>
      </c>
      <c r="D30" s="421">
        <f>'Saved Scenarios'!Q17</f>
        <v>99.693868206997152</v>
      </c>
      <c r="G30" s="416" t="s">
        <v>1167</v>
      </c>
      <c r="H30" s="417" t="s">
        <v>372</v>
      </c>
      <c r="I30" s="421">
        <f>'Saved Scenarios'!U17</f>
        <v>99.693868206997152</v>
      </c>
      <c r="J30" s="361"/>
      <c r="K30" s="361"/>
      <c r="L30" s="361"/>
      <c r="M30" s="361"/>
      <c r="N30" s="361"/>
      <c r="O30" s="361"/>
    </row>
    <row r="31" spans="1:15" ht="18" customHeight="1" x14ac:dyDescent="0.25">
      <c r="A31" s="361"/>
      <c r="J31" s="361"/>
      <c r="K31" s="361"/>
      <c r="L31" s="361"/>
      <c r="M31" s="361"/>
      <c r="N31" s="361"/>
      <c r="O31" s="361"/>
    </row>
    <row r="32" spans="1:15" ht="18" customHeight="1" x14ac:dyDescent="0.25">
      <c r="A32" s="361"/>
      <c r="J32" s="361"/>
      <c r="K32" s="361"/>
      <c r="L32" s="361"/>
      <c r="M32" s="361"/>
      <c r="N32" s="361"/>
      <c r="O32" s="361"/>
    </row>
    <row r="33" spans="1:15" ht="18" customHeight="1" x14ac:dyDescent="0.25">
      <c r="A33" s="361"/>
      <c r="J33" s="361"/>
      <c r="K33" s="361"/>
      <c r="L33" s="361"/>
      <c r="M33" s="361"/>
      <c r="N33" s="361"/>
      <c r="O33" s="361"/>
    </row>
    <row r="34" spans="1:15" ht="18" customHeight="1" x14ac:dyDescent="0.25">
      <c r="A34" s="361"/>
      <c r="J34" s="361"/>
      <c r="K34" s="361"/>
      <c r="L34" s="361"/>
      <c r="M34" s="361"/>
      <c r="N34" s="361"/>
      <c r="O34" s="361"/>
    </row>
    <row r="35" spans="1:15" ht="18" customHeight="1" x14ac:dyDescent="0.25">
      <c r="A35" s="361"/>
      <c r="F35" s="421"/>
      <c r="J35" s="361"/>
      <c r="K35" s="421"/>
      <c r="L35" s="361"/>
      <c r="M35" s="361"/>
      <c r="N35" s="361"/>
      <c r="O35" s="421"/>
    </row>
    <row r="36" spans="1:15" ht="18" customHeight="1" x14ac:dyDescent="0.25">
      <c r="A36" s="361"/>
      <c r="E36" s="421"/>
      <c r="J36" s="421"/>
      <c r="K36" s="361"/>
      <c r="L36" s="361"/>
      <c r="M36" s="361"/>
      <c r="N36" s="361"/>
      <c r="O36" s="361"/>
    </row>
    <row r="37" spans="1:15" ht="18" customHeight="1" x14ac:dyDescent="0.25">
      <c r="A37" s="361"/>
      <c r="J37" s="361"/>
      <c r="K37" s="361"/>
      <c r="L37" s="361"/>
      <c r="M37" s="361"/>
      <c r="N37" s="361"/>
      <c r="O37" s="361"/>
    </row>
    <row r="38" spans="1:15" ht="18" hidden="1" customHeight="1" x14ac:dyDescent="0.25">
      <c r="J38" s="1"/>
      <c r="K38" s="1"/>
      <c r="L38" s="1"/>
    </row>
    <row r="39" spans="1:15" ht="18" hidden="1" customHeight="1" x14ac:dyDescent="0.25">
      <c r="J39" s="1"/>
      <c r="K39" s="1"/>
      <c r="L39" s="1"/>
    </row>
  </sheetData>
  <sheetProtection algorithmName="SHA-512" hashValue="MKAsa3DlKTPw+5Roon4GpKuZMrCkE6HiBajOXMgdjG+ZdpQXDmSC62r47OMZqGgzfx/OWlyh0/a0jxljC0jwQA==" saltValue="QBZxQixLZj9NRXP92gCQ+A==" spinCount="100000" sheet="1" objects="1" scenarios="1" selectLockedCells="1"/>
  <pageMargins left="0.7" right="0.7" top="0.75" bottom="0.5" header="0.3" footer="0.3"/>
  <pageSetup orientation="portrait" horizontalDpi="1200" verticalDpi="1200" r:id="rId1"/>
  <ignoredErrors>
    <ignoredError sqref="D6:D10 D15 D11:D14" calculatedColumn="1"/>
  </ignoredErrors>
  <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CEDC56-6CD4-4277-86B2-3379C7254CEF}">
          <x14:formula1>
            <xm:f>'Saved Scenarios'!$C$2:$N$2</xm:f>
          </x14:formula1>
          <xm:sqref>D3 I3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AE72-07C7-43E8-A28C-64D2F4E7C844}">
  <sheetPr codeName="Sheet18">
    <tabColor theme="8" tint="-0.499984740745262"/>
  </sheetPr>
  <dimension ref="A1:K193"/>
  <sheetViews>
    <sheetView workbookViewId="0"/>
  </sheetViews>
  <sheetFormatPr defaultColWidth="12.7109375" defaultRowHeight="15" customHeight="1" x14ac:dyDescent="0.25"/>
  <cols>
    <col min="1" max="1" width="5.7109375" customWidth="1"/>
    <col min="2" max="2" width="36.7109375" style="19" customWidth="1"/>
    <col min="3" max="3" width="64.7109375" style="18" customWidth="1"/>
    <col min="4" max="4" width="12.7109375" style="18" customWidth="1"/>
    <col min="5" max="5" width="24.7109375" style="23" customWidth="1"/>
    <col min="6" max="6" width="24.7109375" style="13" customWidth="1"/>
    <col min="7" max="7" width="24.7109375" style="28" customWidth="1"/>
    <col min="8" max="8" width="42.7109375" style="23" customWidth="1"/>
  </cols>
  <sheetData>
    <row r="1" spans="2:11" ht="15" customHeight="1" thickBot="1" x14ac:dyDescent="0.3"/>
    <row r="2" spans="2:11" ht="15" customHeight="1" thickBot="1" x14ac:dyDescent="0.3">
      <c r="B2" s="51" t="s">
        <v>44</v>
      </c>
      <c r="C2" s="52"/>
      <c r="D2" s="52"/>
      <c r="E2" s="52"/>
      <c r="F2" s="52"/>
      <c r="G2" s="53"/>
    </row>
    <row r="3" spans="2:11" ht="15" customHeight="1" thickBot="1" x14ac:dyDescent="0.3">
      <c r="B3" s="63" t="s">
        <v>1560</v>
      </c>
      <c r="C3" s="64"/>
      <c r="D3" s="64"/>
      <c r="E3" s="64"/>
      <c r="F3" s="64"/>
      <c r="G3" s="65"/>
    </row>
    <row r="4" spans="2:11" ht="15" customHeight="1" thickBot="1" x14ac:dyDescent="0.3">
      <c r="B4" s="14" t="s">
        <v>45</v>
      </c>
      <c r="C4" s="15" t="s">
        <v>579</v>
      </c>
      <c r="D4" s="15" t="s">
        <v>578</v>
      </c>
      <c r="E4" s="16" t="s">
        <v>47</v>
      </c>
      <c r="F4" s="16" t="s">
        <v>48</v>
      </c>
      <c r="G4" s="48" t="s">
        <v>5</v>
      </c>
      <c r="H4" s="39" t="s">
        <v>49</v>
      </c>
      <c r="J4" t="s">
        <v>475</v>
      </c>
    </row>
    <row r="5" spans="2:11" ht="15" customHeight="1" thickBot="1" x14ac:dyDescent="0.3">
      <c r="B5" s="339" t="s">
        <v>1561</v>
      </c>
      <c r="C5" s="340"/>
      <c r="D5" s="341" t="s">
        <v>1138</v>
      </c>
      <c r="E5" s="340" t="s">
        <v>1562</v>
      </c>
      <c r="F5" s="340" t="b">
        <f>G5</f>
        <v>1</v>
      </c>
      <c r="G5" s="430" t="b">
        <v>1</v>
      </c>
      <c r="H5"/>
      <c r="J5" t="s">
        <v>498</v>
      </c>
      <c r="K5" t="s">
        <v>344</v>
      </c>
    </row>
    <row r="6" spans="2:11" ht="15" customHeight="1" thickBot="1" x14ac:dyDescent="0.3">
      <c r="B6" s="63" t="s">
        <v>1141</v>
      </c>
      <c r="C6" s="64"/>
      <c r="D6" s="64"/>
      <c r="E6" s="64"/>
      <c r="F6" s="64"/>
      <c r="G6" s="65"/>
      <c r="J6" t="s">
        <v>499</v>
      </c>
      <c r="K6" t="s">
        <v>500</v>
      </c>
    </row>
    <row r="7" spans="2:11" ht="15" customHeight="1" thickBot="1" x14ac:dyDescent="0.3">
      <c r="B7" s="14" t="s">
        <v>45</v>
      </c>
      <c r="C7" s="15" t="s">
        <v>579</v>
      </c>
      <c r="D7" s="15" t="s">
        <v>578</v>
      </c>
      <c r="E7" s="16" t="s">
        <v>47</v>
      </c>
      <c r="F7" s="16" t="s">
        <v>48</v>
      </c>
      <c r="G7" s="48" t="s">
        <v>5</v>
      </c>
      <c r="H7" s="39" t="s">
        <v>49</v>
      </c>
      <c r="J7" t="s">
        <v>504</v>
      </c>
      <c r="K7" t="s">
        <v>505</v>
      </c>
    </row>
    <row r="8" spans="2:11" ht="15" customHeight="1" x14ac:dyDescent="0.25">
      <c r="B8" s="57" t="s">
        <v>69</v>
      </c>
      <c r="D8" s="58" t="s">
        <v>42</v>
      </c>
      <c r="E8" s="59" t="s">
        <v>478</v>
      </c>
      <c r="F8" s="60" t="str">
        <f t="shared" ref="F8:F14" si="0">G8</f>
        <v>Cuboid</v>
      </c>
      <c r="G8" s="61" t="str">
        <f>'2. Geometry'!D28</f>
        <v>Cuboid</v>
      </c>
      <c r="H8" s="66" t="s">
        <v>6</v>
      </c>
      <c r="J8" t="s">
        <v>501</v>
      </c>
      <c r="K8" t="s">
        <v>502</v>
      </c>
    </row>
    <row r="9" spans="2:11" ht="15" customHeight="1" x14ac:dyDescent="0.25">
      <c r="B9" s="88" t="str">
        <f>IF(F8="Cuboid","Length (L)","Outer Diameter (OD)")</f>
        <v>Length (L)</v>
      </c>
      <c r="D9" s="49" t="s">
        <v>1</v>
      </c>
      <c r="E9" s="180" t="s">
        <v>479</v>
      </c>
      <c r="F9" s="50">
        <f t="shared" si="0"/>
        <v>150</v>
      </c>
      <c r="G9" s="62">
        <f>'2. Geometry'!D8</f>
        <v>150</v>
      </c>
      <c r="H9" s="31" t="s">
        <v>6</v>
      </c>
      <c r="J9" t="s">
        <v>509</v>
      </c>
      <c r="K9" t="s">
        <v>347</v>
      </c>
    </row>
    <row r="10" spans="2:11" ht="15" customHeight="1" x14ac:dyDescent="0.25">
      <c r="B10" s="88" t="str">
        <f>IF(F8="Cuboid","Width (W)","Inner Diameter (ID)")</f>
        <v>Width (W)</v>
      </c>
      <c r="D10" s="49" t="s">
        <v>1</v>
      </c>
      <c r="E10" s="180" t="s">
        <v>480</v>
      </c>
      <c r="F10" s="50">
        <f t="shared" si="0"/>
        <v>100</v>
      </c>
      <c r="G10" s="62">
        <f>'2. Geometry'!D9</f>
        <v>100</v>
      </c>
      <c r="H10" s="31" t="s">
        <v>6</v>
      </c>
      <c r="J10" t="s">
        <v>510</v>
      </c>
      <c r="K10" t="s">
        <v>511</v>
      </c>
    </row>
    <row r="11" spans="2:11" ht="15" customHeight="1" x14ac:dyDescent="0.25">
      <c r="B11" s="88" t="s">
        <v>3</v>
      </c>
      <c r="D11" s="49" t="s">
        <v>1</v>
      </c>
      <c r="E11" s="180" t="s">
        <v>476</v>
      </c>
      <c r="F11" s="50">
        <f t="shared" si="0"/>
        <v>130</v>
      </c>
      <c r="G11" s="62">
        <f>'2. Geometry'!D10</f>
        <v>130</v>
      </c>
      <c r="H11" s="31" t="s">
        <v>6</v>
      </c>
      <c r="J11" t="s">
        <v>251</v>
      </c>
      <c r="K11" t="s">
        <v>516</v>
      </c>
    </row>
    <row r="12" spans="2:11" ht="15" customHeight="1" x14ac:dyDescent="0.25">
      <c r="B12" s="88" t="s">
        <v>4</v>
      </c>
      <c r="D12" s="49" t="s">
        <v>580</v>
      </c>
      <c r="E12" s="180" t="s">
        <v>477</v>
      </c>
      <c r="F12" s="50">
        <f t="shared" si="0"/>
        <v>85</v>
      </c>
      <c r="G12" s="62">
        <f>'2. Geometry'!D11</f>
        <v>85</v>
      </c>
      <c r="H12" s="31" t="s">
        <v>6</v>
      </c>
      <c r="J12" t="s">
        <v>517</v>
      </c>
      <c r="K12" t="s">
        <v>518</v>
      </c>
    </row>
    <row r="13" spans="2:11" ht="15" customHeight="1" x14ac:dyDescent="0.25">
      <c r="B13" s="17" t="s">
        <v>50</v>
      </c>
      <c r="C13" s="49" t="str">
        <f>IF(F8="Cuboid","L*W*H", "pi*H*(OD^2 - ID^2)/4")</f>
        <v>L*W*H</v>
      </c>
      <c r="D13" s="49" t="s">
        <v>580</v>
      </c>
      <c r="E13" s="180" t="s">
        <v>481</v>
      </c>
      <c r="F13" s="50">
        <f t="shared" si="0"/>
        <v>1950</v>
      </c>
      <c r="G13" s="78">
        <f>IF(F8="Cuboid",F9*F10*F11,PI()/4*(F9^2-F10^2)*F11)/1000</f>
        <v>1950</v>
      </c>
      <c r="H13" s="31" t="s">
        <v>71</v>
      </c>
      <c r="J13" t="s">
        <v>523</v>
      </c>
      <c r="K13" t="s">
        <v>524</v>
      </c>
    </row>
    <row r="14" spans="2:11" ht="15" customHeight="1" thickBot="1" x14ac:dyDescent="0.3">
      <c r="B14" s="17" t="s">
        <v>70</v>
      </c>
      <c r="C14" s="49" t="s">
        <v>581</v>
      </c>
      <c r="D14" s="49" t="s">
        <v>8</v>
      </c>
      <c r="E14" s="180" t="s">
        <v>482</v>
      </c>
      <c r="F14" s="50">
        <f t="shared" si="0"/>
        <v>4.3589743589743588E-2</v>
      </c>
      <c r="G14" s="78">
        <f>F12/F13</f>
        <v>4.3589743589743588E-2</v>
      </c>
      <c r="H14" s="37" t="s">
        <v>71</v>
      </c>
      <c r="J14" t="s">
        <v>529</v>
      </c>
      <c r="K14" t="s">
        <v>530</v>
      </c>
    </row>
    <row r="15" spans="2:11" ht="15" customHeight="1" thickBot="1" x14ac:dyDescent="0.3">
      <c r="B15" s="63" t="s">
        <v>1142</v>
      </c>
      <c r="C15" s="64"/>
      <c r="D15" s="64"/>
      <c r="E15" s="64"/>
      <c r="F15" s="64"/>
      <c r="G15" s="65"/>
      <c r="J15" t="s">
        <v>563</v>
      </c>
      <c r="K15" t="s">
        <v>564</v>
      </c>
    </row>
    <row r="16" spans="2:11" ht="15" customHeight="1" thickBot="1" x14ac:dyDescent="0.3">
      <c r="B16" s="14" t="s">
        <v>45</v>
      </c>
      <c r="C16" s="15" t="s">
        <v>579</v>
      </c>
      <c r="D16" s="15" t="s">
        <v>578</v>
      </c>
      <c r="E16" s="16" t="s">
        <v>47</v>
      </c>
      <c r="F16" s="16" t="s">
        <v>48</v>
      </c>
      <c r="G16" s="48" t="s">
        <v>5</v>
      </c>
      <c r="H16" s="39" t="s">
        <v>49</v>
      </c>
      <c r="J16" t="s">
        <v>738</v>
      </c>
      <c r="K16" t="s">
        <v>304</v>
      </c>
    </row>
    <row r="17" spans="2:11" ht="15" customHeight="1" x14ac:dyDescent="0.25">
      <c r="B17" s="88" t="s">
        <v>22</v>
      </c>
      <c r="C17" s="18" t="s">
        <v>237</v>
      </c>
      <c r="D17" s="33" t="s">
        <v>42</v>
      </c>
      <c r="E17" s="23" t="s">
        <v>483</v>
      </c>
      <c r="F17" s="77" t="str">
        <f>G17</f>
        <v>Metal</v>
      </c>
      <c r="G17" s="61" t="str">
        <f>'3. Material'!C12</f>
        <v>Metal</v>
      </c>
    </row>
    <row r="18" spans="2:11" ht="15" customHeight="1" x14ac:dyDescent="0.25">
      <c r="B18" s="88" t="s">
        <v>236</v>
      </c>
      <c r="D18" s="33" t="s">
        <v>42</v>
      </c>
      <c r="E18" s="23" t="s">
        <v>484</v>
      </c>
      <c r="F18" s="49" t="str">
        <f t="shared" ref="F18:F27" si="1">G18</f>
        <v>Titanium Alloy</v>
      </c>
      <c r="G18" s="62" t="str">
        <f>'3. Material'!C13</f>
        <v>Titanium Alloy</v>
      </c>
    </row>
    <row r="19" spans="2:11" ht="15" customHeight="1" x14ac:dyDescent="0.25">
      <c r="B19" s="88" t="s">
        <v>217</v>
      </c>
      <c r="D19" s="33" t="s">
        <v>42</v>
      </c>
      <c r="E19" s="23" t="s">
        <v>486</v>
      </c>
      <c r="F19" s="49" t="str">
        <f t="shared" si="1"/>
        <v>Glass Fiber</v>
      </c>
      <c r="G19" s="62" t="str">
        <f>'3. Material'!C14</f>
        <v>Glass Fiber</v>
      </c>
    </row>
    <row r="20" spans="2:11" ht="15" customHeight="1" x14ac:dyDescent="0.25">
      <c r="B20" s="88" t="s">
        <v>306</v>
      </c>
      <c r="D20" s="33" t="s">
        <v>286</v>
      </c>
      <c r="E20" s="23" t="s">
        <v>485</v>
      </c>
      <c r="F20" s="107" t="str">
        <f>G20</f>
        <v>No</v>
      </c>
      <c r="G20" s="62" t="str">
        <f>'3. Material'!C15</f>
        <v>No</v>
      </c>
    </row>
    <row r="21" spans="2:11" ht="15" customHeight="1" x14ac:dyDescent="0.25">
      <c r="B21" s="88" t="s">
        <v>233</v>
      </c>
      <c r="C21" s="33" t="s">
        <v>582</v>
      </c>
      <c r="D21" s="33" t="s">
        <v>8</v>
      </c>
      <c r="E21" s="23" t="s">
        <v>487</v>
      </c>
      <c r="F21" s="49">
        <f t="shared" si="1"/>
        <v>0.25</v>
      </c>
      <c r="G21" s="62">
        <f>'3. Material'!D26</f>
        <v>0.25</v>
      </c>
    </row>
    <row r="22" spans="2:11" ht="15" customHeight="1" x14ac:dyDescent="0.25">
      <c r="B22" s="88" t="s">
        <v>14</v>
      </c>
      <c r="D22" s="33" t="s">
        <v>42</v>
      </c>
      <c r="E22" s="181" t="s">
        <v>42</v>
      </c>
      <c r="F22" s="49" t="str">
        <f t="shared" si="1"/>
        <v>N/A</v>
      </c>
      <c r="G22" s="62" t="str">
        <f>'3. Material'!D24</f>
        <v>N/A</v>
      </c>
    </row>
    <row r="23" spans="2:11" ht="15" customHeight="1" x14ac:dyDescent="0.25">
      <c r="B23" s="88" t="s">
        <v>10</v>
      </c>
      <c r="D23" s="33" t="s">
        <v>42</v>
      </c>
      <c r="E23" s="181" t="s">
        <v>42</v>
      </c>
      <c r="F23" s="49" t="str">
        <f t="shared" si="1"/>
        <v>Ti6Al4V</v>
      </c>
      <c r="G23" s="62" t="str">
        <f>'3. Material'!D25</f>
        <v>Ti6Al4V</v>
      </c>
    </row>
    <row r="24" spans="2:11" ht="15" customHeight="1" x14ac:dyDescent="0.25">
      <c r="B24" s="88" t="s">
        <v>230</v>
      </c>
      <c r="D24" s="18" t="s">
        <v>228</v>
      </c>
      <c r="E24" s="23" t="s">
        <v>488</v>
      </c>
      <c r="F24" s="49">
        <f t="shared" si="1"/>
        <v>1.85</v>
      </c>
      <c r="G24" s="62">
        <f>'3. Material'!D27</f>
        <v>1.85</v>
      </c>
      <c r="H24" s="23" t="s">
        <v>1649</v>
      </c>
    </row>
    <row r="25" spans="2:11" ht="15" customHeight="1" x14ac:dyDescent="0.25">
      <c r="B25" s="88" t="s">
        <v>231</v>
      </c>
      <c r="D25" s="18" t="s">
        <v>229</v>
      </c>
      <c r="E25" s="23" t="s">
        <v>489</v>
      </c>
      <c r="F25" s="49">
        <f t="shared" si="1"/>
        <v>2.5</v>
      </c>
      <c r="G25" s="62">
        <f>'3. Material'!D28</f>
        <v>2.5</v>
      </c>
      <c r="H25" s="23" t="s">
        <v>1649</v>
      </c>
    </row>
    <row r="26" spans="2:11" ht="15" customHeight="1" x14ac:dyDescent="0.25">
      <c r="B26" s="88" t="str">
        <f>IF(AND(F17="Composite",F20="No"),"Matrix Cost","Material Cost")</f>
        <v>Material Cost</v>
      </c>
      <c r="D26" s="18" t="s">
        <v>228</v>
      </c>
      <c r="E26" s="23" t="s">
        <v>492</v>
      </c>
      <c r="F26" s="49">
        <f t="shared" si="1"/>
        <v>300</v>
      </c>
      <c r="G26" s="62">
        <f>'3. Material'!D29</f>
        <v>300</v>
      </c>
    </row>
    <row r="27" spans="2:11" ht="15" customHeight="1" x14ac:dyDescent="0.25">
      <c r="B27" s="88" t="str">
        <f>IF(AND(F17="Composite",F20="No"),"Matrix Density","Material Density")</f>
        <v>Material Density</v>
      </c>
      <c r="D27" s="18" t="s">
        <v>229</v>
      </c>
      <c r="E27" s="23" t="s">
        <v>493</v>
      </c>
      <c r="F27" s="49">
        <f t="shared" si="1"/>
        <v>4.5060000000000002</v>
      </c>
      <c r="G27" s="62">
        <f>'3. Material'!D30</f>
        <v>4.5060000000000002</v>
      </c>
    </row>
    <row r="28" spans="2:11" ht="15" customHeight="1" x14ac:dyDescent="0.25">
      <c r="B28" s="17" t="s">
        <v>239</v>
      </c>
      <c r="D28" s="18" t="s">
        <v>228</v>
      </c>
      <c r="E28" s="23" t="s">
        <v>490</v>
      </c>
      <c r="F28" s="21">
        <f>G28</f>
        <v>300</v>
      </c>
      <c r="G28" s="78">
        <f>IF(AND($F$17="Composite",$F$20="No"),$G$21*G24+(1-$G$21)*G26,G26)</f>
        <v>300</v>
      </c>
      <c r="H28" s="23" t="s">
        <v>272</v>
      </c>
    </row>
    <row r="29" spans="2:11" ht="15" customHeight="1" thickBot="1" x14ac:dyDescent="0.3">
      <c r="B29" s="17" t="s">
        <v>240</v>
      </c>
      <c r="D29" s="18" t="s">
        <v>583</v>
      </c>
      <c r="E29" s="23" t="s">
        <v>491</v>
      </c>
      <c r="F29" s="21">
        <f>G29</f>
        <v>4.5060000000000002</v>
      </c>
      <c r="G29" s="79">
        <f>IF(AND($F$17="Composite",$F$20="No"),$G$21*G25+(1-$G$21)*G27,G27)</f>
        <v>4.5060000000000002</v>
      </c>
      <c r="H29" s="23" t="s">
        <v>272</v>
      </c>
      <c r="J29" s="91" t="s">
        <v>324</v>
      </c>
      <c r="K29" s="119" t="s">
        <v>325</v>
      </c>
    </row>
    <row r="30" spans="2:11" ht="15" customHeight="1" thickBot="1" x14ac:dyDescent="0.3">
      <c r="B30" s="63" t="s">
        <v>1143</v>
      </c>
      <c r="C30" s="64"/>
      <c r="D30" s="64"/>
      <c r="E30" s="64"/>
      <c r="F30" s="64"/>
      <c r="G30" s="65"/>
      <c r="J30" s="91"/>
      <c r="K30" s="119"/>
    </row>
    <row r="31" spans="2:11" ht="15" customHeight="1" thickBot="1" x14ac:dyDescent="0.3">
      <c r="B31" s="14" t="s">
        <v>45</v>
      </c>
      <c r="C31" s="15" t="s">
        <v>579</v>
      </c>
      <c r="D31" s="15" t="s">
        <v>578</v>
      </c>
      <c r="E31" s="16" t="s">
        <v>47</v>
      </c>
      <c r="F31" s="16" t="s">
        <v>48</v>
      </c>
      <c r="G31" s="48" t="s">
        <v>5</v>
      </c>
      <c r="H31" s="39" t="s">
        <v>49</v>
      </c>
      <c r="J31" s="91"/>
      <c r="K31" s="119"/>
    </row>
    <row r="32" spans="2:11" ht="15" customHeight="1" x14ac:dyDescent="0.25">
      <c r="B32" s="253" t="s">
        <v>260</v>
      </c>
      <c r="C32" s="25"/>
      <c r="D32" s="208" t="s">
        <v>42</v>
      </c>
      <c r="E32" s="95" t="s">
        <v>494</v>
      </c>
      <c r="F32" s="108" t="str">
        <f t="shared" ref="F32:F46" si="2">G32</f>
        <v>Powder Bed Fusion</v>
      </c>
      <c r="G32" s="61" t="str">
        <f>'4. Printing'!C13</f>
        <v>Powder Bed Fusion</v>
      </c>
      <c r="J32" s="91"/>
      <c r="K32" s="119"/>
    </row>
    <row r="33" spans="1:11" ht="15" customHeight="1" x14ac:dyDescent="0.25">
      <c r="B33" s="88" t="s">
        <v>51</v>
      </c>
      <c r="C33" s="49"/>
      <c r="D33" s="49" t="s">
        <v>584</v>
      </c>
      <c r="E33" s="96" t="s">
        <v>495</v>
      </c>
      <c r="F33" s="254">
        <f t="shared" si="2"/>
        <v>35</v>
      </c>
      <c r="G33" s="62">
        <f>'4. Printing'!D25/10</f>
        <v>35</v>
      </c>
      <c r="J33" s="91"/>
      <c r="K33" s="119"/>
    </row>
    <row r="34" spans="1:11" ht="15" customHeight="1" x14ac:dyDescent="0.25">
      <c r="B34" s="88" t="s">
        <v>52</v>
      </c>
      <c r="C34" s="49"/>
      <c r="D34" s="49" t="s">
        <v>584</v>
      </c>
      <c r="E34" s="96" t="s">
        <v>496</v>
      </c>
      <c r="F34" s="254">
        <f t="shared" si="2"/>
        <v>35</v>
      </c>
      <c r="G34" s="62">
        <f>'4. Printing'!D26/10</f>
        <v>35</v>
      </c>
      <c r="J34" s="91"/>
      <c r="K34" s="119"/>
    </row>
    <row r="35" spans="1:11" s="1" customFormat="1" ht="15" customHeight="1" x14ac:dyDescent="0.25">
      <c r="B35" s="88" t="s">
        <v>58</v>
      </c>
      <c r="C35" s="49"/>
      <c r="D35" s="4" t="s">
        <v>584</v>
      </c>
      <c r="E35" s="96" t="s">
        <v>512</v>
      </c>
      <c r="F35" s="255">
        <f t="shared" si="2"/>
        <v>0.5</v>
      </c>
      <c r="G35" s="62">
        <f>'4. Printing'!D27/10</f>
        <v>0.5</v>
      </c>
      <c r="H35" s="23"/>
      <c r="I35"/>
      <c r="J35" s="91"/>
      <c r="K35" s="119"/>
    </row>
    <row r="36" spans="1:11" ht="15" customHeight="1" x14ac:dyDescent="0.25">
      <c r="B36" s="88" t="s">
        <v>57</v>
      </c>
      <c r="C36" s="49"/>
      <c r="D36" s="4" t="s">
        <v>584</v>
      </c>
      <c r="E36" s="96" t="s">
        <v>513</v>
      </c>
      <c r="F36" s="255">
        <f t="shared" si="2"/>
        <v>0.5</v>
      </c>
      <c r="G36" s="62">
        <f>'4. Printing'!D28/10</f>
        <v>0.5</v>
      </c>
      <c r="J36" s="91"/>
      <c r="K36" s="119"/>
    </row>
    <row r="37" spans="1:11" ht="15" customHeight="1" x14ac:dyDescent="0.25">
      <c r="B37" s="88" t="s">
        <v>1112</v>
      </c>
      <c r="C37" s="49"/>
      <c r="D37" s="49" t="s">
        <v>353</v>
      </c>
      <c r="E37" s="96" t="s">
        <v>508</v>
      </c>
      <c r="F37" s="254">
        <f t="shared" si="2"/>
        <v>7</v>
      </c>
      <c r="G37" s="90">
        <f>'4. Printing'!D29</f>
        <v>7</v>
      </c>
      <c r="J37" s="91"/>
      <c r="K37" s="119"/>
    </row>
    <row r="38" spans="1:11" ht="15" customHeight="1" x14ac:dyDescent="0.25">
      <c r="B38" s="88" t="s">
        <v>456</v>
      </c>
      <c r="C38" s="6"/>
      <c r="D38" s="4" t="s">
        <v>353</v>
      </c>
      <c r="E38" s="6" t="s">
        <v>514</v>
      </c>
      <c r="F38" s="254">
        <f t="shared" si="2"/>
        <v>4</v>
      </c>
      <c r="G38" s="90">
        <f>'4. Printing'!D30</f>
        <v>4</v>
      </c>
      <c r="J38" s="91"/>
      <c r="K38" s="119"/>
    </row>
    <row r="39" spans="1:11" ht="15" customHeight="1" x14ac:dyDescent="0.25">
      <c r="B39" s="88" t="s">
        <v>55</v>
      </c>
      <c r="C39" s="49"/>
      <c r="D39" s="49" t="s">
        <v>8</v>
      </c>
      <c r="E39" s="96" t="s">
        <v>534</v>
      </c>
      <c r="F39" s="22">
        <f t="shared" si="2"/>
        <v>0.02</v>
      </c>
      <c r="G39" s="121">
        <f>'4. Printing'!D31</f>
        <v>0.02</v>
      </c>
      <c r="J39" s="91"/>
      <c r="K39" s="119"/>
    </row>
    <row r="40" spans="1:11" ht="15" customHeight="1" x14ac:dyDescent="0.25">
      <c r="B40" s="88" t="s">
        <v>276</v>
      </c>
      <c r="C40" s="49"/>
      <c r="D40" s="49" t="s">
        <v>590</v>
      </c>
      <c r="E40" s="96" t="s">
        <v>515</v>
      </c>
      <c r="F40" s="254">
        <f t="shared" si="2"/>
        <v>40</v>
      </c>
      <c r="G40" s="90">
        <f>'4. Printing'!D32</f>
        <v>40</v>
      </c>
      <c r="J40" s="91"/>
      <c r="K40" s="119"/>
    </row>
    <row r="41" spans="1:11" ht="15" customHeight="1" x14ac:dyDescent="0.25">
      <c r="B41" s="88" t="s">
        <v>54</v>
      </c>
      <c r="C41" s="49"/>
      <c r="D41" s="49" t="s">
        <v>1</v>
      </c>
      <c r="E41" s="96" t="s">
        <v>525</v>
      </c>
      <c r="F41" s="254">
        <f t="shared" si="2"/>
        <v>0.1</v>
      </c>
      <c r="G41" s="90">
        <f>'4. Printing'!D33</f>
        <v>0.1</v>
      </c>
      <c r="J41" s="91"/>
      <c r="K41" s="94"/>
    </row>
    <row r="42" spans="1:11" ht="15" customHeight="1" x14ac:dyDescent="0.25">
      <c r="B42" s="88" t="s">
        <v>363</v>
      </c>
      <c r="C42" s="49"/>
      <c r="D42" s="49" t="s">
        <v>587</v>
      </c>
      <c r="E42" s="96" t="s">
        <v>531</v>
      </c>
      <c r="F42" s="107">
        <f t="shared" si="2"/>
        <v>480000</v>
      </c>
      <c r="G42" s="62">
        <f>'4. Printing'!D34*1000*60</f>
        <v>480000</v>
      </c>
      <c r="J42" s="94"/>
      <c r="K42" s="119"/>
    </row>
    <row r="43" spans="1:11" ht="15" customHeight="1" x14ac:dyDescent="0.25">
      <c r="B43" s="88" t="s">
        <v>1565</v>
      </c>
      <c r="C43" s="49"/>
      <c r="D43" s="49" t="s">
        <v>253</v>
      </c>
      <c r="E43" s="96" t="s">
        <v>1566</v>
      </c>
      <c r="F43" s="107">
        <f>G43</f>
        <v>0</v>
      </c>
      <c r="G43" s="62">
        <f>'4. Printing'!D35</f>
        <v>0</v>
      </c>
      <c r="J43" s="1"/>
      <c r="K43" s="1"/>
    </row>
    <row r="44" spans="1:11" ht="15" customHeight="1" x14ac:dyDescent="0.25">
      <c r="B44" s="88" t="s">
        <v>274</v>
      </c>
      <c r="C44" s="49"/>
      <c r="D44" s="49" t="s">
        <v>1</v>
      </c>
      <c r="E44" s="96" t="s">
        <v>533</v>
      </c>
      <c r="F44" s="49">
        <f t="shared" si="2"/>
        <v>0.14000000000000001</v>
      </c>
      <c r="G44" s="106">
        <f>'4. Printing'!D36</f>
        <v>0.14000000000000001</v>
      </c>
    </row>
    <row r="45" spans="1:11" ht="15" customHeight="1" x14ac:dyDescent="0.25">
      <c r="B45" s="88" t="s">
        <v>622</v>
      </c>
      <c r="C45" s="49"/>
      <c r="D45" s="49" t="s">
        <v>8</v>
      </c>
      <c r="E45" s="96" t="s">
        <v>623</v>
      </c>
      <c r="F45" s="22">
        <f t="shared" si="2"/>
        <v>0.05</v>
      </c>
      <c r="G45" s="121">
        <f>'4. Printing'!D37</f>
        <v>0.05</v>
      </c>
      <c r="H45"/>
    </row>
    <row r="46" spans="1:11" ht="15" customHeight="1" x14ac:dyDescent="0.25">
      <c r="A46" s="1"/>
      <c r="B46" s="88" t="s">
        <v>53</v>
      </c>
      <c r="C46" s="49"/>
      <c r="D46" s="49" t="s">
        <v>588</v>
      </c>
      <c r="E46" s="96" t="s">
        <v>532</v>
      </c>
      <c r="F46" s="256">
        <f t="shared" si="2"/>
        <v>0</v>
      </c>
      <c r="G46" s="89">
        <f>'4. Printing'!D38/1000</f>
        <v>0</v>
      </c>
    </row>
    <row r="47" spans="1:11" ht="15" customHeight="1" x14ac:dyDescent="0.25">
      <c r="B47" s="88" t="s">
        <v>288</v>
      </c>
      <c r="C47" s="49"/>
      <c r="D47" s="49" t="s">
        <v>284</v>
      </c>
      <c r="E47" s="96" t="s">
        <v>519</v>
      </c>
      <c r="F47" s="257">
        <f>G47</f>
        <v>250</v>
      </c>
      <c r="G47" s="105">
        <f>'4. Printing'!D46</f>
        <v>250</v>
      </c>
    </row>
    <row r="48" spans="1:11" ht="15" customHeight="1" x14ac:dyDescent="0.25">
      <c r="B48" s="88" t="s">
        <v>287</v>
      </c>
      <c r="C48" s="49"/>
      <c r="D48" s="49" t="s">
        <v>285</v>
      </c>
      <c r="E48" s="96" t="s">
        <v>520</v>
      </c>
      <c r="F48" s="257">
        <f>G48</f>
        <v>16</v>
      </c>
      <c r="G48" s="105">
        <f>'4. Printing'!D47</f>
        <v>16</v>
      </c>
      <c r="H48"/>
    </row>
    <row r="49" spans="1:11" ht="15" customHeight="1" x14ac:dyDescent="0.25">
      <c r="B49" s="88" t="s">
        <v>465</v>
      </c>
      <c r="C49" s="4"/>
      <c r="D49" s="4" t="s">
        <v>292</v>
      </c>
      <c r="E49" s="6" t="s">
        <v>521</v>
      </c>
      <c r="F49" s="257">
        <f t="shared" ref="F49:F62" si="3">G49</f>
        <v>1</v>
      </c>
      <c r="G49" s="105">
        <f>'4. Printing'!D48</f>
        <v>1</v>
      </c>
      <c r="H49" s="82"/>
    </row>
    <row r="50" spans="1:11" s="1" customFormat="1" ht="15" customHeight="1" x14ac:dyDescent="0.25">
      <c r="B50" s="88" t="s">
        <v>297</v>
      </c>
      <c r="C50" s="49"/>
      <c r="D50" s="49" t="s">
        <v>621</v>
      </c>
      <c r="E50" s="96" t="s">
        <v>543</v>
      </c>
      <c r="F50" s="257">
        <f t="shared" si="3"/>
        <v>100</v>
      </c>
      <c r="G50" s="105">
        <f>'4. Printing'!D49</f>
        <v>100</v>
      </c>
      <c r="H50" s="23"/>
      <c r="I50"/>
    </row>
    <row r="51" spans="1:11" ht="15" customHeight="1" x14ac:dyDescent="0.25">
      <c r="B51" s="88" t="s">
        <v>317</v>
      </c>
      <c r="C51" s="49"/>
      <c r="D51" s="49" t="s">
        <v>714</v>
      </c>
      <c r="E51" s="96" t="s">
        <v>522</v>
      </c>
      <c r="F51" s="258">
        <f t="shared" si="3"/>
        <v>1</v>
      </c>
      <c r="G51" s="105">
        <f>'4. Printing'!D50</f>
        <v>1</v>
      </c>
      <c r="H51"/>
      <c r="J51" s="1"/>
      <c r="K51" s="1"/>
    </row>
    <row r="52" spans="1:11" ht="15" customHeight="1" x14ac:dyDescent="0.25">
      <c r="B52" s="88" t="s">
        <v>327</v>
      </c>
      <c r="C52" s="49"/>
      <c r="D52" s="49" t="s">
        <v>8</v>
      </c>
      <c r="E52" s="96" t="s">
        <v>535</v>
      </c>
      <c r="F52" s="22">
        <f t="shared" si="3"/>
        <v>0.25</v>
      </c>
      <c r="G52" s="121">
        <f>'4. Printing'!D51</f>
        <v>0.25</v>
      </c>
      <c r="H52"/>
      <c r="J52" s="1"/>
      <c r="K52" s="1"/>
    </row>
    <row r="53" spans="1:11" ht="15" customHeight="1" x14ac:dyDescent="0.25">
      <c r="B53" s="88" t="s">
        <v>463</v>
      </c>
      <c r="C53" s="6"/>
      <c r="D53" s="4" t="s">
        <v>586</v>
      </c>
      <c r="E53" s="6" t="s">
        <v>503</v>
      </c>
      <c r="F53" s="257">
        <f t="shared" si="3"/>
        <v>1</v>
      </c>
      <c r="G53" s="105">
        <f>'4. Printing'!D52</f>
        <v>1</v>
      </c>
      <c r="H53" s="82"/>
      <c r="J53" s="1"/>
      <c r="K53" s="1"/>
    </row>
    <row r="54" spans="1:11" ht="15" customHeight="1" x14ac:dyDescent="0.25">
      <c r="B54" s="88" t="s">
        <v>281</v>
      </c>
      <c r="C54" s="49"/>
      <c r="D54" s="49" t="s">
        <v>253</v>
      </c>
      <c r="E54" s="96" t="s">
        <v>506</v>
      </c>
      <c r="F54" s="254">
        <f t="shared" si="3"/>
        <v>2</v>
      </c>
      <c r="G54" s="90">
        <f>'4. Printing'!D53</f>
        <v>2</v>
      </c>
    </row>
    <row r="55" spans="1:11" s="1" customFormat="1" ht="15" customHeight="1" x14ac:dyDescent="0.25">
      <c r="B55" s="88" t="s">
        <v>293</v>
      </c>
      <c r="C55" s="49"/>
      <c r="D55" s="49" t="s">
        <v>253</v>
      </c>
      <c r="E55" s="96" t="s">
        <v>507</v>
      </c>
      <c r="F55" s="254">
        <f t="shared" si="3"/>
        <v>2</v>
      </c>
      <c r="G55" s="90">
        <f>'4. Printing'!D54</f>
        <v>2</v>
      </c>
      <c r="H55" s="23"/>
      <c r="I55"/>
    </row>
    <row r="56" spans="1:11" ht="15" customHeight="1" x14ac:dyDescent="0.25">
      <c r="B56" s="88" t="s">
        <v>326</v>
      </c>
      <c r="C56" s="49"/>
      <c r="D56" s="49" t="s">
        <v>290</v>
      </c>
      <c r="E56" s="96" t="s">
        <v>541</v>
      </c>
      <c r="F56" s="254">
        <f t="shared" si="3"/>
        <v>0.25</v>
      </c>
      <c r="G56" s="90">
        <f>'4. Printing'!D55</f>
        <v>0.25</v>
      </c>
    </row>
    <row r="57" spans="1:11" ht="15" customHeight="1" x14ac:dyDescent="0.25">
      <c r="B57" s="88" t="s">
        <v>56</v>
      </c>
      <c r="C57" s="49"/>
      <c r="D57" s="49" t="s">
        <v>8</v>
      </c>
      <c r="E57" s="96" t="s">
        <v>536</v>
      </c>
      <c r="F57" s="22">
        <f t="shared" si="3"/>
        <v>0.9</v>
      </c>
      <c r="G57" s="121">
        <f>'4. Printing'!D56</f>
        <v>0.9</v>
      </c>
    </row>
    <row r="58" spans="1:11" ht="15" customHeight="1" x14ac:dyDescent="0.25">
      <c r="B58" s="88" t="s">
        <v>462</v>
      </c>
      <c r="C58" s="6"/>
      <c r="D58" s="4" t="s">
        <v>585</v>
      </c>
      <c r="E58" s="6" t="s">
        <v>497</v>
      </c>
      <c r="F58" s="216">
        <f t="shared" si="3"/>
        <v>500</v>
      </c>
      <c r="G58" s="122">
        <f>'4. Printing'!D57</f>
        <v>500</v>
      </c>
      <c r="H58" s="82"/>
    </row>
    <row r="59" spans="1:11" ht="15" customHeight="1" x14ac:dyDescent="0.25">
      <c r="B59" s="88" t="s">
        <v>24</v>
      </c>
      <c r="C59" s="49"/>
      <c r="D59" s="49" t="s">
        <v>620</v>
      </c>
      <c r="E59" s="96" t="s">
        <v>528</v>
      </c>
      <c r="F59" s="120">
        <f t="shared" si="3"/>
        <v>750000</v>
      </c>
      <c r="G59" s="122">
        <f>'4. Printing'!D58</f>
        <v>750000</v>
      </c>
    </row>
    <row r="60" spans="1:11" ht="15" customHeight="1" x14ac:dyDescent="0.25">
      <c r="B60" s="88" t="s">
        <v>266</v>
      </c>
      <c r="C60" s="49"/>
      <c r="D60" s="49" t="s">
        <v>620</v>
      </c>
      <c r="E60" s="96" t="s">
        <v>545</v>
      </c>
      <c r="F60" s="120">
        <f t="shared" si="3"/>
        <v>1000</v>
      </c>
      <c r="G60" s="122">
        <f>'4. Printing'!D59</f>
        <v>1000</v>
      </c>
    </row>
    <row r="61" spans="1:11" ht="15" customHeight="1" x14ac:dyDescent="0.25">
      <c r="B61" s="88" t="s">
        <v>318</v>
      </c>
      <c r="C61" s="49"/>
      <c r="D61" s="49" t="s">
        <v>620</v>
      </c>
      <c r="E61" s="96" t="s">
        <v>546</v>
      </c>
      <c r="F61" s="120">
        <f t="shared" si="3"/>
        <v>75000</v>
      </c>
      <c r="G61" s="122">
        <f>'4. Printing'!D60</f>
        <v>75000</v>
      </c>
    </row>
    <row r="62" spans="1:11" ht="15" customHeight="1" thickBot="1" x14ac:dyDescent="0.3">
      <c r="A62" s="1"/>
      <c r="B62" s="34" t="s">
        <v>265</v>
      </c>
      <c r="C62" s="207" t="s">
        <v>593</v>
      </c>
      <c r="D62" s="207" t="s">
        <v>253</v>
      </c>
      <c r="E62" s="199" t="s">
        <v>888</v>
      </c>
      <c r="F62" s="163">
        <f t="shared" si="3"/>
        <v>4000</v>
      </c>
      <c r="G62" s="164">
        <f>F48*F47</f>
        <v>4000</v>
      </c>
      <c r="H62"/>
    </row>
    <row r="63" spans="1:11" ht="15" customHeight="1" thickBot="1" x14ac:dyDescent="0.3">
      <c r="B63" s="63" t="s">
        <v>1144</v>
      </c>
      <c r="C63" s="64"/>
      <c r="D63" s="64"/>
      <c r="E63" s="64"/>
      <c r="F63" s="64"/>
      <c r="G63" s="65"/>
    </row>
    <row r="64" spans="1:11" ht="15" customHeight="1" thickBot="1" x14ac:dyDescent="0.3">
      <c r="B64" s="14" t="s">
        <v>45</v>
      </c>
      <c r="C64" s="15" t="s">
        <v>579</v>
      </c>
      <c r="D64" s="15" t="s">
        <v>578</v>
      </c>
      <c r="E64" s="16" t="s">
        <v>47</v>
      </c>
      <c r="F64" s="16" t="s">
        <v>48</v>
      </c>
      <c r="G64" s="48" t="s">
        <v>5</v>
      </c>
      <c r="H64" s="39" t="s">
        <v>49</v>
      </c>
    </row>
    <row r="65" spans="1:8" ht="15" customHeight="1" x14ac:dyDescent="0.25">
      <c r="B65" s="57" t="s">
        <v>1155</v>
      </c>
      <c r="C65" s="274"/>
      <c r="D65" s="281" t="s">
        <v>42</v>
      </c>
      <c r="E65" s="59" t="s">
        <v>1156</v>
      </c>
      <c r="F65" s="60" t="str">
        <f t="shared" ref="F65:F80" si="4">G65</f>
        <v>Intermediate</v>
      </c>
      <c r="G65" s="282" t="str">
        <f>'1. TEA Variables'!D11</f>
        <v>Intermediate</v>
      </c>
      <c r="H65" s="59"/>
    </row>
    <row r="66" spans="1:8" ht="15" customHeight="1" x14ac:dyDescent="0.25">
      <c r="B66" s="263" t="s">
        <v>1157</v>
      </c>
      <c r="C66" s="275"/>
      <c r="D66" s="276" t="s">
        <v>42</v>
      </c>
      <c r="E66" s="264" t="s">
        <v>1158</v>
      </c>
      <c r="F66" s="280">
        <f t="shared" si="4"/>
        <v>2</v>
      </c>
      <c r="G66" s="306">
        <f>IF(F65="Default",1,IF(F65="Intermediate",2,3))</f>
        <v>2</v>
      </c>
      <c r="H66" s="264"/>
    </row>
    <row r="67" spans="1:8" ht="15" customHeight="1" x14ac:dyDescent="0.25">
      <c r="B67" s="88" t="s">
        <v>460</v>
      </c>
      <c r="C67" s="76"/>
      <c r="D67" s="76" t="s">
        <v>592</v>
      </c>
      <c r="E67" s="1" t="s">
        <v>551</v>
      </c>
      <c r="F67" s="21">
        <f t="shared" si="4"/>
        <v>3</v>
      </c>
      <c r="G67" s="279">
        <f>CHOOSE($F$66,'1. TEA Variables'!D14,'1. TEA Variables'!D31,'1. TEA Variables'!D48)</f>
        <v>3</v>
      </c>
      <c r="H67" s="242"/>
    </row>
    <row r="68" spans="1:8" ht="15" customHeight="1" x14ac:dyDescent="0.25">
      <c r="A68" s="1"/>
      <c r="B68" s="88" t="s">
        <v>21</v>
      </c>
      <c r="D68" s="18" t="s">
        <v>8</v>
      </c>
      <c r="E68" s="23" t="s">
        <v>537</v>
      </c>
      <c r="F68" s="22">
        <f t="shared" si="4"/>
        <v>7.4999999999999997E-2</v>
      </c>
      <c r="G68" s="121">
        <f>CHOOSE($F$66,'1. TEA Variables'!D15,'1. TEA Variables'!D32,'1. TEA Variables'!D49)</f>
        <v>7.4999999999999997E-2</v>
      </c>
      <c r="H68"/>
    </row>
    <row r="69" spans="1:8" ht="15" customHeight="1" x14ac:dyDescent="0.25">
      <c r="A69" s="1"/>
      <c r="B69" s="88" t="s">
        <v>328</v>
      </c>
      <c r="D69" s="18" t="s">
        <v>8</v>
      </c>
      <c r="E69" s="23" t="s">
        <v>547</v>
      </c>
      <c r="F69" s="22">
        <f t="shared" si="4"/>
        <v>0.1</v>
      </c>
      <c r="G69" s="121">
        <f>CHOOSE($F$66,'1. TEA Variables'!D16,'1. TEA Variables'!D33,'1. TEA Variables'!D50)</f>
        <v>0.1</v>
      </c>
      <c r="H69"/>
    </row>
    <row r="70" spans="1:8" ht="15" customHeight="1" x14ac:dyDescent="0.25">
      <c r="B70" s="88" t="s">
        <v>329</v>
      </c>
      <c r="D70" s="18" t="s">
        <v>8</v>
      </c>
      <c r="E70" s="23" t="s">
        <v>549</v>
      </c>
      <c r="F70" s="22">
        <f t="shared" si="4"/>
        <v>0.1</v>
      </c>
      <c r="G70" s="121">
        <f>CHOOSE($F$66,'1. TEA Variables'!D17,'1. TEA Variables'!D34,'1. TEA Variables'!D51)</f>
        <v>0.1</v>
      </c>
      <c r="H70"/>
    </row>
    <row r="71" spans="1:8" ht="15" customHeight="1" x14ac:dyDescent="0.25">
      <c r="A71" s="1"/>
      <c r="B71" s="88" t="s">
        <v>330</v>
      </c>
      <c r="D71" s="18" t="s">
        <v>8</v>
      </c>
      <c r="E71" s="23" t="s">
        <v>548</v>
      </c>
      <c r="F71" s="22">
        <f t="shared" si="4"/>
        <v>0.1</v>
      </c>
      <c r="G71" s="121">
        <f>CHOOSE($F$66,'1. TEA Variables'!D18,'1. TEA Variables'!D35,'1. TEA Variables'!D52)</f>
        <v>0.1</v>
      </c>
      <c r="H71"/>
    </row>
    <row r="72" spans="1:8" ht="15" customHeight="1" x14ac:dyDescent="0.25">
      <c r="B72" s="88" t="s">
        <v>320</v>
      </c>
      <c r="D72" s="18" t="s">
        <v>8</v>
      </c>
      <c r="E72" s="23" t="s">
        <v>538</v>
      </c>
      <c r="F72" s="22">
        <f t="shared" si="4"/>
        <v>0.05</v>
      </c>
      <c r="G72" s="121">
        <f>CHOOSE($F$66,'1. TEA Variables'!D19,'1. TEA Variables'!D36,'1. TEA Variables'!D53)</f>
        <v>0.05</v>
      </c>
      <c r="H72" s="182"/>
    </row>
    <row r="73" spans="1:8" ht="15" customHeight="1" x14ac:dyDescent="0.25">
      <c r="B73" s="88" t="s">
        <v>457</v>
      </c>
      <c r="C73" s="76"/>
      <c r="D73" s="76" t="s">
        <v>8</v>
      </c>
      <c r="E73" s="1" t="s">
        <v>539</v>
      </c>
      <c r="F73" s="241">
        <f t="shared" si="4"/>
        <v>0.55000000000000004</v>
      </c>
      <c r="G73" s="169">
        <f>CHOOSE($F$66,'1. TEA Variables'!D20,'1. TEA Variables'!D37,'1. TEA Variables'!D54)</f>
        <v>0.55000000000000004</v>
      </c>
      <c r="H73" s="242"/>
    </row>
    <row r="74" spans="1:8" ht="15" customHeight="1" x14ac:dyDescent="0.25">
      <c r="B74" s="88" t="s">
        <v>458</v>
      </c>
      <c r="C74" s="76"/>
      <c r="D74" s="76" t="s">
        <v>8</v>
      </c>
      <c r="E74" s="1" t="s">
        <v>540</v>
      </c>
      <c r="F74" s="21">
        <f t="shared" si="4"/>
        <v>0.5</v>
      </c>
      <c r="G74" s="90">
        <f>CHOOSE($F$66,'1. TEA Variables'!D21,'1. TEA Variables'!D38,'1. TEA Variables'!D55)</f>
        <v>0.5</v>
      </c>
      <c r="H74" s="242"/>
    </row>
    <row r="75" spans="1:8" ht="15" customHeight="1" x14ac:dyDescent="0.25">
      <c r="B75" s="88" t="s">
        <v>25</v>
      </c>
      <c r="D75" s="18" t="s">
        <v>289</v>
      </c>
      <c r="E75" s="23" t="s">
        <v>526</v>
      </c>
      <c r="F75" s="120">
        <f t="shared" si="4"/>
        <v>30</v>
      </c>
      <c r="G75" s="122">
        <f>CHOOSE($F$66,'1. TEA Variables'!D22,'1. TEA Variables'!D39,'1. TEA Variables'!D56)</f>
        <v>30</v>
      </c>
    </row>
    <row r="76" spans="1:8" ht="15" customHeight="1" x14ac:dyDescent="0.25">
      <c r="B76" s="88" t="s">
        <v>459</v>
      </c>
      <c r="C76" s="76"/>
      <c r="D76" s="76" t="s">
        <v>591</v>
      </c>
      <c r="E76" s="1" t="s">
        <v>550</v>
      </c>
      <c r="F76" s="128">
        <f t="shared" si="4"/>
        <v>75000</v>
      </c>
      <c r="G76" s="122">
        <f>CHOOSE($F$66,'1. TEA Variables'!D23,'1. TEA Variables'!D40,'1. TEA Variables'!D57)</f>
        <v>75000</v>
      </c>
      <c r="H76" s="242"/>
    </row>
    <row r="77" spans="1:8" ht="15" customHeight="1" x14ac:dyDescent="0.25">
      <c r="B77" s="88" t="s">
        <v>19</v>
      </c>
      <c r="D77" s="18" t="s">
        <v>20</v>
      </c>
      <c r="E77" s="23" t="s">
        <v>527</v>
      </c>
      <c r="F77" s="120">
        <f t="shared" si="4"/>
        <v>0.1</v>
      </c>
      <c r="G77" s="122">
        <f>CHOOSE($F$66,'1. TEA Variables'!D24,'1. TEA Variables'!D41,'1. TEA Variables'!D58)</f>
        <v>0.1</v>
      </c>
    </row>
    <row r="78" spans="1:8" ht="15" customHeight="1" x14ac:dyDescent="0.25">
      <c r="B78" s="88" t="s">
        <v>323</v>
      </c>
      <c r="D78" s="18" t="s">
        <v>331</v>
      </c>
      <c r="E78" s="23" t="s">
        <v>544</v>
      </c>
      <c r="F78" s="120">
        <f t="shared" si="4"/>
        <v>25</v>
      </c>
      <c r="G78" s="122">
        <f>CHOOSE($F$66,'1. TEA Variables'!D25,'1. TEA Variables'!D42,'1. TEA Variables'!D59)</f>
        <v>25</v>
      </c>
      <c r="H78"/>
    </row>
    <row r="79" spans="1:8" ht="15" customHeight="1" x14ac:dyDescent="0.25">
      <c r="B79" s="88" t="s">
        <v>33</v>
      </c>
      <c r="D79" s="18" t="s">
        <v>290</v>
      </c>
      <c r="E79" s="23" t="s">
        <v>710</v>
      </c>
      <c r="F79" s="26">
        <f t="shared" si="4"/>
        <v>10</v>
      </c>
      <c r="G79" s="105">
        <f>CHOOSE($F$66,'1. TEA Variables'!D26,'1. TEA Variables'!D43,'1. TEA Variables'!D60)</f>
        <v>10</v>
      </c>
      <c r="H79"/>
    </row>
    <row r="80" spans="1:8" ht="15" customHeight="1" thickBot="1" x14ac:dyDescent="0.3">
      <c r="B80" s="88" t="s">
        <v>316</v>
      </c>
      <c r="D80" s="18" t="s">
        <v>290</v>
      </c>
      <c r="E80" s="23" t="s">
        <v>542</v>
      </c>
      <c r="F80" s="26">
        <f t="shared" si="4"/>
        <v>20</v>
      </c>
      <c r="G80" s="105">
        <f>CHOOSE($F$66,'1. TEA Variables'!D27,'1. TEA Variables'!D44,'1. TEA Variables'!D61)</f>
        <v>20</v>
      </c>
    </row>
    <row r="81" spans="2:11" ht="15" customHeight="1" thickBot="1" x14ac:dyDescent="0.3">
      <c r="B81" s="63" t="s">
        <v>59</v>
      </c>
      <c r="C81" s="64"/>
      <c r="D81" s="64"/>
      <c r="E81" s="64"/>
      <c r="F81" s="64"/>
      <c r="G81" s="65"/>
      <c r="H81"/>
    </row>
    <row r="82" spans="2:11" ht="15" customHeight="1" thickBot="1" x14ac:dyDescent="0.3">
      <c r="B82" s="14" t="s">
        <v>45</v>
      </c>
      <c r="C82" s="15" t="s">
        <v>579</v>
      </c>
      <c r="D82" s="15" t="s">
        <v>578</v>
      </c>
      <c r="E82" s="16" t="s">
        <v>47</v>
      </c>
      <c r="F82" s="16" t="s">
        <v>48</v>
      </c>
      <c r="G82" s="48" t="s">
        <v>5</v>
      </c>
      <c r="H82" s="39" t="s">
        <v>49</v>
      </c>
    </row>
    <row r="83" spans="2:11" ht="15" customHeight="1" x14ac:dyDescent="0.25">
      <c r="B83" s="24" t="s">
        <v>267</v>
      </c>
      <c r="C83" s="25" t="s">
        <v>610</v>
      </c>
      <c r="D83" s="49" t="s">
        <v>584</v>
      </c>
      <c r="E83" s="23" t="s">
        <v>552</v>
      </c>
      <c r="F83" s="25">
        <f t="shared" ref="F83:F109" si="5">G83</f>
        <v>34</v>
      </c>
      <c r="G83" s="93">
        <f>F33-2*F36</f>
        <v>34</v>
      </c>
    </row>
    <row r="84" spans="2:11" ht="15" customHeight="1" x14ac:dyDescent="0.25">
      <c r="B84" s="17" t="s">
        <v>268</v>
      </c>
      <c r="C84" s="49" t="s">
        <v>602</v>
      </c>
      <c r="D84" s="49" t="s">
        <v>584</v>
      </c>
      <c r="E84" s="23" t="s">
        <v>553</v>
      </c>
      <c r="F84" s="49">
        <f t="shared" si="5"/>
        <v>34</v>
      </c>
      <c r="G84" s="78">
        <f>F34-2*F36</f>
        <v>34</v>
      </c>
      <c r="K84" s="117"/>
    </row>
    <row r="85" spans="2:11" ht="15" customHeight="1" x14ac:dyDescent="0.25">
      <c r="B85" s="17" t="s">
        <v>63</v>
      </c>
      <c r="C85" s="49" t="s">
        <v>603</v>
      </c>
      <c r="D85" s="49" t="s">
        <v>292</v>
      </c>
      <c r="E85" s="23" t="s">
        <v>554</v>
      </c>
      <c r="F85" s="103">
        <f t="shared" si="5"/>
        <v>1300</v>
      </c>
      <c r="G85" s="102">
        <f>ROUNDUP(F11/F41,0)</f>
        <v>1300</v>
      </c>
      <c r="K85" s="117"/>
    </row>
    <row r="86" spans="2:11" ht="15" customHeight="1" x14ac:dyDescent="0.25">
      <c r="B86" s="17" t="s">
        <v>270</v>
      </c>
      <c r="C86" s="49" t="s">
        <v>604</v>
      </c>
      <c r="D86" s="49" t="s">
        <v>580</v>
      </c>
      <c r="E86" s="23" t="s">
        <v>555</v>
      </c>
      <c r="F86" s="99">
        <f t="shared" si="5"/>
        <v>15028</v>
      </c>
      <c r="G86" s="78">
        <f>F83*F84*F41/10*F85</f>
        <v>15028</v>
      </c>
      <c r="K86" s="117"/>
    </row>
    <row r="87" spans="2:11" ht="15" customHeight="1" x14ac:dyDescent="0.25">
      <c r="B87" s="17" t="str">
        <f>_xlfn.CONCAT("Printed ",IF($G$8="Cuboid","Length","Outer Diameter"))</f>
        <v>Printed Length</v>
      </c>
      <c r="C87" s="49" t="s">
        <v>612</v>
      </c>
      <c r="D87" s="49" t="s">
        <v>584</v>
      </c>
      <c r="E87" s="23" t="s">
        <v>556</v>
      </c>
      <c r="F87" s="99">
        <f t="shared" si="5"/>
        <v>15.3</v>
      </c>
      <c r="G87" s="78">
        <f>F9*(1+F39)/10</f>
        <v>15.3</v>
      </c>
      <c r="K87" s="117"/>
    </row>
    <row r="88" spans="2:11" ht="15" customHeight="1" x14ac:dyDescent="0.25">
      <c r="B88" s="17" t="str">
        <f>_xlfn.CONCAT("Printed ",IF($G$8="Cuboid","Width","Inner Diameter"))</f>
        <v>Printed Width</v>
      </c>
      <c r="C88" s="49" t="s">
        <v>613</v>
      </c>
      <c r="D88" s="49" t="s">
        <v>584</v>
      </c>
      <c r="E88" s="23" t="s">
        <v>557</v>
      </c>
      <c r="F88" s="99">
        <f t="shared" si="5"/>
        <v>10.199999999999999</v>
      </c>
      <c r="G88" s="78">
        <f>F10*IF(F8="Cuboid",1+F39,1-F39)/10</f>
        <v>10.199999999999999</v>
      </c>
      <c r="K88" s="117"/>
    </row>
    <row r="89" spans="2:11" ht="15" customHeight="1" x14ac:dyDescent="0.25">
      <c r="B89" s="17" t="s">
        <v>404</v>
      </c>
      <c r="C89" s="49" t="s">
        <v>614</v>
      </c>
      <c r="D89" s="49" t="s">
        <v>1</v>
      </c>
      <c r="E89" s="23" t="s">
        <v>559</v>
      </c>
      <c r="F89" s="99">
        <f t="shared" si="5"/>
        <v>130</v>
      </c>
      <c r="G89" s="78">
        <f>F85*F41</f>
        <v>130</v>
      </c>
    </row>
    <row r="90" spans="2:11" ht="15" customHeight="1" x14ac:dyDescent="0.25">
      <c r="B90" s="17" t="s">
        <v>275</v>
      </c>
      <c r="C90" s="49" t="str">
        <f>IF(F8="Cuboid", "dep_dim1*dep_dim2", "pi/4*(dep_dim1^2 - dep_dim2^2)")</f>
        <v>dep_dim1*dep_dim2</v>
      </c>
      <c r="D90" s="49" t="s">
        <v>599</v>
      </c>
      <c r="E90" s="23" t="s">
        <v>560</v>
      </c>
      <c r="F90" s="99">
        <f t="shared" si="5"/>
        <v>156.06</v>
      </c>
      <c r="G90" s="78">
        <f>IF(F8="Cuboid", F87*F88, PI()/4*(F87^2-F88^2))</f>
        <v>156.06</v>
      </c>
    </row>
    <row r="91" spans="2:11" ht="30" customHeight="1" x14ac:dyDescent="0.25">
      <c r="B91" s="17" t="s">
        <v>269</v>
      </c>
      <c r="C91" s="49" t="str">
        <f>IF(F8="Cuboid", "dep_dim1*dep_dim2*(dep_H/10)", "pi/4*(dep_H/10)*(dep_dim1^2 - dep_dim2^2)")</f>
        <v>dep_dim1*dep_dim2*(dep_H/10)</v>
      </c>
      <c r="D91" s="49" t="s">
        <v>580</v>
      </c>
      <c r="E91" s="19" t="s">
        <v>561</v>
      </c>
      <c r="F91" s="460">
        <v>126.5</v>
      </c>
      <c r="G91" s="78">
        <f>(F89/10)*IF(F8="Cuboid", F87*F88, PI()/4*(F87^2-F88^2))</f>
        <v>2028.78</v>
      </c>
      <c r="H91" s="461" t="s">
        <v>1650</v>
      </c>
    </row>
    <row r="92" spans="2:11" ht="15" customHeight="1" x14ac:dyDescent="0.25">
      <c r="B92" s="17" t="s">
        <v>271</v>
      </c>
      <c r="C92" s="49" t="s">
        <v>615</v>
      </c>
      <c r="D92" s="49" t="s">
        <v>594</v>
      </c>
      <c r="E92" s="23" t="s">
        <v>562</v>
      </c>
      <c r="F92" s="99">
        <f t="shared" si="5"/>
        <v>570.00900000000001</v>
      </c>
      <c r="G92" s="78">
        <f>F91*F29</f>
        <v>570.00900000000001</v>
      </c>
    </row>
    <row r="93" spans="2:11" ht="15" customHeight="1" x14ac:dyDescent="0.25">
      <c r="B93" s="17" t="s">
        <v>273</v>
      </c>
      <c r="C93" s="49" t="s">
        <v>558</v>
      </c>
      <c r="D93" s="49" t="s">
        <v>589</v>
      </c>
      <c r="E93" s="23" t="s">
        <v>565</v>
      </c>
      <c r="F93" s="97" t="b">
        <f t="shared" si="5"/>
        <v>1</v>
      </c>
      <c r="G93" s="78" t="b">
        <f>AND(F87&lt;=F83,IF(F8="Cuboid",F88,F87)&lt;=F84)</f>
        <v>1</v>
      </c>
      <c r="H93"/>
    </row>
    <row r="94" spans="2:11" ht="15" customHeight="1" x14ac:dyDescent="0.25">
      <c r="B94" s="17" t="s">
        <v>60</v>
      </c>
      <c r="C94" s="49" t="s">
        <v>605</v>
      </c>
      <c r="D94" s="49" t="s">
        <v>292</v>
      </c>
      <c r="E94" s="23" t="s">
        <v>566</v>
      </c>
      <c r="F94" s="49">
        <f t="shared" si="5"/>
        <v>2</v>
      </c>
      <c r="G94" s="102">
        <f>ROUNDUP((F83-F87)/(F87+F35),0)</f>
        <v>2</v>
      </c>
    </row>
    <row r="95" spans="2:11" ht="15" customHeight="1" x14ac:dyDescent="0.25">
      <c r="B95" s="17" t="s">
        <v>61</v>
      </c>
      <c r="C95" s="49" t="s">
        <v>606</v>
      </c>
      <c r="D95" s="49" t="s">
        <v>292</v>
      </c>
      <c r="E95" s="23" t="s">
        <v>567</v>
      </c>
      <c r="F95" s="49">
        <f t="shared" si="5"/>
        <v>3</v>
      </c>
      <c r="G95" s="102">
        <f>ROUNDUP((F84-IF(F8="Cuboid",F88,F87))/(IF(F8="Cuboid",F88,F87)+F35),0)</f>
        <v>3</v>
      </c>
    </row>
    <row r="96" spans="2:11" ht="15" customHeight="1" x14ac:dyDescent="0.25">
      <c r="B96" s="17" t="s">
        <v>62</v>
      </c>
      <c r="C96" s="4" t="s">
        <v>616</v>
      </c>
      <c r="D96" s="4" t="s">
        <v>595</v>
      </c>
      <c r="E96" s="23" t="s">
        <v>568</v>
      </c>
      <c r="F96" s="49">
        <f t="shared" si="5"/>
        <v>6</v>
      </c>
      <c r="G96" s="102">
        <f>F94*F95</f>
        <v>6</v>
      </c>
    </row>
    <row r="97" spans="2:8" ht="15" customHeight="1" x14ac:dyDescent="0.25">
      <c r="B97" s="17" t="s">
        <v>376</v>
      </c>
      <c r="C97" s="49" t="s">
        <v>611</v>
      </c>
      <c r="D97" s="49" t="s">
        <v>596</v>
      </c>
      <c r="E97" s="23" t="s">
        <v>569</v>
      </c>
      <c r="F97" s="99">
        <v>642857</v>
      </c>
      <c r="G97" s="78">
        <f>10*F90/F44</f>
        <v>11147.142857142855</v>
      </c>
    </row>
    <row r="98" spans="2:8" ht="15" customHeight="1" x14ac:dyDescent="0.25">
      <c r="B98" s="17" t="s">
        <v>570</v>
      </c>
      <c r="C98" s="49" t="s">
        <v>607</v>
      </c>
      <c r="D98" s="49" t="s">
        <v>597</v>
      </c>
      <c r="E98" s="23" t="s">
        <v>571</v>
      </c>
      <c r="F98" s="99">
        <f t="shared" si="5"/>
        <v>0.43846846153846153</v>
      </c>
      <c r="G98" s="78">
        <f>F92/F85</f>
        <v>0.43846846153846153</v>
      </c>
    </row>
    <row r="99" spans="2:8" ht="15" customHeight="1" x14ac:dyDescent="0.25">
      <c r="B99" s="17" t="s">
        <v>294</v>
      </c>
      <c r="C99" s="49" t="s">
        <v>608</v>
      </c>
      <c r="D99" s="49" t="s">
        <v>590</v>
      </c>
      <c r="E99" s="23" t="s">
        <v>574</v>
      </c>
      <c r="F99" s="99">
        <f t="shared" si="5"/>
        <v>3.1250000000000002E-3</v>
      </c>
      <c r="G99" s="100">
        <f>(F96-1)*F35/(F42/10/60)</f>
        <v>3.1250000000000002E-3</v>
      </c>
    </row>
    <row r="100" spans="2:8" ht="15" customHeight="1" x14ac:dyDescent="0.25">
      <c r="B100" s="17" t="s">
        <v>295</v>
      </c>
      <c r="C100" s="49" t="s">
        <v>1624</v>
      </c>
      <c r="D100" s="49" t="s">
        <v>600</v>
      </c>
      <c r="E100" s="23" t="s">
        <v>572</v>
      </c>
      <c r="F100" s="99" t="e">
        <f t="shared" si="5"/>
        <v>#DIV/0!</v>
      </c>
      <c r="G100" s="78" t="e">
        <f>((F98/1000)/(F46/3600) + F99 + F40)*F96</f>
        <v>#DIV/0!</v>
      </c>
    </row>
    <row r="101" spans="2:8" ht="15" customHeight="1" x14ac:dyDescent="0.25">
      <c r="B101" s="17" t="s">
        <v>282</v>
      </c>
      <c r="C101" s="49" t="s">
        <v>609</v>
      </c>
      <c r="D101" s="49" t="s">
        <v>600</v>
      </c>
      <c r="E101" s="23" t="s">
        <v>572</v>
      </c>
      <c r="F101" s="99">
        <f>F97/F42*60+F40</f>
        <v>120.357125</v>
      </c>
      <c r="G101" s="78">
        <f>(F97/(F42/60)+F40)*F96</f>
        <v>722.14274999999998</v>
      </c>
    </row>
    <row r="102" spans="2:8" ht="15" customHeight="1" x14ac:dyDescent="0.25">
      <c r="B102" s="17" t="s">
        <v>633</v>
      </c>
      <c r="C102" s="49" t="s">
        <v>636</v>
      </c>
      <c r="D102" s="49" t="s">
        <v>601</v>
      </c>
      <c r="E102" s="23" t="s">
        <v>637</v>
      </c>
      <c r="F102" s="99">
        <f>G102</f>
        <v>4</v>
      </c>
      <c r="G102" s="78">
        <f>F54+F55</f>
        <v>4</v>
      </c>
    </row>
    <row r="103" spans="2:8" ht="15" customHeight="1" x14ac:dyDescent="0.25">
      <c r="B103" s="88" t="s">
        <v>634</v>
      </c>
      <c r="C103" s="49" t="s">
        <v>638</v>
      </c>
      <c r="D103" s="49" t="s">
        <v>601</v>
      </c>
      <c r="E103" s="23" t="s">
        <v>639</v>
      </c>
      <c r="F103" s="99">
        <f>G103</f>
        <v>43.462295138888884</v>
      </c>
      <c r="G103" s="78">
        <f>IF(F5, IF(OR(F32="Powder Bed Fusion",F32="Binder Jetting",F32="Sheet Lamination"),F101,F100)*F85/3600, F43)</f>
        <v>43.462295138888884</v>
      </c>
    </row>
    <row r="104" spans="2:8" ht="15" customHeight="1" x14ac:dyDescent="0.25">
      <c r="B104" s="17" t="s">
        <v>635</v>
      </c>
      <c r="C104" s="49" t="s">
        <v>640</v>
      </c>
      <c r="D104" s="49" t="s">
        <v>601</v>
      </c>
      <c r="E104" s="23" t="s">
        <v>573</v>
      </c>
      <c r="F104" s="99">
        <f t="shared" si="5"/>
        <v>47.462295138888884</v>
      </c>
      <c r="G104" s="78">
        <f>F102+F103</f>
        <v>47.462295138888884</v>
      </c>
    </row>
    <row r="105" spans="2:8" ht="15" customHeight="1" x14ac:dyDescent="0.25">
      <c r="B105" s="88" t="s">
        <v>968</v>
      </c>
      <c r="C105" s="49" t="s">
        <v>966</v>
      </c>
      <c r="D105" s="49" t="s">
        <v>601</v>
      </c>
      <c r="E105" s="23" t="s">
        <v>632</v>
      </c>
      <c r="F105" s="99">
        <f>G105</f>
        <v>14.865573784722221</v>
      </c>
      <c r="G105" s="78">
        <f>F103*F52+F102</f>
        <v>14.865573784722221</v>
      </c>
    </row>
    <row r="106" spans="2:8" ht="15" customHeight="1" x14ac:dyDescent="0.25">
      <c r="B106" s="88" t="s">
        <v>641</v>
      </c>
      <c r="C106" s="49" t="s">
        <v>642</v>
      </c>
      <c r="D106" s="49" t="s">
        <v>8</v>
      </c>
      <c r="E106" s="23" t="s">
        <v>644</v>
      </c>
      <c r="F106" s="144">
        <f>G106</f>
        <v>0.31320806845141186</v>
      </c>
      <c r="G106" s="190">
        <f>F105/F104</f>
        <v>0.31320806845141186</v>
      </c>
    </row>
    <row r="107" spans="2:8" ht="15" customHeight="1" x14ac:dyDescent="0.25">
      <c r="B107" s="17" t="s">
        <v>964</v>
      </c>
      <c r="C107" s="4" t="s">
        <v>889</v>
      </c>
      <c r="D107" s="4" t="s">
        <v>598</v>
      </c>
      <c r="E107" s="23" t="s">
        <v>575</v>
      </c>
      <c r="F107" s="99">
        <f t="shared" si="5"/>
        <v>84.277424601882458</v>
      </c>
      <c r="G107" s="183">
        <f>F49*F62/F104</f>
        <v>84.277424601882458</v>
      </c>
    </row>
    <row r="108" spans="2:8" ht="15" customHeight="1" x14ac:dyDescent="0.25">
      <c r="B108" s="17" t="s">
        <v>279</v>
      </c>
      <c r="C108" s="4" t="s">
        <v>619</v>
      </c>
      <c r="D108" s="4" t="s">
        <v>618</v>
      </c>
      <c r="E108" s="23" t="s">
        <v>576</v>
      </c>
      <c r="F108" s="184">
        <f t="shared" si="5"/>
        <v>505.66454761129478</v>
      </c>
      <c r="G108" s="183">
        <f>F107*F96</f>
        <v>505.66454761129478</v>
      </c>
      <c r="H108"/>
    </row>
    <row r="109" spans="2:8" ht="15" customHeight="1" thickBot="1" x14ac:dyDescent="0.3">
      <c r="B109" s="34" t="s">
        <v>280</v>
      </c>
      <c r="C109" s="185" t="s">
        <v>617</v>
      </c>
      <c r="D109" s="4" t="s">
        <v>618</v>
      </c>
      <c r="E109" s="23" t="s">
        <v>577</v>
      </c>
      <c r="F109" s="184">
        <f t="shared" si="5"/>
        <v>455.0980928501653</v>
      </c>
      <c r="G109" s="183">
        <f>F108*F57</f>
        <v>455.0980928501653</v>
      </c>
      <c r="H109"/>
    </row>
    <row r="110" spans="2:8" ht="15" customHeight="1" thickBot="1" x14ac:dyDescent="0.3">
      <c r="B110" s="63" t="s">
        <v>314</v>
      </c>
      <c r="C110" s="64"/>
      <c r="D110" s="64"/>
      <c r="E110" s="64"/>
      <c r="F110" s="64"/>
      <c r="G110" s="65"/>
      <c r="H110"/>
    </row>
    <row r="111" spans="2:8" ht="15" customHeight="1" thickBot="1" x14ac:dyDescent="0.3">
      <c r="B111" s="14" t="s">
        <v>5</v>
      </c>
      <c r="C111" s="15" t="s">
        <v>579</v>
      </c>
      <c r="D111" s="15" t="s">
        <v>578</v>
      </c>
      <c r="E111" s="16" t="s">
        <v>47</v>
      </c>
      <c r="F111" s="16" t="s">
        <v>48</v>
      </c>
      <c r="G111" s="48" t="s">
        <v>5</v>
      </c>
      <c r="H111" s="39" t="s">
        <v>49</v>
      </c>
    </row>
    <row r="112" spans="2:8" ht="15" customHeight="1" x14ac:dyDescent="0.25">
      <c r="B112" s="24" t="s">
        <v>299</v>
      </c>
      <c r="C112" s="25" t="s">
        <v>315</v>
      </c>
      <c r="D112" s="25" t="s">
        <v>589</v>
      </c>
      <c r="E112" s="95"/>
      <c r="F112" s="108" t="str">
        <f>G112</f>
        <v>Yes</v>
      </c>
      <c r="G112" s="93" t="str">
        <f>IF(F93,"Yes","No")</f>
        <v>Yes</v>
      </c>
      <c r="H112"/>
    </row>
    <row r="113" spans="2:8" ht="15" customHeight="1" x14ac:dyDescent="0.25">
      <c r="B113" s="17" t="s">
        <v>298</v>
      </c>
      <c r="C113" s="49"/>
      <c r="D113" s="49" t="s">
        <v>292</v>
      </c>
      <c r="E113" s="96"/>
      <c r="F113" s="97">
        <f>G113</f>
        <v>6</v>
      </c>
      <c r="G113" s="102">
        <f>F96</f>
        <v>6</v>
      </c>
      <c r="H113"/>
    </row>
    <row r="114" spans="2:8" ht="15" customHeight="1" x14ac:dyDescent="0.25">
      <c r="B114" s="17" t="s">
        <v>301</v>
      </c>
      <c r="C114" s="49"/>
      <c r="D114" s="49" t="s">
        <v>618</v>
      </c>
      <c r="E114" s="96"/>
      <c r="F114" s="184">
        <f>G114</f>
        <v>505.66454761129478</v>
      </c>
      <c r="G114" s="183">
        <f>G108</f>
        <v>505.66454761129478</v>
      </c>
      <c r="H114"/>
    </row>
    <row r="115" spans="2:8" ht="15" customHeight="1" x14ac:dyDescent="0.25">
      <c r="B115" s="17" t="s">
        <v>302</v>
      </c>
      <c r="C115" s="49"/>
      <c r="D115" s="49" t="s">
        <v>618</v>
      </c>
      <c r="E115" s="96"/>
      <c r="F115" s="184">
        <f>G115</f>
        <v>455.0980928501653</v>
      </c>
      <c r="G115" s="183">
        <f>G109</f>
        <v>455.0980928501653</v>
      </c>
      <c r="H115"/>
    </row>
    <row r="116" spans="2:8" ht="15" customHeight="1" x14ac:dyDescent="0.25">
      <c r="B116" s="113" t="s">
        <v>321</v>
      </c>
      <c r="C116" s="110"/>
      <c r="D116" s="110"/>
      <c r="E116" s="111"/>
      <c r="F116" s="111"/>
      <c r="G116" s="112"/>
    </row>
    <row r="117" spans="2:8" ht="15" customHeight="1" x14ac:dyDescent="0.25">
      <c r="B117" s="17" t="s">
        <v>281</v>
      </c>
      <c r="C117" s="49" t="s">
        <v>64</v>
      </c>
      <c r="D117" s="49"/>
      <c r="E117" s="96"/>
      <c r="F117" s="98">
        <f>G117</f>
        <v>2</v>
      </c>
      <c r="G117" s="101">
        <f>F54</f>
        <v>2</v>
      </c>
      <c r="H117"/>
    </row>
    <row r="118" spans="2:8" ht="15" customHeight="1" x14ac:dyDescent="0.25">
      <c r="B118" s="17" t="s">
        <v>300</v>
      </c>
      <c r="C118" s="49" t="s">
        <v>64</v>
      </c>
      <c r="D118" s="49"/>
      <c r="E118" s="96"/>
      <c r="F118" s="98">
        <f>G118</f>
        <v>47.462295138888884</v>
      </c>
      <c r="G118" s="101">
        <f>F104</f>
        <v>47.462295138888884</v>
      </c>
      <c r="H118"/>
    </row>
    <row r="119" spans="2:8" ht="15" customHeight="1" x14ac:dyDescent="0.25">
      <c r="B119" s="17" t="s">
        <v>293</v>
      </c>
      <c r="C119" s="49" t="s">
        <v>64</v>
      </c>
      <c r="D119" s="49"/>
      <c r="E119" s="96"/>
      <c r="F119" s="98">
        <f>G119</f>
        <v>2</v>
      </c>
      <c r="G119" s="101">
        <f>F55</f>
        <v>2</v>
      </c>
      <c r="H119"/>
    </row>
    <row r="120" spans="2:8" ht="15" customHeight="1" x14ac:dyDescent="0.25">
      <c r="B120" s="113" t="s">
        <v>322</v>
      </c>
      <c r="C120" s="114"/>
      <c r="D120" s="114"/>
      <c r="E120" s="115"/>
      <c r="F120" s="115"/>
      <c r="G120" s="116"/>
      <c r="H120" s="1"/>
    </row>
    <row r="121" spans="2:8" ht="15" customHeight="1" x14ac:dyDescent="0.25">
      <c r="B121" s="17" t="s">
        <v>308</v>
      </c>
      <c r="C121" s="49" t="str">
        <f>IF(OR(F32="Powder Bed Fusion",F32="Binder Jetting",F32="Sheet Lamination"),"dep_V+dep_%_loss*(dep_V_box-dep_V)","dep_V")</f>
        <v>dep_V+dep_%_loss*(dep_V_box-dep_V)</v>
      </c>
      <c r="D121" s="49" t="s">
        <v>624</v>
      </c>
      <c r="E121" s="109" t="s">
        <v>627</v>
      </c>
      <c r="F121" s="99">
        <f t="shared" ref="F121:F128" si="6">G121</f>
        <v>1472.45</v>
      </c>
      <c r="G121" s="78">
        <f>F91*F96+IF(OR(F32="Powder Bed Fusion",F32="Binder Jetting",F32="Sheet Lamination"),F45*(F86-F91*F96),0)</f>
        <v>1472.45</v>
      </c>
      <c r="H121" s="82"/>
    </row>
    <row r="122" spans="2:8" ht="15" customHeight="1" x14ac:dyDescent="0.25">
      <c r="B122" s="17" t="s">
        <v>309</v>
      </c>
      <c r="C122" s="49" t="s">
        <v>626</v>
      </c>
      <c r="D122" s="49" t="s">
        <v>625</v>
      </c>
      <c r="E122" s="109" t="s">
        <v>628</v>
      </c>
      <c r="F122" s="99">
        <f t="shared" si="6"/>
        <v>6634.8597000000009</v>
      </c>
      <c r="G122" s="78">
        <f>F121*F29</f>
        <v>6634.8597000000009</v>
      </c>
      <c r="H122" s="1"/>
    </row>
    <row r="123" spans="2:8" ht="15" customHeight="1" x14ac:dyDescent="0.25">
      <c r="B123" s="17" t="s">
        <v>951</v>
      </c>
      <c r="C123" s="49" t="s">
        <v>952</v>
      </c>
      <c r="D123" s="49" t="s">
        <v>735</v>
      </c>
      <c r="E123" s="109" t="s">
        <v>953</v>
      </c>
      <c r="F123" s="225">
        <f t="shared" si="6"/>
        <v>500</v>
      </c>
      <c r="G123" s="217">
        <f>F58/F53</f>
        <v>500</v>
      </c>
      <c r="H123" s="1"/>
    </row>
    <row r="124" spans="2:8" ht="15" customHeight="1" x14ac:dyDescent="0.25">
      <c r="B124" s="88" t="s">
        <v>962</v>
      </c>
      <c r="C124" s="97" t="s">
        <v>956</v>
      </c>
      <c r="D124" s="97" t="s">
        <v>629</v>
      </c>
      <c r="E124" s="109" t="s">
        <v>630</v>
      </c>
      <c r="F124" s="184">
        <f t="shared" si="6"/>
        <v>8090.6327617807165</v>
      </c>
      <c r="G124" s="183">
        <f>F102*F108*F38</f>
        <v>8090.6327617807165</v>
      </c>
      <c r="H124" s="82"/>
    </row>
    <row r="125" spans="2:8" ht="15" customHeight="1" x14ac:dyDescent="0.25">
      <c r="B125" s="88" t="s">
        <v>963</v>
      </c>
      <c r="C125" s="97" t="s">
        <v>957</v>
      </c>
      <c r="D125" s="97" t="s">
        <v>629</v>
      </c>
      <c r="E125" s="109" t="s">
        <v>631</v>
      </c>
      <c r="F125" s="184">
        <f t="shared" si="6"/>
        <v>153841.39266688377</v>
      </c>
      <c r="G125" s="183">
        <f>F103*F108*F37</f>
        <v>153841.39266688377</v>
      </c>
      <c r="H125" s="82"/>
    </row>
    <row r="126" spans="2:8" ht="15" customHeight="1" x14ac:dyDescent="0.25">
      <c r="B126" s="17" t="s">
        <v>657</v>
      </c>
      <c r="C126" s="97" t="s">
        <v>954</v>
      </c>
      <c r="D126" s="97" t="s">
        <v>591</v>
      </c>
      <c r="E126" s="109" t="s">
        <v>651</v>
      </c>
      <c r="F126" s="186">
        <f t="shared" si="6"/>
        <v>1259336.2724051208</v>
      </c>
      <c r="G126" s="187">
        <f>((F122/1000)*F28+F123)*F108</f>
        <v>1259336.2724051208</v>
      </c>
      <c r="H126" s="82"/>
    </row>
    <row r="127" spans="2:8" ht="15" customHeight="1" x14ac:dyDescent="0.25">
      <c r="B127" s="17" t="s">
        <v>658</v>
      </c>
      <c r="C127" s="97" t="s">
        <v>967</v>
      </c>
      <c r="D127" s="97" t="s">
        <v>591</v>
      </c>
      <c r="E127" s="109" t="s">
        <v>652</v>
      </c>
      <c r="F127" s="186">
        <f t="shared" si="6"/>
        <v>58256.700731962614</v>
      </c>
      <c r="G127" s="187">
        <f>F105*F51*F75*(1+F73)*F107</f>
        <v>58256.700731962614</v>
      </c>
      <c r="H127" s="82"/>
    </row>
    <row r="128" spans="2:8" ht="15" customHeight="1" x14ac:dyDescent="0.25">
      <c r="B128" s="17" t="s">
        <v>659</v>
      </c>
      <c r="C128" s="97" t="s">
        <v>965</v>
      </c>
      <c r="D128" s="97" t="s">
        <v>591</v>
      </c>
      <c r="E128" s="109" t="s">
        <v>650</v>
      </c>
      <c r="F128" s="186">
        <f t="shared" si="6"/>
        <v>16193.202542866449</v>
      </c>
      <c r="G128" s="187">
        <f>(F124+F125)*F77</f>
        <v>16193.202542866449</v>
      </c>
      <c r="H128" s="458"/>
    </row>
    <row r="129" spans="2:8" ht="15" customHeight="1" x14ac:dyDescent="0.25">
      <c r="B129" s="17" t="s">
        <v>660</v>
      </c>
      <c r="C129" s="49" t="s">
        <v>643</v>
      </c>
      <c r="D129" s="97" t="s">
        <v>591</v>
      </c>
      <c r="E129" s="109" t="s">
        <v>649</v>
      </c>
      <c r="F129" s="186">
        <f t="shared" ref="F129:F134" si="7">G129</f>
        <v>18205.218978738314</v>
      </c>
      <c r="G129" s="187">
        <f>F51*F74*F76*(1+F73)*(F105/F104)</f>
        <v>18205.218978738314</v>
      </c>
      <c r="H129" s="1"/>
    </row>
    <row r="130" spans="2:8" ht="15" customHeight="1" x14ac:dyDescent="0.25">
      <c r="B130" s="17" t="s">
        <v>661</v>
      </c>
      <c r="C130" s="97" t="s">
        <v>645</v>
      </c>
      <c r="D130" s="97" t="s">
        <v>591</v>
      </c>
      <c r="E130" s="109" t="s">
        <v>653</v>
      </c>
      <c r="F130" s="186">
        <f t="shared" si="7"/>
        <v>94500.000000000015</v>
      </c>
      <c r="G130" s="187">
        <f>((F59*(1+F69)+F61)*(1+F72))*F49/F79</f>
        <v>94500.000000000015</v>
      </c>
      <c r="H130" s="82"/>
    </row>
    <row r="131" spans="2:8" ht="15" customHeight="1" x14ac:dyDescent="0.25">
      <c r="B131" s="17" t="s">
        <v>662</v>
      </c>
      <c r="C131" s="97" t="s">
        <v>646</v>
      </c>
      <c r="D131" s="97" t="s">
        <v>591</v>
      </c>
      <c r="E131" s="109" t="s">
        <v>654</v>
      </c>
      <c r="F131" s="186">
        <f t="shared" si="7"/>
        <v>125</v>
      </c>
      <c r="G131" s="187">
        <f>F50*F49*F78/F80</f>
        <v>125</v>
      </c>
      <c r="H131" s="459"/>
    </row>
    <row r="132" spans="2:8" ht="15" customHeight="1" x14ac:dyDescent="0.25">
      <c r="B132" s="17" t="s">
        <v>663</v>
      </c>
      <c r="C132" s="97" t="s">
        <v>647</v>
      </c>
      <c r="D132" s="97" t="s">
        <v>591</v>
      </c>
      <c r="E132" s="109" t="s">
        <v>545</v>
      </c>
      <c r="F132" s="186">
        <f t="shared" si="7"/>
        <v>4000</v>
      </c>
      <c r="G132" s="187">
        <f>F60*F49/F56</f>
        <v>4000</v>
      </c>
      <c r="H132" s="82"/>
    </row>
    <row r="133" spans="2:8" ht="15" customHeight="1" x14ac:dyDescent="0.25">
      <c r="B133" s="17" t="s">
        <v>664</v>
      </c>
      <c r="C133" s="97" t="s">
        <v>648</v>
      </c>
      <c r="D133" s="97" t="s">
        <v>591</v>
      </c>
      <c r="E133" s="109" t="s">
        <v>655</v>
      </c>
      <c r="F133" s="186">
        <f t="shared" si="7"/>
        <v>150000</v>
      </c>
      <c r="G133" s="187">
        <f>F59*F49*(F71+F70)</f>
        <v>150000</v>
      </c>
      <c r="H133" s="82"/>
    </row>
    <row r="134" spans="2:8" ht="15" customHeight="1" x14ac:dyDescent="0.25">
      <c r="B134" s="17" t="s">
        <v>666</v>
      </c>
      <c r="C134" s="97" t="s">
        <v>685</v>
      </c>
      <c r="D134" s="97" t="s">
        <v>591</v>
      </c>
      <c r="E134" s="109" t="s">
        <v>675</v>
      </c>
      <c r="F134" s="186">
        <f t="shared" si="7"/>
        <v>15774.396348950686</v>
      </c>
      <c r="G134" s="187">
        <f>PMT($F$68/12,$F$67,-F126/12*$F$67)*12-F126</f>
        <v>15774.396348950686</v>
      </c>
      <c r="H134" s="82"/>
    </row>
    <row r="135" spans="2:8" ht="15" customHeight="1" x14ac:dyDescent="0.25">
      <c r="B135" s="17" t="s">
        <v>667</v>
      </c>
      <c r="C135" s="97" t="s">
        <v>686</v>
      </c>
      <c r="D135" s="97" t="s">
        <v>591</v>
      </c>
      <c r="E135" s="109" t="s">
        <v>676</v>
      </c>
      <c r="F135" s="186">
        <f t="shared" ref="F135:F141" si="8">G135</f>
        <v>729.72112966548593</v>
      </c>
      <c r="G135" s="187">
        <f>PMT($F$68/12,$F$67,-F127/12*$F$67)*12-F127</f>
        <v>729.72112966548593</v>
      </c>
      <c r="H135" s="82"/>
    </row>
    <row r="136" spans="2:8" ht="15" customHeight="1" x14ac:dyDescent="0.25">
      <c r="B136" s="17" t="s">
        <v>668</v>
      </c>
      <c r="C136" s="97" t="s">
        <v>687</v>
      </c>
      <c r="D136" s="97" t="s">
        <v>591</v>
      </c>
      <c r="E136" s="109" t="s">
        <v>677</v>
      </c>
      <c r="F136" s="186">
        <f t="shared" si="8"/>
        <v>202.83541470791533</v>
      </c>
      <c r="G136" s="187">
        <f>PMT($F$68/12,$F$67,-F128/12*$F$67)*12-F128</f>
        <v>202.83541470791533</v>
      </c>
      <c r="H136" s="82"/>
    </row>
    <row r="137" spans="2:8" ht="15" customHeight="1" x14ac:dyDescent="0.25">
      <c r="B137" s="17" t="s">
        <v>669</v>
      </c>
      <c r="C137" s="97" t="s">
        <v>688</v>
      </c>
      <c r="D137" s="97" t="s">
        <v>591</v>
      </c>
      <c r="E137" s="109" t="s">
        <v>678</v>
      </c>
      <c r="F137" s="186">
        <f t="shared" si="8"/>
        <v>228.03785302046526</v>
      </c>
      <c r="G137" s="187">
        <f>PMT($F$68/12,$F$67,-F129/12*$F$67)*12-F129</f>
        <v>228.03785302046526</v>
      </c>
      <c r="H137" s="82"/>
    </row>
    <row r="138" spans="2:8" ht="15" customHeight="1" x14ac:dyDescent="0.25">
      <c r="B138" s="17" t="s">
        <v>670</v>
      </c>
      <c r="C138" s="97" t="s">
        <v>689</v>
      </c>
      <c r="D138" s="97" t="s">
        <v>591</v>
      </c>
      <c r="E138" s="109" t="s">
        <v>679</v>
      </c>
      <c r="F138" s="186">
        <f t="shared" si="8"/>
        <v>40107.806200058709</v>
      </c>
      <c r="G138" s="187">
        <f>PMT($F$68/12,F79*12,-F130*F79)*12-F130</f>
        <v>40107.806200058709</v>
      </c>
    </row>
    <row r="139" spans="2:8" ht="15" customHeight="1" x14ac:dyDescent="0.25">
      <c r="B139" s="17" t="s">
        <v>671</v>
      </c>
      <c r="C139" s="97" t="s">
        <v>690</v>
      </c>
      <c r="D139" s="97" t="s">
        <v>591</v>
      </c>
      <c r="E139" s="109" t="s">
        <v>680</v>
      </c>
      <c r="F139" s="186">
        <f t="shared" si="8"/>
        <v>116.67795806554216</v>
      </c>
      <c r="G139" s="187">
        <f>PMT($F$68/12,F80*12,-F131*F80)*12-F131</f>
        <v>116.67795806554216</v>
      </c>
    </row>
    <row r="140" spans="2:8" ht="15" customHeight="1" x14ac:dyDescent="0.25">
      <c r="B140" s="17" t="s">
        <v>672</v>
      </c>
      <c r="C140" s="192" t="s">
        <v>691</v>
      </c>
      <c r="D140" s="97" t="s">
        <v>591</v>
      </c>
      <c r="E140" s="109" t="s">
        <v>681</v>
      </c>
      <c r="F140" s="186">
        <f t="shared" si="8"/>
        <v>50.103841823992752</v>
      </c>
      <c r="G140" s="187">
        <f>PMT($F$68/12,F56*12,-F132*F56)*12-F132</f>
        <v>50.103841823992752</v>
      </c>
    </row>
    <row r="141" spans="2:8" ht="15" customHeight="1" x14ac:dyDescent="0.25">
      <c r="B141" s="17" t="s">
        <v>673</v>
      </c>
      <c r="C141" s="192" t="s">
        <v>692</v>
      </c>
      <c r="D141" s="97" t="s">
        <v>591</v>
      </c>
      <c r="E141" s="109" t="s">
        <v>682</v>
      </c>
      <c r="F141" s="186">
        <f t="shared" si="8"/>
        <v>1878.8940683997353</v>
      </c>
      <c r="G141" s="187">
        <f>PMT($F$68/12,$F$67,-F133*$F$67/12)*12-F133</f>
        <v>1878.8940683997353</v>
      </c>
    </row>
    <row r="142" spans="2:8" ht="15" customHeight="1" x14ac:dyDescent="0.25">
      <c r="B142" s="17" t="s">
        <v>674</v>
      </c>
      <c r="C142" s="192" t="s">
        <v>684</v>
      </c>
      <c r="D142" s="97" t="s">
        <v>591</v>
      </c>
      <c r="E142" s="109" t="s">
        <v>683</v>
      </c>
      <c r="F142" s="186">
        <f>G142</f>
        <v>59088.472814692534</v>
      </c>
      <c r="G142" s="187">
        <f>SUM(F134:F141)</f>
        <v>59088.472814692534</v>
      </c>
    </row>
    <row r="143" spans="2:8" ht="15" customHeight="1" thickBot="1" x14ac:dyDescent="0.3">
      <c r="B143" s="34" t="s">
        <v>665</v>
      </c>
      <c r="C143" s="36" t="s">
        <v>693</v>
      </c>
      <c r="D143" s="36" t="s">
        <v>591</v>
      </c>
      <c r="E143" s="193" t="s">
        <v>656</v>
      </c>
      <c r="F143" s="194">
        <f>G143</f>
        <v>1659704.8674733806</v>
      </c>
      <c r="G143" s="195">
        <f>SUM(F126:F133)+F142</f>
        <v>1659704.8674733806</v>
      </c>
    </row>
    <row r="145" spans="2:7" ht="15" customHeight="1" x14ac:dyDescent="0.25">
      <c r="D145" s="196" t="s">
        <v>694</v>
      </c>
      <c r="E145" s="2" t="s">
        <v>5</v>
      </c>
      <c r="F145" s="18" t="s">
        <v>347</v>
      </c>
      <c r="G145" s="18" t="s">
        <v>345</v>
      </c>
    </row>
    <row r="146" spans="2:7" ht="15" customHeight="1" x14ac:dyDescent="0.25">
      <c r="E146" s="2" t="s">
        <v>312</v>
      </c>
      <c r="F146" s="21">
        <f>F117</f>
        <v>2</v>
      </c>
      <c r="G146" s="127">
        <f>Tbl_PRNT_Time[[#This Row],[Time]]/Tbl_PRNT_Time[[#Totals],[Time]]</f>
        <v>3.8863404646106534E-2</v>
      </c>
    </row>
    <row r="147" spans="2:7" ht="15" customHeight="1" x14ac:dyDescent="0.25">
      <c r="E147" s="2" t="s">
        <v>348</v>
      </c>
      <c r="F147" s="21">
        <f>F118</f>
        <v>47.462295138888884</v>
      </c>
      <c r="G147" s="127">
        <f>Tbl_PRNT_Time[[#This Row],[Time]]/Tbl_PRNT_Time[[#Totals],[Time]]</f>
        <v>0.92227319070778691</v>
      </c>
    </row>
    <row r="148" spans="2:7" ht="15" customHeight="1" x14ac:dyDescent="0.25">
      <c r="C148"/>
      <c r="D148"/>
      <c r="E148" s="2" t="s">
        <v>313</v>
      </c>
      <c r="F148" s="21">
        <f>F119</f>
        <v>2</v>
      </c>
      <c r="G148" s="127">
        <f>Tbl_PRNT_Time[[#This Row],[Time]]/Tbl_PRNT_Time[[#Totals],[Time]]</f>
        <v>3.8863404646106534E-2</v>
      </c>
    </row>
    <row r="149" spans="2:7" ht="15" customHeight="1" x14ac:dyDescent="0.25">
      <c r="C149"/>
      <c r="D149"/>
      <c r="E149" s="2" t="s">
        <v>346</v>
      </c>
      <c r="F149" s="21">
        <f>SUBTOTAL(109,Tbl_PRNT_Time[Time])</f>
        <v>51.462295138888884</v>
      </c>
      <c r="G149" s="127">
        <f>SUBTOTAL(109,Tbl_PRNT_Time[Percent])</f>
        <v>0.99999999999999989</v>
      </c>
    </row>
    <row r="150" spans="2:7" ht="15" customHeight="1" x14ac:dyDescent="0.25">
      <c r="C150"/>
      <c r="D150"/>
      <c r="E150"/>
      <c r="F150"/>
      <c r="G150" s="1"/>
    </row>
    <row r="151" spans="2:7" ht="15" customHeight="1" x14ac:dyDescent="0.25">
      <c r="D151" s="197" t="s">
        <v>695</v>
      </c>
      <c r="E151" s="2" t="s">
        <v>5</v>
      </c>
      <c r="F151" s="18" t="s">
        <v>344</v>
      </c>
      <c r="G151" s="18" t="s">
        <v>345</v>
      </c>
    </row>
    <row r="152" spans="2:7" ht="15" customHeight="1" x14ac:dyDescent="0.25">
      <c r="C152"/>
      <c r="D152"/>
      <c r="E152" s="2" t="s">
        <v>261</v>
      </c>
      <c r="F152" s="128">
        <f>F126</f>
        <v>1259336.2724051208</v>
      </c>
      <c r="G152" s="127">
        <f>Tbl_PRNT_Cost[[#This Row],[Cost]]/Tbl_PRNT_Cost[[#Totals],[Cost]]</f>
        <v>0.75877121112637747</v>
      </c>
    </row>
    <row r="153" spans="2:7" ht="15" customHeight="1" x14ac:dyDescent="0.25">
      <c r="C153"/>
      <c r="D153"/>
      <c r="E153" s="2" t="s">
        <v>305</v>
      </c>
      <c r="F153" s="128">
        <f>F127</f>
        <v>58256.700731962614</v>
      </c>
      <c r="G153" s="127">
        <f>Tbl_PRNT_Cost[[#This Row],[Cost]]/Tbl_PRNT_Cost[[#Totals],[Cost]]</f>
        <v>3.5100638597661382E-2</v>
      </c>
    </row>
    <row r="154" spans="2:7" ht="15" customHeight="1" x14ac:dyDescent="0.25">
      <c r="B154"/>
      <c r="C154"/>
      <c r="D154"/>
      <c r="E154" s="2" t="s">
        <v>304</v>
      </c>
      <c r="F154" s="128">
        <f>F128</f>
        <v>16193.202542866449</v>
      </c>
      <c r="G154" s="127">
        <f>Tbl_PRNT_Cost[[#This Row],[Cost]]/Tbl_PRNT_Cost[[#Totals],[Cost]]</f>
        <v>9.7566759369199507E-3</v>
      </c>
    </row>
    <row r="155" spans="2:7" ht="15" customHeight="1" x14ac:dyDescent="0.25">
      <c r="B155"/>
      <c r="C155"/>
      <c r="D155"/>
      <c r="E155" s="2" t="s">
        <v>303</v>
      </c>
      <c r="F155" s="128">
        <f>F130</f>
        <v>94500.000000000015</v>
      </c>
      <c r="G155" s="127">
        <f>Tbl_PRNT_Cost[[#This Row],[Cost]]/Tbl_PRNT_Cost[[#Totals],[Cost]]</f>
        <v>5.6937833859498313E-2</v>
      </c>
    </row>
    <row r="156" spans="2:7" ht="15" customHeight="1" x14ac:dyDescent="0.25">
      <c r="B156"/>
      <c r="C156"/>
      <c r="D156"/>
      <c r="E156" s="2" t="s">
        <v>343</v>
      </c>
      <c r="F156" s="128">
        <f>F131</f>
        <v>125</v>
      </c>
      <c r="G156" s="127">
        <f>Tbl_PRNT_Cost[[#This Row],[Cost]]/Tbl_PRNT_Cost[[#Totals],[Cost]]</f>
        <v>7.5314595052246441E-5</v>
      </c>
    </row>
    <row r="157" spans="2:7" ht="15" customHeight="1" x14ac:dyDescent="0.25">
      <c r="B157"/>
      <c r="C157"/>
      <c r="D157"/>
      <c r="E157" s="2" t="s">
        <v>342</v>
      </c>
      <c r="F157" s="128">
        <f>F132</f>
        <v>4000</v>
      </c>
      <c r="G157" s="127">
        <f>Tbl_PRNT_Cost[[#This Row],[Cost]]/Tbl_PRNT_Cost[[#Totals],[Cost]]</f>
        <v>2.4100670416718861E-3</v>
      </c>
    </row>
    <row r="158" spans="2:7" ht="15" customHeight="1" x14ac:dyDescent="0.25">
      <c r="B158"/>
      <c r="C158"/>
      <c r="D158"/>
      <c r="E158" s="2" t="s">
        <v>216</v>
      </c>
      <c r="F158" s="128">
        <f>F129+F133</f>
        <v>168205.21897873832</v>
      </c>
      <c r="G158" s="127">
        <f>Tbl_PRNT_Cost[[#This Row],[Cost]]/Tbl_PRNT_Cost[[#Totals],[Cost]]</f>
        <v>0.10134646362446491</v>
      </c>
    </row>
    <row r="159" spans="2:7" ht="15" customHeight="1" x14ac:dyDescent="0.25">
      <c r="B159"/>
      <c r="C159"/>
      <c r="D159"/>
      <c r="E159" s="2" t="s">
        <v>464</v>
      </c>
      <c r="F159" s="128">
        <f>F142</f>
        <v>59088.472814692534</v>
      </c>
      <c r="G159" s="127">
        <f>Tbl_PRNT_Cost[[#This Row],[Cost]]/Tbl_PRNT_Cost[[#Totals],[Cost]]</f>
        <v>3.5601795218353924E-2</v>
      </c>
    </row>
    <row r="160" spans="2:7" ht="15" customHeight="1" x14ac:dyDescent="0.25">
      <c r="B160"/>
      <c r="C160"/>
      <c r="D160"/>
      <c r="E160" s="2" t="s">
        <v>346</v>
      </c>
      <c r="F160" s="128">
        <f>SUBTOTAL(109,Tbl_PRNT_Cost[Cost])</f>
        <v>1659704.8674733806</v>
      </c>
      <c r="G160" s="191">
        <f>SUBTOTAL(109,Tbl_PRNT_Cost[Percent])</f>
        <v>1.0000000000000002</v>
      </c>
    </row>
    <row r="169" spans="2:7" ht="15" customHeight="1" x14ac:dyDescent="0.25">
      <c r="B169"/>
      <c r="C169"/>
      <c r="D169"/>
      <c r="E169"/>
      <c r="F169"/>
      <c r="G169" s="1"/>
    </row>
    <row r="170" spans="2:7" ht="15" customHeight="1" x14ac:dyDescent="0.25">
      <c r="B170"/>
      <c r="C170"/>
      <c r="D170"/>
      <c r="E170"/>
      <c r="F170"/>
      <c r="G170" s="1"/>
    </row>
    <row r="171" spans="2:7" ht="15" customHeight="1" x14ac:dyDescent="0.25">
      <c r="B171"/>
      <c r="C171"/>
      <c r="D171"/>
      <c r="E171"/>
      <c r="F171"/>
      <c r="G171" s="1"/>
    </row>
    <row r="172" spans="2:7" ht="15" customHeight="1" x14ac:dyDescent="0.25">
      <c r="B172"/>
      <c r="C172"/>
      <c r="D172"/>
      <c r="E172"/>
      <c r="F172"/>
      <c r="G172" s="1"/>
    </row>
    <row r="173" spans="2:7" ht="15" customHeight="1" x14ac:dyDescent="0.25">
      <c r="B173"/>
      <c r="C173"/>
      <c r="D173"/>
      <c r="E173"/>
      <c r="F173"/>
      <c r="G173" s="1"/>
    </row>
    <row r="174" spans="2:7" ht="15" customHeight="1" x14ac:dyDescent="0.25">
      <c r="B174"/>
      <c r="C174"/>
      <c r="D174"/>
      <c r="E174"/>
      <c r="F174"/>
      <c r="G174" s="1"/>
    </row>
    <row r="175" spans="2:7" ht="15" customHeight="1" x14ac:dyDescent="0.25">
      <c r="B175"/>
      <c r="C175"/>
      <c r="D175"/>
      <c r="E175"/>
      <c r="F175"/>
      <c r="G175" s="1"/>
    </row>
    <row r="176" spans="2:7" ht="15" customHeight="1" x14ac:dyDescent="0.25">
      <c r="B176"/>
      <c r="C176"/>
      <c r="D176"/>
      <c r="E176"/>
      <c r="F176"/>
      <c r="G176" s="1"/>
    </row>
    <row r="177" spans="2:7" ht="15" customHeight="1" x14ac:dyDescent="0.25">
      <c r="B177"/>
      <c r="C177"/>
      <c r="D177"/>
      <c r="E177"/>
      <c r="F177"/>
      <c r="G177" s="1"/>
    </row>
    <row r="178" spans="2:7" ht="15" customHeight="1" x14ac:dyDescent="0.25">
      <c r="B178"/>
      <c r="C178"/>
      <c r="D178"/>
      <c r="E178"/>
      <c r="F178"/>
      <c r="G178" s="1"/>
    </row>
    <row r="179" spans="2:7" ht="15" customHeight="1" x14ac:dyDescent="0.25">
      <c r="B179"/>
      <c r="C179"/>
      <c r="D179"/>
      <c r="E179"/>
      <c r="F179"/>
      <c r="G179" s="1"/>
    </row>
    <row r="180" spans="2:7" ht="15" customHeight="1" x14ac:dyDescent="0.25">
      <c r="B180"/>
      <c r="C180"/>
      <c r="D180"/>
      <c r="E180"/>
      <c r="F180"/>
      <c r="G180" s="1"/>
    </row>
    <row r="181" spans="2:7" ht="15" customHeight="1" x14ac:dyDescent="0.25">
      <c r="B181"/>
      <c r="C181"/>
      <c r="D181"/>
      <c r="E181"/>
      <c r="F181"/>
      <c r="G181" s="1"/>
    </row>
    <row r="182" spans="2:7" ht="15" customHeight="1" x14ac:dyDescent="0.25">
      <c r="B182"/>
      <c r="C182"/>
      <c r="D182"/>
      <c r="E182"/>
      <c r="F182"/>
      <c r="G182" s="1"/>
    </row>
    <row r="183" spans="2:7" ht="15" customHeight="1" x14ac:dyDescent="0.25">
      <c r="B183"/>
      <c r="C183"/>
      <c r="D183"/>
      <c r="E183"/>
      <c r="F183"/>
      <c r="G183" s="1"/>
    </row>
    <row r="184" spans="2:7" ht="15" customHeight="1" x14ac:dyDescent="0.25">
      <c r="B184"/>
      <c r="C184"/>
      <c r="D184"/>
      <c r="E184"/>
      <c r="F184"/>
      <c r="G184" s="1"/>
    </row>
    <row r="185" spans="2:7" ht="15" customHeight="1" x14ac:dyDescent="0.25">
      <c r="B185"/>
      <c r="C185"/>
      <c r="D185"/>
      <c r="E185"/>
      <c r="F185"/>
      <c r="G185" s="1"/>
    </row>
    <row r="186" spans="2:7" ht="15" customHeight="1" x14ac:dyDescent="0.25">
      <c r="B186"/>
      <c r="C186"/>
      <c r="D186"/>
      <c r="E186"/>
      <c r="F186"/>
      <c r="G186" s="1"/>
    </row>
    <row r="187" spans="2:7" ht="15" customHeight="1" x14ac:dyDescent="0.25">
      <c r="B187"/>
      <c r="C187"/>
      <c r="D187"/>
      <c r="E187"/>
      <c r="F187"/>
      <c r="G187" s="1"/>
    </row>
    <row r="188" spans="2:7" ht="15" customHeight="1" x14ac:dyDescent="0.25">
      <c r="B188"/>
      <c r="C188"/>
      <c r="D188"/>
      <c r="E188"/>
      <c r="F188"/>
      <c r="G188" s="1"/>
    </row>
    <row r="189" spans="2:7" ht="15" customHeight="1" x14ac:dyDescent="0.25">
      <c r="B189"/>
      <c r="C189"/>
      <c r="D189"/>
      <c r="E189"/>
      <c r="F189"/>
      <c r="G189" s="1"/>
    </row>
    <row r="190" spans="2:7" ht="15" customHeight="1" x14ac:dyDescent="0.25">
      <c r="B190"/>
      <c r="C190"/>
      <c r="D190"/>
      <c r="E190"/>
      <c r="F190"/>
      <c r="G190" s="1"/>
    </row>
    <row r="191" spans="2:7" ht="15" customHeight="1" x14ac:dyDescent="0.25">
      <c r="B191"/>
      <c r="C191"/>
      <c r="D191"/>
      <c r="E191"/>
      <c r="F191"/>
      <c r="G191" s="1"/>
    </row>
    <row r="192" spans="2:7" ht="15" customHeight="1" x14ac:dyDescent="0.25">
      <c r="B192"/>
      <c r="C192"/>
      <c r="D192"/>
      <c r="E192"/>
      <c r="F192"/>
      <c r="G192" s="1"/>
    </row>
    <row r="193" spans="2:7" ht="15" customHeight="1" x14ac:dyDescent="0.25">
      <c r="B193"/>
      <c r="C193"/>
      <c r="D193"/>
      <c r="E193"/>
      <c r="F193"/>
      <c r="G193" s="1"/>
    </row>
  </sheetData>
  <sheetProtection algorithmName="SHA-512" hashValue="MOoJTREKKcvOAMzH/C3xwR5HmURJLsNmUYk65WdMTu8cwVNrT2qLFlHM+nycvA2FEcx+0gDa/4aCFDO2HmYiOg==" saltValue="EArQ0kzZeclJamgBTvaKFA==" spinCount="100000" sheet="1" objects="1" scenarios="1"/>
  <pageMargins left="0.7" right="0.7" top="0.75" bottom="0.75" header="0.3" footer="0.3"/>
  <pageSetup orientation="portrait"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D6AE2-A094-4C7D-B793-EA29CB7C977C}">
  <sheetPr codeName="Sheet6">
    <tabColor theme="8" tint="-0.499984740745262"/>
  </sheetPr>
  <dimension ref="A1:M103"/>
  <sheetViews>
    <sheetView workbookViewId="0"/>
  </sheetViews>
  <sheetFormatPr defaultColWidth="12.7109375" defaultRowHeight="15" customHeight="1" x14ac:dyDescent="0.25"/>
  <cols>
    <col min="1" max="1" width="5.7109375" customWidth="1"/>
    <col min="2" max="2" width="36.7109375" style="19" customWidth="1"/>
    <col min="3" max="3" width="64.7109375" style="18" customWidth="1"/>
    <col min="4" max="4" width="12.7109375" style="18" customWidth="1"/>
    <col min="5" max="6" width="24.7109375" style="13" customWidth="1"/>
    <col min="7" max="7" width="24.7109375" style="28" customWidth="1"/>
    <col min="8" max="8" width="42.7109375" style="23" customWidth="1"/>
    <col min="12" max="12" width="14.28515625" customWidth="1"/>
  </cols>
  <sheetData>
    <row r="1" spans="2:11" ht="15" customHeight="1" thickBot="1" x14ac:dyDescent="0.3"/>
    <row r="2" spans="2:11" ht="15" customHeight="1" thickBot="1" x14ac:dyDescent="0.3">
      <c r="B2" s="130" t="s">
        <v>67</v>
      </c>
      <c r="C2" s="131"/>
      <c r="D2" s="131"/>
      <c r="E2" s="131"/>
      <c r="F2" s="131"/>
      <c r="G2" s="132"/>
    </row>
    <row r="3" spans="2:11" ht="15" customHeight="1" thickBot="1" x14ac:dyDescent="0.3">
      <c r="B3" s="63" t="s">
        <v>1560</v>
      </c>
      <c r="C3" s="64"/>
      <c r="D3" s="64"/>
      <c r="E3" s="64"/>
      <c r="F3" s="64"/>
      <c r="G3" s="65"/>
    </row>
    <row r="4" spans="2:11" ht="15" customHeight="1" thickBot="1" x14ac:dyDescent="0.3">
      <c r="B4" s="14" t="s">
        <v>45</v>
      </c>
      <c r="C4" s="16" t="s">
        <v>579</v>
      </c>
      <c r="D4" s="16" t="s">
        <v>578</v>
      </c>
      <c r="E4" s="16" t="s">
        <v>47</v>
      </c>
      <c r="F4" s="16" t="s">
        <v>48</v>
      </c>
      <c r="G4" s="48" t="s">
        <v>5</v>
      </c>
      <c r="H4" s="39" t="s">
        <v>49</v>
      </c>
      <c r="J4" t="s">
        <v>475</v>
      </c>
    </row>
    <row r="5" spans="2:11" ht="15" customHeight="1" thickBot="1" x14ac:dyDescent="0.3">
      <c r="B5" s="339" t="s">
        <v>1561</v>
      </c>
      <c r="C5" s="340"/>
      <c r="D5" s="341" t="s">
        <v>1138</v>
      </c>
      <c r="E5" s="340" t="s">
        <v>1564</v>
      </c>
      <c r="F5" s="341" t="b">
        <f>G5</f>
        <v>0</v>
      </c>
      <c r="G5" s="429" t="b">
        <v>0</v>
      </c>
      <c r="H5"/>
      <c r="J5" t="s">
        <v>498</v>
      </c>
      <c r="K5" t="s">
        <v>344</v>
      </c>
    </row>
    <row r="6" spans="2:11" ht="15" customHeight="1" thickBot="1" x14ac:dyDescent="0.3">
      <c r="B6" s="63" t="s">
        <v>377</v>
      </c>
      <c r="C6" s="64"/>
      <c r="D6" s="64"/>
      <c r="E6" s="64"/>
      <c r="F6" s="64"/>
      <c r="G6" s="65"/>
      <c r="J6" t="s">
        <v>499</v>
      </c>
      <c r="K6" t="s">
        <v>500</v>
      </c>
    </row>
    <row r="7" spans="2:11" ht="15" customHeight="1" thickBot="1" x14ac:dyDescent="0.3">
      <c r="B7" s="14" t="s">
        <v>45</v>
      </c>
      <c r="C7" s="16" t="s">
        <v>579</v>
      </c>
      <c r="D7" s="16" t="s">
        <v>578</v>
      </c>
      <c r="E7" s="16" t="s">
        <v>47</v>
      </c>
      <c r="F7" s="16" t="s">
        <v>48</v>
      </c>
      <c r="G7" s="48" t="s">
        <v>5</v>
      </c>
      <c r="H7" s="39" t="s">
        <v>49</v>
      </c>
      <c r="J7" t="s">
        <v>504</v>
      </c>
      <c r="K7" t="s">
        <v>505</v>
      </c>
    </row>
    <row r="8" spans="2:11" ht="15" customHeight="1" thickBot="1" x14ac:dyDescent="0.3">
      <c r="B8" s="34" t="s">
        <v>269</v>
      </c>
      <c r="C8" s="207"/>
      <c r="D8" s="207" t="s">
        <v>768</v>
      </c>
      <c r="E8" s="199" t="s">
        <v>561</v>
      </c>
      <c r="F8" s="134">
        <f>G8</f>
        <v>126.5</v>
      </c>
      <c r="G8" s="198">
        <f>'PRNT Backend'!F91</f>
        <v>126.5</v>
      </c>
      <c r="J8" t="s">
        <v>501</v>
      </c>
      <c r="K8" t="s">
        <v>502</v>
      </c>
    </row>
    <row r="9" spans="2:11" ht="15" customHeight="1" thickBot="1" x14ac:dyDescent="0.3">
      <c r="B9" s="63" t="s">
        <v>38</v>
      </c>
      <c r="C9" s="64"/>
      <c r="D9" s="64"/>
      <c r="E9" s="64"/>
      <c r="F9" s="64"/>
      <c r="G9" s="65"/>
      <c r="J9" t="s">
        <v>509</v>
      </c>
      <c r="K9" t="s">
        <v>347</v>
      </c>
    </row>
    <row r="10" spans="2:11" ht="15" customHeight="1" thickBot="1" x14ac:dyDescent="0.3">
      <c r="B10" s="14" t="s">
        <v>45</v>
      </c>
      <c r="C10" s="16" t="s">
        <v>579</v>
      </c>
      <c r="D10" s="16" t="s">
        <v>578</v>
      </c>
      <c r="E10" s="16" t="s">
        <v>47</v>
      </c>
      <c r="F10" s="16" t="s">
        <v>48</v>
      </c>
      <c r="G10" s="48" t="s">
        <v>5</v>
      </c>
      <c r="H10" s="39" t="s">
        <v>49</v>
      </c>
      <c r="J10" t="s">
        <v>510</v>
      </c>
      <c r="K10" t="s">
        <v>511</v>
      </c>
    </row>
    <row r="11" spans="2:11" ht="15" customHeight="1" x14ac:dyDescent="0.25">
      <c r="B11" s="57" t="s">
        <v>1137</v>
      </c>
      <c r="C11" s="60"/>
      <c r="D11" s="60" t="s">
        <v>1138</v>
      </c>
      <c r="E11" s="59" t="s">
        <v>1139</v>
      </c>
      <c r="F11" s="60" t="b">
        <f t="shared" ref="F11:F28" si="0">G11</f>
        <v>1</v>
      </c>
      <c r="G11" s="428" t="b">
        <v>1</v>
      </c>
      <c r="H11" s="59"/>
      <c r="J11" t="s">
        <v>251</v>
      </c>
      <c r="K11" t="s">
        <v>516</v>
      </c>
    </row>
    <row r="12" spans="2:11" ht="15" customHeight="1" x14ac:dyDescent="0.25">
      <c r="B12" s="88" t="s">
        <v>352</v>
      </c>
      <c r="D12" s="49" t="s">
        <v>292</v>
      </c>
      <c r="E12" s="96" t="s">
        <v>698</v>
      </c>
      <c r="F12" s="97">
        <f t="shared" si="0"/>
        <v>36</v>
      </c>
      <c r="G12" s="261">
        <f>'5. Post Processing'!D16</f>
        <v>36</v>
      </c>
      <c r="J12" t="s">
        <v>517</v>
      </c>
      <c r="K12" t="s">
        <v>518</v>
      </c>
    </row>
    <row r="13" spans="2:11" ht="15" customHeight="1" x14ac:dyDescent="0.25">
      <c r="B13" s="88" t="s">
        <v>26</v>
      </c>
      <c r="D13" s="49" t="s">
        <v>357</v>
      </c>
      <c r="E13" s="23" t="s">
        <v>699</v>
      </c>
      <c r="F13" s="136">
        <f t="shared" si="0"/>
        <v>0</v>
      </c>
      <c r="G13" s="137">
        <f>'5. Post Processing'!D17</f>
        <v>0</v>
      </c>
      <c r="J13" t="s">
        <v>523</v>
      </c>
      <c r="K13" t="s">
        <v>524</v>
      </c>
    </row>
    <row r="14" spans="2:11" ht="15" customHeight="1" x14ac:dyDescent="0.25">
      <c r="B14" s="88" t="s">
        <v>356</v>
      </c>
      <c r="D14" s="49" t="s">
        <v>253</v>
      </c>
      <c r="E14" s="23" t="s">
        <v>700</v>
      </c>
      <c r="F14" s="136">
        <f t="shared" si="0"/>
        <v>17</v>
      </c>
      <c r="G14" s="137">
        <f>'5. Post Processing'!D18</f>
        <v>17</v>
      </c>
      <c r="J14" t="s">
        <v>529</v>
      </c>
      <c r="K14" t="s">
        <v>530</v>
      </c>
    </row>
    <row r="15" spans="2:11" ht="15" customHeight="1" x14ac:dyDescent="0.25">
      <c r="B15" s="88" t="s">
        <v>1567</v>
      </c>
      <c r="D15" s="49" t="s">
        <v>253</v>
      </c>
      <c r="E15" s="23" t="s">
        <v>1568</v>
      </c>
      <c r="F15" s="136">
        <f>G15</f>
        <v>5</v>
      </c>
      <c r="G15" s="137">
        <f>'5. Post Processing'!D19</f>
        <v>5</v>
      </c>
    </row>
    <row r="16" spans="2:11" ht="15" customHeight="1" x14ac:dyDescent="0.25">
      <c r="B16" s="88" t="s">
        <v>354</v>
      </c>
      <c r="D16" s="49" t="s">
        <v>353</v>
      </c>
      <c r="E16" s="23" t="s">
        <v>703</v>
      </c>
      <c r="F16" s="136">
        <f t="shared" si="0"/>
        <v>0</v>
      </c>
      <c r="G16" s="137">
        <f>'5. Post Processing'!D20</f>
        <v>0</v>
      </c>
      <c r="J16" t="s">
        <v>563</v>
      </c>
      <c r="K16" t="s">
        <v>564</v>
      </c>
    </row>
    <row r="17" spans="1:11" ht="15" customHeight="1" x14ac:dyDescent="0.25">
      <c r="B17" s="88" t="s">
        <v>355</v>
      </c>
      <c r="D17" s="49" t="s">
        <v>353</v>
      </c>
      <c r="E17" s="23" t="s">
        <v>704</v>
      </c>
      <c r="F17" s="136">
        <f t="shared" si="0"/>
        <v>22.85</v>
      </c>
      <c r="G17" s="137">
        <f>'5. Post Processing'!D21</f>
        <v>22.85</v>
      </c>
      <c r="J17" t="s">
        <v>738</v>
      </c>
      <c r="K17" t="s">
        <v>304</v>
      </c>
    </row>
    <row r="18" spans="1:11" ht="15" customHeight="1" x14ac:dyDescent="0.25">
      <c r="A18" s="1"/>
      <c r="B18" s="88" t="s">
        <v>288</v>
      </c>
      <c r="D18" s="97" t="s">
        <v>284</v>
      </c>
      <c r="E18" s="23" t="s">
        <v>705</v>
      </c>
      <c r="F18" s="136">
        <f t="shared" si="0"/>
        <v>250</v>
      </c>
      <c r="G18" s="137">
        <f>'5. Post Processing'!D25</f>
        <v>250</v>
      </c>
      <c r="J18" s="1"/>
      <c r="K18" s="1"/>
    </row>
    <row r="19" spans="1:11" ht="15" customHeight="1" x14ac:dyDescent="0.25">
      <c r="B19" s="88" t="s">
        <v>287</v>
      </c>
      <c r="D19" s="97" t="s">
        <v>285</v>
      </c>
      <c r="E19" s="23" t="s">
        <v>706</v>
      </c>
      <c r="F19" s="136">
        <f t="shared" si="0"/>
        <v>16</v>
      </c>
      <c r="G19" s="137">
        <f>'5. Post Processing'!D26</f>
        <v>16</v>
      </c>
    </row>
    <row r="20" spans="1:11" ht="15" customHeight="1" x14ac:dyDescent="0.25">
      <c r="B20" s="88" t="s">
        <v>466</v>
      </c>
      <c r="C20" s="192"/>
      <c r="D20" s="192" t="s">
        <v>292</v>
      </c>
      <c r="E20" s="1" t="s">
        <v>708</v>
      </c>
      <c r="F20" s="262">
        <f t="shared" si="0"/>
        <v>1</v>
      </c>
      <c r="G20" s="135">
        <f>'5. Post Processing'!D27</f>
        <v>1</v>
      </c>
      <c r="H20" s="82"/>
    </row>
    <row r="21" spans="1:11" ht="15" customHeight="1" x14ac:dyDescent="0.25">
      <c r="B21" s="88" t="s">
        <v>297</v>
      </c>
      <c r="D21" s="97" t="s">
        <v>771</v>
      </c>
      <c r="E21" s="23" t="s">
        <v>712</v>
      </c>
      <c r="F21" s="136">
        <f t="shared" si="0"/>
        <v>100</v>
      </c>
      <c r="G21" s="137">
        <f>'5. Post Processing'!D28</f>
        <v>100</v>
      </c>
      <c r="J21" s="1"/>
      <c r="K21" s="1"/>
    </row>
    <row r="22" spans="1:11" ht="15" customHeight="1" x14ac:dyDescent="0.25">
      <c r="B22" s="88" t="s">
        <v>317</v>
      </c>
      <c r="D22" s="97" t="s">
        <v>713</v>
      </c>
      <c r="E22" t="s">
        <v>716</v>
      </c>
      <c r="F22" s="136">
        <f t="shared" si="0"/>
        <v>1</v>
      </c>
      <c r="G22" s="137">
        <f>'5. Post Processing'!D29</f>
        <v>1</v>
      </c>
    </row>
    <row r="23" spans="1:11" ht="15" customHeight="1" x14ac:dyDescent="0.25">
      <c r="B23" s="88" t="s">
        <v>327</v>
      </c>
      <c r="D23" s="97" t="s">
        <v>8</v>
      </c>
      <c r="E23" t="s">
        <v>722</v>
      </c>
      <c r="F23" s="144">
        <f t="shared" si="0"/>
        <v>0.25</v>
      </c>
      <c r="G23" s="145">
        <f>'5. Post Processing'!D30</f>
        <v>0.25</v>
      </c>
    </row>
    <row r="24" spans="1:11" s="1" customFormat="1" ht="15" customHeight="1" x14ac:dyDescent="0.25">
      <c r="A24"/>
      <c r="B24" s="88" t="s">
        <v>281</v>
      </c>
      <c r="C24" s="18"/>
      <c r="D24" s="49" t="s">
        <v>253</v>
      </c>
      <c r="E24" s="23" t="s">
        <v>701</v>
      </c>
      <c r="F24" s="136">
        <f t="shared" si="0"/>
        <v>2</v>
      </c>
      <c r="G24" s="137">
        <f>'5. Post Processing'!D31</f>
        <v>2</v>
      </c>
      <c r="H24" s="23"/>
      <c r="I24"/>
    </row>
    <row r="25" spans="1:11" ht="15" customHeight="1" x14ac:dyDescent="0.25">
      <c r="B25" s="88" t="s">
        <v>293</v>
      </c>
      <c r="D25" s="49" t="s">
        <v>253</v>
      </c>
      <c r="E25" s="23" t="s">
        <v>702</v>
      </c>
      <c r="F25" s="136">
        <f t="shared" si="0"/>
        <v>2</v>
      </c>
      <c r="G25" s="137">
        <f>'5. Post Processing'!D32</f>
        <v>2</v>
      </c>
    </row>
    <row r="26" spans="1:11" ht="15" customHeight="1" x14ac:dyDescent="0.25">
      <c r="B26" s="88" t="s">
        <v>359</v>
      </c>
      <c r="D26" s="97" t="s">
        <v>8</v>
      </c>
      <c r="E26" t="s">
        <v>723</v>
      </c>
      <c r="F26" s="144">
        <f t="shared" si="0"/>
        <v>0.9</v>
      </c>
      <c r="G26" s="145">
        <f>'5. Post Processing'!D33</f>
        <v>0.9</v>
      </c>
    </row>
    <row r="27" spans="1:11" ht="15" customHeight="1" x14ac:dyDescent="0.25">
      <c r="B27" s="88" t="s">
        <v>24</v>
      </c>
      <c r="D27" s="97" t="s">
        <v>250</v>
      </c>
      <c r="E27" t="s">
        <v>727</v>
      </c>
      <c r="F27" s="202">
        <f t="shared" si="0"/>
        <v>2500000</v>
      </c>
      <c r="G27" s="203">
        <f>'5. Post Processing'!D34</f>
        <v>2500000</v>
      </c>
    </row>
    <row r="28" spans="1:11" ht="15" customHeight="1" x14ac:dyDescent="0.25">
      <c r="B28" s="88" t="s">
        <v>318</v>
      </c>
      <c r="D28" s="97" t="s">
        <v>250</v>
      </c>
      <c r="E28" t="s">
        <v>728</v>
      </c>
      <c r="F28" s="202">
        <f t="shared" si="0"/>
        <v>250000</v>
      </c>
      <c r="G28" s="203">
        <f>'5. Post Processing'!D35</f>
        <v>250000</v>
      </c>
    </row>
    <row r="29" spans="1:11" ht="15" customHeight="1" thickBot="1" x14ac:dyDescent="0.3">
      <c r="A29" s="1"/>
      <c r="B29" s="3" t="s">
        <v>265</v>
      </c>
      <c r="C29" s="36" t="s">
        <v>707</v>
      </c>
      <c r="D29" s="36" t="s">
        <v>697</v>
      </c>
      <c r="E29" t="s">
        <v>758</v>
      </c>
      <c r="F29" s="270">
        <f>G29</f>
        <v>4000</v>
      </c>
      <c r="G29" s="221">
        <f>G18*G19</f>
        <v>4000</v>
      </c>
      <c r="I29" s="96"/>
    </row>
    <row r="30" spans="1:11" ht="15" customHeight="1" thickBot="1" x14ac:dyDescent="0.3">
      <c r="B30" s="63" t="s">
        <v>1122</v>
      </c>
      <c r="C30" s="64"/>
      <c r="D30" s="64"/>
      <c r="E30" s="64"/>
      <c r="F30" s="64"/>
      <c r="G30" s="65"/>
    </row>
    <row r="31" spans="1:11" ht="15" customHeight="1" thickBot="1" x14ac:dyDescent="0.3">
      <c r="B31" s="14" t="s">
        <v>45</v>
      </c>
      <c r="C31" s="16" t="s">
        <v>579</v>
      </c>
      <c r="D31" s="16" t="s">
        <v>578</v>
      </c>
      <c r="E31" s="16" t="s">
        <v>47</v>
      </c>
      <c r="F31" s="16" t="s">
        <v>48</v>
      </c>
      <c r="G31" s="48" t="s">
        <v>5</v>
      </c>
      <c r="H31" s="39" t="s">
        <v>49</v>
      </c>
    </row>
    <row r="32" spans="1:11" ht="15" customHeight="1" x14ac:dyDescent="0.25">
      <c r="B32" s="57" t="s">
        <v>1155</v>
      </c>
      <c r="C32" s="274"/>
      <c r="D32" s="281" t="s">
        <v>42</v>
      </c>
      <c r="E32" s="59" t="s">
        <v>1156</v>
      </c>
      <c r="F32" s="60" t="str">
        <f>G32</f>
        <v>Intermediate</v>
      </c>
      <c r="G32" s="282" t="str">
        <f>'1. TEA Variables'!D11</f>
        <v>Intermediate</v>
      </c>
      <c r="H32" s="59"/>
    </row>
    <row r="33" spans="1:11" ht="15" customHeight="1" x14ac:dyDescent="0.25">
      <c r="B33" s="263" t="s">
        <v>1157</v>
      </c>
      <c r="C33" s="275"/>
      <c r="D33" s="276" t="s">
        <v>42</v>
      </c>
      <c r="E33" s="264" t="s">
        <v>1158</v>
      </c>
      <c r="F33" s="280">
        <f>G33</f>
        <v>2</v>
      </c>
      <c r="G33" s="283">
        <f>IF(F32="Default",1,IF(F32="Intermediate",2,3))</f>
        <v>2</v>
      </c>
      <c r="H33" s="264"/>
      <c r="I33" s="96"/>
    </row>
    <row r="34" spans="1:11" ht="15" customHeight="1" x14ac:dyDescent="0.25">
      <c r="B34" s="88" t="s">
        <v>460</v>
      </c>
      <c r="C34" s="76"/>
      <c r="D34" s="76" t="s">
        <v>592</v>
      </c>
      <c r="E34" s="1" t="s">
        <v>721</v>
      </c>
      <c r="F34" s="265">
        <f t="shared" ref="F34:F45" si="1">G34</f>
        <v>3</v>
      </c>
      <c r="G34" s="266">
        <f>CHOOSE($F$33,'1. TEA Variables'!D14,'1. TEA Variables'!D31,'1. TEA Variables'!E48)</f>
        <v>3</v>
      </c>
      <c r="H34" s="242"/>
      <c r="I34" s="96"/>
    </row>
    <row r="35" spans="1:11" ht="15" customHeight="1" x14ac:dyDescent="0.25">
      <c r="A35" s="1"/>
      <c r="B35" s="88" t="s">
        <v>21</v>
      </c>
      <c r="D35" s="97" t="s">
        <v>8</v>
      </c>
      <c r="E35" t="s">
        <v>729</v>
      </c>
      <c r="F35" s="188">
        <f t="shared" si="1"/>
        <v>7.4999999999999997E-2</v>
      </c>
      <c r="G35" s="267">
        <f>CHOOSE($F$33,'1. TEA Variables'!D15,'1. TEA Variables'!D32,'1. TEA Variables'!E49)</f>
        <v>7.4999999999999997E-2</v>
      </c>
      <c r="I35" s="96"/>
    </row>
    <row r="36" spans="1:11" ht="15" customHeight="1" x14ac:dyDescent="0.25">
      <c r="A36" s="1"/>
      <c r="B36" s="88" t="s">
        <v>715</v>
      </c>
      <c r="D36" s="97" t="s">
        <v>8</v>
      </c>
      <c r="E36" t="s">
        <v>730</v>
      </c>
      <c r="F36" s="188">
        <f t="shared" si="1"/>
        <v>0.1</v>
      </c>
      <c r="G36" s="267">
        <f>CHOOSE($F$33,'1. TEA Variables'!D16,'1. TEA Variables'!D33,'1. TEA Variables'!E50)</f>
        <v>0.1</v>
      </c>
      <c r="I36" s="96"/>
    </row>
    <row r="37" spans="1:11" s="1" customFormat="1" ht="15" customHeight="1" x14ac:dyDescent="0.25">
      <c r="A37"/>
      <c r="B37" s="88" t="s">
        <v>329</v>
      </c>
      <c r="C37" s="18"/>
      <c r="D37" s="97" t="s">
        <v>8</v>
      </c>
      <c r="E37" t="s">
        <v>731</v>
      </c>
      <c r="F37" s="188">
        <f t="shared" si="1"/>
        <v>0.1</v>
      </c>
      <c r="G37" s="267">
        <f>CHOOSE($F$33,'1. TEA Variables'!D17,'1. TEA Variables'!D34,'1. TEA Variables'!E51)</f>
        <v>0.1</v>
      </c>
      <c r="H37" s="23"/>
      <c r="I37"/>
    </row>
    <row r="38" spans="1:11" ht="15" customHeight="1" x14ac:dyDescent="0.25">
      <c r="A38" s="1"/>
      <c r="B38" s="88" t="s">
        <v>330</v>
      </c>
      <c r="D38" s="97" t="s">
        <v>8</v>
      </c>
      <c r="E38" t="s">
        <v>732</v>
      </c>
      <c r="F38" s="188">
        <f t="shared" si="1"/>
        <v>0.1</v>
      </c>
      <c r="G38" s="267">
        <f>CHOOSE($F$33,'1. TEA Variables'!D18,'1. TEA Variables'!D35,'1. TEA Variables'!E52)</f>
        <v>0.1</v>
      </c>
      <c r="I38" s="96"/>
    </row>
    <row r="39" spans="1:11" s="1" customFormat="1" ht="15" customHeight="1" x14ac:dyDescent="0.25">
      <c r="A39"/>
      <c r="B39" s="88" t="s">
        <v>320</v>
      </c>
      <c r="C39" s="18"/>
      <c r="D39" s="97" t="s">
        <v>8</v>
      </c>
      <c r="E39" t="s">
        <v>717</v>
      </c>
      <c r="F39" s="188">
        <f t="shared" si="1"/>
        <v>0.05</v>
      </c>
      <c r="G39" s="267">
        <f>CHOOSE($F$33,'1. TEA Variables'!D19,'1. TEA Variables'!D36,'1. TEA Variables'!E53)</f>
        <v>0.05</v>
      </c>
      <c r="H39" s="23"/>
      <c r="I39"/>
      <c r="J39"/>
      <c r="K39"/>
    </row>
    <row r="40" spans="1:11" s="1" customFormat="1" ht="15" customHeight="1" x14ac:dyDescent="0.25">
      <c r="A40"/>
      <c r="B40" s="88" t="s">
        <v>457</v>
      </c>
      <c r="C40" s="76"/>
      <c r="D40" s="76" t="s">
        <v>8</v>
      </c>
      <c r="E40" s="1" t="s">
        <v>718</v>
      </c>
      <c r="F40" s="127">
        <f t="shared" si="1"/>
        <v>0.55000000000000004</v>
      </c>
      <c r="G40" s="121">
        <f>CHOOSE($F$33,'1. TEA Variables'!D20,'1. TEA Variables'!D37,'1. TEA Variables'!E54)</f>
        <v>0.55000000000000004</v>
      </c>
      <c r="H40" s="242"/>
      <c r="I40"/>
    </row>
    <row r="41" spans="1:11" ht="15" customHeight="1" x14ac:dyDescent="0.25">
      <c r="B41" s="88" t="s">
        <v>458</v>
      </c>
      <c r="C41" s="76"/>
      <c r="D41" s="76" t="s">
        <v>8</v>
      </c>
      <c r="E41" s="1" t="s">
        <v>719</v>
      </c>
      <c r="F41" s="21">
        <f t="shared" si="1"/>
        <v>0.5</v>
      </c>
      <c r="G41" s="90">
        <f>CHOOSE($F$33,'1. TEA Variables'!D21,'1. TEA Variables'!D38,'1. TEA Variables'!E55)</f>
        <v>0.5</v>
      </c>
      <c r="H41" s="242"/>
    </row>
    <row r="42" spans="1:11" ht="15" customHeight="1" x14ac:dyDescent="0.25">
      <c r="B42" s="88" t="s">
        <v>25</v>
      </c>
      <c r="D42" s="97" t="s">
        <v>289</v>
      </c>
      <c r="E42" t="s">
        <v>724</v>
      </c>
      <c r="F42" s="202">
        <f t="shared" si="1"/>
        <v>30</v>
      </c>
      <c r="G42" s="203">
        <f>CHOOSE($F$33,'1. TEA Variables'!D22,'1. TEA Variables'!D39,'1. TEA Variables'!E56)</f>
        <v>30</v>
      </c>
    </row>
    <row r="43" spans="1:11" ht="15" customHeight="1" x14ac:dyDescent="0.25">
      <c r="B43" s="88" t="s">
        <v>459</v>
      </c>
      <c r="C43" s="76"/>
      <c r="D43" s="76" t="s">
        <v>591</v>
      </c>
      <c r="E43" s="1" t="s">
        <v>720</v>
      </c>
      <c r="F43" s="128">
        <f t="shared" si="1"/>
        <v>75000</v>
      </c>
      <c r="G43" s="122">
        <f>CHOOSE($F$33,'1. TEA Variables'!D23,'1. TEA Variables'!D40,'1. TEA Variables'!E57)</f>
        <v>75000</v>
      </c>
      <c r="H43" s="242"/>
      <c r="I43" s="96"/>
    </row>
    <row r="44" spans="1:11" ht="15" customHeight="1" x14ac:dyDescent="0.25">
      <c r="B44" s="88" t="s">
        <v>19</v>
      </c>
      <c r="D44" s="97" t="s">
        <v>20</v>
      </c>
      <c r="E44" t="s">
        <v>726</v>
      </c>
      <c r="F44" s="202">
        <f t="shared" si="1"/>
        <v>0.1</v>
      </c>
      <c r="G44" s="203">
        <f>CHOOSE($F$33,'1. TEA Variables'!D24,'1. TEA Variables'!D41,'1. TEA Variables'!E58)</f>
        <v>0.1</v>
      </c>
    </row>
    <row r="45" spans="1:11" ht="15" customHeight="1" x14ac:dyDescent="0.25">
      <c r="B45" s="88" t="s">
        <v>323</v>
      </c>
      <c r="D45" s="97" t="s">
        <v>331</v>
      </c>
      <c r="E45" t="s">
        <v>725</v>
      </c>
      <c r="F45" s="202">
        <f t="shared" si="1"/>
        <v>25</v>
      </c>
      <c r="G45" s="203">
        <f>CHOOSE($F$33,'1. TEA Variables'!D25,'1. TEA Variables'!D42,'1. TEA Variables'!E59)</f>
        <v>25</v>
      </c>
      <c r="I45" s="96"/>
    </row>
    <row r="46" spans="1:11" ht="15" customHeight="1" x14ac:dyDescent="0.25">
      <c r="B46" s="88" t="s">
        <v>33</v>
      </c>
      <c r="D46" s="97" t="s">
        <v>290</v>
      </c>
      <c r="E46" s="23" t="s">
        <v>709</v>
      </c>
      <c r="F46" s="268">
        <f>G46</f>
        <v>10</v>
      </c>
      <c r="G46" s="269">
        <f>CHOOSE($F$33,'1. TEA Variables'!D26,'1. TEA Variables'!D43,'1. TEA Variables'!E60)</f>
        <v>10</v>
      </c>
    </row>
    <row r="47" spans="1:11" ht="15" customHeight="1" thickBot="1" x14ac:dyDescent="0.3">
      <c r="B47" s="88" t="s">
        <v>316</v>
      </c>
      <c r="D47" s="97" t="s">
        <v>290</v>
      </c>
      <c r="E47" s="23" t="s">
        <v>711</v>
      </c>
      <c r="F47" s="268">
        <f>G47</f>
        <v>20</v>
      </c>
      <c r="G47" s="269">
        <f>CHOOSE($F$33,'1. TEA Variables'!D27,'1. TEA Variables'!D44,'1. TEA Variables'!E61)</f>
        <v>20</v>
      </c>
    </row>
    <row r="48" spans="1:11" ht="15" customHeight="1" thickBot="1" x14ac:dyDescent="0.3">
      <c r="B48" s="63" t="s">
        <v>59</v>
      </c>
      <c r="C48" s="64"/>
      <c r="D48" s="64"/>
      <c r="E48" s="64"/>
      <c r="F48" s="64"/>
      <c r="G48" s="65"/>
    </row>
    <row r="49" spans="1:13" ht="15" customHeight="1" thickBot="1" x14ac:dyDescent="0.3">
      <c r="B49" s="14" t="s">
        <v>45</v>
      </c>
      <c r="C49" s="16" t="s">
        <v>579</v>
      </c>
      <c r="D49" s="16" t="s">
        <v>578</v>
      </c>
      <c r="E49" s="16" t="s">
        <v>47</v>
      </c>
      <c r="F49" s="16" t="s">
        <v>48</v>
      </c>
      <c r="G49" s="48" t="s">
        <v>5</v>
      </c>
      <c r="H49" s="39" t="s">
        <v>49</v>
      </c>
    </row>
    <row r="50" spans="1:13" ht="15" customHeight="1" x14ac:dyDescent="0.25">
      <c r="B50" s="24" t="s">
        <v>379</v>
      </c>
      <c r="C50" s="208" t="s">
        <v>42</v>
      </c>
      <c r="D50" s="208" t="s">
        <v>42</v>
      </c>
      <c r="E50" s="200" t="s">
        <v>734</v>
      </c>
      <c r="F50" s="108" t="str">
        <f t="shared" ref="F50:F59" si="2">G50</f>
        <v>Heat Treatment</v>
      </c>
      <c r="G50" s="138" t="str">
        <f>'5. Post Processing'!C13</f>
        <v>Heat Treatment</v>
      </c>
    </row>
    <row r="51" spans="1:13" ht="15" customHeight="1" x14ac:dyDescent="0.25">
      <c r="A51" s="1"/>
      <c r="B51" s="17" t="s">
        <v>368</v>
      </c>
      <c r="C51" s="49" t="s">
        <v>745</v>
      </c>
      <c r="D51" s="49" t="s">
        <v>371</v>
      </c>
      <c r="E51" s="23" t="s">
        <v>737</v>
      </c>
      <c r="F51" s="136">
        <f t="shared" si="2"/>
        <v>5</v>
      </c>
      <c r="G51" s="139">
        <f>IF(F5, F8*F13/60*F12, F15)</f>
        <v>5</v>
      </c>
    </row>
    <row r="52" spans="1:13" ht="15" customHeight="1" x14ac:dyDescent="0.25">
      <c r="A52" s="1"/>
      <c r="B52" s="88" t="s">
        <v>748</v>
      </c>
      <c r="C52" s="49" t="s">
        <v>749</v>
      </c>
      <c r="D52" s="49" t="s">
        <v>371</v>
      </c>
      <c r="E52" s="23" t="s">
        <v>752</v>
      </c>
      <c r="F52" s="136">
        <f>G52</f>
        <v>22</v>
      </c>
      <c r="G52" s="139">
        <f>F51+F14</f>
        <v>22</v>
      </c>
    </row>
    <row r="53" spans="1:13" ht="15" customHeight="1" x14ac:dyDescent="0.25">
      <c r="B53" s="88" t="s">
        <v>750</v>
      </c>
      <c r="C53" s="49" t="s">
        <v>751</v>
      </c>
      <c r="D53" s="49" t="s">
        <v>371</v>
      </c>
      <c r="E53" s="23" t="s">
        <v>753</v>
      </c>
      <c r="F53" s="136">
        <f>G53</f>
        <v>4</v>
      </c>
      <c r="G53" s="139">
        <f>F24+F25</f>
        <v>4</v>
      </c>
    </row>
    <row r="54" spans="1:13" ht="15" customHeight="1" x14ac:dyDescent="0.25">
      <c r="B54" s="88" t="s">
        <v>366</v>
      </c>
      <c r="C54" s="49" t="s">
        <v>754</v>
      </c>
      <c r="D54" s="49" t="s">
        <v>371</v>
      </c>
      <c r="E54" s="23" t="s">
        <v>1032</v>
      </c>
      <c r="F54" s="136">
        <f t="shared" si="2"/>
        <v>26</v>
      </c>
      <c r="G54" s="139">
        <f>F52+F53</f>
        <v>26</v>
      </c>
    </row>
    <row r="55" spans="1:13" ht="15" customHeight="1" x14ac:dyDescent="0.25">
      <c r="B55" s="88" t="s">
        <v>969</v>
      </c>
      <c r="C55" s="49" t="s">
        <v>755</v>
      </c>
      <c r="D55" s="49" t="s">
        <v>371</v>
      </c>
      <c r="E55" s="23" t="s">
        <v>757</v>
      </c>
      <c r="F55" s="136">
        <f>G55</f>
        <v>9.5</v>
      </c>
      <c r="G55" s="139">
        <f>F53+F52*F23</f>
        <v>9.5</v>
      </c>
    </row>
    <row r="56" spans="1:13" ht="15" customHeight="1" x14ac:dyDescent="0.25">
      <c r="B56" s="88" t="s">
        <v>764</v>
      </c>
      <c r="C56" s="49" t="s">
        <v>1034</v>
      </c>
      <c r="D56" s="49" t="s">
        <v>8</v>
      </c>
      <c r="E56" s="23" t="s">
        <v>765</v>
      </c>
      <c r="F56" s="188">
        <f>G56</f>
        <v>0.36538461538461536</v>
      </c>
      <c r="G56" s="205">
        <f>F55/F54</f>
        <v>0.36538461538461536</v>
      </c>
    </row>
    <row r="57" spans="1:13" ht="15" customHeight="1" x14ac:dyDescent="0.25">
      <c r="B57" s="17" t="s">
        <v>367</v>
      </c>
      <c r="C57" s="49" t="s">
        <v>756</v>
      </c>
      <c r="D57" s="49" t="s">
        <v>369</v>
      </c>
      <c r="E57" s="23" t="s">
        <v>740</v>
      </c>
      <c r="F57" s="136">
        <f t="shared" si="2"/>
        <v>114.25</v>
      </c>
      <c r="G57" s="139">
        <f>F51*F17+F14*F16</f>
        <v>114.25</v>
      </c>
      <c r="H57" s="82"/>
    </row>
    <row r="58" spans="1:13" ht="15" customHeight="1" x14ac:dyDescent="0.25">
      <c r="B58" s="17" t="s">
        <v>373</v>
      </c>
      <c r="C58" s="49" t="s">
        <v>1033</v>
      </c>
      <c r="D58" s="49" t="s">
        <v>736</v>
      </c>
      <c r="E58" s="23" t="s">
        <v>739</v>
      </c>
      <c r="F58" s="136">
        <f t="shared" si="2"/>
        <v>153.84615384615384</v>
      </c>
      <c r="G58" s="139">
        <f>F29/F54</f>
        <v>153.84615384615384</v>
      </c>
      <c r="H58"/>
    </row>
    <row r="59" spans="1:13" ht="15" customHeight="1" x14ac:dyDescent="0.25">
      <c r="B59" s="17" t="s">
        <v>28</v>
      </c>
      <c r="C59" s="49" t="s">
        <v>742</v>
      </c>
      <c r="D59" s="49" t="s">
        <v>370</v>
      </c>
      <c r="E59" s="23" t="s">
        <v>741</v>
      </c>
      <c r="F59" s="136">
        <f t="shared" si="2"/>
        <v>3.1736111111111112</v>
      </c>
      <c r="G59" s="139">
        <f>F57/F12</f>
        <v>3.1736111111111112</v>
      </c>
      <c r="J59" s="29"/>
      <c r="K59" s="13"/>
    </row>
    <row r="60" spans="1:13" ht="15" customHeight="1" x14ac:dyDescent="0.25">
      <c r="B60" s="17" t="s">
        <v>374</v>
      </c>
      <c r="C60" s="4" t="s">
        <v>747</v>
      </c>
      <c r="D60" s="49" t="s">
        <v>618</v>
      </c>
      <c r="E60" s="23" t="s">
        <v>743</v>
      </c>
      <c r="F60" s="136">
        <f>G60</f>
        <v>5538.4615384615381</v>
      </c>
      <c r="G60" s="139">
        <f>F58*F12</f>
        <v>5538.4615384615381</v>
      </c>
      <c r="H60"/>
      <c r="L60" s="13"/>
      <c r="M60" s="28"/>
    </row>
    <row r="61" spans="1:13" ht="15" customHeight="1" thickBot="1" x14ac:dyDescent="0.3">
      <c r="B61" s="34" t="s">
        <v>375</v>
      </c>
      <c r="C61" s="185" t="s">
        <v>746</v>
      </c>
      <c r="D61" s="207" t="s">
        <v>618</v>
      </c>
      <c r="E61" s="23" t="s">
        <v>744</v>
      </c>
      <c r="F61" s="134">
        <f>G61</f>
        <v>4984.6153846153848</v>
      </c>
      <c r="G61" s="142">
        <f>F60*F26</f>
        <v>4984.6153846153848</v>
      </c>
    </row>
    <row r="62" spans="1:13" ht="15" customHeight="1" thickBot="1" x14ac:dyDescent="0.3">
      <c r="B62" s="63" t="s">
        <v>384</v>
      </c>
      <c r="C62" s="64"/>
      <c r="D62" s="64"/>
      <c r="E62" s="64"/>
      <c r="F62" s="64"/>
      <c r="G62" s="65"/>
    </row>
    <row r="63" spans="1:13" ht="15" customHeight="1" thickBot="1" x14ac:dyDescent="0.3">
      <c r="B63" s="14" t="s">
        <v>45</v>
      </c>
      <c r="C63" s="16" t="s">
        <v>579</v>
      </c>
      <c r="D63" s="16" t="s">
        <v>578</v>
      </c>
      <c r="E63" s="16" t="s">
        <v>47</v>
      </c>
      <c r="F63" s="16" t="s">
        <v>48</v>
      </c>
      <c r="G63" s="48" t="s">
        <v>5</v>
      </c>
      <c r="H63" s="39" t="s">
        <v>49</v>
      </c>
    </row>
    <row r="64" spans="1:13" ht="15" customHeight="1" x14ac:dyDescent="0.25">
      <c r="B64" s="259" t="s">
        <v>321</v>
      </c>
      <c r="C64" s="209"/>
      <c r="D64" s="209"/>
      <c r="E64" s="152"/>
      <c r="F64" s="152"/>
      <c r="G64" s="153"/>
      <c r="H64" s="82"/>
    </row>
    <row r="65" spans="1:8" ht="15" customHeight="1" x14ac:dyDescent="0.25">
      <c r="B65" s="17" t="s">
        <v>312</v>
      </c>
      <c r="C65" s="49"/>
      <c r="D65" s="49" t="s">
        <v>253</v>
      </c>
      <c r="E65" s="97"/>
      <c r="F65" s="154">
        <f>G65</f>
        <v>2</v>
      </c>
      <c r="G65" s="139">
        <f>F24</f>
        <v>2</v>
      </c>
      <c r="H65" s="82"/>
    </row>
    <row r="66" spans="1:8" ht="15" customHeight="1" x14ac:dyDescent="0.25">
      <c r="A66" s="1"/>
      <c r="B66" s="17" t="s">
        <v>385</v>
      </c>
      <c r="C66" s="49"/>
      <c r="D66" s="49" t="s">
        <v>253</v>
      </c>
      <c r="E66" s="97"/>
      <c r="F66" s="154">
        <f>G66</f>
        <v>5</v>
      </c>
      <c r="G66" s="139">
        <f>F51</f>
        <v>5</v>
      </c>
      <c r="H66" s="82"/>
    </row>
    <row r="67" spans="1:8" ht="15" customHeight="1" x14ac:dyDescent="0.25">
      <c r="B67" s="17" t="s">
        <v>387</v>
      </c>
      <c r="C67" s="49"/>
      <c r="D67" s="49" t="s">
        <v>253</v>
      </c>
      <c r="E67" s="97"/>
      <c r="F67" s="154">
        <f>G67</f>
        <v>17</v>
      </c>
      <c r="G67" s="139">
        <f>F14</f>
        <v>17</v>
      </c>
      <c r="H67" s="82"/>
    </row>
    <row r="68" spans="1:8" ht="15" customHeight="1" x14ac:dyDescent="0.25">
      <c r="B68" s="17" t="s">
        <v>293</v>
      </c>
      <c r="C68" s="49"/>
      <c r="D68" s="49" t="s">
        <v>253</v>
      </c>
      <c r="E68" s="97"/>
      <c r="F68" s="154">
        <f>G68</f>
        <v>2</v>
      </c>
      <c r="G68" s="139">
        <f>F25</f>
        <v>2</v>
      </c>
      <c r="H68" s="82"/>
    </row>
    <row r="69" spans="1:8" ht="15" customHeight="1" x14ac:dyDescent="0.25">
      <c r="B69" s="260" t="s">
        <v>322</v>
      </c>
      <c r="C69" s="114"/>
      <c r="D69" s="114"/>
      <c r="E69" s="115"/>
      <c r="F69" s="115"/>
      <c r="G69" s="116"/>
      <c r="H69" s="1"/>
    </row>
    <row r="70" spans="1:8" ht="15" customHeight="1" x14ac:dyDescent="0.25">
      <c r="B70" s="17" t="s">
        <v>658</v>
      </c>
      <c r="C70" s="97" t="s">
        <v>970</v>
      </c>
      <c r="D70" s="49" t="s">
        <v>591</v>
      </c>
      <c r="E70" s="109" t="s">
        <v>759</v>
      </c>
      <c r="F70" s="202">
        <f t="shared" ref="F70:F75" si="3">G70</f>
        <v>67961.538461538454</v>
      </c>
      <c r="G70" s="204">
        <f>F55*F22*F42*(1+F40)*F58</f>
        <v>67961.538461538454</v>
      </c>
      <c r="H70" s="1"/>
    </row>
    <row r="71" spans="1:8" ht="15" customHeight="1" x14ac:dyDescent="0.25">
      <c r="B71" s="17" t="s">
        <v>451</v>
      </c>
      <c r="C71" s="97" t="s">
        <v>761</v>
      </c>
      <c r="D71" s="49" t="s">
        <v>591</v>
      </c>
      <c r="E71" s="109" t="s">
        <v>760</v>
      </c>
      <c r="F71" s="202">
        <f t="shared" si="3"/>
        <v>1757.6923076923076</v>
      </c>
      <c r="G71" s="204">
        <f>F57*F58*F20*F44</f>
        <v>1757.6923076923076</v>
      </c>
      <c r="H71" s="82"/>
    </row>
    <row r="72" spans="1:8" ht="15" customHeight="1" x14ac:dyDescent="0.25">
      <c r="B72" s="17" t="s">
        <v>452</v>
      </c>
      <c r="C72" s="49" t="s">
        <v>763</v>
      </c>
      <c r="D72" s="49" t="s">
        <v>591</v>
      </c>
      <c r="E72" s="96" t="s">
        <v>762</v>
      </c>
      <c r="F72" s="202">
        <f t="shared" si="3"/>
        <v>21237.98076923077</v>
      </c>
      <c r="G72" s="204">
        <f>F20*F41*F43*(1+F40)*F56</f>
        <v>21237.98076923077</v>
      </c>
      <c r="H72" s="82"/>
    </row>
    <row r="73" spans="1:8" ht="15" customHeight="1" x14ac:dyDescent="0.25">
      <c r="B73" s="17" t="s">
        <v>453</v>
      </c>
      <c r="C73" s="97" t="s">
        <v>767</v>
      </c>
      <c r="D73" s="49" t="s">
        <v>591</v>
      </c>
      <c r="E73" s="96" t="s">
        <v>766</v>
      </c>
      <c r="F73" s="202">
        <f t="shared" si="3"/>
        <v>315000</v>
      </c>
      <c r="G73" s="204">
        <f>(F27*(1+F36)+F28)*(1+F39)*F20/F46</f>
        <v>315000</v>
      </c>
      <c r="H73" s="82"/>
    </row>
    <row r="74" spans="1:8" ht="15" customHeight="1" x14ac:dyDescent="0.25">
      <c r="B74" s="17" t="s">
        <v>454</v>
      </c>
      <c r="C74" s="97" t="s">
        <v>1040</v>
      </c>
      <c r="D74" s="49" t="s">
        <v>591</v>
      </c>
      <c r="E74" s="96" t="s">
        <v>769</v>
      </c>
      <c r="F74" s="202">
        <f t="shared" si="3"/>
        <v>125</v>
      </c>
      <c r="G74" s="204">
        <f>F21*F20*F45/F47</f>
        <v>125</v>
      </c>
      <c r="H74" s="82"/>
    </row>
    <row r="75" spans="1:8" ht="15" customHeight="1" x14ac:dyDescent="0.25">
      <c r="B75" s="17" t="s">
        <v>664</v>
      </c>
      <c r="C75" s="97" t="s">
        <v>733</v>
      </c>
      <c r="D75" s="49" t="s">
        <v>591</v>
      </c>
      <c r="E75" s="96" t="s">
        <v>770</v>
      </c>
      <c r="F75" s="202">
        <f t="shared" si="3"/>
        <v>500000</v>
      </c>
      <c r="G75" s="204">
        <f>F27*F20*(F37+F38)</f>
        <v>500000</v>
      </c>
      <c r="H75" s="82"/>
    </row>
    <row r="76" spans="1:8" ht="15" customHeight="1" x14ac:dyDescent="0.25">
      <c r="B76" s="17" t="s">
        <v>667</v>
      </c>
      <c r="C76" s="97" t="s">
        <v>778</v>
      </c>
      <c r="D76" s="49" t="s">
        <v>591</v>
      </c>
      <c r="E76" s="96" t="s">
        <v>772</v>
      </c>
      <c r="F76" s="202">
        <f t="shared" ref="F76:F81" si="4">G76</f>
        <v>851.28354329802096</v>
      </c>
      <c r="G76" s="204">
        <f>PMT($F$35/12,$F$34,-F70*$F$34/12)*12-F70</f>
        <v>851.28354329802096</v>
      </c>
      <c r="H76" s="82"/>
    </row>
    <row r="77" spans="1:8" ht="15" customHeight="1" x14ac:dyDescent="0.25">
      <c r="B77" s="17" t="s">
        <v>668</v>
      </c>
      <c r="C77" s="97" t="s">
        <v>779</v>
      </c>
      <c r="D77" s="49" t="s">
        <v>591</v>
      </c>
      <c r="E77" s="96" t="s">
        <v>773</v>
      </c>
      <c r="F77" s="202">
        <f t="shared" si="4"/>
        <v>22.016784339965852</v>
      </c>
      <c r="G77" s="204">
        <f>PMT($F$35/12,$F$34,-F71*$F$34/12)*12-F71</f>
        <v>22.016784339965852</v>
      </c>
      <c r="H77" s="82"/>
    </row>
    <row r="78" spans="1:8" ht="15" customHeight="1" x14ac:dyDescent="0.25">
      <c r="B78" s="17" t="s">
        <v>669</v>
      </c>
      <c r="C78" s="97" t="s">
        <v>780</v>
      </c>
      <c r="D78" s="49" t="s">
        <v>591</v>
      </c>
      <c r="E78" s="96" t="s">
        <v>775</v>
      </c>
      <c r="F78" s="202">
        <f t="shared" si="4"/>
        <v>266.02610728063519</v>
      </c>
      <c r="G78" s="204">
        <f>PMT($F$35/12,$F$34,-F72*$F$34/12)*12-F72</f>
        <v>266.02610728063519</v>
      </c>
      <c r="H78" s="82"/>
    </row>
    <row r="79" spans="1:8" ht="15" customHeight="1" x14ac:dyDescent="0.25">
      <c r="B79" s="17" t="s">
        <v>670</v>
      </c>
      <c r="C79" s="192" t="s">
        <v>781</v>
      </c>
      <c r="D79" s="49" t="s">
        <v>591</v>
      </c>
      <c r="E79" s="96" t="s">
        <v>774</v>
      </c>
      <c r="F79" s="202">
        <f t="shared" si="4"/>
        <v>133692.687333529</v>
      </c>
      <c r="G79" s="204">
        <f>PMT($F$35/12,F46*12,-F73*F46)*12-F73</f>
        <v>133692.687333529</v>
      </c>
      <c r="H79" s="82"/>
    </row>
    <row r="80" spans="1:8" ht="15" customHeight="1" x14ac:dyDescent="0.25">
      <c r="B80" s="17" t="s">
        <v>671</v>
      </c>
      <c r="C80" s="192" t="s">
        <v>782</v>
      </c>
      <c r="D80" s="49" t="s">
        <v>591</v>
      </c>
      <c r="E80" s="96" t="s">
        <v>776</v>
      </c>
      <c r="F80" s="202">
        <f t="shared" si="4"/>
        <v>116.67795806554216</v>
      </c>
      <c r="G80" s="204">
        <f>PMT($F$35/12,F47*12,-F74*F47)*12-F74</f>
        <v>116.67795806554216</v>
      </c>
      <c r="H80" s="82"/>
    </row>
    <row r="81" spans="2:8" ht="15" customHeight="1" x14ac:dyDescent="0.25">
      <c r="B81" s="17" t="s">
        <v>673</v>
      </c>
      <c r="C81" s="4" t="s">
        <v>783</v>
      </c>
      <c r="D81" s="49" t="s">
        <v>591</v>
      </c>
      <c r="E81" s="96" t="s">
        <v>777</v>
      </c>
      <c r="F81" s="202">
        <f t="shared" si="4"/>
        <v>6262.9802279990981</v>
      </c>
      <c r="G81" s="204">
        <f>PMT($F$35/12,$F$34,-F75*$F$34/12)*12-F75</f>
        <v>6262.9802279990981</v>
      </c>
      <c r="H81" s="82"/>
    </row>
    <row r="82" spans="2:8" ht="15" customHeight="1" x14ac:dyDescent="0.25">
      <c r="B82" s="17" t="s">
        <v>674</v>
      </c>
      <c r="C82" s="49" t="s">
        <v>784</v>
      </c>
      <c r="D82" s="49" t="s">
        <v>591</v>
      </c>
      <c r="E82" s="96" t="s">
        <v>785</v>
      </c>
      <c r="F82" s="202">
        <f>G82</f>
        <v>141211.67195451228</v>
      </c>
      <c r="G82" s="204">
        <f>SUM(F76:F81)</f>
        <v>141211.67195451228</v>
      </c>
      <c r="H82" s="82"/>
    </row>
    <row r="83" spans="2:8" ht="15" customHeight="1" thickBot="1" x14ac:dyDescent="0.3">
      <c r="B83" s="34" t="s">
        <v>665</v>
      </c>
      <c r="C83" s="207" t="s">
        <v>787</v>
      </c>
      <c r="D83" s="207" t="s">
        <v>591</v>
      </c>
      <c r="E83" s="199" t="s">
        <v>786</v>
      </c>
      <c r="F83" s="210">
        <f>G83</f>
        <v>1047293.8834929737</v>
      </c>
      <c r="G83" s="211">
        <f>SUM(F70:F75)+F82</f>
        <v>1047293.8834929737</v>
      </c>
      <c r="H83" s="82"/>
    </row>
    <row r="84" spans="2:8" ht="15" customHeight="1" x14ac:dyDescent="0.25">
      <c r="D84" s="46"/>
      <c r="E84"/>
      <c r="F84"/>
    </row>
    <row r="85" spans="2:8" ht="15" customHeight="1" x14ac:dyDescent="0.25">
      <c r="D85" s="196" t="s">
        <v>788</v>
      </c>
      <c r="E85" t="s">
        <v>5</v>
      </c>
      <c r="F85" s="13" t="s">
        <v>347</v>
      </c>
      <c r="G85" s="13" t="s">
        <v>345</v>
      </c>
    </row>
    <row r="86" spans="2:8" ht="15" customHeight="1" x14ac:dyDescent="0.25">
      <c r="E86" t="s">
        <v>312</v>
      </c>
      <c r="F86" s="38">
        <f>F65</f>
        <v>2</v>
      </c>
      <c r="G86" s="126">
        <f>Tbl_PP_Time[[#This Row],[Time]]/Tbl_PP_Time[[#Totals],[Time]]</f>
        <v>7.6923076923076927E-2</v>
      </c>
    </row>
    <row r="87" spans="2:8" ht="15" customHeight="1" x14ac:dyDescent="0.25">
      <c r="E87" t="s">
        <v>385</v>
      </c>
      <c r="F87" s="38">
        <f>F66</f>
        <v>5</v>
      </c>
      <c r="G87" s="126">
        <f>Tbl_PP_Time[[#This Row],[Time]]/Tbl_PP_Time[[#Totals],[Time]]</f>
        <v>0.19230769230769232</v>
      </c>
    </row>
    <row r="88" spans="2:8" ht="15" customHeight="1" x14ac:dyDescent="0.25">
      <c r="D88"/>
      <c r="E88" t="s">
        <v>387</v>
      </c>
      <c r="F88" s="38">
        <f>F67</f>
        <v>17</v>
      </c>
      <c r="G88" s="126">
        <f>Tbl_PP_Time[[#This Row],[Time]]/Tbl_PP_Time[[#Totals],[Time]]</f>
        <v>0.65384615384615385</v>
      </c>
    </row>
    <row r="89" spans="2:8" ht="15" customHeight="1" x14ac:dyDescent="0.25">
      <c r="C89" s="46"/>
      <c r="D89"/>
      <c r="E89" t="s">
        <v>313</v>
      </c>
      <c r="F89" s="38">
        <f>F68</f>
        <v>2</v>
      </c>
      <c r="G89" s="126">
        <f>Tbl_PP_Time[[#This Row],[Time]]/Tbl_PP_Time[[#Totals],[Time]]</f>
        <v>7.6923076923076927E-2</v>
      </c>
    </row>
    <row r="90" spans="2:8" ht="15" customHeight="1" x14ac:dyDescent="0.25">
      <c r="C90" s="46"/>
      <c r="D90"/>
      <c r="E90" t="s">
        <v>346</v>
      </c>
      <c r="F90" s="38">
        <f>SUBTOTAL(109,Tbl_PP_Time[Time])</f>
        <v>26</v>
      </c>
      <c r="G90" s="126">
        <f>SUBTOTAL(109,Tbl_PP_Time[Percent])</f>
        <v>1</v>
      </c>
    </row>
    <row r="91" spans="2:8" ht="15" customHeight="1" x14ac:dyDescent="0.25">
      <c r="C91" s="46"/>
      <c r="E91"/>
      <c r="F91"/>
    </row>
    <row r="92" spans="2:8" ht="15" customHeight="1" x14ac:dyDescent="0.25">
      <c r="D92" s="197" t="s">
        <v>789</v>
      </c>
      <c r="E92" t="s">
        <v>5</v>
      </c>
      <c r="F92" s="13" t="s">
        <v>344</v>
      </c>
      <c r="G92" s="13" t="s">
        <v>345</v>
      </c>
    </row>
    <row r="93" spans="2:8" ht="15" customHeight="1" x14ac:dyDescent="0.25">
      <c r="D93" s="29"/>
      <c r="E93" t="s">
        <v>305</v>
      </c>
      <c r="F93" s="212">
        <f>F70</f>
        <v>67961.538461538454</v>
      </c>
      <c r="G93" s="126">
        <f>Tbl_PP_Cost[[#This Row],[Cost]]/Tbl_PP_Cost[[#Totals],[Cost]]</f>
        <v>6.4892519218073333E-2</v>
      </c>
    </row>
    <row r="94" spans="2:8" ht="15" customHeight="1" x14ac:dyDescent="0.25">
      <c r="C94" s="46"/>
      <c r="D94" s="29"/>
      <c r="E94" t="s">
        <v>304</v>
      </c>
      <c r="F94" s="212">
        <f>F71</f>
        <v>1757.6923076923076</v>
      </c>
      <c r="G94" s="126">
        <f>Tbl_PP_Cost[[#This Row],[Cost]]/Tbl_PP_Cost[[#Totals],[Cost]]</f>
        <v>1.6783181257871826E-3</v>
      </c>
    </row>
    <row r="95" spans="2:8" ht="15" customHeight="1" x14ac:dyDescent="0.25">
      <c r="D95" s="29"/>
      <c r="E95" t="s">
        <v>303</v>
      </c>
      <c r="F95" s="212">
        <f>F73</f>
        <v>315000</v>
      </c>
      <c r="G95" s="126">
        <f>Tbl_PP_Cost[[#This Row],[Cost]]/Tbl_PP_Cost[[#Totals],[Cost]]</f>
        <v>0.30077517396492398</v>
      </c>
    </row>
    <row r="96" spans="2:8" ht="15" customHeight="1" x14ac:dyDescent="0.25">
      <c r="D96" s="29"/>
      <c r="E96" t="s">
        <v>343</v>
      </c>
      <c r="F96" s="212">
        <f>F74</f>
        <v>125</v>
      </c>
      <c r="G96" s="126">
        <f>Tbl_PP_Cost[[#This Row],[Cost]]/Tbl_PP_Cost[[#Totals],[Cost]]</f>
        <v>1.1935522776385872E-4</v>
      </c>
    </row>
    <row r="97" spans="3:7" ht="15" customHeight="1" x14ac:dyDescent="0.25">
      <c r="C97" s="19"/>
      <c r="D97" s="29"/>
      <c r="E97" t="s">
        <v>216</v>
      </c>
      <c r="F97" s="212">
        <f>F72+F75</f>
        <v>521237.98076923075</v>
      </c>
      <c r="G97" s="126">
        <f>Tbl_PP_Cost[[#This Row],[Cost]]/Tbl_PP_Cost[[#Totals],[Cost]]</f>
        <v>0.49769982331108276</v>
      </c>
    </row>
    <row r="98" spans="3:7" ht="15" customHeight="1" x14ac:dyDescent="0.25">
      <c r="C98" s="19"/>
      <c r="D98" s="29"/>
      <c r="E98" t="s">
        <v>464</v>
      </c>
      <c r="F98" s="212">
        <f>F82</f>
        <v>141211.67195451228</v>
      </c>
      <c r="G98" s="126">
        <f>Tbl_PP_Cost[[#This Row],[Cost]]/Tbl_PP_Cost[[#Totals],[Cost]]</f>
        <v>0.13483481015236889</v>
      </c>
    </row>
    <row r="99" spans="3:7" ht="15" customHeight="1" x14ac:dyDescent="0.25">
      <c r="C99" s="19"/>
      <c r="D99"/>
      <c r="E99" t="s">
        <v>346</v>
      </c>
      <c r="F99" s="212">
        <f>SUBTOTAL(109,Tbl_PP_Cost[Cost])</f>
        <v>1047293.8834929737</v>
      </c>
      <c r="G99" s="178">
        <f>SUBTOTAL(109,Tbl_PP_Cost[Percent])</f>
        <v>1</v>
      </c>
    </row>
    <row r="100" spans="3:7" ht="15" customHeight="1" x14ac:dyDescent="0.25">
      <c r="C100" s="19"/>
    </row>
    <row r="101" spans="3:7" ht="15" customHeight="1" x14ac:dyDescent="0.25">
      <c r="C101" s="19"/>
    </row>
    <row r="102" spans="3:7" ht="15" customHeight="1" x14ac:dyDescent="0.25">
      <c r="C102" s="19"/>
    </row>
    <row r="103" spans="3:7" ht="15" customHeight="1" x14ac:dyDescent="0.25">
      <c r="C103" s="19"/>
    </row>
  </sheetData>
  <sheetProtection algorithmName="SHA-512" hashValue="xGvmnunRKyCVShKfTibJffOcNNyXtbn1kEWzcsiNj3gKXq9MM4JIKtBG0uCglcS5J4XsA+Tq5emQFHxL5HORQQ==" saltValue="510TzgEK6ECh6AxSrbIKYw==" spinCount="100000" sheet="1" objects="1" scenarios="1"/>
  <pageMargins left="0.7" right="0.7" top="0.75" bottom="0.75" header="0.3" footer="0.3"/>
  <pageSetup orientation="portrait" horizontalDpi="1200" verticalDpi="1200" r:id="rId1"/>
  <ignoredErrors>
    <ignoredError sqref="F93:F98" calculatedColumn="1"/>
  </ignoredErrors>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5FB5-84D5-44C8-831A-3F36C060CDAF}">
  <sheetPr codeName="Sheet7">
    <tabColor theme="8" tint="-0.499984740745262"/>
  </sheetPr>
  <dimension ref="A1:M108"/>
  <sheetViews>
    <sheetView workbookViewId="0"/>
  </sheetViews>
  <sheetFormatPr defaultColWidth="12.7109375" defaultRowHeight="15" customHeight="1" x14ac:dyDescent="0.25"/>
  <cols>
    <col min="1" max="1" width="5.7109375" customWidth="1"/>
    <col min="2" max="2" width="36.7109375" style="19" customWidth="1"/>
    <col min="3" max="3" width="64.7109375" style="29" customWidth="1"/>
    <col min="4" max="4" width="12.7109375" style="29" customWidth="1"/>
    <col min="5" max="6" width="24.7109375" style="13" customWidth="1"/>
    <col min="7" max="7" width="24.7109375" style="28" customWidth="1"/>
    <col min="8" max="8" width="42.7109375" style="23" customWidth="1"/>
    <col min="12" max="12" width="14.7109375" customWidth="1"/>
  </cols>
  <sheetData>
    <row r="1" spans="2:11" ht="15" customHeight="1" thickBot="1" x14ac:dyDescent="0.3"/>
    <row r="2" spans="2:11" ht="15" customHeight="1" thickBot="1" x14ac:dyDescent="0.3">
      <c r="B2" s="130" t="s">
        <v>30</v>
      </c>
      <c r="C2" s="131"/>
      <c r="D2" s="131"/>
      <c r="E2" s="131"/>
      <c r="F2" s="131"/>
      <c r="G2" s="132"/>
    </row>
    <row r="3" spans="2:11" ht="15" customHeight="1" thickBot="1" x14ac:dyDescent="0.3">
      <c r="B3" s="54" t="s">
        <v>1560</v>
      </c>
      <c r="C3" s="55"/>
      <c r="D3" s="55"/>
      <c r="E3" s="55"/>
      <c r="F3" s="55"/>
      <c r="G3" s="56"/>
    </row>
    <row r="4" spans="2:11" ht="15" customHeight="1" thickBot="1" x14ac:dyDescent="0.3">
      <c r="B4" s="14" t="s">
        <v>45</v>
      </c>
      <c r="C4" s="15" t="s">
        <v>579</v>
      </c>
      <c r="D4" s="15" t="s">
        <v>578</v>
      </c>
      <c r="E4" s="16" t="s">
        <v>47</v>
      </c>
      <c r="F4" s="16" t="s">
        <v>48</v>
      </c>
      <c r="G4" s="48" t="s">
        <v>5</v>
      </c>
      <c r="H4" s="30" t="s">
        <v>49</v>
      </c>
      <c r="J4" t="s">
        <v>475</v>
      </c>
    </row>
    <row r="5" spans="2:11" ht="15" customHeight="1" thickBot="1" x14ac:dyDescent="0.3">
      <c r="B5" s="339" t="s">
        <v>1561</v>
      </c>
      <c r="C5" s="340"/>
      <c r="D5" s="341" t="s">
        <v>1138</v>
      </c>
      <c r="E5" s="340" t="s">
        <v>1569</v>
      </c>
      <c r="F5" s="341" t="b">
        <f>G5</f>
        <v>1</v>
      </c>
      <c r="G5" s="429" t="b">
        <v>1</v>
      </c>
      <c r="H5"/>
      <c r="J5" t="s">
        <v>498</v>
      </c>
      <c r="K5" t="s">
        <v>344</v>
      </c>
    </row>
    <row r="6" spans="2:11" ht="15" customHeight="1" thickBot="1" x14ac:dyDescent="0.3">
      <c r="B6" s="54" t="s">
        <v>377</v>
      </c>
      <c r="C6" s="55"/>
      <c r="D6" s="55"/>
      <c r="E6" s="55"/>
      <c r="F6" s="55"/>
      <c r="G6" s="56"/>
      <c r="J6" t="s">
        <v>499</v>
      </c>
      <c r="K6" t="s">
        <v>500</v>
      </c>
    </row>
    <row r="7" spans="2:11" ht="15" customHeight="1" thickBot="1" x14ac:dyDescent="0.3">
      <c r="B7" s="14" t="s">
        <v>45</v>
      </c>
      <c r="C7" s="15" t="s">
        <v>579</v>
      </c>
      <c r="D7" s="15" t="s">
        <v>578</v>
      </c>
      <c r="E7" s="16" t="s">
        <v>47</v>
      </c>
      <c r="F7" s="16" t="s">
        <v>48</v>
      </c>
      <c r="G7" s="48" t="s">
        <v>5</v>
      </c>
      <c r="H7" s="30" t="s">
        <v>49</v>
      </c>
      <c r="J7" t="s">
        <v>504</v>
      </c>
      <c r="K7" t="s">
        <v>505</v>
      </c>
    </row>
    <row r="8" spans="2:11" ht="15" customHeight="1" x14ac:dyDescent="0.25">
      <c r="B8" s="24" t="s">
        <v>69</v>
      </c>
      <c r="D8" s="146" t="s">
        <v>42</v>
      </c>
      <c r="E8" t="s">
        <v>478</v>
      </c>
      <c r="F8" s="108" t="str">
        <f>G8</f>
        <v>Cuboid</v>
      </c>
      <c r="G8" s="160" t="str">
        <f>'PRNT Backend'!F8</f>
        <v>Cuboid</v>
      </c>
      <c r="H8"/>
      <c r="J8" t="s">
        <v>501</v>
      </c>
      <c r="K8" t="s">
        <v>502</v>
      </c>
    </row>
    <row r="9" spans="2:11" ht="15" customHeight="1" x14ac:dyDescent="0.25">
      <c r="B9" s="17" t="s">
        <v>403</v>
      </c>
      <c r="D9" s="49" t="s">
        <v>580</v>
      </c>
      <c r="E9" s="23" t="s">
        <v>790</v>
      </c>
      <c r="F9" s="107">
        <f>G9</f>
        <v>85</v>
      </c>
      <c r="G9" s="161">
        <f>'PRNT Backend'!F12</f>
        <v>85</v>
      </c>
      <c r="H9"/>
      <c r="J9" t="s">
        <v>509</v>
      </c>
      <c r="K9" t="s">
        <v>347</v>
      </c>
    </row>
    <row r="10" spans="2:11" ht="15" customHeight="1" x14ac:dyDescent="0.25">
      <c r="B10" s="17" t="s">
        <v>269</v>
      </c>
      <c r="D10" s="49" t="s">
        <v>580</v>
      </c>
      <c r="E10" s="23" t="s">
        <v>561</v>
      </c>
      <c r="F10" s="107">
        <f>G10</f>
        <v>126.5</v>
      </c>
      <c r="G10" s="162">
        <f>'PRNT Backend'!F91</f>
        <v>126.5</v>
      </c>
      <c r="H10"/>
      <c r="J10" t="s">
        <v>510</v>
      </c>
      <c r="K10" t="s">
        <v>511</v>
      </c>
    </row>
    <row r="11" spans="2:11" ht="15" customHeight="1" x14ac:dyDescent="0.25">
      <c r="B11" s="20" t="s">
        <v>405</v>
      </c>
      <c r="D11" s="97" t="s">
        <v>584</v>
      </c>
      <c r="E11" s="23" t="s">
        <v>556</v>
      </c>
      <c r="F11" s="107">
        <f>G11</f>
        <v>15.3</v>
      </c>
      <c r="G11" s="78">
        <f>'PRNT Backend'!F87</f>
        <v>15.3</v>
      </c>
      <c r="H11"/>
      <c r="J11" t="s">
        <v>251</v>
      </c>
      <c r="K11" t="s">
        <v>516</v>
      </c>
    </row>
    <row r="12" spans="2:11" ht="15" customHeight="1" thickBot="1" x14ac:dyDescent="0.3">
      <c r="B12" s="3" t="s">
        <v>404</v>
      </c>
      <c r="D12" s="36" t="s">
        <v>584</v>
      </c>
      <c r="E12" s="23" t="s">
        <v>559</v>
      </c>
      <c r="F12" s="163">
        <f>G12</f>
        <v>13</v>
      </c>
      <c r="G12" s="164">
        <f>'PRNT Backend'!F89/10</f>
        <v>13</v>
      </c>
      <c r="H12"/>
      <c r="J12" t="s">
        <v>517</v>
      </c>
      <c r="K12" t="s">
        <v>518</v>
      </c>
    </row>
    <row r="13" spans="2:11" ht="15" customHeight="1" thickBot="1" x14ac:dyDescent="0.3">
      <c r="B13" s="63" t="s">
        <v>1147</v>
      </c>
      <c r="C13" s="64"/>
      <c r="D13" s="64"/>
      <c r="E13" s="64"/>
      <c r="F13" s="64"/>
      <c r="G13" s="65"/>
      <c r="J13" t="s">
        <v>523</v>
      </c>
      <c r="K13" t="s">
        <v>524</v>
      </c>
    </row>
    <row r="14" spans="2:11" ht="15" customHeight="1" thickBot="1" x14ac:dyDescent="0.3">
      <c r="B14" s="14" t="s">
        <v>5</v>
      </c>
      <c r="C14" s="15" t="s">
        <v>46</v>
      </c>
      <c r="D14" s="15"/>
      <c r="E14" s="16" t="s">
        <v>47</v>
      </c>
      <c r="F14" s="16" t="s">
        <v>48</v>
      </c>
      <c r="G14" s="48" t="s">
        <v>5</v>
      </c>
      <c r="H14" s="39" t="s">
        <v>49</v>
      </c>
      <c r="J14" t="s">
        <v>529</v>
      </c>
      <c r="K14" t="s">
        <v>530</v>
      </c>
    </row>
    <row r="15" spans="2:11" ht="15" customHeight="1" x14ac:dyDescent="0.25">
      <c r="B15" s="57" t="s">
        <v>1149</v>
      </c>
      <c r="C15" s="274"/>
      <c r="D15" s="274" t="s">
        <v>1138</v>
      </c>
      <c r="E15" s="59" t="s">
        <v>1150</v>
      </c>
      <c r="F15" s="60" t="b">
        <f>G15</f>
        <v>1</v>
      </c>
      <c r="G15" s="431" t="b">
        <v>1</v>
      </c>
      <c r="H15" s="59"/>
      <c r="J15" t="s">
        <v>563</v>
      </c>
      <c r="K15" t="s">
        <v>564</v>
      </c>
    </row>
    <row r="16" spans="2:11" ht="15" customHeight="1" x14ac:dyDescent="0.25">
      <c r="B16" s="263" t="s">
        <v>1151</v>
      </c>
      <c r="C16" s="275"/>
      <c r="D16" s="276" t="s">
        <v>42</v>
      </c>
      <c r="E16" s="264" t="s">
        <v>1152</v>
      </c>
      <c r="F16" s="277" t="str">
        <f>G16</f>
        <v>Milling</v>
      </c>
      <c r="G16" s="278" t="str">
        <f>IF(F8="Cylinder","Turning",IF(F8="Cuboid","Milling","X"))</f>
        <v>Milling</v>
      </c>
      <c r="H16" s="264"/>
      <c r="J16" t="s">
        <v>738</v>
      </c>
      <c r="K16" t="s">
        <v>304</v>
      </c>
    </row>
    <row r="17" spans="1:11" ht="15" customHeight="1" x14ac:dyDescent="0.25">
      <c r="B17" s="168" t="s">
        <v>392</v>
      </c>
      <c r="C17" s="133"/>
      <c r="D17" s="97" t="s">
        <v>249</v>
      </c>
      <c r="E17" s="117" t="s">
        <v>825</v>
      </c>
      <c r="F17" s="107">
        <f>G17</f>
        <v>100</v>
      </c>
      <c r="G17" s="161">
        <f>'6. Machining'!D16</f>
        <v>100</v>
      </c>
      <c r="H17"/>
      <c r="J17" t="s">
        <v>791</v>
      </c>
      <c r="K17" t="s">
        <v>792</v>
      </c>
    </row>
    <row r="18" spans="1:11" ht="15" customHeight="1" x14ac:dyDescent="0.25">
      <c r="B18" s="168" t="s">
        <v>34</v>
      </c>
      <c r="C18" s="133"/>
      <c r="D18" s="97" t="s">
        <v>1</v>
      </c>
      <c r="E18" s="117" t="s">
        <v>826</v>
      </c>
      <c r="F18" s="107">
        <f>G18</f>
        <v>0.2</v>
      </c>
      <c r="G18" s="62">
        <f>'6. Machining'!D17</f>
        <v>0.2</v>
      </c>
      <c r="H18"/>
      <c r="I18" s="96"/>
    </row>
    <row r="19" spans="1:11" ht="15" customHeight="1" x14ac:dyDescent="0.25">
      <c r="B19" s="168" t="s">
        <v>394</v>
      </c>
      <c r="C19" s="133"/>
      <c r="D19" s="97" t="s">
        <v>1</v>
      </c>
      <c r="E19" s="117" t="s">
        <v>793</v>
      </c>
      <c r="F19" s="107">
        <f>G19</f>
        <v>6.35</v>
      </c>
      <c r="G19" s="62">
        <f>'6. Machining'!D18</f>
        <v>6.35</v>
      </c>
      <c r="H19" t="s">
        <v>406</v>
      </c>
      <c r="I19" s="96"/>
    </row>
    <row r="20" spans="1:11" ht="15" customHeight="1" x14ac:dyDescent="0.25">
      <c r="B20" s="168" t="s">
        <v>396</v>
      </c>
      <c r="C20" s="133"/>
      <c r="D20" s="97" t="s">
        <v>1</v>
      </c>
      <c r="E20" s="117" t="s">
        <v>824</v>
      </c>
      <c r="F20" s="107">
        <f t="shared" ref="F20:F37" si="0">G20</f>
        <v>1.2699999999999999E-2</v>
      </c>
      <c r="G20" s="62">
        <f>'6. Machining'!D19</f>
        <v>1.2699999999999999E-2</v>
      </c>
      <c r="H20" t="s">
        <v>406</v>
      </c>
      <c r="I20" s="96"/>
    </row>
    <row r="21" spans="1:11" ht="15" customHeight="1" x14ac:dyDescent="0.25">
      <c r="B21" s="168" t="s">
        <v>395</v>
      </c>
      <c r="C21" s="133"/>
      <c r="D21" s="97" t="s">
        <v>292</v>
      </c>
      <c r="E21" s="96" t="s">
        <v>794</v>
      </c>
      <c r="F21" s="107">
        <f t="shared" si="0"/>
        <v>3</v>
      </c>
      <c r="G21" s="62">
        <f>'6. Machining'!D20</f>
        <v>3</v>
      </c>
      <c r="H21" t="s">
        <v>406</v>
      </c>
      <c r="I21" s="96"/>
    </row>
    <row r="22" spans="1:11" ht="15" customHeight="1" x14ac:dyDescent="0.25">
      <c r="B22" s="168" t="s">
        <v>32</v>
      </c>
      <c r="C22" s="133"/>
      <c r="D22" s="97" t="s">
        <v>399</v>
      </c>
      <c r="E22" s="96" t="s">
        <v>795</v>
      </c>
      <c r="F22" s="107">
        <f t="shared" si="0"/>
        <v>0</v>
      </c>
      <c r="G22" s="62">
        <f>'6. Machining'!D21</f>
        <v>0</v>
      </c>
      <c r="H22" t="s">
        <v>409</v>
      </c>
      <c r="I22" s="96"/>
    </row>
    <row r="23" spans="1:11" ht="15" customHeight="1" x14ac:dyDescent="0.25">
      <c r="B23" s="168" t="s">
        <v>1571</v>
      </c>
      <c r="C23" s="133"/>
      <c r="D23" s="97" t="s">
        <v>358</v>
      </c>
      <c r="E23" s="96" t="s">
        <v>1572</v>
      </c>
      <c r="F23" s="107">
        <f>G23</f>
        <v>0</v>
      </c>
      <c r="G23" s="62">
        <f>'6. Machining'!D22</f>
        <v>0</v>
      </c>
      <c r="H23"/>
      <c r="I23" s="96"/>
    </row>
    <row r="24" spans="1:11" ht="15" customHeight="1" x14ac:dyDescent="0.25">
      <c r="B24" s="168" t="s">
        <v>27</v>
      </c>
      <c r="C24" s="133"/>
      <c r="D24" s="97" t="s">
        <v>358</v>
      </c>
      <c r="E24" s="96" t="s">
        <v>796</v>
      </c>
      <c r="F24" s="107">
        <f t="shared" si="0"/>
        <v>30</v>
      </c>
      <c r="G24" s="62">
        <f>'6. Machining'!D23</f>
        <v>30</v>
      </c>
      <c r="H24"/>
      <c r="I24" s="201"/>
    </row>
    <row r="25" spans="1:11" s="1" customFormat="1" ht="15" customHeight="1" x14ac:dyDescent="0.25">
      <c r="B25" s="168" t="s">
        <v>354</v>
      </c>
      <c r="C25" s="133"/>
      <c r="D25" s="97" t="s">
        <v>353</v>
      </c>
      <c r="E25" s="96" t="s">
        <v>797</v>
      </c>
      <c r="F25" s="107">
        <f t="shared" si="0"/>
        <v>2</v>
      </c>
      <c r="G25" s="62">
        <f>'6. Machining'!D24</f>
        <v>2</v>
      </c>
      <c r="H25"/>
      <c r="I25" s="213"/>
    </row>
    <row r="26" spans="1:11" s="1" customFormat="1" ht="15" customHeight="1" x14ac:dyDescent="0.25">
      <c r="A26"/>
      <c r="B26" s="168" t="s">
        <v>355</v>
      </c>
      <c r="C26" s="133"/>
      <c r="D26" s="97" t="s">
        <v>353</v>
      </c>
      <c r="E26" s="96" t="s">
        <v>798</v>
      </c>
      <c r="F26" s="107">
        <f t="shared" si="0"/>
        <v>7.5</v>
      </c>
      <c r="G26" s="273">
        <f>'6. Machining'!D25</f>
        <v>7.5</v>
      </c>
      <c r="H26"/>
      <c r="I26" s="96"/>
    </row>
    <row r="27" spans="1:11" s="1" customFormat="1" ht="15" customHeight="1" x14ac:dyDescent="0.25">
      <c r="A27"/>
      <c r="B27" s="168" t="s">
        <v>288</v>
      </c>
      <c r="C27" s="29"/>
      <c r="D27" s="97" t="s">
        <v>284</v>
      </c>
      <c r="E27" s="23" t="s">
        <v>799</v>
      </c>
      <c r="F27" s="107">
        <f t="shared" si="0"/>
        <v>250</v>
      </c>
      <c r="G27" s="62">
        <f>'6. Machining'!D29</f>
        <v>250</v>
      </c>
      <c r="H27"/>
      <c r="I27" s="96"/>
    </row>
    <row r="28" spans="1:11" s="1" customFormat="1" ht="15" customHeight="1" x14ac:dyDescent="0.25">
      <c r="A28"/>
      <c r="B28" s="168" t="s">
        <v>287</v>
      </c>
      <c r="C28" s="29"/>
      <c r="D28" s="97" t="s">
        <v>285</v>
      </c>
      <c r="E28" s="23" t="s">
        <v>800</v>
      </c>
      <c r="F28" s="107">
        <f t="shared" si="0"/>
        <v>16</v>
      </c>
      <c r="G28" s="62">
        <f>'6. Machining'!D30</f>
        <v>16</v>
      </c>
      <c r="H28"/>
      <c r="I28" s="96"/>
    </row>
    <row r="29" spans="1:11" s="1" customFormat="1" ht="15" customHeight="1" x14ac:dyDescent="0.25">
      <c r="A29"/>
      <c r="B29" s="168" t="s">
        <v>1145</v>
      </c>
      <c r="D29" s="192" t="s">
        <v>292</v>
      </c>
      <c r="E29" s="82" t="s">
        <v>801</v>
      </c>
      <c r="F29" s="271">
        <f t="shared" si="0"/>
        <v>1</v>
      </c>
      <c r="G29" s="272">
        <f>'6. Machining'!D31</f>
        <v>1</v>
      </c>
      <c r="I29" s="96"/>
    </row>
    <row r="30" spans="1:11" s="1" customFormat="1" ht="15" customHeight="1" x14ac:dyDescent="0.25">
      <c r="A30"/>
      <c r="B30" s="168" t="s">
        <v>297</v>
      </c>
      <c r="C30" s="29"/>
      <c r="D30" s="97" t="s">
        <v>771</v>
      </c>
      <c r="E30" t="s">
        <v>805</v>
      </c>
      <c r="F30" s="107">
        <f t="shared" si="0"/>
        <v>200</v>
      </c>
      <c r="G30" s="62">
        <f>'6. Machining'!D32</f>
        <v>200</v>
      </c>
      <c r="H30"/>
      <c r="I30" s="96"/>
    </row>
    <row r="31" spans="1:11" s="1" customFormat="1" ht="15" customHeight="1" x14ac:dyDescent="0.25">
      <c r="A31"/>
      <c r="B31" s="168" t="s">
        <v>317</v>
      </c>
      <c r="C31" s="29"/>
      <c r="D31" s="97" t="s">
        <v>713</v>
      </c>
      <c r="E31" t="s">
        <v>806</v>
      </c>
      <c r="F31" s="107">
        <f t="shared" si="0"/>
        <v>1</v>
      </c>
      <c r="G31" s="62">
        <f>'6. Machining'!D33</f>
        <v>1</v>
      </c>
      <c r="H31"/>
      <c r="I31" s="96"/>
    </row>
    <row r="32" spans="1:11" s="1" customFormat="1" ht="15" customHeight="1" x14ac:dyDescent="0.25">
      <c r="A32"/>
      <c r="B32" s="168" t="s">
        <v>327</v>
      </c>
      <c r="C32" s="29"/>
      <c r="D32" s="97" t="s">
        <v>8</v>
      </c>
      <c r="E32" t="s">
        <v>807</v>
      </c>
      <c r="F32" s="165">
        <f t="shared" si="0"/>
        <v>0.25</v>
      </c>
      <c r="G32" s="169">
        <f>'6. Machining'!D34</f>
        <v>0.25</v>
      </c>
      <c r="H32"/>
      <c r="I32" s="96"/>
    </row>
    <row r="33" spans="1:9" s="1" customFormat="1" ht="15" customHeight="1" x14ac:dyDescent="0.25">
      <c r="A33"/>
      <c r="B33" s="168" t="s">
        <v>326</v>
      </c>
      <c r="C33" s="29"/>
      <c r="D33" s="97" t="s">
        <v>290</v>
      </c>
      <c r="E33" t="s">
        <v>803</v>
      </c>
      <c r="F33" s="107">
        <f t="shared" si="0"/>
        <v>2E-3</v>
      </c>
      <c r="G33" s="62">
        <f>'6. Machining'!D35</f>
        <v>2E-3</v>
      </c>
      <c r="H33"/>
      <c r="I33" s="96"/>
    </row>
    <row r="34" spans="1:9" ht="15" customHeight="1" x14ac:dyDescent="0.25">
      <c r="B34" s="168" t="s">
        <v>407</v>
      </c>
      <c r="D34" s="97" t="s">
        <v>8</v>
      </c>
      <c r="E34" t="s">
        <v>808</v>
      </c>
      <c r="F34" s="165">
        <f t="shared" si="0"/>
        <v>0.9</v>
      </c>
      <c r="G34" s="169">
        <f>'6. Machining'!D36</f>
        <v>0.9</v>
      </c>
      <c r="H34"/>
    </row>
    <row r="35" spans="1:9" ht="15" customHeight="1" x14ac:dyDescent="0.25">
      <c r="B35" s="168" t="s">
        <v>24</v>
      </c>
      <c r="D35" s="97" t="s">
        <v>250</v>
      </c>
      <c r="E35" t="s">
        <v>812</v>
      </c>
      <c r="F35" s="216">
        <f t="shared" si="0"/>
        <v>25000</v>
      </c>
      <c r="G35" s="122">
        <f>'6. Machining'!D37</f>
        <v>25000</v>
      </c>
      <c r="H35"/>
    </row>
    <row r="36" spans="1:9" s="1" customFormat="1" ht="15" customHeight="1" x14ac:dyDescent="0.25">
      <c r="B36" s="168" t="s">
        <v>266</v>
      </c>
      <c r="C36" s="29"/>
      <c r="D36" s="97" t="s">
        <v>250</v>
      </c>
      <c r="E36" t="s">
        <v>813</v>
      </c>
      <c r="F36" s="216">
        <f t="shared" si="0"/>
        <v>50</v>
      </c>
      <c r="G36" s="122">
        <f>'6. Machining'!D38</f>
        <v>50</v>
      </c>
      <c r="H36"/>
      <c r="I36"/>
    </row>
    <row r="37" spans="1:9" s="1" customFormat="1" ht="15" customHeight="1" x14ac:dyDescent="0.25">
      <c r="A37"/>
      <c r="B37" s="168" t="s">
        <v>318</v>
      </c>
      <c r="C37" s="29"/>
      <c r="D37" s="97" t="s">
        <v>250</v>
      </c>
      <c r="E37" t="s">
        <v>814</v>
      </c>
      <c r="F37" s="216">
        <f t="shared" si="0"/>
        <v>5000</v>
      </c>
      <c r="G37" s="122">
        <f>'6. Machining'!D39</f>
        <v>5000</v>
      </c>
      <c r="H37"/>
      <c r="I37"/>
    </row>
    <row r="38" spans="1:9" s="1" customFormat="1" ht="15" customHeight="1" thickBot="1" x14ac:dyDescent="0.3">
      <c r="A38"/>
      <c r="B38" s="170" t="s">
        <v>408</v>
      </c>
      <c r="C38" s="29"/>
      <c r="D38" s="36" t="s">
        <v>253</v>
      </c>
      <c r="E38" t="s">
        <v>828</v>
      </c>
      <c r="F38" s="163">
        <f>G38</f>
        <v>4000</v>
      </c>
      <c r="G38" s="164">
        <f>F27*F28</f>
        <v>4000</v>
      </c>
      <c r="H38"/>
      <c r="I38"/>
    </row>
    <row r="39" spans="1:9" s="1" customFormat="1" ht="15" customHeight="1" thickBot="1" x14ac:dyDescent="0.3">
      <c r="A39"/>
      <c r="B39" s="63" t="s">
        <v>1144</v>
      </c>
      <c r="C39" s="64"/>
      <c r="D39" s="64"/>
      <c r="E39" s="64"/>
      <c r="F39" s="64"/>
      <c r="G39" s="65"/>
      <c r="H39" s="23"/>
      <c r="I39"/>
    </row>
    <row r="40" spans="1:9" s="1" customFormat="1" ht="15" customHeight="1" thickBot="1" x14ac:dyDescent="0.3">
      <c r="A40"/>
      <c r="B40" s="14" t="s">
        <v>5</v>
      </c>
      <c r="C40" s="15" t="s">
        <v>46</v>
      </c>
      <c r="D40" s="15"/>
      <c r="E40" s="16" t="s">
        <v>47</v>
      </c>
      <c r="F40" s="16" t="s">
        <v>48</v>
      </c>
      <c r="G40" s="48" t="s">
        <v>5</v>
      </c>
      <c r="H40" s="39" t="s">
        <v>49</v>
      </c>
      <c r="I40"/>
    </row>
    <row r="41" spans="1:9" s="1" customFormat="1" ht="15" customHeight="1" x14ac:dyDescent="0.25">
      <c r="A41"/>
      <c r="B41" s="57" t="s">
        <v>1155</v>
      </c>
      <c r="C41" s="274"/>
      <c r="D41" s="281" t="s">
        <v>42</v>
      </c>
      <c r="E41" s="59" t="s">
        <v>1156</v>
      </c>
      <c r="F41" s="60" t="str">
        <f>G41</f>
        <v>Intermediate</v>
      </c>
      <c r="G41" s="282" t="str">
        <f>'1. TEA Variables'!D11</f>
        <v>Intermediate</v>
      </c>
      <c r="H41" s="59"/>
      <c r="I41"/>
    </row>
    <row r="42" spans="1:9" s="1" customFormat="1" ht="15" customHeight="1" x14ac:dyDescent="0.25">
      <c r="B42" s="263" t="s">
        <v>1157</v>
      </c>
      <c r="C42" s="275"/>
      <c r="D42" s="276" t="s">
        <v>42</v>
      </c>
      <c r="E42" s="264" t="s">
        <v>1158</v>
      </c>
      <c r="F42" s="280">
        <f>G42</f>
        <v>2</v>
      </c>
      <c r="G42" s="283">
        <f>IF(F41="Default",1,IF(F41="Intermediate",2,3))</f>
        <v>2</v>
      </c>
      <c r="H42" s="264"/>
      <c r="I42"/>
    </row>
    <row r="43" spans="1:9" s="1" customFormat="1" ht="15" customHeight="1" x14ac:dyDescent="0.25">
      <c r="B43" s="88" t="s">
        <v>460</v>
      </c>
      <c r="D43" s="76" t="s">
        <v>592</v>
      </c>
      <c r="E43" s="1" t="s">
        <v>823</v>
      </c>
      <c r="F43" s="21">
        <f t="shared" ref="F43:F56" si="1">G43</f>
        <v>3</v>
      </c>
      <c r="G43" s="90">
        <f>CHOOSE($F$42,'1. TEA Variables'!D14,'1. TEA Variables'!D31,'1. TEA Variables'!F48)</f>
        <v>3</v>
      </c>
      <c r="H43" s="242"/>
      <c r="I43"/>
    </row>
    <row r="44" spans="1:9" s="1" customFormat="1" ht="15" customHeight="1" x14ac:dyDescent="0.25">
      <c r="A44"/>
      <c r="B44" s="168" t="s">
        <v>21</v>
      </c>
      <c r="C44" s="29"/>
      <c r="D44" s="97" t="s">
        <v>8</v>
      </c>
      <c r="E44" t="s">
        <v>815</v>
      </c>
      <c r="F44" s="165">
        <f t="shared" si="1"/>
        <v>7.4999999999999997E-2</v>
      </c>
      <c r="G44" s="169">
        <f>CHOOSE($F$42,'1. TEA Variables'!D15,'1. TEA Variables'!D32,'1. TEA Variables'!F49)</f>
        <v>7.4999999999999997E-2</v>
      </c>
      <c r="H44"/>
      <c r="I44" s="96"/>
    </row>
    <row r="45" spans="1:9" s="1" customFormat="1" ht="15" customHeight="1" x14ac:dyDescent="0.25">
      <c r="B45" s="168" t="s">
        <v>328</v>
      </c>
      <c r="C45" s="29"/>
      <c r="D45" s="97" t="s">
        <v>8</v>
      </c>
      <c r="E45" t="s">
        <v>816</v>
      </c>
      <c r="F45" s="165">
        <f t="shared" si="1"/>
        <v>0.1</v>
      </c>
      <c r="G45" s="169">
        <f>CHOOSE($F$42,'1. TEA Variables'!D16,'1. TEA Variables'!D33,'1. TEA Variables'!F50)</f>
        <v>0.1</v>
      </c>
      <c r="H45"/>
      <c r="I45"/>
    </row>
    <row r="46" spans="1:9" s="1" customFormat="1" ht="15" customHeight="1" x14ac:dyDescent="0.25">
      <c r="A46"/>
      <c r="B46" s="168" t="s">
        <v>329</v>
      </c>
      <c r="C46" s="29"/>
      <c r="D46" s="97" t="s">
        <v>8</v>
      </c>
      <c r="E46" t="s">
        <v>817</v>
      </c>
      <c r="F46" s="165">
        <f t="shared" si="1"/>
        <v>0.1</v>
      </c>
      <c r="G46" s="169">
        <f>CHOOSE($F$42,'1. TEA Variables'!D17,'1. TEA Variables'!D34,'1. TEA Variables'!F51)</f>
        <v>0.1</v>
      </c>
      <c r="H46"/>
      <c r="I46" s="96"/>
    </row>
    <row r="47" spans="1:9" s="1" customFormat="1" ht="15" customHeight="1" x14ac:dyDescent="0.25">
      <c r="A47"/>
      <c r="B47" s="168" t="s">
        <v>330</v>
      </c>
      <c r="C47" s="29"/>
      <c r="D47" s="97" t="s">
        <v>8</v>
      </c>
      <c r="E47" t="s">
        <v>818</v>
      </c>
      <c r="F47" s="165">
        <f t="shared" si="1"/>
        <v>0.1</v>
      </c>
      <c r="G47" s="169">
        <f>CHOOSE($F$42,'1. TEA Variables'!D18,'1. TEA Variables'!D35,'1. TEA Variables'!F52)</f>
        <v>0.1</v>
      </c>
      <c r="H47"/>
      <c r="I47" s="96"/>
    </row>
    <row r="48" spans="1:9" s="1" customFormat="1" ht="15" customHeight="1" x14ac:dyDescent="0.25">
      <c r="A48"/>
      <c r="B48" s="168" t="s">
        <v>320</v>
      </c>
      <c r="C48" s="29"/>
      <c r="D48" s="97" t="s">
        <v>8</v>
      </c>
      <c r="E48" t="s">
        <v>819</v>
      </c>
      <c r="F48" s="165">
        <f t="shared" si="1"/>
        <v>0.05</v>
      </c>
      <c r="G48" s="169">
        <f>CHOOSE($F$42,'1. TEA Variables'!D19,'1. TEA Variables'!D36,'1. TEA Variables'!F53)</f>
        <v>0.05</v>
      </c>
      <c r="H48"/>
      <c r="I48" s="96"/>
    </row>
    <row r="49" spans="1:9" s="1" customFormat="1" ht="15" customHeight="1" x14ac:dyDescent="0.25">
      <c r="A49"/>
      <c r="B49" s="88" t="s">
        <v>457</v>
      </c>
      <c r="D49" s="76" t="s">
        <v>8</v>
      </c>
      <c r="E49" s="1" t="s">
        <v>820</v>
      </c>
      <c r="F49" s="241">
        <f t="shared" si="1"/>
        <v>0.55000000000000004</v>
      </c>
      <c r="G49" s="169">
        <f>CHOOSE($F$42,'1. TEA Variables'!D20,'1. TEA Variables'!D37,'1. TEA Variables'!F54)</f>
        <v>0.55000000000000004</v>
      </c>
      <c r="H49" s="242"/>
      <c r="I49" s="96"/>
    </row>
    <row r="50" spans="1:9" ht="15" customHeight="1" x14ac:dyDescent="0.25">
      <c r="B50" s="88" t="s">
        <v>458</v>
      </c>
      <c r="C50" s="1"/>
      <c r="D50" s="76" t="s">
        <v>696</v>
      </c>
      <c r="E50" s="1" t="s">
        <v>821</v>
      </c>
      <c r="F50" s="21">
        <f t="shared" si="1"/>
        <v>0.5</v>
      </c>
      <c r="G50" s="90">
        <f>CHOOSE($F$42,'1. TEA Variables'!D21,'1. TEA Variables'!D38,'1. TEA Variables'!F55)</f>
        <v>0.5</v>
      </c>
      <c r="H50" s="242"/>
    </row>
    <row r="51" spans="1:9" ht="15" customHeight="1" x14ac:dyDescent="0.25">
      <c r="B51" s="168" t="s">
        <v>25</v>
      </c>
      <c r="D51" s="97" t="s">
        <v>289</v>
      </c>
      <c r="E51" t="s">
        <v>809</v>
      </c>
      <c r="F51" s="216">
        <f t="shared" si="1"/>
        <v>30</v>
      </c>
      <c r="G51" s="122">
        <f>CHOOSE($F$42,'1. TEA Variables'!D22,'1. TEA Variables'!D39,'1. TEA Variables'!F56)</f>
        <v>30</v>
      </c>
      <c r="H51"/>
    </row>
    <row r="52" spans="1:9" ht="15" customHeight="1" x14ac:dyDescent="0.25">
      <c r="B52" s="88" t="s">
        <v>459</v>
      </c>
      <c r="C52" s="1"/>
      <c r="D52" s="76" t="s">
        <v>591</v>
      </c>
      <c r="E52" s="1" t="s">
        <v>822</v>
      </c>
      <c r="F52" s="128">
        <f t="shared" si="1"/>
        <v>75000</v>
      </c>
      <c r="G52" s="122">
        <f>CHOOSE($F$42,'1. TEA Variables'!D23,'1. TEA Variables'!D40,'1. TEA Variables'!F57)</f>
        <v>75000</v>
      </c>
      <c r="H52" s="242"/>
    </row>
    <row r="53" spans="1:9" ht="15" customHeight="1" x14ac:dyDescent="0.25">
      <c r="B53" s="168" t="s">
        <v>19</v>
      </c>
      <c r="D53" s="97" t="s">
        <v>20</v>
      </c>
      <c r="E53" t="s">
        <v>811</v>
      </c>
      <c r="F53" s="216">
        <f t="shared" si="1"/>
        <v>0.1</v>
      </c>
      <c r="G53" s="122">
        <f>CHOOSE($F$42,'1. TEA Variables'!D24,'1. TEA Variables'!D41,'1. TEA Variables'!F58)</f>
        <v>0.1</v>
      </c>
      <c r="H53"/>
    </row>
    <row r="54" spans="1:9" ht="15" customHeight="1" x14ac:dyDescent="0.25">
      <c r="B54" s="168" t="s">
        <v>323</v>
      </c>
      <c r="D54" s="97" t="s">
        <v>331</v>
      </c>
      <c r="E54" t="s">
        <v>810</v>
      </c>
      <c r="F54" s="216">
        <f t="shared" si="1"/>
        <v>25</v>
      </c>
      <c r="G54" s="122">
        <f>CHOOSE($F$42,'1. TEA Variables'!D25,'1. TEA Variables'!D42,'1. TEA Variables'!F59)</f>
        <v>25</v>
      </c>
      <c r="H54"/>
      <c r="I54" s="97"/>
    </row>
    <row r="55" spans="1:9" ht="15" customHeight="1" x14ac:dyDescent="0.25">
      <c r="B55" s="168" t="s">
        <v>33</v>
      </c>
      <c r="D55" s="97" t="s">
        <v>290</v>
      </c>
      <c r="E55" t="s">
        <v>802</v>
      </c>
      <c r="F55" s="107">
        <f t="shared" si="1"/>
        <v>10</v>
      </c>
      <c r="G55" s="62">
        <f>CHOOSE($F$42,'1. TEA Variables'!D26,'1. TEA Variables'!D43,'1. TEA Variables'!F60)</f>
        <v>10</v>
      </c>
      <c r="H55"/>
      <c r="I55" s="97"/>
    </row>
    <row r="56" spans="1:9" ht="15" customHeight="1" thickBot="1" x14ac:dyDescent="0.3">
      <c r="B56" s="168" t="s">
        <v>316</v>
      </c>
      <c r="D56" s="97" t="s">
        <v>290</v>
      </c>
      <c r="E56" t="s">
        <v>804</v>
      </c>
      <c r="F56" s="107">
        <f t="shared" si="1"/>
        <v>20</v>
      </c>
      <c r="G56" s="62">
        <f>CHOOSE($F$42,'1. TEA Variables'!D27,'1. TEA Variables'!D44,'1. TEA Variables'!F61)</f>
        <v>20</v>
      </c>
      <c r="H56"/>
      <c r="I56" s="97"/>
    </row>
    <row r="57" spans="1:9" ht="15" customHeight="1" thickBot="1" x14ac:dyDescent="0.3">
      <c r="B57" s="63" t="s">
        <v>59</v>
      </c>
      <c r="C57" s="64"/>
      <c r="D57" s="64"/>
      <c r="E57" s="64"/>
      <c r="F57" s="64"/>
      <c r="G57" s="65"/>
      <c r="I57" s="97"/>
    </row>
    <row r="58" spans="1:9" ht="15" customHeight="1" thickBot="1" x14ac:dyDescent="0.3">
      <c r="B58" s="14" t="s">
        <v>5</v>
      </c>
      <c r="C58" s="15" t="s">
        <v>46</v>
      </c>
      <c r="D58" s="15"/>
      <c r="E58" s="16" t="s">
        <v>47</v>
      </c>
      <c r="F58" s="16" t="s">
        <v>48</v>
      </c>
      <c r="G58" s="48" t="s">
        <v>5</v>
      </c>
      <c r="H58" s="39" t="s">
        <v>49</v>
      </c>
      <c r="I58" s="97"/>
    </row>
    <row r="59" spans="1:9" ht="15" customHeight="1" x14ac:dyDescent="0.25">
      <c r="B59" s="166" t="s">
        <v>36</v>
      </c>
      <c r="C59" s="108" t="s">
        <v>832</v>
      </c>
      <c r="D59" s="108" t="s">
        <v>580</v>
      </c>
      <c r="E59" s="23" t="s">
        <v>833</v>
      </c>
      <c r="F59" s="167">
        <f>G59</f>
        <v>41.5</v>
      </c>
      <c r="G59" s="171">
        <f>F10-F9</f>
        <v>41.5</v>
      </c>
      <c r="H59"/>
      <c r="I59" s="97"/>
    </row>
    <row r="60" spans="1:9" ht="15" customHeight="1" x14ac:dyDescent="0.25">
      <c r="A60" s="1"/>
      <c r="B60" s="168" t="s">
        <v>397</v>
      </c>
      <c r="C60" s="97" t="s">
        <v>834</v>
      </c>
      <c r="D60" s="97" t="s">
        <v>584</v>
      </c>
      <c r="E60" s="23" t="s">
        <v>835</v>
      </c>
      <c r="F60" s="107">
        <f t="shared" ref="F60:F71" si="2">G60</f>
        <v>15.166589188317577</v>
      </c>
      <c r="G60" s="78">
        <f>SQRT(F11^2-4*F59/PI()/F12)</f>
        <v>15.166589188317577</v>
      </c>
      <c r="H60" t="s">
        <v>409</v>
      </c>
      <c r="I60" s="97"/>
    </row>
    <row r="61" spans="1:9" ht="15" customHeight="1" x14ac:dyDescent="0.25">
      <c r="A61" s="1"/>
      <c r="B61" s="168" t="s">
        <v>398</v>
      </c>
      <c r="C61" s="97" t="s">
        <v>836</v>
      </c>
      <c r="D61" s="97" t="s">
        <v>584</v>
      </c>
      <c r="E61" s="23" t="s">
        <v>837</v>
      </c>
      <c r="F61" s="107">
        <f t="shared" si="2"/>
        <v>15.233294594158789</v>
      </c>
      <c r="G61" s="78">
        <f>AVERAGE(F11,F60)</f>
        <v>15.233294594158789</v>
      </c>
      <c r="H61" t="s">
        <v>409</v>
      </c>
      <c r="I61" s="97"/>
    </row>
    <row r="62" spans="1:9" ht="15" customHeight="1" x14ac:dyDescent="0.25">
      <c r="B62" s="168" t="s">
        <v>31</v>
      </c>
      <c r="C62" s="97" t="str">
        <f>_xlfn.CONCAT("(mcn_R_surface*100)/(PI*",IF(F8="Cylinder","mcn_dimAvg","mcn_W_tool/10"),")")</f>
        <v>(mcn_R_surface*100)/(PI*mcn_W_tool/10)</v>
      </c>
      <c r="D62" s="97" t="s">
        <v>829</v>
      </c>
      <c r="E62" s="23" t="s">
        <v>838</v>
      </c>
      <c r="F62" s="107">
        <f t="shared" si="2"/>
        <v>5012.7541131305616</v>
      </c>
      <c r="G62" s="78">
        <f>F17*100/IF(F8="Cylinder",F61,F19/10)/PI()</f>
        <v>5012.7541131305616</v>
      </c>
      <c r="H62"/>
      <c r="I62" s="97"/>
    </row>
    <row r="63" spans="1:9" ht="15" customHeight="1" x14ac:dyDescent="0.25">
      <c r="B63" s="88" t="s">
        <v>400</v>
      </c>
      <c r="C63" s="97" t="str">
        <f>_xlfn.CONCAT("mcn_RPM*",IF(F8="Cylinder","mcn_R_feed/10","mcn_N_teeth*mcn_W_chip"))</f>
        <v>mcn_RPM*mcn_N_teeth*mcn_W_chip</v>
      </c>
      <c r="D63" s="97" t="s">
        <v>830</v>
      </c>
      <c r="E63" s="23" t="s">
        <v>839</v>
      </c>
      <c r="F63" s="107">
        <f t="shared" si="2"/>
        <v>19.098593171027439</v>
      </c>
      <c r="G63" s="78">
        <f>F62*IF(F8="Cylinder",F22/10,F21*F20/10)</f>
        <v>19.098593171027439</v>
      </c>
      <c r="H63"/>
      <c r="I63" s="97"/>
    </row>
    <row r="64" spans="1:9" ht="15" customHeight="1" x14ac:dyDescent="0.25">
      <c r="B64" s="168" t="s">
        <v>35</v>
      </c>
      <c r="C64" s="133" t="str">
        <f>_xlfn.CONCAT("(mcn_H_cut/10)*mcn_R_feedLin*",IF(F8="Cylinder","PI*mcn_dimAvg","(mcn_W_tool/2)"))</f>
        <v>(mcn_H_cut/10)*mcn_R_feedLin*(mcn_W_tool/2)</v>
      </c>
      <c r="D64" s="133" t="s">
        <v>831</v>
      </c>
      <c r="E64" s="23" t="s">
        <v>840</v>
      </c>
      <c r="F64" s="107">
        <f t="shared" si="2"/>
        <v>0.12127606663602424</v>
      </c>
      <c r="G64" s="78">
        <f>(F18/10)*F63*IF(F8="Cylinder",PI()*F61,F19/10/2)</f>
        <v>0.12127606663602424</v>
      </c>
      <c r="H64"/>
      <c r="I64" s="97"/>
    </row>
    <row r="65" spans="1:13" ht="15" customHeight="1" x14ac:dyDescent="0.25">
      <c r="B65" s="168" t="s">
        <v>365</v>
      </c>
      <c r="C65" s="97" t="s">
        <v>841</v>
      </c>
      <c r="D65" s="97" t="s">
        <v>358</v>
      </c>
      <c r="E65" s="23" t="s">
        <v>842</v>
      </c>
      <c r="F65" s="107">
        <f t="shared" si="2"/>
        <v>342.19447539101424</v>
      </c>
      <c r="G65" s="78">
        <f>IF(F5, F59/F64, F23)</f>
        <v>342.19447539101424</v>
      </c>
      <c r="H65"/>
    </row>
    <row r="66" spans="1:13" ht="15" customHeight="1" x14ac:dyDescent="0.25">
      <c r="B66" s="168" t="s">
        <v>410</v>
      </c>
      <c r="C66" s="97" t="s">
        <v>845</v>
      </c>
      <c r="D66" s="97" t="s">
        <v>358</v>
      </c>
      <c r="E66" s="23" t="s">
        <v>843</v>
      </c>
      <c r="F66" s="107">
        <f t="shared" si="2"/>
        <v>372.19447539101424</v>
      </c>
      <c r="G66" s="78">
        <f>F65+F24</f>
        <v>372.19447539101424</v>
      </c>
      <c r="H66"/>
    </row>
    <row r="67" spans="1:13" ht="15" customHeight="1" x14ac:dyDescent="0.25">
      <c r="B67" s="168" t="s">
        <v>971</v>
      </c>
      <c r="C67" s="97" t="s">
        <v>846</v>
      </c>
      <c r="D67" s="97" t="s">
        <v>358</v>
      </c>
      <c r="E67" s="23" t="s">
        <v>844</v>
      </c>
      <c r="F67" s="107">
        <f>G67</f>
        <v>115.54861884775356</v>
      </c>
      <c r="G67" s="78">
        <f>F24+F65*F32</f>
        <v>115.54861884775356</v>
      </c>
      <c r="H67"/>
    </row>
    <row r="68" spans="1:13" ht="15" customHeight="1" x14ac:dyDescent="0.25">
      <c r="B68" s="168" t="s">
        <v>857</v>
      </c>
      <c r="C68" s="49" t="s">
        <v>847</v>
      </c>
      <c r="D68" s="97" t="s">
        <v>8</v>
      </c>
      <c r="E68" s="23" t="s">
        <v>848</v>
      </c>
      <c r="F68" s="215">
        <f>G68</f>
        <v>0.31045226753127464</v>
      </c>
      <c r="G68" s="189">
        <f>F67/F66</f>
        <v>0.31045226753127464</v>
      </c>
      <c r="H68"/>
    </row>
    <row r="69" spans="1:13" ht="15" customHeight="1" x14ac:dyDescent="0.25">
      <c r="B69" s="168" t="s">
        <v>68</v>
      </c>
      <c r="C69" s="133" t="s">
        <v>853</v>
      </c>
      <c r="D69" s="133" t="s">
        <v>370</v>
      </c>
      <c r="E69" s="23" t="s">
        <v>849</v>
      </c>
      <c r="F69" s="107">
        <f t="shared" si="2"/>
        <v>43.77430942387678</v>
      </c>
      <c r="G69" s="78">
        <f>(F65*F26+F24*F25)/60</f>
        <v>43.77430942387678</v>
      </c>
      <c r="H69"/>
    </row>
    <row r="70" spans="1:13" ht="15" customHeight="1" x14ac:dyDescent="0.25">
      <c r="B70" s="168" t="s">
        <v>401</v>
      </c>
      <c r="C70" s="97" t="s">
        <v>854</v>
      </c>
      <c r="D70" s="192" t="s">
        <v>618</v>
      </c>
      <c r="E70" s="23" t="s">
        <v>850</v>
      </c>
      <c r="F70" s="107">
        <f>G70</f>
        <v>644.82418700026255</v>
      </c>
      <c r="G70" s="78">
        <f>F29*F38/(F66/60)</f>
        <v>644.82418700026255</v>
      </c>
      <c r="H70"/>
      <c r="J70" s="29"/>
      <c r="K70" s="13"/>
      <c r="L70" s="13"/>
      <c r="M70" s="28"/>
    </row>
    <row r="71" spans="1:13" ht="15" customHeight="1" thickBot="1" x14ac:dyDescent="0.3">
      <c r="A71" s="1"/>
      <c r="B71" s="170" t="s">
        <v>402</v>
      </c>
      <c r="C71" s="36" t="s">
        <v>852</v>
      </c>
      <c r="D71" s="123" t="s">
        <v>618</v>
      </c>
      <c r="E71" s="23" t="s">
        <v>851</v>
      </c>
      <c r="F71" s="163">
        <f t="shared" si="2"/>
        <v>580.34176830023637</v>
      </c>
      <c r="G71" s="164">
        <f>F70*F34</f>
        <v>580.34176830023637</v>
      </c>
      <c r="H71"/>
    </row>
    <row r="72" spans="1:13" ht="15" customHeight="1" thickBot="1" x14ac:dyDescent="0.3">
      <c r="B72" s="63" t="s">
        <v>384</v>
      </c>
      <c r="C72" s="64"/>
      <c r="D72" s="64"/>
      <c r="E72" s="64"/>
      <c r="F72" s="64"/>
      <c r="G72" s="65"/>
      <c r="H72"/>
    </row>
    <row r="73" spans="1:13" ht="15" customHeight="1" thickBot="1" x14ac:dyDescent="0.3">
      <c r="B73" s="14" t="s">
        <v>45</v>
      </c>
      <c r="C73" s="15" t="s">
        <v>46</v>
      </c>
      <c r="D73" s="15"/>
      <c r="E73" s="16" t="s">
        <v>47</v>
      </c>
      <c r="F73" s="16" t="s">
        <v>48</v>
      </c>
      <c r="G73" s="48" t="s">
        <v>5</v>
      </c>
      <c r="H73" s="39" t="s">
        <v>49</v>
      </c>
    </row>
    <row r="74" spans="1:13" ht="15" customHeight="1" x14ac:dyDescent="0.25">
      <c r="B74" s="150" t="s">
        <v>321</v>
      </c>
      <c r="C74" s="151"/>
      <c r="D74" s="151"/>
      <c r="E74" s="152"/>
      <c r="F74" s="152"/>
      <c r="G74" s="153"/>
      <c r="H74" s="82"/>
    </row>
    <row r="75" spans="1:13" ht="15" customHeight="1" x14ac:dyDescent="0.25">
      <c r="B75" s="17" t="s">
        <v>385</v>
      </c>
      <c r="C75" s="133"/>
      <c r="D75" s="133" t="s">
        <v>855</v>
      </c>
      <c r="E75" s="97"/>
      <c r="F75" s="154">
        <f>G75</f>
        <v>342.19447539101424</v>
      </c>
      <c r="G75" s="139">
        <f>F65</f>
        <v>342.19447539101424</v>
      </c>
      <c r="H75" s="82"/>
    </row>
    <row r="76" spans="1:13" ht="15" customHeight="1" x14ac:dyDescent="0.25">
      <c r="B76" s="17" t="s">
        <v>386</v>
      </c>
      <c r="C76" s="133"/>
      <c r="D76" s="133" t="s">
        <v>855</v>
      </c>
      <c r="E76" s="97"/>
      <c r="F76" s="154">
        <f>G76</f>
        <v>30</v>
      </c>
      <c r="G76" s="139">
        <f>F24</f>
        <v>30</v>
      </c>
      <c r="H76" s="82"/>
    </row>
    <row r="77" spans="1:13" ht="15" customHeight="1" x14ac:dyDescent="0.25">
      <c r="B77" s="155" t="s">
        <v>322</v>
      </c>
      <c r="C77" s="156"/>
      <c r="D77" s="156"/>
      <c r="E77" s="115"/>
      <c r="F77" s="115"/>
      <c r="G77" s="116"/>
      <c r="H77" s="1"/>
    </row>
    <row r="78" spans="1:13" ht="15" customHeight="1" x14ac:dyDescent="0.25">
      <c r="B78" s="17" t="s">
        <v>658</v>
      </c>
      <c r="C78" s="97" t="s">
        <v>972</v>
      </c>
      <c r="D78" s="133" t="s">
        <v>591</v>
      </c>
      <c r="E78" s="96" t="s">
        <v>856</v>
      </c>
      <c r="F78" s="216">
        <f>G78</f>
        <v>57744.121760817077</v>
      </c>
      <c r="G78" s="217">
        <f>F67/60*F31*F51*(1+F49)*F70</f>
        <v>57744.121760817077</v>
      </c>
      <c r="H78" s="117"/>
    </row>
    <row r="79" spans="1:13" ht="15" customHeight="1" x14ac:dyDescent="0.25">
      <c r="B79" s="17" t="s">
        <v>659</v>
      </c>
      <c r="C79" s="97" t="s">
        <v>1050</v>
      </c>
      <c r="D79" s="133" t="s">
        <v>591</v>
      </c>
      <c r="E79" s="96" t="s">
        <v>858</v>
      </c>
      <c r="F79" s="216">
        <f>G79</f>
        <v>2822.6733485749278</v>
      </c>
      <c r="G79" s="217">
        <f>F69*F70*F53</f>
        <v>2822.6733485749278</v>
      </c>
      <c r="H79" s="82"/>
    </row>
    <row r="80" spans="1:13" ht="15" customHeight="1" x14ac:dyDescent="0.25">
      <c r="B80" s="17" t="s">
        <v>660</v>
      </c>
      <c r="C80" s="97" t="s">
        <v>860</v>
      </c>
      <c r="D80" s="133" t="s">
        <v>591</v>
      </c>
      <c r="E80" s="96" t="s">
        <v>859</v>
      </c>
      <c r="F80" s="216">
        <f>G80</f>
        <v>18045.038050255338</v>
      </c>
      <c r="G80" s="217">
        <f>F31*F50*F52*(1+F49)*F68</f>
        <v>18045.038050255338</v>
      </c>
      <c r="H80" s="82"/>
    </row>
    <row r="81" spans="2:8" ht="15" customHeight="1" x14ac:dyDescent="0.25">
      <c r="B81" s="17" t="s">
        <v>661</v>
      </c>
      <c r="C81" s="97" t="s">
        <v>861</v>
      </c>
      <c r="D81" s="133" t="s">
        <v>591</v>
      </c>
      <c r="E81" s="96" t="s">
        <v>862</v>
      </c>
      <c r="F81" s="216">
        <f>G81</f>
        <v>3412.5000000000009</v>
      </c>
      <c r="G81" s="217">
        <f>(F35*(1+F45)+F37)*(1+F48)*F29/F55</f>
        <v>3412.5000000000009</v>
      </c>
      <c r="H81" s="82"/>
    </row>
    <row r="82" spans="2:8" ht="15" customHeight="1" x14ac:dyDescent="0.25">
      <c r="B82" s="17" t="s">
        <v>662</v>
      </c>
      <c r="C82" s="97" t="s">
        <v>863</v>
      </c>
      <c r="D82" s="133" t="s">
        <v>591</v>
      </c>
      <c r="E82" s="96" t="s">
        <v>864</v>
      </c>
      <c r="F82" s="216">
        <f>G82</f>
        <v>250</v>
      </c>
      <c r="G82" s="217">
        <f>F30*F29*F54/F56</f>
        <v>250</v>
      </c>
    </row>
    <row r="83" spans="2:8" ht="15" customHeight="1" x14ac:dyDescent="0.25">
      <c r="B83" s="17" t="s">
        <v>663</v>
      </c>
      <c r="C83" s="97" t="s">
        <v>865</v>
      </c>
      <c r="D83" s="133" t="s">
        <v>591</v>
      </c>
      <c r="E83" s="96" t="s">
        <v>813</v>
      </c>
      <c r="F83" s="216">
        <f t="shared" ref="F83:F92" si="3">G83</f>
        <v>25000</v>
      </c>
      <c r="G83" s="217">
        <f>F36*F29/F33</f>
        <v>25000</v>
      </c>
    </row>
    <row r="84" spans="2:8" ht="15" customHeight="1" x14ac:dyDescent="0.25">
      <c r="B84" s="17" t="s">
        <v>664</v>
      </c>
      <c r="C84" s="97" t="s">
        <v>827</v>
      </c>
      <c r="D84" s="133" t="s">
        <v>591</v>
      </c>
      <c r="E84" s="96" t="s">
        <v>866</v>
      </c>
      <c r="F84" s="216">
        <f t="shared" si="3"/>
        <v>5000</v>
      </c>
      <c r="G84" s="217">
        <f>F35*F29*(F46+F47)</f>
        <v>5000</v>
      </c>
    </row>
    <row r="85" spans="2:8" ht="15" customHeight="1" x14ac:dyDescent="0.25">
      <c r="B85" s="17" t="s">
        <v>667</v>
      </c>
      <c r="C85" s="97" t="s">
        <v>875</v>
      </c>
      <c r="D85" s="133" t="s">
        <v>591</v>
      </c>
      <c r="E85" s="96" t="s">
        <v>867</v>
      </c>
      <c r="F85" s="216">
        <f t="shared" si="3"/>
        <v>723.30058574233408</v>
      </c>
      <c r="G85" s="217">
        <f>PMT($F$44/12,$F$43,-F78*$F$43/12)*12-F78</f>
        <v>723.30058574233408</v>
      </c>
    </row>
    <row r="86" spans="2:8" ht="15" customHeight="1" x14ac:dyDescent="0.25">
      <c r="B86" s="17" t="s">
        <v>668</v>
      </c>
      <c r="C86" s="97" t="s">
        <v>876</v>
      </c>
      <c r="D86" s="133" t="s">
        <v>591</v>
      </c>
      <c r="E86" s="96" t="s">
        <v>868</v>
      </c>
      <c r="F86" s="216">
        <f t="shared" si="3"/>
        <v>35.356694744449669</v>
      </c>
      <c r="G86" s="217">
        <f>PMT($F$44/12,$F$43,-F79*$F$43/12)*12-F79</f>
        <v>35.356694744449669</v>
      </c>
    </row>
    <row r="87" spans="2:8" ht="15" customHeight="1" x14ac:dyDescent="0.25">
      <c r="B87" s="17" t="s">
        <v>669</v>
      </c>
      <c r="C87" s="97" t="s">
        <v>877</v>
      </c>
      <c r="D87" s="133" t="s">
        <v>591</v>
      </c>
      <c r="E87" s="96" t="s">
        <v>869</v>
      </c>
      <c r="F87" s="216">
        <f t="shared" si="3"/>
        <v>226.03143304448167</v>
      </c>
      <c r="G87" s="217">
        <f>PMT($F$44/12,$F$43,-F80*$F$43/12)*12-F80</f>
        <v>226.03143304448167</v>
      </c>
    </row>
    <row r="88" spans="2:8" ht="15" customHeight="1" x14ac:dyDescent="0.25">
      <c r="B88" s="17" t="s">
        <v>670</v>
      </c>
      <c r="C88" s="97" t="s">
        <v>878</v>
      </c>
      <c r="D88" s="133" t="s">
        <v>591</v>
      </c>
      <c r="E88" s="96" t="s">
        <v>870</v>
      </c>
      <c r="F88" s="216">
        <f t="shared" si="3"/>
        <v>1448.3374461132298</v>
      </c>
      <c r="G88" s="217">
        <f>PMT($F$44/12,F55*12,-F81*F55)*12-F81</f>
        <v>1448.3374461132298</v>
      </c>
    </row>
    <row r="89" spans="2:8" ht="15" customHeight="1" x14ac:dyDescent="0.25">
      <c r="B89" s="17" t="s">
        <v>671</v>
      </c>
      <c r="C89" s="97" t="s">
        <v>879</v>
      </c>
      <c r="D89" s="133" t="s">
        <v>591</v>
      </c>
      <c r="E89" s="96" t="s">
        <v>871</v>
      </c>
      <c r="F89" s="216">
        <f t="shared" si="3"/>
        <v>233.35591613108431</v>
      </c>
      <c r="G89" s="217">
        <f>PMT($F$44/12,F56*12,-F82*F56)*12-F82</f>
        <v>233.35591613108431</v>
      </c>
    </row>
    <row r="90" spans="2:8" ht="15" customHeight="1" x14ac:dyDescent="0.25">
      <c r="B90" s="17" t="s">
        <v>672</v>
      </c>
      <c r="C90" s="97" t="s">
        <v>880</v>
      </c>
      <c r="D90" s="133" t="s">
        <v>591</v>
      </c>
      <c r="E90" s="96" t="s">
        <v>872</v>
      </c>
      <c r="F90" s="216">
        <f t="shared" si="3"/>
        <v>79.918919831732637</v>
      </c>
      <c r="G90" s="217">
        <f>PMT($F$44/12,F33*12,-F83*F33)*12-F83</f>
        <v>79.918919831732637</v>
      </c>
    </row>
    <row r="91" spans="2:8" ht="15" customHeight="1" x14ac:dyDescent="0.25">
      <c r="B91" s="17" t="s">
        <v>673</v>
      </c>
      <c r="C91" s="97" t="s">
        <v>881</v>
      </c>
      <c r="D91" s="133" t="s">
        <v>591</v>
      </c>
      <c r="E91" s="96" t="s">
        <v>873</v>
      </c>
      <c r="F91" s="216">
        <f t="shared" si="3"/>
        <v>62.629802279991054</v>
      </c>
      <c r="G91" s="217">
        <f>PMT($F$44/12,$F$43,-F84*$F$43/12)*12-F84</f>
        <v>62.629802279991054</v>
      </c>
    </row>
    <row r="92" spans="2:8" ht="15" customHeight="1" x14ac:dyDescent="0.25">
      <c r="B92" s="17" t="s">
        <v>674</v>
      </c>
      <c r="C92" s="133" t="s">
        <v>883</v>
      </c>
      <c r="D92" s="133" t="s">
        <v>591</v>
      </c>
      <c r="E92" s="96" t="s">
        <v>874</v>
      </c>
      <c r="F92" s="216">
        <f t="shared" si="3"/>
        <v>2808.930797887303</v>
      </c>
      <c r="G92" s="217">
        <f>SUM(F85:F91)</f>
        <v>2808.930797887303</v>
      </c>
    </row>
    <row r="93" spans="2:8" ht="15" customHeight="1" thickBot="1" x14ac:dyDescent="0.3">
      <c r="B93" s="34" t="s">
        <v>455</v>
      </c>
      <c r="C93" s="35" t="s">
        <v>882</v>
      </c>
      <c r="D93" s="35" t="s">
        <v>591</v>
      </c>
      <c r="E93" s="199" t="s">
        <v>884</v>
      </c>
      <c r="F93" s="218">
        <f>G93</f>
        <v>115083.26395753464</v>
      </c>
      <c r="G93" s="219">
        <f>SUM(F78:F84)+F92</f>
        <v>115083.26395753464</v>
      </c>
    </row>
    <row r="94" spans="2:8" ht="15" customHeight="1" x14ac:dyDescent="0.25">
      <c r="B94"/>
      <c r="C94"/>
      <c r="D94"/>
      <c r="E94"/>
      <c r="F94"/>
      <c r="G94" s="1"/>
    </row>
    <row r="95" spans="2:8" ht="15" customHeight="1" x14ac:dyDescent="0.25">
      <c r="D95" s="196" t="s">
        <v>885</v>
      </c>
      <c r="E95" t="s">
        <v>5</v>
      </c>
      <c r="F95" s="13" t="s">
        <v>347</v>
      </c>
      <c r="G95" s="13" t="s">
        <v>345</v>
      </c>
    </row>
    <row r="96" spans="2:8" ht="15" customHeight="1" x14ac:dyDescent="0.25">
      <c r="D96" s="18"/>
      <c r="E96" t="s">
        <v>385</v>
      </c>
      <c r="F96" s="38">
        <f>F75</f>
        <v>342.19447539101424</v>
      </c>
      <c r="G96" s="126">
        <f>Tbl_MCN_Time[[#This Row],[Time]]/Tbl_MCN_Time[[#Totals],[Time]]</f>
        <v>0.91939697662496722</v>
      </c>
    </row>
    <row r="97" spans="4:7" ht="15" customHeight="1" x14ac:dyDescent="0.25">
      <c r="D97" s="18"/>
      <c r="E97" t="s">
        <v>386</v>
      </c>
      <c r="F97" s="38">
        <f>F76</f>
        <v>30</v>
      </c>
      <c r="G97" s="126">
        <f>Tbl_MCN_Time[[#This Row],[Time]]/Tbl_MCN_Time[[#Totals],[Time]]</f>
        <v>8.060302337503282E-2</v>
      </c>
    </row>
    <row r="98" spans="4:7" ht="15" customHeight="1" x14ac:dyDescent="0.25">
      <c r="D98"/>
      <c r="E98" t="s">
        <v>346</v>
      </c>
      <c r="F98" s="38">
        <f>SUBTOTAL(109,Tbl_MCN_Time[Time])</f>
        <v>372.19447539101424</v>
      </c>
      <c r="G98" s="157">
        <f>SUBTOTAL(109,Tbl_MCN_Time[Percent])</f>
        <v>1</v>
      </c>
    </row>
    <row r="99" spans="4:7" ht="15" customHeight="1" x14ac:dyDescent="0.25">
      <c r="D99"/>
    </row>
    <row r="100" spans="4:7" ht="15" customHeight="1" x14ac:dyDescent="0.25">
      <c r="D100" s="197" t="s">
        <v>886</v>
      </c>
      <c r="E100" t="s">
        <v>5</v>
      </c>
      <c r="F100" s="13" t="s">
        <v>344</v>
      </c>
      <c r="G100" s="13" t="s">
        <v>345</v>
      </c>
    </row>
    <row r="101" spans="4:7" ht="15" customHeight="1" x14ac:dyDescent="0.25">
      <c r="D101" s="18"/>
      <c r="E101" t="s">
        <v>305</v>
      </c>
      <c r="F101" s="212">
        <f>F78</f>
        <v>57744.121760817077</v>
      </c>
      <c r="G101" s="126">
        <f>Tbl_MCN_Cost[[#This Row],[Cost]]/Tbl_MCN_Cost[[#Totals],[Cost]]</f>
        <v>0.50175950677002423</v>
      </c>
    </row>
    <row r="102" spans="4:7" ht="15" customHeight="1" x14ac:dyDescent="0.25">
      <c r="E102" t="s">
        <v>304</v>
      </c>
      <c r="F102" s="212">
        <f>F79</f>
        <v>2822.6733485749278</v>
      </c>
      <c r="G102" s="126">
        <f>Tbl_MCN_Cost[[#This Row],[Cost]]/Tbl_MCN_Cost[[#Totals],[Cost]]</f>
        <v>2.4527227083309747E-2</v>
      </c>
    </row>
    <row r="103" spans="4:7" ht="15" customHeight="1" x14ac:dyDescent="0.25">
      <c r="E103" t="s">
        <v>303</v>
      </c>
      <c r="F103" s="212">
        <f>F81</f>
        <v>3412.5000000000009</v>
      </c>
      <c r="G103" s="126">
        <f>Tbl_MCN_Cost[[#This Row],[Cost]]/Tbl_MCN_Cost[[#Totals],[Cost]]</f>
        <v>2.9652443653833134E-2</v>
      </c>
    </row>
    <row r="104" spans="4:7" ht="15" customHeight="1" x14ac:dyDescent="0.25">
      <c r="E104" t="s">
        <v>343</v>
      </c>
      <c r="F104" s="212">
        <f>F82</f>
        <v>250</v>
      </c>
      <c r="G104" s="126">
        <f>Tbl_MCN_Cost[[#This Row],[Cost]]/Tbl_MCN_Cost[[#Totals],[Cost]]</f>
        <v>2.1723401944200092E-3</v>
      </c>
    </row>
    <row r="105" spans="4:7" ht="15" customHeight="1" x14ac:dyDescent="0.25">
      <c r="E105" t="s">
        <v>342</v>
      </c>
      <c r="F105" s="212">
        <f>F83</f>
        <v>25000</v>
      </c>
      <c r="G105" s="126">
        <f>Tbl_MCN_Cost[[#This Row],[Cost]]/Tbl_MCN_Cost[[#Totals],[Cost]]</f>
        <v>0.21723401944200091</v>
      </c>
    </row>
    <row r="106" spans="4:7" ht="15" customHeight="1" x14ac:dyDescent="0.25">
      <c r="D106"/>
      <c r="E106" t="s">
        <v>216</v>
      </c>
      <c r="F106" s="212">
        <f>F80+F84</f>
        <v>23045.038050255338</v>
      </c>
      <c r="G106" s="126">
        <f>Tbl_MCN_Cost[[#This Row],[Cost]]/Tbl_MCN_Cost[[#Totals],[Cost]]</f>
        <v>0.20024664975403275</v>
      </c>
    </row>
    <row r="107" spans="4:7" ht="15" customHeight="1" x14ac:dyDescent="0.25">
      <c r="D107"/>
      <c r="E107" t="s">
        <v>464</v>
      </c>
      <c r="F107" s="212">
        <f>F92</f>
        <v>2808.930797887303</v>
      </c>
      <c r="G107" s="126">
        <f>Tbl_MCN_Cost[[#This Row],[Cost]]/Tbl_MCN_Cost[[#Totals],[Cost]]</f>
        <v>2.4407813102379421E-2</v>
      </c>
    </row>
    <row r="108" spans="4:7" ht="15" customHeight="1" x14ac:dyDescent="0.25">
      <c r="D108"/>
      <c r="E108" t="s">
        <v>346</v>
      </c>
      <c r="F108" s="212">
        <f>SUBTOTAL(109,Tbl_MCN_Cost[Cost])</f>
        <v>115083.26395753463</v>
      </c>
      <c r="G108" s="178">
        <f>SUBTOTAL(109,Tbl_MCN_Cost[Percent])</f>
        <v>1.0000000000000002</v>
      </c>
    </row>
  </sheetData>
  <sheetProtection algorithmName="SHA-512" hashValue="dIvHhylhtVUwuP3C0+lwpoTebUvsfKJTOsnNW8Wc8Sl5ew0VPdmNFjSITqF7UNM/DNVufWf1S6vxAiRfKIVImg==" saltValue="CJRV9i9XkVc6lFmnTCQFeQ==" spinCount="100000" sheet="1" objects="1" scenarios="1"/>
  <pageMargins left="0.7" right="0.7" top="0.75" bottom="0.75" header="0.3" footer="0.3"/>
  <pageSetup orientation="portrait" horizontalDpi="1200" verticalDpi="1200" r:id="rId1"/>
  <ignoredErrors>
    <ignoredError sqref="F101:F107" calculatedColumn="1"/>
  </ignoredErrors>
  <tableParts count="2">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9F8C3-8927-40C8-A02D-D390607AC314}">
  <sheetPr codeName="Sheet15">
    <tabColor theme="8" tint="-0.499984740745262"/>
  </sheetPr>
  <dimension ref="B1:W170"/>
  <sheetViews>
    <sheetView workbookViewId="0"/>
  </sheetViews>
  <sheetFormatPr defaultColWidth="16.7109375" defaultRowHeight="15" x14ac:dyDescent="0.25"/>
  <cols>
    <col min="1" max="1" width="5.7109375" customWidth="1"/>
    <col min="2" max="2" width="36.7109375" customWidth="1"/>
    <col min="3" max="3" width="64.7109375" style="13" customWidth="1"/>
    <col min="4" max="4" width="12.7109375" style="13" customWidth="1"/>
    <col min="5" max="6" width="24.7109375" style="13" customWidth="1"/>
    <col min="7" max="7" width="24.7109375" customWidth="1"/>
    <col min="8" max="8" width="42.7109375" customWidth="1"/>
    <col min="11" max="17" width="16.7109375" style="13"/>
  </cols>
  <sheetData>
    <row r="1" spans="2:18" ht="15.75" thickBot="1" x14ac:dyDescent="0.3"/>
    <row r="2" spans="2:18" ht="15.75" thickBot="1" x14ac:dyDescent="0.3">
      <c r="B2" s="130" t="s">
        <v>435</v>
      </c>
      <c r="C2" s="131"/>
      <c r="D2" s="131"/>
      <c r="E2" s="131"/>
      <c r="F2" s="131"/>
      <c r="G2" s="132"/>
      <c r="H2" s="23"/>
      <c r="K2" t="s">
        <v>412</v>
      </c>
      <c r="L2" s="304" t="s">
        <v>438</v>
      </c>
      <c r="M2" s="304" t="s">
        <v>415</v>
      </c>
      <c r="N2" s="304" t="s">
        <v>416</v>
      </c>
      <c r="O2" s="304" t="s">
        <v>417</v>
      </c>
      <c r="P2" s="304" t="s">
        <v>423</v>
      </c>
      <c r="Q2" s="304" t="s">
        <v>424</v>
      </c>
      <c r="R2" s="304" t="s">
        <v>425</v>
      </c>
    </row>
    <row r="3" spans="2:18" ht="15.75" thickBot="1" x14ac:dyDescent="0.3">
      <c r="B3" s="54" t="s">
        <v>378</v>
      </c>
      <c r="C3" s="55"/>
      <c r="D3" s="55"/>
      <c r="E3" s="55"/>
      <c r="F3" s="55"/>
      <c r="G3" s="56"/>
      <c r="H3" s="23"/>
      <c r="K3" t="s">
        <v>418</v>
      </c>
      <c r="L3" s="38">
        <f>F8</f>
        <v>455.0980928501653</v>
      </c>
      <c r="M3" s="222">
        <f>Tbl_Bottleneck7[[#This Row],[Max Out]]</f>
        <v>455.0980928501653</v>
      </c>
      <c r="N3" s="222">
        <f>CHOOSE(F27,Tbl_Bottleneck7[[#This Row],[PRNT Out]]*F14,Tbl_Bottleneck7[[#This Row],[PRNT Out]]*F14,-1,-1)</f>
        <v>409.5882835651488</v>
      </c>
      <c r="O3" s="222">
        <f>CHOOSE(F27,Tbl_Bottleneck7[[#This Row],[PP Out]]*F21,0,Tbl_Bottleneck7[[#This Row],[PRNT Out]]*F21,0)</f>
        <v>368.62945520863394</v>
      </c>
      <c r="P3" s="222">
        <f>F6</f>
        <v>4000</v>
      </c>
      <c r="Q3" s="222">
        <f>CHOOSE(F27,F15*(Tbl_Bottleneck7[[#This Row],[PP Out]]/F17),F15*(Tbl_Bottleneck7[[#This Row],[PP Out]]/F17),0,0)</f>
        <v>328.68195594734163</v>
      </c>
      <c r="R3" s="222">
        <f>CHOOSE(F27,F22*(Tbl_Bottleneck7[[#This Row],[FIN Out]]/F24),0,F22*(Tbl_Bottleneck7[[#This Row],[FIN Out]]/F24),0)</f>
        <v>2540.7749387972758</v>
      </c>
    </row>
    <row r="4" spans="2:18" ht="15.75" thickBot="1" x14ac:dyDescent="0.3">
      <c r="B4" s="14" t="s">
        <v>45</v>
      </c>
      <c r="C4" s="15" t="s">
        <v>579</v>
      </c>
      <c r="D4" s="15" t="s">
        <v>578</v>
      </c>
      <c r="E4" s="16" t="s">
        <v>47</v>
      </c>
      <c r="F4" s="16" t="s">
        <v>48</v>
      </c>
      <c r="G4" s="48" t="s">
        <v>5</v>
      </c>
      <c r="H4" s="30" t="s">
        <v>49</v>
      </c>
      <c r="K4" t="s">
        <v>105</v>
      </c>
      <c r="L4" s="38">
        <f>F17</f>
        <v>4984.6153846153848</v>
      </c>
      <c r="M4" s="222">
        <f>CHOOSE(F27,Tbl_Bottleneck7[[#This Row],[PP Out]]/F14,Tbl_Bottleneck7[[#This Row],[PP Out]]/F14,-1,-1)</f>
        <v>5538.4615384615381</v>
      </c>
      <c r="N4" s="222">
        <f>CHOOSE(F27,Tbl_Bottleneck7[[#This Row],[Max Out]],Tbl_Bottleneck7[[#This Row],[Max Out]],-1,-1)</f>
        <v>4984.6153846153848</v>
      </c>
      <c r="O4" s="222">
        <f>CHOOSE(F27,Tbl_Bottleneck7[[#This Row],[PP Out]]*F21,-1,-1,-1)</f>
        <v>4486.1538461538466</v>
      </c>
      <c r="P4" s="222">
        <f>CHOOSE(F27,F6*(Tbl_Bottleneck7[[#This Row],[PRNT Out]]/F8),F6*(Tbl_Bottleneck7[[#This Row],[PRNT Out]]/F8),-1,-1)</f>
        <v>48679.277065527051</v>
      </c>
      <c r="Q4" s="222">
        <f>CHOOSE(F27,F15,F15,-1,-1)</f>
        <v>4000</v>
      </c>
      <c r="R4" s="222">
        <f>CHOOSE(F27,F22*(Tbl_Bottleneck7[[#This Row],[FIN Out]]/F24),-1,-1,-1)</f>
        <v>30920.771801715029</v>
      </c>
    </row>
    <row r="5" spans="2:18" x14ac:dyDescent="0.25">
      <c r="B5" s="166" t="s">
        <v>421</v>
      </c>
      <c r="C5" s="108"/>
      <c r="D5" s="108" t="s">
        <v>8</v>
      </c>
      <c r="E5" s="95" t="s">
        <v>536</v>
      </c>
      <c r="F5" s="172">
        <f t="shared" ref="F5:F10" si="0">G5</f>
        <v>0.9</v>
      </c>
      <c r="G5" s="174">
        <f>'PRNT Backend'!F57</f>
        <v>0.9</v>
      </c>
      <c r="K5" t="s">
        <v>419</v>
      </c>
      <c r="L5" s="38">
        <f>F24</f>
        <v>580.34176830023637</v>
      </c>
      <c r="M5" s="222">
        <f>CHOOSE(F27,Tbl_Bottleneck7[[#This Row],[PP Out]]/F14,-1,Tbl_Bottleneck7[[#This Row],[FIN Out]]/F21,-1)</f>
        <v>716.47131888918068</v>
      </c>
      <c r="N5" s="222">
        <f>CHOOSE(F27,Tbl_Bottleneck7[[#This Row],[FIN Out]]/F21,-1,-1,-1)</f>
        <v>644.82418700026267</v>
      </c>
      <c r="O5" s="222">
        <f>CHOOSE(F27,Tbl_Bottleneck7[[#This Row],[Max Out]],-1,Tbl_Bottleneck7[[#This Row],[Max Out]],-1)</f>
        <v>580.34176830023637</v>
      </c>
      <c r="P5" s="222">
        <f>CHOOSE(F27,F6*(Tbl_Bottleneck7[[#This Row],[PRNT Out]]/F8),-1,F6*(Tbl_Bottleneck7[[#This Row],[PRNT Out]]/F8),-1)</f>
        <v>6297.2913325309746</v>
      </c>
      <c r="Q5" s="222">
        <f>CHOOSE(F27,F15*(Tbl_Bottleneck7[[#This Row],[PP Out]]/F17),-1,-1,-1)</f>
        <v>517.4515080866305</v>
      </c>
      <c r="R5" s="222">
        <f>CHOOSE(F27,F22,-1,F22,-1)</f>
        <v>4000</v>
      </c>
    </row>
    <row r="6" spans="2:18" x14ac:dyDescent="0.25">
      <c r="B6" s="20" t="s">
        <v>426</v>
      </c>
      <c r="C6" s="97"/>
      <c r="D6" s="97" t="s">
        <v>887</v>
      </c>
      <c r="E6" s="96" t="s">
        <v>888</v>
      </c>
      <c r="F6" s="136">
        <f t="shared" si="0"/>
        <v>4000</v>
      </c>
      <c r="G6" s="139">
        <f>'PRNT Backend'!F62</f>
        <v>4000</v>
      </c>
    </row>
    <row r="7" spans="2:18" ht="15" customHeight="1" thickBot="1" x14ac:dyDescent="0.3">
      <c r="B7" s="20" t="s">
        <v>429</v>
      </c>
      <c r="C7" s="192"/>
      <c r="D7" s="192" t="s">
        <v>618</v>
      </c>
      <c r="E7" s="96" t="s">
        <v>576</v>
      </c>
      <c r="F7" s="98">
        <f t="shared" si="0"/>
        <v>505.66454761129478</v>
      </c>
      <c r="G7" s="220">
        <f>'PRNT Backend'!F108</f>
        <v>505.66454761129478</v>
      </c>
      <c r="K7" s="197" t="s">
        <v>1176</v>
      </c>
      <c r="L7" s="292" t="s">
        <v>1172</v>
      </c>
      <c r="M7" s="292"/>
      <c r="N7" s="292"/>
      <c r="P7" s="292" t="s">
        <v>1175</v>
      </c>
      <c r="Q7" s="292"/>
      <c r="R7" s="292"/>
    </row>
    <row r="8" spans="2:18" x14ac:dyDescent="0.25">
      <c r="B8" s="20" t="s">
        <v>432</v>
      </c>
      <c r="C8" s="192"/>
      <c r="D8" s="192" t="s">
        <v>618</v>
      </c>
      <c r="E8" s="96" t="s">
        <v>577</v>
      </c>
      <c r="F8" s="98">
        <f t="shared" si="0"/>
        <v>455.0980928501653</v>
      </c>
      <c r="G8" s="220">
        <f>'PRNT Backend'!F109</f>
        <v>455.0980928501653</v>
      </c>
      <c r="L8" s="45" t="s">
        <v>261</v>
      </c>
      <c r="M8" s="284">
        <f>F97+F118</f>
        <v>576.50966787791208</v>
      </c>
      <c r="N8" s="126">
        <f>M8/$M$12</f>
        <v>0.28768830940898449</v>
      </c>
      <c r="P8" s="23" t="s">
        <v>461</v>
      </c>
      <c r="Q8" s="290">
        <f>F144</f>
        <v>51.462295138888884</v>
      </c>
      <c r="R8" s="126">
        <f>Q8/$Q$11</f>
        <v>0.61509550235447674</v>
      </c>
    </row>
    <row r="9" spans="2:18" x14ac:dyDescent="0.25">
      <c r="B9" s="20" t="s">
        <v>446</v>
      </c>
      <c r="C9" s="97"/>
      <c r="D9" s="97" t="s">
        <v>594</v>
      </c>
      <c r="E9" s="96" t="s">
        <v>628</v>
      </c>
      <c r="F9" s="136">
        <f t="shared" si="0"/>
        <v>6634.8597000000009</v>
      </c>
      <c r="G9" s="139">
        <f>'PRNT Backend'!F122</f>
        <v>6634.8597000000009</v>
      </c>
      <c r="J9" s="46"/>
      <c r="L9" s="46" t="s">
        <v>461</v>
      </c>
      <c r="M9" s="284">
        <f>SUM(F98:F104,F119:F125)</f>
        <v>1006.2430674312975</v>
      </c>
      <c r="N9" s="126">
        <f>M9/$M$12</f>
        <v>0.50213271876149201</v>
      </c>
      <c r="P9" s="23" t="s">
        <v>67</v>
      </c>
      <c r="Q9" s="290">
        <f>IF(F13,F149,0)</f>
        <v>26</v>
      </c>
      <c r="R9" s="126">
        <f>Q9/$Q$11</f>
        <v>0.31076117025202865</v>
      </c>
    </row>
    <row r="10" spans="2:18" ht="15.75" thickBot="1" x14ac:dyDescent="0.3">
      <c r="B10" s="20" t="s">
        <v>334</v>
      </c>
      <c r="C10" s="97"/>
      <c r="D10" s="97" t="s">
        <v>292</v>
      </c>
      <c r="E10" s="96" t="s">
        <v>568</v>
      </c>
      <c r="F10" s="140">
        <f t="shared" si="0"/>
        <v>6</v>
      </c>
      <c r="G10" s="141">
        <f>'PRNT Backend'!F96</f>
        <v>6</v>
      </c>
      <c r="J10" s="46"/>
      <c r="L10" s="23" t="s">
        <v>67</v>
      </c>
      <c r="M10" s="284">
        <f>SUM(F105:F110,F126:F131)</f>
        <v>233.45028267161626</v>
      </c>
      <c r="N10" s="126">
        <f>M10/$M$12</f>
        <v>0.11649573440816878</v>
      </c>
      <c r="P10" s="23" t="s">
        <v>30</v>
      </c>
      <c r="Q10" s="336">
        <f>IF(F20,F152,0)</f>
        <v>6.2032412565169039</v>
      </c>
      <c r="R10" s="126">
        <f>Q10/$Q$11</f>
        <v>7.4143327393494524E-2</v>
      </c>
    </row>
    <row r="11" spans="2:18" ht="15.75" thickBot="1" x14ac:dyDescent="0.3">
      <c r="B11" s="63" t="s">
        <v>436</v>
      </c>
      <c r="C11" s="64"/>
      <c r="D11" s="64"/>
      <c r="E11" s="64"/>
      <c r="F11" s="64"/>
      <c r="G11" s="65"/>
      <c r="H11" s="23"/>
      <c r="J11" s="46"/>
      <c r="L11" s="23" t="s">
        <v>30</v>
      </c>
      <c r="M11" s="284">
        <f>SUM(F111:F117,F132:F138)</f>
        <v>187.73544257834942</v>
      </c>
      <c r="N11" s="126">
        <f>M11/$M$12</f>
        <v>9.3683237421354787E-2</v>
      </c>
      <c r="P11" s="23" t="s">
        <v>346</v>
      </c>
      <c r="Q11" s="290">
        <f>SUM(Q8:Q10)</f>
        <v>83.665536395405795</v>
      </c>
      <c r="R11" s="126">
        <f>SUM(R8:R10)</f>
        <v>0.99999999999999989</v>
      </c>
    </row>
    <row r="12" spans="2:18" ht="15.75" thickBot="1" x14ac:dyDescent="0.3">
      <c r="B12" s="14" t="s">
        <v>45</v>
      </c>
      <c r="C12" s="15" t="s">
        <v>579</v>
      </c>
      <c r="D12" s="15" t="s">
        <v>578</v>
      </c>
      <c r="E12" s="16" t="s">
        <v>47</v>
      </c>
      <c r="F12" s="16" t="s">
        <v>48</v>
      </c>
      <c r="G12" s="48" t="s">
        <v>5</v>
      </c>
      <c r="H12" s="30" t="s">
        <v>49</v>
      </c>
      <c r="J12" s="46"/>
      <c r="L12" s="23" t="s">
        <v>346</v>
      </c>
      <c r="M12" s="285">
        <f>SUM(M8:M11)</f>
        <v>2003.9384605591752</v>
      </c>
      <c r="N12" s="126">
        <f>M12/$M$12</f>
        <v>1</v>
      </c>
    </row>
    <row r="13" spans="2:18" x14ac:dyDescent="0.25">
      <c r="B13" s="166" t="s">
        <v>1193</v>
      </c>
      <c r="C13" s="296"/>
      <c r="D13" s="296" t="s">
        <v>1138</v>
      </c>
      <c r="E13" s="95" t="s">
        <v>1194</v>
      </c>
      <c r="F13" s="297" t="b">
        <f>G13</f>
        <v>1</v>
      </c>
      <c r="G13" s="298" t="b">
        <f>'PP Backend'!F11</f>
        <v>1</v>
      </c>
      <c r="H13" s="299"/>
      <c r="J13" s="46"/>
      <c r="P13" s="38"/>
    </row>
    <row r="14" spans="2:18" ht="15" customHeight="1" thickBot="1" x14ac:dyDescent="0.3">
      <c r="B14" s="20" t="s">
        <v>422</v>
      </c>
      <c r="C14" s="97"/>
      <c r="D14" s="97" t="s">
        <v>8</v>
      </c>
      <c r="E14" t="s">
        <v>723</v>
      </c>
      <c r="F14" s="295">
        <f>G14</f>
        <v>0.9</v>
      </c>
      <c r="G14" s="223">
        <f>'PP Backend'!F26</f>
        <v>0.9</v>
      </c>
      <c r="L14" s="292" t="s">
        <v>1159</v>
      </c>
      <c r="M14" s="292"/>
      <c r="N14" s="292"/>
      <c r="P14" s="292" t="s">
        <v>1168</v>
      </c>
      <c r="Q14" s="292"/>
      <c r="R14" s="292"/>
    </row>
    <row r="15" spans="2:18" x14ac:dyDescent="0.25">
      <c r="B15" s="20" t="s">
        <v>427</v>
      </c>
      <c r="C15" s="97"/>
      <c r="D15" s="97" t="s">
        <v>887</v>
      </c>
      <c r="E15" t="s">
        <v>758</v>
      </c>
      <c r="F15" s="136">
        <f>G15</f>
        <v>4000</v>
      </c>
      <c r="G15" s="139">
        <f>'PP Backend'!F29</f>
        <v>4000</v>
      </c>
      <c r="J15" s="46"/>
      <c r="L15" s="23" t="s">
        <v>305</v>
      </c>
      <c r="M15" s="285">
        <f t="shared" ref="M15:M20" si="1">F98</f>
        <v>158.03593529711551</v>
      </c>
      <c r="N15" s="126">
        <f t="shared" ref="N15:N22" si="2">M15/$M$23</f>
        <v>0.15705542767170977</v>
      </c>
      <c r="P15" s="23" t="s">
        <v>312</v>
      </c>
      <c r="Q15" s="302">
        <f>F141</f>
        <v>2</v>
      </c>
      <c r="R15" s="126">
        <f>Q15/$Q$18</f>
        <v>3.8863404646106534E-2</v>
      </c>
    </row>
    <row r="16" spans="2:18" x14ac:dyDescent="0.25">
      <c r="B16" s="20" t="s">
        <v>430</v>
      </c>
      <c r="C16" s="192"/>
      <c r="D16" s="192" t="s">
        <v>618</v>
      </c>
      <c r="E16" s="23" t="s">
        <v>743</v>
      </c>
      <c r="F16" s="98">
        <f>G16</f>
        <v>5538.4615384615381</v>
      </c>
      <c r="G16" s="220">
        <f>'PP Backend'!F60</f>
        <v>5538.4615384615381</v>
      </c>
      <c r="J16" s="46"/>
      <c r="L16" s="23" t="s">
        <v>304</v>
      </c>
      <c r="M16" s="285">
        <f t="shared" si="1"/>
        <v>7.3213549604989074</v>
      </c>
      <c r="N16" s="126">
        <f t="shared" si="2"/>
        <v>7.2759308336787943E-3</v>
      </c>
      <c r="P16" s="23" t="s">
        <v>461</v>
      </c>
      <c r="Q16" s="302">
        <f>F142</f>
        <v>47.462295138888884</v>
      </c>
      <c r="R16" s="126">
        <f>Q16/$Q$18</f>
        <v>0.92227319070778691</v>
      </c>
    </row>
    <row r="17" spans="2:23" ht="15.75" thickBot="1" x14ac:dyDescent="0.3">
      <c r="B17" s="20" t="s">
        <v>433</v>
      </c>
      <c r="C17" s="192"/>
      <c r="D17" s="192" t="s">
        <v>618</v>
      </c>
      <c r="E17" s="23" t="s">
        <v>744</v>
      </c>
      <c r="F17" s="98">
        <f>G17</f>
        <v>4984.6153846153848</v>
      </c>
      <c r="G17" s="220">
        <f>'PP Backend'!F61</f>
        <v>4984.6153846153848</v>
      </c>
      <c r="J17" s="46"/>
      <c r="L17" s="23" t="s">
        <v>319</v>
      </c>
      <c r="M17" s="285">
        <f t="shared" si="1"/>
        <v>49.386229780348586</v>
      </c>
      <c r="N17" s="126">
        <f t="shared" si="2"/>
        <v>4.9079821147409289E-2</v>
      </c>
      <c r="P17" s="23" t="s">
        <v>313</v>
      </c>
      <c r="Q17" s="302">
        <f>F143</f>
        <v>2</v>
      </c>
      <c r="R17" s="126">
        <f>Q17/$Q$18</f>
        <v>3.8863404646106534E-2</v>
      </c>
    </row>
    <row r="18" spans="2:23" ht="15.75" thickBot="1" x14ac:dyDescent="0.3">
      <c r="B18" s="63" t="s">
        <v>437</v>
      </c>
      <c r="C18" s="64"/>
      <c r="D18" s="64"/>
      <c r="E18" s="64"/>
      <c r="F18" s="64"/>
      <c r="G18" s="65"/>
      <c r="H18" s="23"/>
      <c r="J18" s="46"/>
      <c r="L18" s="23" t="s">
        <v>303</v>
      </c>
      <c r="M18" s="285">
        <f t="shared" si="1"/>
        <v>256.35498917609732</v>
      </c>
      <c r="N18" s="126">
        <f t="shared" si="2"/>
        <v>0.25476447736480956</v>
      </c>
      <c r="P18" s="23" t="s">
        <v>346</v>
      </c>
      <c r="Q18" s="302">
        <f>SUM(Q15:Q17)</f>
        <v>51.462295138888884</v>
      </c>
      <c r="R18" s="126">
        <f>SUM(R15:R17)</f>
        <v>0.99999999999999989</v>
      </c>
    </row>
    <row r="19" spans="2:23" ht="15.75" thickBot="1" x14ac:dyDescent="0.3">
      <c r="B19" s="14" t="s">
        <v>45</v>
      </c>
      <c r="C19" s="15" t="s">
        <v>579</v>
      </c>
      <c r="D19" s="15" t="s">
        <v>578</v>
      </c>
      <c r="E19" s="16" t="s">
        <v>47</v>
      </c>
      <c r="F19" s="16" t="s">
        <v>48</v>
      </c>
      <c r="G19" s="48" t="s">
        <v>5</v>
      </c>
      <c r="H19" s="30" t="s">
        <v>49</v>
      </c>
      <c r="J19" s="46"/>
      <c r="L19" s="23" t="s">
        <v>472</v>
      </c>
      <c r="M19" s="285">
        <f t="shared" si="1"/>
        <v>0.33909390102658371</v>
      </c>
      <c r="N19" s="126">
        <f t="shared" si="2"/>
        <v>3.3699004942435123E-4</v>
      </c>
    </row>
    <row r="20" spans="2:23" x14ac:dyDescent="0.25">
      <c r="B20" s="166" t="s">
        <v>1195</v>
      </c>
      <c r="C20" s="108"/>
      <c r="D20" s="296" t="s">
        <v>1138</v>
      </c>
      <c r="E20" s="95" t="s">
        <v>1196</v>
      </c>
      <c r="F20" s="176" t="b">
        <f>G20</f>
        <v>1</v>
      </c>
      <c r="G20" s="300" t="b">
        <f>'MCN Backend'!F15</f>
        <v>1</v>
      </c>
      <c r="H20" s="299"/>
      <c r="J20" s="46"/>
      <c r="L20" s="23" t="s">
        <v>342</v>
      </c>
      <c r="M20" s="285">
        <f t="shared" si="1"/>
        <v>10.851004832850679</v>
      </c>
      <c r="N20" s="126">
        <f t="shared" si="2"/>
        <v>1.0783681581579239E-2</v>
      </c>
    </row>
    <row r="21" spans="2:23" x14ac:dyDescent="0.25">
      <c r="B21" s="20" t="s">
        <v>420</v>
      </c>
      <c r="D21" s="97" t="s">
        <v>8</v>
      </c>
      <c r="E21" s="96" t="s">
        <v>808</v>
      </c>
      <c r="F21" s="295">
        <f>G21</f>
        <v>0.9</v>
      </c>
      <c r="G21" s="223">
        <f>'MCN Backend'!F34</f>
        <v>0.9</v>
      </c>
      <c r="J21" s="46"/>
      <c r="L21" s="23" t="s">
        <v>464</v>
      </c>
      <c r="M21" s="285">
        <f>SUM(F119:F125)</f>
        <v>117.04177825145946</v>
      </c>
      <c r="N21" s="126">
        <f t="shared" si="2"/>
        <v>0.11631561204216757</v>
      </c>
    </row>
    <row r="22" spans="2:23" x14ac:dyDescent="0.25">
      <c r="B22" s="20" t="s">
        <v>428</v>
      </c>
      <c r="D22" s="97" t="s">
        <v>887</v>
      </c>
      <c r="E22" s="96" t="s">
        <v>828</v>
      </c>
      <c r="F22" s="136">
        <f>G22</f>
        <v>4000</v>
      </c>
      <c r="G22" s="139">
        <f>'MCN Backend'!F38</f>
        <v>4000</v>
      </c>
      <c r="J22" s="46"/>
      <c r="L22" s="23" t="s">
        <v>216</v>
      </c>
      <c r="M22" s="285">
        <f>F104</f>
        <v>406.91268123190048</v>
      </c>
      <c r="N22" s="126">
        <f t="shared" si="2"/>
        <v>0.40438805930922145</v>
      </c>
    </row>
    <row r="23" spans="2:23" x14ac:dyDescent="0.25">
      <c r="B23" s="20" t="s">
        <v>431</v>
      </c>
      <c r="D23" s="192" t="s">
        <v>618</v>
      </c>
      <c r="E23" s="96" t="s">
        <v>850</v>
      </c>
      <c r="F23" s="173">
        <f>G23</f>
        <v>644.82418700026255</v>
      </c>
      <c r="G23" s="141">
        <f>'MCN Backend'!F70</f>
        <v>644.82418700026255</v>
      </c>
      <c r="J23" s="46"/>
      <c r="L23" s="23" t="s">
        <v>346</v>
      </c>
      <c r="M23" s="287">
        <f>SUM(M15:M22)</f>
        <v>1006.2430674312975</v>
      </c>
      <c r="N23" s="126">
        <f>SUM(N15:N22)</f>
        <v>1</v>
      </c>
    </row>
    <row r="24" spans="2:23" ht="15.75" thickBot="1" x14ac:dyDescent="0.3">
      <c r="B24" s="20" t="s">
        <v>434</v>
      </c>
      <c r="D24" s="192" t="s">
        <v>618</v>
      </c>
      <c r="E24" s="96" t="s">
        <v>851</v>
      </c>
      <c r="F24" s="173">
        <f>G24</f>
        <v>580.34176830023637</v>
      </c>
      <c r="G24" s="141">
        <f>'MCN Backend'!F71</f>
        <v>580.34176830023637</v>
      </c>
      <c r="J24" s="46"/>
      <c r="N24"/>
    </row>
    <row r="25" spans="2:23" ht="15" customHeight="1" thickBot="1" x14ac:dyDescent="0.3">
      <c r="B25" s="63" t="s">
        <v>59</v>
      </c>
      <c r="C25" s="64"/>
      <c r="D25" s="64"/>
      <c r="E25" s="64"/>
      <c r="F25" s="64"/>
      <c r="G25" s="65"/>
      <c r="H25" s="23"/>
      <c r="L25" s="292" t="s">
        <v>1173</v>
      </c>
      <c r="M25" s="292"/>
      <c r="N25" s="292"/>
      <c r="P25" s="292" t="s">
        <v>1201</v>
      </c>
      <c r="Q25" s="292"/>
      <c r="R25" s="292"/>
    </row>
    <row r="26" spans="2:23" ht="15.75" thickBot="1" x14ac:dyDescent="0.3">
      <c r="B26" s="14" t="s">
        <v>45</v>
      </c>
      <c r="C26" s="15" t="s">
        <v>579</v>
      </c>
      <c r="D26" s="15" t="s">
        <v>578</v>
      </c>
      <c r="E26" s="16" t="s">
        <v>47</v>
      </c>
      <c r="F26" s="16" t="s">
        <v>48</v>
      </c>
      <c r="G26" s="48" t="s">
        <v>5</v>
      </c>
      <c r="H26" s="30" t="s">
        <v>49</v>
      </c>
      <c r="J26" s="46"/>
      <c r="L26" s="23" t="s">
        <v>305</v>
      </c>
      <c r="M26" s="285">
        <f>F105</f>
        <v>15.149176954732511</v>
      </c>
      <c r="N26" s="126">
        <f t="shared" ref="N26:N33" si="3">M26/$M$34</f>
        <v>6.4892519218073333E-2</v>
      </c>
      <c r="P26" s="23" t="s">
        <v>312</v>
      </c>
      <c r="Q26" s="38">
        <f>IF($F$13,F145,0)</f>
        <v>2</v>
      </c>
      <c r="R26" s="126">
        <f>Q26/$Q$30</f>
        <v>7.6923076923076927E-2</v>
      </c>
    </row>
    <row r="27" spans="2:23" x14ac:dyDescent="0.25">
      <c r="B27" s="57" t="s">
        <v>1197</v>
      </c>
      <c r="C27" s="274" t="s">
        <v>1198</v>
      </c>
      <c r="D27" s="281" t="s">
        <v>1199</v>
      </c>
      <c r="E27" s="59" t="s">
        <v>1200</v>
      </c>
      <c r="F27" s="301">
        <f>G27</f>
        <v>1</v>
      </c>
      <c r="G27" s="138">
        <f>IF(AND(F13,F20),1,IF(F13,2,IF(F20,3,4)))</f>
        <v>1</v>
      </c>
      <c r="H27" s="59"/>
      <c r="J27" s="46"/>
      <c r="L27" s="23" t="s">
        <v>304</v>
      </c>
      <c r="M27" s="285">
        <f>F106</f>
        <v>0.39180384087791498</v>
      </c>
      <c r="N27" s="126">
        <f t="shared" si="3"/>
        <v>1.6783181257871826E-3</v>
      </c>
      <c r="P27" s="23" t="s">
        <v>385</v>
      </c>
      <c r="Q27" s="38">
        <f>IF($F$13,F146,0)</f>
        <v>5</v>
      </c>
      <c r="R27" s="126">
        <f>Q27/$Q$30</f>
        <v>0.19230769230769232</v>
      </c>
    </row>
    <row r="28" spans="2:23" x14ac:dyDescent="0.25">
      <c r="B28" s="20" t="s">
        <v>413</v>
      </c>
      <c r="C28" s="97" t="s">
        <v>890</v>
      </c>
      <c r="D28" s="97" t="s">
        <v>311</v>
      </c>
      <c r="E28" s="96" t="s">
        <v>891</v>
      </c>
      <c r="F28" s="136">
        <f t="shared" ref="F28:F38" si="4">G28</f>
        <v>455.0980928501653</v>
      </c>
      <c r="G28" s="230">
        <f>CHOOSE(F27,MIN(F8,F17,F24),MIN(F8,F17),MIN(F8,F24),F8)</f>
        <v>455.0980928501653</v>
      </c>
      <c r="J28" s="46"/>
      <c r="L28" s="23" t="s">
        <v>319</v>
      </c>
      <c r="M28" s="285">
        <f>F107</f>
        <v>4.7341177983539087</v>
      </c>
      <c r="N28" s="126">
        <f t="shared" si="3"/>
        <v>2.0278912255647912E-2</v>
      </c>
      <c r="P28" s="23" t="s">
        <v>387</v>
      </c>
      <c r="Q28" s="38">
        <f>IF($F$13,F147,0)</f>
        <v>17</v>
      </c>
      <c r="R28" s="126">
        <f>Q28/$Q$30</f>
        <v>0.65384615384615385</v>
      </c>
    </row>
    <row r="29" spans="2:23" x14ac:dyDescent="0.25">
      <c r="B29" s="20" t="s">
        <v>414</v>
      </c>
      <c r="C29" s="143" t="s">
        <v>42</v>
      </c>
      <c r="D29" s="143" t="s">
        <v>42</v>
      </c>
      <c r="E29" s="96" t="s">
        <v>892</v>
      </c>
      <c r="F29" s="173" t="str">
        <f t="shared" si="4"/>
        <v>PRNT</v>
      </c>
      <c r="G29" s="175" t="str">
        <f>_xlfn.XLOOKUP(F28,Tbl_Bottleneck7[Max Out],Tbl_Bottleneck7[Bottleneck],"N/A",0)</f>
        <v>PRNT</v>
      </c>
      <c r="H29" s="1"/>
      <c r="J29" s="46"/>
      <c r="L29" s="23" t="s">
        <v>303</v>
      </c>
      <c r="M29" s="285">
        <f>F108</f>
        <v>70.216049382716051</v>
      </c>
      <c r="N29" s="126">
        <f t="shared" si="3"/>
        <v>0.30077517396492393</v>
      </c>
      <c r="P29" s="23" t="s">
        <v>313</v>
      </c>
      <c r="Q29" s="38">
        <f>IF($F$13,F148,0)</f>
        <v>2</v>
      </c>
      <c r="R29" s="126">
        <f>Q29/$Q$30</f>
        <v>7.6923076923076927E-2</v>
      </c>
      <c r="U29" s="289"/>
      <c r="V29" s="32"/>
      <c r="W29" s="13"/>
    </row>
    <row r="30" spans="2:23" x14ac:dyDescent="0.25">
      <c r="B30" s="20" t="s">
        <v>439</v>
      </c>
      <c r="C30" s="192" t="s">
        <v>248</v>
      </c>
      <c r="D30" s="192" t="s">
        <v>618</v>
      </c>
      <c r="E30" s="96" t="s">
        <v>1204</v>
      </c>
      <c r="F30" s="136">
        <f t="shared" si="4"/>
        <v>455.0980928501653</v>
      </c>
      <c r="G30" s="139">
        <f>_xlfn.XLOOKUP($F$29,Tbl_Bottleneck7[Bottleneck],Tbl_Bottleneck7[PRNT Out],"N/A",0)</f>
        <v>455.0980928501653</v>
      </c>
      <c r="J30" s="46"/>
      <c r="L30" s="23" t="s">
        <v>472</v>
      </c>
      <c r="M30" s="285">
        <f>F109</f>
        <v>2.7863511659807955E-2</v>
      </c>
      <c r="N30" s="126">
        <f t="shared" si="3"/>
        <v>1.193552277638587E-4</v>
      </c>
      <c r="P30" s="23" t="s">
        <v>346</v>
      </c>
      <c r="Q30" s="302">
        <f>SUM(Q26:Q29)</f>
        <v>26</v>
      </c>
      <c r="R30" s="126">
        <f>SUM(R26:R29)</f>
        <v>1</v>
      </c>
      <c r="U30" s="289"/>
      <c r="V30" s="13"/>
      <c r="W30" s="13"/>
    </row>
    <row r="31" spans="2:23" x14ac:dyDescent="0.25">
      <c r="B31" s="20" t="s">
        <v>440</v>
      </c>
      <c r="C31" s="192" t="s">
        <v>248</v>
      </c>
      <c r="D31" s="192" t="s">
        <v>618</v>
      </c>
      <c r="E31" s="96" t="s">
        <v>1205</v>
      </c>
      <c r="F31" s="136">
        <f t="shared" si="4"/>
        <v>409.5882835651488</v>
      </c>
      <c r="G31" s="139">
        <f>_xlfn.XLOOKUP($F$29,Tbl_Bottleneck7[Bottleneck],Tbl_Bottleneck7[PP Out],"N/A",0)</f>
        <v>409.5882835651488</v>
      </c>
      <c r="J31" s="46"/>
      <c r="L31" s="23" t="s">
        <v>342</v>
      </c>
      <c r="M31" s="285">
        <v>0</v>
      </c>
      <c r="N31" s="126">
        <f t="shared" si="3"/>
        <v>0</v>
      </c>
      <c r="U31" s="289"/>
      <c r="V31" s="32"/>
      <c r="W31" s="13"/>
    </row>
    <row r="32" spans="2:23" x14ac:dyDescent="0.25">
      <c r="B32" s="20" t="s">
        <v>447</v>
      </c>
      <c r="C32" s="192" t="s">
        <v>248</v>
      </c>
      <c r="D32" s="192" t="s">
        <v>618</v>
      </c>
      <c r="E32" s="96" t="s">
        <v>1206</v>
      </c>
      <c r="F32" s="136">
        <f t="shared" si="4"/>
        <v>368.62945520863394</v>
      </c>
      <c r="G32" s="139">
        <f>_xlfn.XLOOKUP($F$29,Tbl_Bottleneck7[Bottleneck],Tbl_Bottleneck7[FIN Out],"N/A",0)</f>
        <v>368.62945520863394</v>
      </c>
      <c r="J32" s="46"/>
      <c r="L32" s="23" t="s">
        <v>464</v>
      </c>
      <c r="M32" s="285">
        <f>SUM(F126:F131)</f>
        <v>31.477224544044251</v>
      </c>
      <c r="N32" s="126">
        <f t="shared" si="3"/>
        <v>0.13483481015236898</v>
      </c>
    </row>
    <row r="33" spans="2:18" x14ac:dyDescent="0.25">
      <c r="B33" s="20" t="s">
        <v>441</v>
      </c>
      <c r="C33" s="192" t="s">
        <v>248</v>
      </c>
      <c r="D33" s="97" t="s">
        <v>887</v>
      </c>
      <c r="E33" s="96" t="s">
        <v>893</v>
      </c>
      <c r="F33" s="136">
        <f t="shared" si="4"/>
        <v>4000</v>
      </c>
      <c r="G33" s="139">
        <f>_xlfn.XLOOKUP($F$29,Tbl_Bottleneck7[Bottleneck],Tbl_Bottleneck7[PRNT OPH],"N/A",0)</f>
        <v>4000</v>
      </c>
      <c r="J33" s="46"/>
      <c r="L33" s="23" t="s">
        <v>216</v>
      </c>
      <c r="M33" s="285">
        <f>F110</f>
        <v>111.45404663923182</v>
      </c>
      <c r="N33" s="126">
        <f t="shared" si="3"/>
        <v>0.47742091105543477</v>
      </c>
    </row>
    <row r="34" spans="2:18" x14ac:dyDescent="0.25">
      <c r="B34" s="20" t="s">
        <v>442</v>
      </c>
      <c r="C34" s="192" t="s">
        <v>248</v>
      </c>
      <c r="D34" s="97" t="s">
        <v>887</v>
      </c>
      <c r="E34" s="96" t="s">
        <v>894</v>
      </c>
      <c r="F34" s="136">
        <f t="shared" si="4"/>
        <v>328.68195594734163</v>
      </c>
      <c r="G34" s="139">
        <f>_xlfn.XLOOKUP($F$29,Tbl_Bottleneck7[Bottleneck],Tbl_Bottleneck7[PP OPH],"N/A",0)</f>
        <v>328.68195594734163</v>
      </c>
      <c r="J34" s="13"/>
      <c r="L34" s="23" t="s">
        <v>346</v>
      </c>
      <c r="M34" s="285">
        <f>SUM(M26:M33)</f>
        <v>233.45028267161626</v>
      </c>
      <c r="N34" s="126">
        <f>SUM(N26:N33)</f>
        <v>1</v>
      </c>
    </row>
    <row r="35" spans="2:18" x14ac:dyDescent="0.25">
      <c r="B35" s="20" t="s">
        <v>448</v>
      </c>
      <c r="C35" s="192" t="s">
        <v>248</v>
      </c>
      <c r="D35" s="97" t="s">
        <v>887</v>
      </c>
      <c r="E35" s="96" t="s">
        <v>895</v>
      </c>
      <c r="F35" s="136">
        <f t="shared" si="4"/>
        <v>2540.7749387972758</v>
      </c>
      <c r="G35" s="139">
        <f>_xlfn.XLOOKUP($F$29,Tbl_Bottleneck7[Bottleneck],Tbl_Bottleneck7[FIN OPH],"N/A",0)</f>
        <v>2540.7749387972758</v>
      </c>
      <c r="J35" s="13"/>
      <c r="N35"/>
    </row>
    <row r="36" spans="2:18" ht="15" customHeight="1" thickBot="1" x14ac:dyDescent="0.3">
      <c r="B36" s="20" t="s">
        <v>443</v>
      </c>
      <c r="C36" s="192" t="s">
        <v>899</v>
      </c>
      <c r="D36" s="192" t="s">
        <v>618</v>
      </c>
      <c r="E36" s="96" t="s">
        <v>896</v>
      </c>
      <c r="F36" s="136">
        <f t="shared" si="4"/>
        <v>505.66454761129478</v>
      </c>
      <c r="G36" s="139">
        <f>F30/F5</f>
        <v>505.66454761129478</v>
      </c>
      <c r="H36" s="1"/>
      <c r="L36" s="292" t="s">
        <v>1161</v>
      </c>
      <c r="M36" s="292"/>
      <c r="N36" s="292"/>
      <c r="P36" s="292" t="s">
        <v>1170</v>
      </c>
      <c r="Q36" s="292"/>
      <c r="R36" s="292"/>
    </row>
    <row r="37" spans="2:18" x14ac:dyDescent="0.25">
      <c r="B37" s="20" t="s">
        <v>445</v>
      </c>
      <c r="C37" s="97" t="s">
        <v>901</v>
      </c>
      <c r="D37" s="97" t="s">
        <v>900</v>
      </c>
      <c r="E37" s="96" t="s">
        <v>897</v>
      </c>
      <c r="F37" s="136">
        <f t="shared" si="4"/>
        <v>84.277424601882458</v>
      </c>
      <c r="G37" s="139">
        <f>F36/F10</f>
        <v>84.277424601882458</v>
      </c>
      <c r="H37" s="1"/>
      <c r="J37" s="23"/>
      <c r="L37" s="23" t="s">
        <v>305</v>
      </c>
      <c r="M37" s="285">
        <f t="shared" ref="M37:M42" si="5">F111</f>
        <v>89.550179607009014</v>
      </c>
      <c r="N37" s="126">
        <f t="shared" ref="N37:N44" si="6">M37/$M$45</f>
        <v>0.47700198948654132</v>
      </c>
      <c r="P37" s="23" t="s">
        <v>385</v>
      </c>
      <c r="Q37" s="38">
        <f>IF($F$20,F150,0)</f>
        <v>5.7032412565169039</v>
      </c>
      <c r="R37" s="126">
        <f>Q37/$Q$39</f>
        <v>0.91939697662496722</v>
      </c>
    </row>
    <row r="38" spans="2:18" x14ac:dyDescent="0.25">
      <c r="B38" s="20" t="s">
        <v>444</v>
      </c>
      <c r="C38" s="97" t="s">
        <v>903</v>
      </c>
      <c r="D38" s="97" t="s">
        <v>902</v>
      </c>
      <c r="E38" s="96" t="s">
        <v>898</v>
      </c>
      <c r="F38" s="136">
        <f t="shared" si="4"/>
        <v>3355.0133286649116</v>
      </c>
      <c r="G38" s="139">
        <f>F36*F9/1000</f>
        <v>3355.0133286649116</v>
      </c>
      <c r="J38" s="13"/>
      <c r="L38" s="23" t="s">
        <v>304</v>
      </c>
      <c r="M38" s="285">
        <f t="shared" si="5"/>
        <v>4.3774309423876785</v>
      </c>
      <c r="N38" s="126">
        <f t="shared" si="6"/>
        <v>2.3317019323939345E-2</v>
      </c>
      <c r="P38" s="23" t="s">
        <v>386</v>
      </c>
      <c r="Q38" s="38">
        <f>IF($F$20,F151,0)</f>
        <v>0.5</v>
      </c>
      <c r="R38" s="126">
        <f>Q38/$Q$39</f>
        <v>8.060302337503282E-2</v>
      </c>
    </row>
    <row r="39" spans="2:18" x14ac:dyDescent="0.25">
      <c r="B39" s="214" t="s">
        <v>1031</v>
      </c>
      <c r="C39" s="97" t="s">
        <v>1035</v>
      </c>
      <c r="D39" s="97" t="s">
        <v>1048</v>
      </c>
      <c r="E39" s="96" t="s">
        <v>1036</v>
      </c>
      <c r="F39" s="136">
        <f>G39</f>
        <v>12.641613690282371</v>
      </c>
      <c r="G39" s="139">
        <f>F34/'PP Backend'!F54</f>
        <v>12.641613690282371</v>
      </c>
      <c r="J39" s="13"/>
      <c r="L39" s="23" t="s">
        <v>319</v>
      </c>
      <c r="M39" s="285">
        <f t="shared" si="5"/>
        <v>31.093812363544799</v>
      </c>
      <c r="N39" s="126">
        <f t="shared" si="6"/>
        <v>0.16562569079393799</v>
      </c>
      <c r="P39" s="23" t="s">
        <v>346</v>
      </c>
      <c r="Q39" s="302">
        <f>SUM(Q37:Q38)</f>
        <v>6.2032412565169039</v>
      </c>
      <c r="R39" s="126">
        <f>SUM(R37:R38)</f>
        <v>1</v>
      </c>
    </row>
    <row r="40" spans="2:18" x14ac:dyDescent="0.25">
      <c r="B40" s="214" t="s">
        <v>1202</v>
      </c>
      <c r="C40" s="143" t="s">
        <v>42</v>
      </c>
      <c r="D40" s="97" t="s">
        <v>618</v>
      </c>
      <c r="E40" s="96" t="s">
        <v>1203</v>
      </c>
      <c r="F40" s="136">
        <f>G40</f>
        <v>368.62945520863394</v>
      </c>
      <c r="G40" s="139">
        <f>CHOOSE(F27,F32,F31,F32,F30)</f>
        <v>368.62945520863394</v>
      </c>
      <c r="J40" s="13"/>
      <c r="L40" s="23" t="s">
        <v>303</v>
      </c>
      <c r="M40" s="285">
        <f t="shared" si="5"/>
        <v>5.8801557744066493</v>
      </c>
      <c r="N40" s="126">
        <f t="shared" si="6"/>
        <v>3.132150058427368E-2</v>
      </c>
    </row>
    <row r="41" spans="2:18" x14ac:dyDescent="0.25">
      <c r="B41" s="179" t="s">
        <v>469</v>
      </c>
      <c r="C41" s="97" t="s">
        <v>904</v>
      </c>
      <c r="D41" s="97" t="s">
        <v>8</v>
      </c>
      <c r="E41" s="96" t="s">
        <v>907</v>
      </c>
      <c r="F41" s="144">
        <f>G41</f>
        <v>1</v>
      </c>
      <c r="G41" s="223">
        <f>F33/F6</f>
        <v>1</v>
      </c>
      <c r="J41" s="13"/>
      <c r="L41" s="23" t="s">
        <v>472</v>
      </c>
      <c r="M41" s="285">
        <f t="shared" si="5"/>
        <v>0.4307806428136739</v>
      </c>
      <c r="N41" s="126">
        <f t="shared" si="6"/>
        <v>2.2946154274193168E-3</v>
      </c>
    </row>
    <row r="42" spans="2:18" x14ac:dyDescent="0.25">
      <c r="B42" s="179" t="s">
        <v>470</v>
      </c>
      <c r="C42" s="97" t="s">
        <v>906</v>
      </c>
      <c r="D42" s="97" t="s">
        <v>8</v>
      </c>
      <c r="E42" s="96" t="s">
        <v>908</v>
      </c>
      <c r="F42" s="144">
        <f>G42</f>
        <v>8.2170488986835405E-2</v>
      </c>
      <c r="G42" s="223">
        <f>F34/F15</f>
        <v>8.2170488986835405E-2</v>
      </c>
      <c r="J42" s="13"/>
      <c r="L42" s="23" t="s">
        <v>342</v>
      </c>
      <c r="M42" s="285">
        <f t="shared" si="5"/>
        <v>43.078064281367389</v>
      </c>
      <c r="N42" s="126">
        <f t="shared" si="6"/>
        <v>0.2294615427419317</v>
      </c>
    </row>
    <row r="43" spans="2:18" ht="15.75" thickBot="1" x14ac:dyDescent="0.3">
      <c r="B43" s="179" t="s">
        <v>471</v>
      </c>
      <c r="C43" s="97" t="s">
        <v>905</v>
      </c>
      <c r="D43" s="97" t="s">
        <v>8</v>
      </c>
      <c r="E43" s="96" t="s">
        <v>909</v>
      </c>
      <c r="F43" s="144">
        <f>G43</f>
        <v>0.63519373469931895</v>
      </c>
      <c r="G43" s="224">
        <f>F35/F22</f>
        <v>0.63519373469931895</v>
      </c>
      <c r="J43" s="13"/>
      <c r="L43" s="23" t="s">
        <v>464</v>
      </c>
      <c r="M43" s="285">
        <f>SUM(F132:F138)</f>
        <v>4.7094061105467304</v>
      </c>
      <c r="N43" s="126">
        <f t="shared" si="6"/>
        <v>2.5085333093570274E-2</v>
      </c>
    </row>
    <row r="44" spans="2:18" ht="15.75" thickBot="1" x14ac:dyDescent="0.3">
      <c r="B44" s="63" t="s">
        <v>473</v>
      </c>
      <c r="C44" s="64"/>
      <c r="D44" s="64"/>
      <c r="E44" s="64"/>
      <c r="F44" s="64"/>
      <c r="G44" s="65"/>
      <c r="H44" s="23"/>
      <c r="J44" s="13"/>
      <c r="L44" s="23" t="s">
        <v>216</v>
      </c>
      <c r="M44" s="285">
        <f>F117</f>
        <v>8.6156128562734775</v>
      </c>
      <c r="N44" s="126">
        <f t="shared" si="6"/>
        <v>4.5892308548386336E-2</v>
      </c>
    </row>
    <row r="45" spans="2:18" ht="15.75" thickBot="1" x14ac:dyDescent="0.3">
      <c r="B45" s="14" t="s">
        <v>45</v>
      </c>
      <c r="C45" s="15" t="s">
        <v>579</v>
      </c>
      <c r="D45" s="15" t="s">
        <v>578</v>
      </c>
      <c r="E45" s="16" t="s">
        <v>47</v>
      </c>
      <c r="F45" s="16" t="s">
        <v>48</v>
      </c>
      <c r="G45" s="48" t="s">
        <v>5</v>
      </c>
      <c r="H45" s="30" t="s">
        <v>49</v>
      </c>
      <c r="J45" s="13"/>
      <c r="L45" s="23" t="s">
        <v>346</v>
      </c>
      <c r="M45" s="285">
        <f>SUM(M37:M44)</f>
        <v>187.73544257834942</v>
      </c>
      <c r="N45" s="288">
        <f>SUM(N37:N44)</f>
        <v>0.99999999999999989</v>
      </c>
    </row>
    <row r="46" spans="2:18" x14ac:dyDescent="0.25">
      <c r="B46" s="462" t="s">
        <v>962</v>
      </c>
      <c r="C46" s="95" t="s">
        <v>958</v>
      </c>
      <c r="D46" s="108" t="s">
        <v>629</v>
      </c>
      <c r="E46" s="95" t="s">
        <v>960</v>
      </c>
      <c r="F46" s="231">
        <f t="shared" ref="F46:F53" si="7">G46</f>
        <v>1348.4387936301193</v>
      </c>
      <c r="G46" s="232">
        <f>'PRNT Backend'!F102*'PRNT Backend'!F38*F37</f>
        <v>1348.4387936301193</v>
      </c>
      <c r="H46" s="82"/>
    </row>
    <row r="47" spans="2:18" ht="15" customHeight="1" thickBot="1" x14ac:dyDescent="0.3">
      <c r="B47" s="168" t="s">
        <v>963</v>
      </c>
      <c r="C47" s="228" t="s">
        <v>959</v>
      </c>
      <c r="D47" s="97" t="s">
        <v>629</v>
      </c>
      <c r="E47" s="96" t="s">
        <v>961</v>
      </c>
      <c r="F47" s="136">
        <f t="shared" si="7"/>
        <v>25640.232111147296</v>
      </c>
      <c r="G47" s="230">
        <f>'PRNT Backend'!F103*'PRNT Backend'!F37*F37</f>
        <v>25640.232111147296</v>
      </c>
      <c r="H47" s="82"/>
      <c r="J47" s="13"/>
      <c r="L47" s="292" t="s">
        <v>1174</v>
      </c>
      <c r="M47" s="292"/>
      <c r="N47" s="292"/>
    </row>
    <row r="48" spans="2:18" x14ac:dyDescent="0.25">
      <c r="B48" s="168" t="s">
        <v>1213</v>
      </c>
      <c r="C48" s="228" t="s">
        <v>1214</v>
      </c>
      <c r="D48" s="97" t="s">
        <v>629</v>
      </c>
      <c r="E48" s="96" t="s">
        <v>1215</v>
      </c>
      <c r="F48" s="136">
        <f t="shared" si="7"/>
        <v>26988.670904777417</v>
      </c>
      <c r="G48" s="230">
        <f>G46+G47</f>
        <v>26988.670904777417</v>
      </c>
      <c r="H48" s="82"/>
      <c r="L48" s="23" t="s">
        <v>461</v>
      </c>
      <c r="M48" s="291">
        <f>F41</f>
        <v>1</v>
      </c>
      <c r="N48" s="291">
        <f>1-M48</f>
        <v>0</v>
      </c>
    </row>
    <row r="49" spans="2:18" x14ac:dyDescent="0.25">
      <c r="B49" s="168" t="s">
        <v>1207</v>
      </c>
      <c r="C49" s="228" t="s">
        <v>1209</v>
      </c>
      <c r="D49" s="97" t="s">
        <v>629</v>
      </c>
      <c r="E49" s="96" t="s">
        <v>1211</v>
      </c>
      <c r="F49" s="136">
        <f t="shared" si="7"/>
        <v>1444.304364114761</v>
      </c>
      <c r="G49" s="230">
        <f>'PP Backend'!F57*F39*'PP Backend'!F20</f>
        <v>1444.304364114761</v>
      </c>
      <c r="H49" s="82"/>
      <c r="L49" s="23" t="s">
        <v>67</v>
      </c>
      <c r="M49" s="291">
        <f>IF(F13,F42,#N/A)</f>
        <v>8.2170488986835405E-2</v>
      </c>
      <c r="N49" s="291">
        <f>1-M49</f>
        <v>0.91782951101316457</v>
      </c>
    </row>
    <row r="50" spans="2:18" x14ac:dyDescent="0.25">
      <c r="B50" s="168" t="s">
        <v>1208</v>
      </c>
      <c r="C50" s="228" t="s">
        <v>1210</v>
      </c>
      <c r="D50" s="97" t="s">
        <v>629</v>
      </c>
      <c r="E50" s="96" t="s">
        <v>1212</v>
      </c>
      <c r="F50" s="136">
        <f t="shared" si="7"/>
        <v>16136.499835057868</v>
      </c>
      <c r="G50" s="230">
        <f>'MCN Backend'!F69*F32</f>
        <v>16136.499835057868</v>
      </c>
      <c r="H50" s="82"/>
      <c r="L50" s="23" t="s">
        <v>1107</v>
      </c>
      <c r="M50" s="291">
        <f>IF(F20,F43,#N/A)</f>
        <v>0.63519373469931895</v>
      </c>
      <c r="N50" s="291">
        <f>1-M50</f>
        <v>0.36480626530068105</v>
      </c>
    </row>
    <row r="51" spans="2:18" x14ac:dyDescent="0.25">
      <c r="B51" s="168" t="s">
        <v>1506</v>
      </c>
      <c r="C51" s="228" t="s">
        <v>1507</v>
      </c>
      <c r="D51" s="97" t="s">
        <v>629</v>
      </c>
      <c r="E51" s="96" t="s">
        <v>1508</v>
      </c>
      <c r="F51" s="136">
        <f>G51</f>
        <v>44569.475103950041</v>
      </c>
      <c r="G51" s="230">
        <f>G48+G49+G50</f>
        <v>44569.475103950041</v>
      </c>
      <c r="H51" s="82"/>
    </row>
    <row r="52" spans="2:18" ht="15.75" thickBot="1" x14ac:dyDescent="0.3">
      <c r="B52" s="20" t="s">
        <v>979</v>
      </c>
      <c r="C52" s="228" t="s">
        <v>955</v>
      </c>
      <c r="D52" s="97" t="s">
        <v>591</v>
      </c>
      <c r="E52" s="96" t="s">
        <v>980</v>
      </c>
      <c r="F52" s="202">
        <f t="shared" si="7"/>
        <v>209889.37873418679</v>
      </c>
      <c r="G52" s="204">
        <f>(F9/1000*'PRNT Backend'!F28+'PRNT Backend'!F123)*F37</f>
        <v>209889.37873418679</v>
      </c>
      <c r="H52" s="1"/>
      <c r="L52" s="292" t="s">
        <v>1628</v>
      </c>
      <c r="M52" s="292"/>
      <c r="N52" s="292"/>
      <c r="O52" s="292"/>
      <c r="P52" s="292"/>
      <c r="Q52" s="292"/>
      <c r="R52" s="292"/>
    </row>
    <row r="53" spans="2:18" ht="15" customHeight="1" x14ac:dyDescent="0.25">
      <c r="B53" s="168" t="s">
        <v>910</v>
      </c>
      <c r="C53" s="228" t="s">
        <v>973</v>
      </c>
      <c r="D53" s="97" t="s">
        <v>591</v>
      </c>
      <c r="E53" s="96" t="s">
        <v>981</v>
      </c>
      <c r="F53" s="202">
        <f t="shared" si="7"/>
        <v>58256.700731962614</v>
      </c>
      <c r="G53" s="204">
        <f>'PRNT Backend'!F105*'PRNT Backend'!F51*'PRNT Backend'!F75*(1+'PRNT Backend'!F73)*F37</f>
        <v>58256.700731962614</v>
      </c>
      <c r="H53" s="1"/>
      <c r="L53" s="23" t="s">
        <v>467</v>
      </c>
      <c r="M53" s="13" t="s">
        <v>1177</v>
      </c>
      <c r="N53" s="13" t="s">
        <v>13</v>
      </c>
      <c r="O53" s="13" t="s">
        <v>1179</v>
      </c>
      <c r="P53" s="13" t="s">
        <v>1178</v>
      </c>
      <c r="Q53" s="13" t="s">
        <v>1181</v>
      </c>
      <c r="R53" s="13" t="s">
        <v>1182</v>
      </c>
    </row>
    <row r="54" spans="2:18" x14ac:dyDescent="0.25">
      <c r="B54" s="168" t="s">
        <v>911</v>
      </c>
      <c r="C54" s="96" t="s">
        <v>1216</v>
      </c>
      <c r="D54" s="97" t="s">
        <v>591</v>
      </c>
      <c r="E54" s="96" t="s">
        <v>982</v>
      </c>
      <c r="F54" s="202">
        <f t="shared" ref="F54:F93" si="8">G54</f>
        <v>2698.8670904777418</v>
      </c>
      <c r="G54" s="204">
        <f>(F46+F47)*'PRNT Backend'!F77</f>
        <v>2698.8670904777418</v>
      </c>
      <c r="H54" s="82"/>
      <c r="L54" s="23" t="s">
        <v>461</v>
      </c>
      <c r="M54" s="293">
        <f>F30</f>
        <v>455.0980928501653</v>
      </c>
      <c r="N54" s="293">
        <f>F8</f>
        <v>455.0980928501653</v>
      </c>
      <c r="O54" s="126">
        <f t="shared" ref="O54:P56" si="9">M54/MAX($N$54:$N$56)</f>
        <v>9.1300543318706004E-2</v>
      </c>
      <c r="P54" s="126">
        <f t="shared" si="9"/>
        <v>9.1300543318706004E-2</v>
      </c>
      <c r="Q54" s="126">
        <f t="shared" ref="Q54:R56" si="10">-O54</f>
        <v>-9.1300543318706004E-2</v>
      </c>
      <c r="R54" s="126">
        <f t="shared" si="10"/>
        <v>-9.1300543318706004E-2</v>
      </c>
    </row>
    <row r="55" spans="2:18" x14ac:dyDescent="0.25">
      <c r="B55" s="168" t="s">
        <v>912</v>
      </c>
      <c r="C55" s="96" t="s">
        <v>977</v>
      </c>
      <c r="D55" s="97" t="s">
        <v>591</v>
      </c>
      <c r="E55" s="96" t="s">
        <v>983</v>
      </c>
      <c r="F55" s="202">
        <f t="shared" si="8"/>
        <v>18205.218978738314</v>
      </c>
      <c r="G55" s="204">
        <f>'PRNT Backend'!F51*'PRNT Backend'!F74*'PRNT Backend'!F76*(1+'PRNT Backend'!F73)*'PRNT Backend'!F106*G41</f>
        <v>18205.218978738314</v>
      </c>
      <c r="H55" s="47"/>
      <c r="L55" s="23" t="s">
        <v>468</v>
      </c>
      <c r="M55" s="293">
        <f>F31</f>
        <v>409.5882835651488</v>
      </c>
      <c r="N55" s="293">
        <f>F17</f>
        <v>4984.6153846153848</v>
      </c>
      <c r="O55" s="126">
        <f t="shared" si="9"/>
        <v>8.2170488986835405E-2</v>
      </c>
      <c r="P55" s="126">
        <f t="shared" si="9"/>
        <v>1</v>
      </c>
      <c r="Q55" s="126">
        <f t="shared" si="10"/>
        <v>-8.2170488986835405E-2</v>
      </c>
      <c r="R55" s="126">
        <f t="shared" si="10"/>
        <v>-1</v>
      </c>
    </row>
    <row r="56" spans="2:18" x14ac:dyDescent="0.25">
      <c r="B56" s="168" t="s">
        <v>913</v>
      </c>
      <c r="C56" s="96" t="s">
        <v>974</v>
      </c>
      <c r="D56" s="97" t="s">
        <v>591</v>
      </c>
      <c r="E56" s="96" t="s">
        <v>984</v>
      </c>
      <c r="F56" s="202">
        <f t="shared" si="8"/>
        <v>94500.000000000015</v>
      </c>
      <c r="G56" s="204">
        <f>('PRNT Backend'!F59*(1+'PRNT Backend'!F69)+'PRNT Backend'!F61)*(1+'PRNT Backend'!F72)*'PRNT Backend'!F49/'PRNT Backend'!F79*G41</f>
        <v>94500.000000000015</v>
      </c>
      <c r="H56" s="82"/>
      <c r="L56" s="23" t="s">
        <v>30</v>
      </c>
      <c r="M56" s="293">
        <f>F32</f>
        <v>368.62945520863394</v>
      </c>
      <c r="N56" s="293">
        <f>F24</f>
        <v>580.34176830023637</v>
      </c>
      <c r="O56" s="126">
        <f t="shared" si="9"/>
        <v>7.395344008815187E-2</v>
      </c>
      <c r="P56" s="126">
        <f t="shared" si="9"/>
        <v>0.11642658931949186</v>
      </c>
      <c r="Q56" s="126">
        <f t="shared" si="10"/>
        <v>-7.395344008815187E-2</v>
      </c>
      <c r="R56" s="126">
        <f t="shared" si="10"/>
        <v>-0.11642658931949186</v>
      </c>
    </row>
    <row r="57" spans="2:18" x14ac:dyDescent="0.25">
      <c r="B57" s="168" t="s">
        <v>914</v>
      </c>
      <c r="C57" s="96" t="s">
        <v>975</v>
      </c>
      <c r="D57" s="97" t="s">
        <v>591</v>
      </c>
      <c r="E57" s="96" t="s">
        <v>985</v>
      </c>
      <c r="F57" s="202">
        <f t="shared" si="8"/>
        <v>125</v>
      </c>
      <c r="G57" s="204">
        <f>'PRNT Backend'!F50*'PRNT Backend'!F49*'PRNT Backend'!F78/'PRNT Backend'!F80*G41</f>
        <v>125</v>
      </c>
      <c r="H57" s="82"/>
      <c r="R57" s="13"/>
    </row>
    <row r="58" spans="2:18" x14ac:dyDescent="0.25">
      <c r="B58" s="168" t="s">
        <v>915</v>
      </c>
      <c r="C58" s="96" t="s">
        <v>976</v>
      </c>
      <c r="D58" s="97" t="s">
        <v>591</v>
      </c>
      <c r="E58" s="96" t="s">
        <v>986</v>
      </c>
      <c r="F58" s="202">
        <f t="shared" si="8"/>
        <v>4000</v>
      </c>
      <c r="G58" s="204">
        <f>'PRNT Backend'!F60*'PRNT Backend'!F49/'PRNT Backend'!F56*G41</f>
        <v>4000</v>
      </c>
      <c r="H58" s="82"/>
    </row>
    <row r="59" spans="2:18" x14ac:dyDescent="0.25">
      <c r="B59" s="168" t="s">
        <v>916</v>
      </c>
      <c r="C59" s="96" t="s">
        <v>978</v>
      </c>
      <c r="D59" s="97" t="s">
        <v>591</v>
      </c>
      <c r="E59" s="96" t="s">
        <v>987</v>
      </c>
      <c r="F59" s="202">
        <f t="shared" si="8"/>
        <v>150000</v>
      </c>
      <c r="G59" s="204">
        <f>'PRNT Backend'!F59*'PRNT Backend'!F49*('PRNT Backend'!F70+'PRNT Backend'!F71)*G41</f>
        <v>150000</v>
      </c>
      <c r="H59" s="82"/>
    </row>
    <row r="60" spans="2:18" x14ac:dyDescent="0.25">
      <c r="B60" s="88" t="s">
        <v>925</v>
      </c>
      <c r="C60" s="96" t="s">
        <v>1030</v>
      </c>
      <c r="D60" s="97" t="s">
        <v>591</v>
      </c>
      <c r="E60" s="96" t="s">
        <v>1042</v>
      </c>
      <c r="F60" s="202">
        <f t="shared" si="8"/>
        <v>5584.4328476822375</v>
      </c>
      <c r="G60" s="204">
        <f>'PP Backend'!F55*'PP Backend'!F22*'PP Backend'!F42*(1+'PP Backend'!F40)*F39</f>
        <v>5584.4328476822375</v>
      </c>
      <c r="H60" s="1"/>
    </row>
    <row r="61" spans="2:18" x14ac:dyDescent="0.25">
      <c r="B61" s="88" t="s">
        <v>926</v>
      </c>
      <c r="C61" t="s">
        <v>1217</v>
      </c>
      <c r="D61" s="97" t="s">
        <v>591</v>
      </c>
      <c r="E61" s="206" t="s">
        <v>1043</v>
      </c>
      <c r="F61" s="202">
        <f t="shared" si="8"/>
        <v>144.43043641147611</v>
      </c>
      <c r="G61" s="204">
        <f>F49*'PP Backend'!F44</f>
        <v>144.43043641147611</v>
      </c>
      <c r="H61" s="82"/>
    </row>
    <row r="62" spans="2:18" x14ac:dyDescent="0.25">
      <c r="B62" s="88" t="s">
        <v>927</v>
      </c>
      <c r="C62" t="s">
        <v>1037</v>
      </c>
      <c r="D62" s="97" t="s">
        <v>591</v>
      </c>
      <c r="E62" s="206" t="s">
        <v>1044</v>
      </c>
      <c r="F62" s="202">
        <f t="shared" si="8"/>
        <v>1745.135264900699</v>
      </c>
      <c r="G62" s="204">
        <f>'PP Backend'!F22*'PP Backend'!F41*'PP Backend'!F43*(1+'PP Backend'!F40)*'PP Backend'!F56*G42</f>
        <v>1745.135264900699</v>
      </c>
      <c r="H62" s="1"/>
    </row>
    <row r="63" spans="2:18" x14ac:dyDescent="0.25">
      <c r="B63" s="88" t="s">
        <v>928</v>
      </c>
      <c r="C63" s="96" t="s">
        <v>1038</v>
      </c>
      <c r="D63" s="97" t="s">
        <v>591</v>
      </c>
      <c r="E63" s="206" t="s">
        <v>1045</v>
      </c>
      <c r="F63" s="202">
        <f t="shared" si="8"/>
        <v>25883.704030853154</v>
      </c>
      <c r="G63" s="204">
        <f>('PP Backend'!F27*(1+'PP Backend'!F36)+'PP Backend'!F28)*(1+'PP Backend'!F39)*'PP Backend'!F20/'PP Backend'!F46*G42</f>
        <v>25883.704030853154</v>
      </c>
      <c r="H63" s="82"/>
    </row>
    <row r="64" spans="2:18" x14ac:dyDescent="0.25">
      <c r="B64" s="88" t="s">
        <v>929</v>
      </c>
      <c r="C64" s="96" t="s">
        <v>1039</v>
      </c>
      <c r="D64" s="97" t="s">
        <v>591</v>
      </c>
      <c r="E64" s="206" t="s">
        <v>1046</v>
      </c>
      <c r="F64" s="202">
        <f t="shared" si="8"/>
        <v>10.271311123354426</v>
      </c>
      <c r="G64" s="204">
        <f>'PP Backend'!F21*'PP Backend'!F20*'PP Backend'!F45/'PP Backend'!F47*G42</f>
        <v>10.271311123354426</v>
      </c>
      <c r="H64" s="82"/>
    </row>
    <row r="65" spans="2:8" x14ac:dyDescent="0.25">
      <c r="B65" s="88" t="s">
        <v>930</v>
      </c>
      <c r="C65" s="96" t="s">
        <v>1041</v>
      </c>
      <c r="D65" s="97" t="s">
        <v>591</v>
      </c>
      <c r="E65" s="206" t="s">
        <v>1047</v>
      </c>
      <c r="F65" s="202">
        <f t="shared" si="8"/>
        <v>41085.244493417704</v>
      </c>
      <c r="G65" s="204">
        <f>'PP Backend'!F27*'PP Backend'!F20*('PP Backend'!F37+'PP Backend'!F38)*G42</f>
        <v>41085.244493417704</v>
      </c>
      <c r="H65" s="82"/>
    </row>
    <row r="66" spans="2:8" x14ac:dyDescent="0.25">
      <c r="B66" s="168" t="s">
        <v>937</v>
      </c>
      <c r="C66" s="96" t="s">
        <v>1049</v>
      </c>
      <c r="D66" s="97" t="s">
        <v>591</v>
      </c>
      <c r="E66" s="96" t="s">
        <v>1056</v>
      </c>
      <c r="F66" s="202">
        <f t="shared" si="8"/>
        <v>33010.833922367055</v>
      </c>
      <c r="G66" s="204">
        <f>'MCN Backend'!F67/60*'MCN Backend'!F31*'MCN Backend'!F51*(1+'MCN Backend'!F49)*F32</f>
        <v>33010.833922367055</v>
      </c>
      <c r="H66" s="1"/>
    </row>
    <row r="67" spans="2:8" x14ac:dyDescent="0.25">
      <c r="B67" s="168" t="s">
        <v>938</v>
      </c>
      <c r="C67" t="s">
        <v>1218</v>
      </c>
      <c r="D67" s="97" t="s">
        <v>591</v>
      </c>
      <c r="E67" s="96" t="s">
        <v>1057</v>
      </c>
      <c r="F67" s="202">
        <f t="shared" si="8"/>
        <v>1613.6499835057868</v>
      </c>
      <c r="G67" s="204">
        <f>F50*'MCN Backend'!F53</f>
        <v>1613.6499835057868</v>
      </c>
      <c r="H67" s="82"/>
    </row>
    <row r="68" spans="2:8" x14ac:dyDescent="0.25">
      <c r="B68" s="168" t="s">
        <v>939</v>
      </c>
      <c r="C68" t="s">
        <v>1051</v>
      </c>
      <c r="D68" s="97" t="s">
        <v>591</v>
      </c>
      <c r="E68" s="96" t="s">
        <v>1058</v>
      </c>
      <c r="F68" s="202">
        <f t="shared" si="8"/>
        <v>11462.095111933006</v>
      </c>
      <c r="G68" s="204">
        <f>'MCN Backend'!F31*'MCN Backend'!F50*'MCN Backend'!F52*(1+'MCN Backend'!F49)*'MCN Backend'!F68*G43</f>
        <v>11462.095111933006</v>
      </c>
      <c r="H68" s="1"/>
    </row>
    <row r="69" spans="2:8" x14ac:dyDescent="0.25">
      <c r="B69" s="168" t="s">
        <v>940</v>
      </c>
      <c r="C69" s="96" t="s">
        <v>1052</v>
      </c>
      <c r="D69" s="97" t="s">
        <v>591</v>
      </c>
      <c r="E69" s="96" t="s">
        <v>1059</v>
      </c>
      <c r="F69" s="202">
        <f t="shared" si="8"/>
        <v>2167.5986196614263</v>
      </c>
      <c r="G69" s="204">
        <f>('MCN Backend'!F35*(1+'MCN Backend'!F45)+'MCN Backend'!F37)*(1+'MCN Backend'!F48)*'MCN Backend'!F29/'MCN Backend'!F55*G43</f>
        <v>2167.5986196614263</v>
      </c>
      <c r="H69" s="82"/>
    </row>
    <row r="70" spans="2:8" x14ac:dyDescent="0.25">
      <c r="B70" s="168" t="s">
        <v>941</v>
      </c>
      <c r="C70" s="96" t="s">
        <v>1053</v>
      </c>
      <c r="D70" s="97" t="s">
        <v>591</v>
      </c>
      <c r="E70" s="96" t="s">
        <v>1060</v>
      </c>
      <c r="F70" s="202">
        <f t="shared" si="8"/>
        <v>158.79843367482974</v>
      </c>
      <c r="G70" s="204">
        <f>'MCN Backend'!F30*'MCN Backend'!F29*'MCN Backend'!F54/'MCN Backend'!F56*G43</f>
        <v>158.79843367482974</v>
      </c>
      <c r="H70" s="82"/>
    </row>
    <row r="71" spans="2:8" x14ac:dyDescent="0.25">
      <c r="B71" s="168" t="s">
        <v>942</v>
      </c>
      <c r="C71" s="96" t="s">
        <v>1054</v>
      </c>
      <c r="D71" s="97" t="s">
        <v>591</v>
      </c>
      <c r="E71" s="96" t="s">
        <v>1061</v>
      </c>
      <c r="F71" s="202">
        <f t="shared" si="8"/>
        <v>15879.843367482974</v>
      </c>
      <c r="G71" s="204">
        <f>'MCN Backend'!F36*'MCN Backend'!F29/'MCN Backend'!F33*G43</f>
        <v>15879.843367482974</v>
      </c>
      <c r="H71" s="82"/>
    </row>
    <row r="72" spans="2:8" x14ac:dyDescent="0.25">
      <c r="B72" s="168" t="s">
        <v>943</v>
      </c>
      <c r="C72" s="96" t="s">
        <v>1055</v>
      </c>
      <c r="D72" s="97" t="s">
        <v>591</v>
      </c>
      <c r="E72" s="96" t="s">
        <v>1062</v>
      </c>
      <c r="F72" s="202">
        <f t="shared" si="8"/>
        <v>3175.9686734965949</v>
      </c>
      <c r="G72" s="204">
        <f>'MCN Backend'!F35*'MCN Backend'!F29*('MCN Backend'!F46+'MCN Backend'!F47)*G43</f>
        <v>3175.9686734965949</v>
      </c>
      <c r="H72" s="82"/>
    </row>
    <row r="73" spans="2:8" x14ac:dyDescent="0.25">
      <c r="B73" s="168" t="s">
        <v>917</v>
      </c>
      <c r="C73" s="96" t="s">
        <v>988</v>
      </c>
      <c r="D73" s="97" t="s">
        <v>591</v>
      </c>
      <c r="E73" s="96" t="s">
        <v>996</v>
      </c>
      <c r="F73" s="202">
        <f t="shared" si="8"/>
        <v>2629.066058158438</v>
      </c>
      <c r="G73" s="204">
        <f>PMT('PRNT Backend'!$F$68/12,'PRNT Backend'!$F$67,-F52*'PRNT Backend'!$F$67/12)*12-F52</f>
        <v>2629.066058158438</v>
      </c>
      <c r="H73" s="1"/>
    </row>
    <row r="74" spans="2:8" x14ac:dyDescent="0.25">
      <c r="B74" s="168" t="s">
        <v>918</v>
      </c>
      <c r="C74" s="96" t="s">
        <v>989</v>
      </c>
      <c r="D74" s="97" t="s">
        <v>591</v>
      </c>
      <c r="E74" s="96" t="s">
        <v>997</v>
      </c>
      <c r="F74" s="202">
        <f t="shared" si="8"/>
        <v>729.72112966547866</v>
      </c>
      <c r="G74" s="204">
        <f>PMT('PRNT Backend'!$F$68/12,'PRNT Backend'!$F$67,-F53*'PRNT Backend'!$F$67/12)*12-F53</f>
        <v>729.72112966547866</v>
      </c>
      <c r="H74" s="1"/>
    </row>
    <row r="75" spans="2:8" x14ac:dyDescent="0.25">
      <c r="B75" s="168" t="s">
        <v>919</v>
      </c>
      <c r="C75" s="96" t="s">
        <v>990</v>
      </c>
      <c r="D75" s="97" t="s">
        <v>591</v>
      </c>
      <c r="E75" s="96" t="s">
        <v>998</v>
      </c>
      <c r="F75" s="202">
        <f t="shared" si="8"/>
        <v>33.805902451319071</v>
      </c>
      <c r="G75" s="204">
        <f>PMT('PRNT Backend'!$F$68/12,'PRNT Backend'!$F$67,-F54*'PRNT Backend'!$F$67/12)*12-F54</f>
        <v>33.805902451319071</v>
      </c>
      <c r="H75" s="1"/>
    </row>
    <row r="76" spans="2:8" x14ac:dyDescent="0.25">
      <c r="B76" s="168" t="s">
        <v>920</v>
      </c>
      <c r="C76" s="96" t="s">
        <v>991</v>
      </c>
      <c r="D76" s="97" t="s">
        <v>591</v>
      </c>
      <c r="E76" s="96" t="s">
        <v>999</v>
      </c>
      <c r="F76" s="202">
        <f t="shared" si="8"/>
        <v>228.03785302046526</v>
      </c>
      <c r="G76" s="204">
        <f>PMT('PRNT Backend'!$F$68/12,'PRNT Backend'!$F$67,-F55*'PRNT Backend'!$F$67/12)*12-F55</f>
        <v>228.03785302046526</v>
      </c>
      <c r="H76" s="1"/>
    </row>
    <row r="77" spans="2:8" x14ac:dyDescent="0.25">
      <c r="B77" s="168" t="s">
        <v>921</v>
      </c>
      <c r="C77" s="96" t="s">
        <v>992</v>
      </c>
      <c r="D77" s="97" t="s">
        <v>591</v>
      </c>
      <c r="E77" s="96" t="s">
        <v>1000</v>
      </c>
      <c r="F77" s="202">
        <f t="shared" si="8"/>
        <v>40107.806200058709</v>
      </c>
      <c r="G77" s="204">
        <f>PMT('PRNT Backend'!$F$68/12,'PRNT Backend'!F79*12,-F56*'PRNT Backend'!F79)*12-F56</f>
        <v>40107.806200058709</v>
      </c>
    </row>
    <row r="78" spans="2:8" x14ac:dyDescent="0.25">
      <c r="B78" s="168" t="s">
        <v>922</v>
      </c>
      <c r="C78" s="96" t="s">
        <v>993</v>
      </c>
      <c r="D78" s="97" t="s">
        <v>591</v>
      </c>
      <c r="E78" s="96" t="s">
        <v>1001</v>
      </c>
      <c r="F78" s="202">
        <f t="shared" si="8"/>
        <v>116.67795806554216</v>
      </c>
      <c r="G78" s="204">
        <f>PMT('PRNT Backend'!$F$68/12,'PRNT Backend'!F80*12,-F57*'PRNT Backend'!F80)*12-F57</f>
        <v>116.67795806554216</v>
      </c>
    </row>
    <row r="79" spans="2:8" x14ac:dyDescent="0.25">
      <c r="B79" s="168" t="s">
        <v>923</v>
      </c>
      <c r="C79" s="96" t="s">
        <v>994</v>
      </c>
      <c r="D79" s="97" t="s">
        <v>591</v>
      </c>
      <c r="E79" s="96" t="s">
        <v>1002</v>
      </c>
      <c r="F79" s="202">
        <f t="shared" si="8"/>
        <v>50.103841823992752</v>
      </c>
      <c r="G79" s="204">
        <f>PMT('PRNT Backend'!$F$68/12,'PRNT Backend'!F56*12,-F58*'PRNT Backend'!F56)*12-F58</f>
        <v>50.103841823992752</v>
      </c>
    </row>
    <row r="80" spans="2:8" x14ac:dyDescent="0.25">
      <c r="B80" s="168" t="s">
        <v>924</v>
      </c>
      <c r="C80" s="96" t="s">
        <v>995</v>
      </c>
      <c r="D80" s="97" t="s">
        <v>591</v>
      </c>
      <c r="E80" s="96" t="s">
        <v>1003</v>
      </c>
      <c r="F80" s="202">
        <f t="shared" si="8"/>
        <v>1878.8940683997353</v>
      </c>
      <c r="G80" s="204">
        <f>PMT('PRNT Backend'!$F$68/12,'PRNT Backend'!$F$67,-F59*'PRNT Backend'!$F$67/12)*12-F59</f>
        <v>1878.8940683997353</v>
      </c>
    </row>
    <row r="81" spans="2:8" x14ac:dyDescent="0.25">
      <c r="B81" s="88" t="s">
        <v>931</v>
      </c>
      <c r="C81" s="96" t="s">
        <v>1010</v>
      </c>
      <c r="D81" s="97" t="s">
        <v>591</v>
      </c>
      <c r="E81" s="96" t="s">
        <v>1004</v>
      </c>
      <c r="F81" s="202">
        <f t="shared" si="8"/>
        <v>69.950385019245005</v>
      </c>
      <c r="G81" s="204">
        <f>PMT('PP Backend'!$F$35/12,'PP Backend'!$F$34,-F60*'PP Backend'!$F$34/12)*12-F60</f>
        <v>69.950385019245005</v>
      </c>
    </row>
    <row r="82" spans="2:8" x14ac:dyDescent="0.25">
      <c r="B82" s="88" t="s">
        <v>932</v>
      </c>
      <c r="C82" s="96" t="s">
        <v>1011</v>
      </c>
      <c r="D82" s="97" t="s">
        <v>591</v>
      </c>
      <c r="E82" s="96" t="s">
        <v>1005</v>
      </c>
      <c r="F82" s="202">
        <f t="shared" si="8"/>
        <v>1.8091299351327166</v>
      </c>
      <c r="G82" s="204">
        <f>PMT('PP Backend'!$F$35/12,'PP Backend'!$F$34,-F61*'PP Backend'!$F$34/12)*12-F61</f>
        <v>1.8091299351327166</v>
      </c>
    </row>
    <row r="83" spans="2:8" x14ac:dyDescent="0.25">
      <c r="B83" s="88" t="s">
        <v>933</v>
      </c>
      <c r="C83" s="96" t="s">
        <v>1012</v>
      </c>
      <c r="D83" s="97" t="s">
        <v>591</v>
      </c>
      <c r="E83" s="96" t="s">
        <v>1006</v>
      </c>
      <c r="F83" s="202">
        <f t="shared" si="8"/>
        <v>21.859495318514519</v>
      </c>
      <c r="G83" s="204">
        <f>PMT('PP Backend'!$F$35/12,'PP Backend'!$F$34,-F62*'PP Backend'!$F$34/12)*12-F62</f>
        <v>21.859495318514519</v>
      </c>
    </row>
    <row r="84" spans="2:8" x14ac:dyDescent="0.25">
      <c r="B84" s="88" t="s">
        <v>934</v>
      </c>
      <c r="C84" s="96" t="s">
        <v>1013</v>
      </c>
      <c r="D84" s="97" t="s">
        <v>591</v>
      </c>
      <c r="E84" s="96" t="s">
        <v>1007</v>
      </c>
      <c r="F84" s="202">
        <f t="shared" si="8"/>
        <v>10985.593492160177</v>
      </c>
      <c r="G84" s="204">
        <f>PMT('PP Backend'!$F$35/12,'PP Backend'!F46*12,-F63*'PP Backend'!F46)*12-F63</f>
        <v>10985.593492160177</v>
      </c>
    </row>
    <row r="85" spans="2:8" x14ac:dyDescent="0.25">
      <c r="B85" s="88" t="s">
        <v>935</v>
      </c>
      <c r="C85" s="96" t="s">
        <v>1014</v>
      </c>
      <c r="D85" s="97" t="s">
        <v>591</v>
      </c>
      <c r="E85" s="96" t="s">
        <v>1008</v>
      </c>
      <c r="F85" s="202">
        <f t="shared" si="8"/>
        <v>9.5874848682310763</v>
      </c>
      <c r="G85" s="204">
        <f>PMT('PP Backend'!$F$35/12,'PP Backend'!F47*12,-F64*'PP Backend'!F47)*12-F64</f>
        <v>9.5874848682310763</v>
      </c>
    </row>
    <row r="86" spans="2:8" x14ac:dyDescent="0.25">
      <c r="B86" s="88" t="s">
        <v>936</v>
      </c>
      <c r="C86" s="96" t="s">
        <v>1015</v>
      </c>
      <c r="D86" s="97" t="s">
        <v>591</v>
      </c>
      <c r="E86" s="96" t="s">
        <v>1009</v>
      </c>
      <c r="F86" s="202">
        <f t="shared" si="8"/>
        <v>514.63214784957381</v>
      </c>
      <c r="G86" s="204">
        <f>PMT('PP Backend'!$F$35/12,'PP Backend'!$F$34,-F65*'PP Backend'!$F$34/12)*12-F65</f>
        <v>514.63214784957381</v>
      </c>
    </row>
    <row r="87" spans="2:8" x14ac:dyDescent="0.25">
      <c r="B87" s="88" t="s">
        <v>944</v>
      </c>
      <c r="C87" s="96" t="s">
        <v>1023</v>
      </c>
      <c r="D87" s="97" t="s">
        <v>591</v>
      </c>
      <c r="E87" s="96" t="s">
        <v>1016</v>
      </c>
      <c r="F87" s="202">
        <f t="shared" si="8"/>
        <v>413.49240033108799</v>
      </c>
      <c r="G87" s="204">
        <f>PMT('MCN Backend'!$F$44/12,'MCN Backend'!$F$43,-F66*'MCN Backend'!$F$43/12)*12-F66</f>
        <v>413.49240033108799</v>
      </c>
    </row>
    <row r="88" spans="2:8" x14ac:dyDescent="0.25">
      <c r="B88" s="88" t="s">
        <v>945</v>
      </c>
      <c r="C88" s="96" t="s">
        <v>1024</v>
      </c>
      <c r="D88" s="97" t="s">
        <v>591</v>
      </c>
      <c r="E88" s="96" t="s">
        <v>1017</v>
      </c>
      <c r="F88" s="202">
        <f t="shared" si="8"/>
        <v>20.212515883215701</v>
      </c>
      <c r="G88" s="204">
        <f>PMT('MCN Backend'!$F$44/12,'MCN Backend'!$F$43,-F67*'MCN Backend'!$F$43/12)*12-F67</f>
        <v>20.212515883215701</v>
      </c>
    </row>
    <row r="89" spans="2:8" x14ac:dyDescent="0.25">
      <c r="B89" s="88" t="s">
        <v>946</v>
      </c>
      <c r="C89" s="96" t="s">
        <v>1025</v>
      </c>
      <c r="D89" s="97" t="s">
        <v>591</v>
      </c>
      <c r="E89" s="96" t="s">
        <v>1018</v>
      </c>
      <c r="F89" s="202">
        <f t="shared" si="8"/>
        <v>143.57375011496333</v>
      </c>
      <c r="G89" s="204">
        <f>PMT('MCN Backend'!$F$44/12,'MCN Backend'!$F$43,-F68*'MCN Backend'!$F$43/12)*12-F68</f>
        <v>143.57375011496333</v>
      </c>
    </row>
    <row r="90" spans="2:8" x14ac:dyDescent="0.25">
      <c r="B90" s="88" t="s">
        <v>947</v>
      </c>
      <c r="C90" s="96" t="s">
        <v>1026</v>
      </c>
      <c r="D90" s="97" t="s">
        <v>591</v>
      </c>
      <c r="E90" s="96" t="s">
        <v>1019</v>
      </c>
      <c r="F90" s="202">
        <f t="shared" si="8"/>
        <v>919.97487150153711</v>
      </c>
      <c r="G90" s="204">
        <f>PMT('MCN Backend'!$F$44/12,'MCN Backend'!F55*12,-F69*'MCN Backend'!F55)*12-F69</f>
        <v>919.97487150153711</v>
      </c>
    </row>
    <row r="91" spans="2:8" x14ac:dyDescent="0.25">
      <c r="B91" s="88" t="s">
        <v>948</v>
      </c>
      <c r="C91" s="96" t="s">
        <v>1027</v>
      </c>
      <c r="D91" s="97" t="s">
        <v>591</v>
      </c>
      <c r="E91" s="96" t="s">
        <v>1020</v>
      </c>
      <c r="F91" s="202">
        <f t="shared" si="8"/>
        <v>148.22621588148453</v>
      </c>
      <c r="G91" s="204">
        <f>PMT('MCN Backend'!$F$44/12,'MCN Backend'!F56*12,-F70*'MCN Backend'!F56)*12-F70</f>
        <v>148.22621588148453</v>
      </c>
    </row>
    <row r="92" spans="2:8" x14ac:dyDescent="0.25">
      <c r="B92" s="88" t="s">
        <v>949</v>
      </c>
      <c r="C92" s="96" t="s">
        <v>1028</v>
      </c>
      <c r="D92" s="97" t="s">
        <v>591</v>
      </c>
      <c r="E92" s="96" t="s">
        <v>1021</v>
      </c>
      <c r="F92" s="202">
        <f t="shared" si="8"/>
        <v>50.763997161056977</v>
      </c>
      <c r="G92" s="204">
        <f>PMT('MCN Backend'!$F$44/12,'MCN Backend'!F33*12,-F71*'MCN Backend'!F33)*12-F71</f>
        <v>50.763997161056977</v>
      </c>
    </row>
    <row r="93" spans="2:8" x14ac:dyDescent="0.25">
      <c r="B93" s="88" t="s">
        <v>950</v>
      </c>
      <c r="C93" s="96" t="s">
        <v>1029</v>
      </c>
      <c r="D93" s="97" t="s">
        <v>591</v>
      </c>
      <c r="E93" s="96" t="s">
        <v>1022</v>
      </c>
      <c r="F93" s="202">
        <f t="shared" si="8"/>
        <v>39.782058013707228</v>
      </c>
      <c r="G93" s="328">
        <f>PMT('MCN Backend'!$F$44/12,'MCN Backend'!$F$43,-F72*'MCN Backend'!$F$43/12)*12-F72</f>
        <v>39.782058013707228</v>
      </c>
    </row>
    <row r="94" spans="2:8" ht="15.75" thickBot="1" x14ac:dyDescent="0.3">
      <c r="B94" s="118" t="s">
        <v>1191</v>
      </c>
      <c r="C94" s="199"/>
      <c r="D94" s="36" t="s">
        <v>591</v>
      </c>
      <c r="E94" s="199" t="s">
        <v>1512</v>
      </c>
      <c r="F94" s="210">
        <f>G94</f>
        <v>738710.74298755755</v>
      </c>
      <c r="G94" s="329">
        <f>SUM(G52:G93)</f>
        <v>738710.74298755755</v>
      </c>
    </row>
    <row r="95" spans="2:8" ht="15.75" thickBot="1" x14ac:dyDescent="0.3">
      <c r="B95" s="325" t="s">
        <v>474</v>
      </c>
      <c r="C95" s="326"/>
      <c r="D95" s="326"/>
      <c r="E95" s="326"/>
      <c r="F95" s="326"/>
      <c r="G95" s="327"/>
    </row>
    <row r="96" spans="2:8" ht="15.75" thickBot="1" x14ac:dyDescent="0.3">
      <c r="B96" s="321" t="s">
        <v>45</v>
      </c>
      <c r="C96" s="322" t="s">
        <v>579</v>
      </c>
      <c r="D96" s="322" t="s">
        <v>578</v>
      </c>
      <c r="E96" s="323" t="s">
        <v>47</v>
      </c>
      <c r="F96" s="323" t="s">
        <v>48</v>
      </c>
      <c r="G96" s="324" t="s">
        <v>5</v>
      </c>
      <c r="H96" s="30" t="s">
        <v>49</v>
      </c>
    </row>
    <row r="97" spans="2:7" x14ac:dyDescent="0.25">
      <c r="B97" s="24" t="s">
        <v>979</v>
      </c>
      <c r="C97" s="108" t="s">
        <v>1064</v>
      </c>
      <c r="D97" s="108" t="s">
        <v>1063</v>
      </c>
      <c r="E97" s="108"/>
      <c r="F97" s="226">
        <f>G97</f>
        <v>569.37766575217188</v>
      </c>
      <c r="G97" s="227">
        <f t="shared" ref="G97:G138" si="11">F52/$F$40</f>
        <v>569.37766575217188</v>
      </c>
    </row>
    <row r="98" spans="2:7" x14ac:dyDescent="0.25">
      <c r="B98" s="17" t="s">
        <v>910</v>
      </c>
      <c r="C98" s="97" t="s">
        <v>1065</v>
      </c>
      <c r="D98" s="97" t="s">
        <v>1063</v>
      </c>
      <c r="E98" s="97"/>
      <c r="F98" s="202">
        <f t="shared" ref="F98:F138" si="12">G98</f>
        <v>158.03593529711551</v>
      </c>
      <c r="G98" s="229">
        <f t="shared" si="11"/>
        <v>158.03593529711551</v>
      </c>
    </row>
    <row r="99" spans="2:7" x14ac:dyDescent="0.25">
      <c r="B99" s="17" t="s">
        <v>911</v>
      </c>
      <c r="C99" s="97" t="s">
        <v>1066</v>
      </c>
      <c r="D99" s="97" t="s">
        <v>1063</v>
      </c>
      <c r="E99" s="97"/>
      <c r="F99" s="202">
        <f t="shared" si="12"/>
        <v>7.3213549604989074</v>
      </c>
      <c r="G99" s="229">
        <f t="shared" si="11"/>
        <v>7.3213549604989074</v>
      </c>
    </row>
    <row r="100" spans="2:7" x14ac:dyDescent="0.25">
      <c r="B100" s="17" t="s">
        <v>912</v>
      </c>
      <c r="C100" s="97" t="s">
        <v>1067</v>
      </c>
      <c r="D100" s="97" t="s">
        <v>1063</v>
      </c>
      <c r="E100" s="97"/>
      <c r="F100" s="202">
        <f t="shared" si="12"/>
        <v>49.386229780348586</v>
      </c>
      <c r="G100" s="229">
        <f t="shared" si="11"/>
        <v>49.386229780348586</v>
      </c>
    </row>
    <row r="101" spans="2:7" x14ac:dyDescent="0.25">
      <c r="B101" s="17" t="s">
        <v>913</v>
      </c>
      <c r="C101" s="97" t="s">
        <v>1068</v>
      </c>
      <c r="D101" s="97" t="s">
        <v>1063</v>
      </c>
      <c r="E101" s="97"/>
      <c r="F101" s="202">
        <f t="shared" si="12"/>
        <v>256.35498917609732</v>
      </c>
      <c r="G101" s="229">
        <f t="shared" si="11"/>
        <v>256.35498917609732</v>
      </c>
    </row>
    <row r="102" spans="2:7" x14ac:dyDescent="0.25">
      <c r="B102" s="17" t="s">
        <v>914</v>
      </c>
      <c r="C102" s="97" t="s">
        <v>1069</v>
      </c>
      <c r="D102" s="97" t="s">
        <v>1063</v>
      </c>
      <c r="E102" s="97"/>
      <c r="F102" s="202">
        <f t="shared" si="12"/>
        <v>0.33909390102658371</v>
      </c>
      <c r="G102" s="229">
        <f t="shared" si="11"/>
        <v>0.33909390102658371</v>
      </c>
    </row>
    <row r="103" spans="2:7" x14ac:dyDescent="0.25">
      <c r="B103" s="17" t="s">
        <v>915</v>
      </c>
      <c r="C103" s="97" t="s">
        <v>1070</v>
      </c>
      <c r="D103" s="97" t="s">
        <v>1063</v>
      </c>
      <c r="E103" s="97"/>
      <c r="F103" s="202">
        <f t="shared" si="12"/>
        <v>10.851004832850679</v>
      </c>
      <c r="G103" s="229">
        <f t="shared" si="11"/>
        <v>10.851004832850679</v>
      </c>
    </row>
    <row r="104" spans="2:7" x14ac:dyDescent="0.25">
      <c r="B104" s="17" t="s">
        <v>916</v>
      </c>
      <c r="C104" s="97" t="s">
        <v>1071</v>
      </c>
      <c r="D104" s="97" t="s">
        <v>1063</v>
      </c>
      <c r="E104" s="97"/>
      <c r="F104" s="202">
        <f t="shared" si="12"/>
        <v>406.91268123190048</v>
      </c>
      <c r="G104" s="229">
        <f t="shared" si="11"/>
        <v>406.91268123190048</v>
      </c>
    </row>
    <row r="105" spans="2:7" x14ac:dyDescent="0.25">
      <c r="B105" s="17" t="s">
        <v>925</v>
      </c>
      <c r="C105" s="97" t="s">
        <v>1072</v>
      </c>
      <c r="D105" s="97" t="s">
        <v>1063</v>
      </c>
      <c r="E105" s="97"/>
      <c r="F105" s="202">
        <f t="shared" si="12"/>
        <v>15.149176954732511</v>
      </c>
      <c r="G105" s="229">
        <f t="shared" si="11"/>
        <v>15.149176954732511</v>
      </c>
    </row>
    <row r="106" spans="2:7" x14ac:dyDescent="0.25">
      <c r="B106" s="17" t="s">
        <v>926</v>
      </c>
      <c r="C106" s="97" t="s">
        <v>1073</v>
      </c>
      <c r="D106" s="97" t="s">
        <v>1063</v>
      </c>
      <c r="E106" s="97"/>
      <c r="F106" s="202">
        <f t="shared" si="12"/>
        <v>0.39180384087791498</v>
      </c>
      <c r="G106" s="229">
        <f t="shared" si="11"/>
        <v>0.39180384087791498</v>
      </c>
    </row>
    <row r="107" spans="2:7" x14ac:dyDescent="0.25">
      <c r="B107" s="17" t="s">
        <v>927</v>
      </c>
      <c r="C107" s="97" t="s">
        <v>1074</v>
      </c>
      <c r="D107" s="97" t="s">
        <v>1063</v>
      </c>
      <c r="E107" s="97"/>
      <c r="F107" s="202">
        <f t="shared" si="12"/>
        <v>4.7341177983539087</v>
      </c>
      <c r="G107" s="229">
        <f t="shared" si="11"/>
        <v>4.7341177983539087</v>
      </c>
    </row>
    <row r="108" spans="2:7" x14ac:dyDescent="0.25">
      <c r="B108" s="17" t="s">
        <v>928</v>
      </c>
      <c r="C108" s="97" t="s">
        <v>1075</v>
      </c>
      <c r="D108" s="97" t="s">
        <v>1063</v>
      </c>
      <c r="E108" s="97"/>
      <c r="F108" s="202">
        <f t="shared" si="12"/>
        <v>70.216049382716051</v>
      </c>
      <c r="G108" s="229">
        <f t="shared" si="11"/>
        <v>70.216049382716051</v>
      </c>
    </row>
    <row r="109" spans="2:7" x14ac:dyDescent="0.25">
      <c r="B109" s="17" t="s">
        <v>929</v>
      </c>
      <c r="C109" s="97" t="s">
        <v>1076</v>
      </c>
      <c r="D109" s="97" t="s">
        <v>1063</v>
      </c>
      <c r="E109" s="97"/>
      <c r="F109" s="202">
        <f t="shared" si="12"/>
        <v>2.7863511659807955E-2</v>
      </c>
      <c r="G109" s="229">
        <f t="shared" si="11"/>
        <v>2.7863511659807955E-2</v>
      </c>
    </row>
    <row r="110" spans="2:7" x14ac:dyDescent="0.25">
      <c r="B110" s="17" t="s">
        <v>930</v>
      </c>
      <c r="C110" s="97" t="s">
        <v>1077</v>
      </c>
      <c r="D110" s="97" t="s">
        <v>1063</v>
      </c>
      <c r="E110" s="97"/>
      <c r="F110" s="202">
        <f t="shared" si="12"/>
        <v>111.45404663923182</v>
      </c>
      <c r="G110" s="229">
        <f t="shared" si="11"/>
        <v>111.45404663923182</v>
      </c>
    </row>
    <row r="111" spans="2:7" x14ac:dyDescent="0.25">
      <c r="B111" s="20" t="s">
        <v>937</v>
      </c>
      <c r="C111" s="97" t="s">
        <v>1078</v>
      </c>
      <c r="D111" s="97" t="s">
        <v>1063</v>
      </c>
      <c r="E111" s="97"/>
      <c r="F111" s="202">
        <f t="shared" si="12"/>
        <v>89.550179607009014</v>
      </c>
      <c r="G111" s="229">
        <f t="shared" si="11"/>
        <v>89.550179607009014</v>
      </c>
    </row>
    <row r="112" spans="2:7" x14ac:dyDescent="0.25">
      <c r="B112" s="168" t="s">
        <v>938</v>
      </c>
      <c r="C112" s="97" t="s">
        <v>1079</v>
      </c>
      <c r="D112" s="97" t="s">
        <v>1063</v>
      </c>
      <c r="E112" s="97"/>
      <c r="F112" s="202">
        <f t="shared" si="12"/>
        <v>4.3774309423876785</v>
      </c>
      <c r="G112" s="229">
        <f t="shared" si="11"/>
        <v>4.3774309423876785</v>
      </c>
    </row>
    <row r="113" spans="2:7" x14ac:dyDescent="0.25">
      <c r="B113" s="168" t="s">
        <v>939</v>
      </c>
      <c r="C113" s="97" t="s">
        <v>1080</v>
      </c>
      <c r="D113" s="97" t="s">
        <v>1063</v>
      </c>
      <c r="E113" s="97"/>
      <c r="F113" s="202">
        <f t="shared" si="12"/>
        <v>31.093812363544799</v>
      </c>
      <c r="G113" s="229">
        <f t="shared" si="11"/>
        <v>31.093812363544799</v>
      </c>
    </row>
    <row r="114" spans="2:7" x14ac:dyDescent="0.25">
      <c r="B114" s="168" t="s">
        <v>940</v>
      </c>
      <c r="C114" s="97" t="s">
        <v>1081</v>
      </c>
      <c r="D114" s="97" t="s">
        <v>1063</v>
      </c>
      <c r="E114" s="97"/>
      <c r="F114" s="202">
        <f t="shared" si="12"/>
        <v>5.8801557744066493</v>
      </c>
      <c r="G114" s="229">
        <f t="shared" si="11"/>
        <v>5.8801557744066493</v>
      </c>
    </row>
    <row r="115" spans="2:7" x14ac:dyDescent="0.25">
      <c r="B115" s="168" t="s">
        <v>941</v>
      </c>
      <c r="C115" s="97" t="s">
        <v>1082</v>
      </c>
      <c r="D115" s="97" t="s">
        <v>1063</v>
      </c>
      <c r="E115" s="97"/>
      <c r="F115" s="202">
        <f t="shared" si="12"/>
        <v>0.4307806428136739</v>
      </c>
      <c r="G115" s="229">
        <f t="shared" si="11"/>
        <v>0.4307806428136739</v>
      </c>
    </row>
    <row r="116" spans="2:7" x14ac:dyDescent="0.25">
      <c r="B116" s="168" t="s">
        <v>942</v>
      </c>
      <c r="C116" s="97" t="s">
        <v>1083</v>
      </c>
      <c r="D116" s="97" t="s">
        <v>1063</v>
      </c>
      <c r="E116" s="97"/>
      <c r="F116" s="202">
        <f t="shared" si="12"/>
        <v>43.078064281367389</v>
      </c>
      <c r="G116" s="229">
        <f t="shared" si="11"/>
        <v>43.078064281367389</v>
      </c>
    </row>
    <row r="117" spans="2:7" x14ac:dyDescent="0.25">
      <c r="B117" s="168" t="s">
        <v>943</v>
      </c>
      <c r="C117" s="97" t="s">
        <v>1084</v>
      </c>
      <c r="D117" s="97" t="s">
        <v>1063</v>
      </c>
      <c r="E117" s="97"/>
      <c r="F117" s="202">
        <f t="shared" si="12"/>
        <v>8.6156128562734775</v>
      </c>
      <c r="G117" s="229">
        <f t="shared" si="11"/>
        <v>8.6156128562734775</v>
      </c>
    </row>
    <row r="118" spans="2:7" x14ac:dyDescent="0.25">
      <c r="B118" s="17" t="s">
        <v>917</v>
      </c>
      <c r="C118" s="97" t="s">
        <v>1085</v>
      </c>
      <c r="D118" s="97" t="s">
        <v>1063</v>
      </c>
      <c r="E118" s="97"/>
      <c r="F118" s="202">
        <f t="shared" si="12"/>
        <v>7.1320021257402244</v>
      </c>
      <c r="G118" s="229">
        <f t="shared" si="11"/>
        <v>7.1320021257402244</v>
      </c>
    </row>
    <row r="119" spans="2:7" x14ac:dyDescent="0.25">
      <c r="B119" s="17" t="s">
        <v>918</v>
      </c>
      <c r="C119" s="97" t="s">
        <v>1086</v>
      </c>
      <c r="D119" s="97" t="s">
        <v>1063</v>
      </c>
      <c r="E119" s="97"/>
      <c r="F119" s="202">
        <f t="shared" si="12"/>
        <v>1.9795518761583415</v>
      </c>
      <c r="G119" s="229">
        <f t="shared" si="11"/>
        <v>1.9795518761583415</v>
      </c>
    </row>
    <row r="120" spans="2:7" x14ac:dyDescent="0.25">
      <c r="B120" s="17" t="s">
        <v>919</v>
      </c>
      <c r="C120" s="97" t="s">
        <v>1087</v>
      </c>
      <c r="D120" s="97" t="s">
        <v>1063</v>
      </c>
      <c r="E120" s="97"/>
      <c r="F120" s="202">
        <f t="shared" si="12"/>
        <v>9.1707002719535469E-2</v>
      </c>
      <c r="G120" s="229">
        <f t="shared" si="11"/>
        <v>9.1707002719535469E-2</v>
      </c>
    </row>
    <row r="121" spans="2:7" x14ac:dyDescent="0.25">
      <c r="B121" s="17" t="s">
        <v>920</v>
      </c>
      <c r="C121" s="97" t="s">
        <v>1088</v>
      </c>
      <c r="D121" s="97" t="s">
        <v>1063</v>
      </c>
      <c r="E121" s="97"/>
      <c r="F121" s="202">
        <f t="shared" si="12"/>
        <v>0.61860996129949042</v>
      </c>
      <c r="G121" s="229">
        <f t="shared" si="11"/>
        <v>0.61860996129949042</v>
      </c>
    </row>
    <row r="122" spans="2:7" x14ac:dyDescent="0.25">
      <c r="B122" s="17" t="s">
        <v>921</v>
      </c>
      <c r="C122" s="97" t="s">
        <v>1089</v>
      </c>
      <c r="D122" s="97" t="s">
        <v>1063</v>
      </c>
      <c r="E122" s="97"/>
      <c r="F122" s="202">
        <f t="shared" si="12"/>
        <v>108.80249972796888</v>
      </c>
      <c r="G122" s="229">
        <f t="shared" si="11"/>
        <v>108.80249972796888</v>
      </c>
    </row>
    <row r="123" spans="2:7" x14ac:dyDescent="0.25">
      <c r="B123" s="17" t="s">
        <v>922</v>
      </c>
      <c r="C123" s="97" t="s">
        <v>1090</v>
      </c>
      <c r="D123" s="97" t="s">
        <v>1063</v>
      </c>
      <c r="E123" s="97"/>
      <c r="F123" s="202">
        <f t="shared" si="12"/>
        <v>0.3165182717140867</v>
      </c>
      <c r="G123" s="229">
        <f t="shared" si="11"/>
        <v>0.3165182717140867</v>
      </c>
    </row>
    <row r="124" spans="2:7" x14ac:dyDescent="0.25">
      <c r="B124" s="17" t="s">
        <v>923</v>
      </c>
      <c r="C124" s="97" t="s">
        <v>1091</v>
      </c>
      <c r="D124" s="97" t="s">
        <v>1063</v>
      </c>
      <c r="E124" s="97"/>
      <c r="F124" s="202">
        <f t="shared" si="12"/>
        <v>0.13591925744413283</v>
      </c>
      <c r="G124" s="229">
        <f t="shared" si="11"/>
        <v>0.13591925744413283</v>
      </c>
    </row>
    <row r="125" spans="2:7" x14ac:dyDescent="0.25">
      <c r="B125" s="17" t="s">
        <v>924</v>
      </c>
      <c r="C125" s="97" t="s">
        <v>1092</v>
      </c>
      <c r="D125" s="97" t="s">
        <v>1063</v>
      </c>
      <c r="E125" s="97"/>
      <c r="F125" s="202">
        <f t="shared" si="12"/>
        <v>5.0969721541550008</v>
      </c>
      <c r="G125" s="229">
        <f t="shared" si="11"/>
        <v>5.0969721541550008</v>
      </c>
    </row>
    <row r="126" spans="2:7" x14ac:dyDescent="0.25">
      <c r="B126" s="17" t="s">
        <v>931</v>
      </c>
      <c r="C126" s="97" t="s">
        <v>1093</v>
      </c>
      <c r="D126" s="97" t="s">
        <v>1063</v>
      </c>
      <c r="E126" s="97"/>
      <c r="F126" s="202">
        <f t="shared" si="12"/>
        <v>0.18975799147589834</v>
      </c>
      <c r="G126" s="229">
        <f t="shared" si="11"/>
        <v>0.18975799147589834</v>
      </c>
    </row>
    <row r="127" spans="2:7" x14ac:dyDescent="0.25">
      <c r="B127" s="17" t="s">
        <v>932</v>
      </c>
      <c r="C127" s="97" t="s">
        <v>1094</v>
      </c>
      <c r="D127" s="97" t="s">
        <v>1063</v>
      </c>
      <c r="E127" s="97"/>
      <c r="F127" s="202">
        <f t="shared" si="12"/>
        <v>4.9077194173449863E-3</v>
      </c>
      <c r="G127" s="229">
        <f t="shared" si="11"/>
        <v>4.9077194173449863E-3</v>
      </c>
    </row>
    <row r="128" spans="2:7" x14ac:dyDescent="0.25">
      <c r="B128" s="17" t="s">
        <v>933</v>
      </c>
      <c r="C128" s="97" t="s">
        <v>1095</v>
      </c>
      <c r="D128" s="97" t="s">
        <v>1063</v>
      </c>
      <c r="E128" s="97"/>
      <c r="F128" s="202">
        <f t="shared" si="12"/>
        <v>5.9299372336219458E-2</v>
      </c>
      <c r="G128" s="229">
        <f t="shared" si="11"/>
        <v>5.9299372336219458E-2</v>
      </c>
    </row>
    <row r="129" spans="2:8" x14ac:dyDescent="0.25">
      <c r="B129" s="17" t="s">
        <v>934</v>
      </c>
      <c r="C129" s="97" t="s">
        <v>1096</v>
      </c>
      <c r="D129" s="97" t="s">
        <v>1063</v>
      </c>
      <c r="E129" s="97"/>
      <c r="F129" s="202">
        <f t="shared" si="12"/>
        <v>29.801182018790762</v>
      </c>
      <c r="G129" s="229">
        <f t="shared" si="11"/>
        <v>29.801182018790762</v>
      </c>
    </row>
    <row r="130" spans="2:8" x14ac:dyDescent="0.25">
      <c r="B130" s="17" t="s">
        <v>935</v>
      </c>
      <c r="C130" s="97" t="s">
        <v>1097</v>
      </c>
      <c r="D130" s="97" t="s">
        <v>1063</v>
      </c>
      <c r="E130" s="97"/>
      <c r="F130" s="202">
        <f t="shared" si="12"/>
        <v>2.6008461160014543E-2</v>
      </c>
      <c r="G130" s="229">
        <f t="shared" si="11"/>
        <v>2.6008461160014543E-2</v>
      </c>
    </row>
    <row r="131" spans="2:8" x14ac:dyDescent="0.25">
      <c r="B131" s="17" t="s">
        <v>936</v>
      </c>
      <c r="C131" s="97" t="s">
        <v>1098</v>
      </c>
      <c r="D131" s="97" t="s">
        <v>1063</v>
      </c>
      <c r="E131" s="97"/>
      <c r="F131" s="202">
        <f t="shared" si="12"/>
        <v>1.3960689808640128</v>
      </c>
      <c r="G131" s="229">
        <f t="shared" si="11"/>
        <v>1.3960689808640128</v>
      </c>
    </row>
    <row r="132" spans="2:8" x14ac:dyDescent="0.25">
      <c r="B132" s="17" t="s">
        <v>944</v>
      </c>
      <c r="C132" s="97" t="s">
        <v>1099</v>
      </c>
      <c r="D132" s="97" t="s">
        <v>1063</v>
      </c>
      <c r="E132" s="97"/>
      <c r="F132" s="202">
        <f t="shared" si="12"/>
        <v>1.1217020085849159</v>
      </c>
      <c r="G132" s="229">
        <f t="shared" si="11"/>
        <v>1.1217020085849159</v>
      </c>
    </row>
    <row r="133" spans="2:8" x14ac:dyDescent="0.25">
      <c r="B133" s="17" t="s">
        <v>945</v>
      </c>
      <c r="C133" s="97" t="s">
        <v>1100</v>
      </c>
      <c r="D133" s="97" t="s">
        <v>1063</v>
      </c>
      <c r="E133" s="97"/>
      <c r="F133" s="202">
        <f t="shared" si="12"/>
        <v>5.4831526883211176E-2</v>
      </c>
      <c r="G133" s="229">
        <f t="shared" si="11"/>
        <v>5.4831526883211176E-2</v>
      </c>
    </row>
    <row r="134" spans="2:8" x14ac:dyDescent="0.25">
      <c r="B134" s="17" t="s">
        <v>946</v>
      </c>
      <c r="C134" s="97" t="s">
        <v>1101</v>
      </c>
      <c r="D134" s="97" t="s">
        <v>1063</v>
      </c>
      <c r="E134" s="97"/>
      <c r="F134" s="202">
        <f t="shared" si="12"/>
        <v>0.3894798640919907</v>
      </c>
      <c r="G134" s="229">
        <f t="shared" si="11"/>
        <v>0.3894798640919907</v>
      </c>
    </row>
    <row r="135" spans="2:8" x14ac:dyDescent="0.25">
      <c r="B135" s="17" t="s">
        <v>947</v>
      </c>
      <c r="C135" s="97" t="s">
        <v>1102</v>
      </c>
      <c r="D135" s="97" t="s">
        <v>1063</v>
      </c>
      <c r="E135" s="97"/>
      <c r="F135" s="202">
        <f t="shared" si="12"/>
        <v>2.4956629441910905</v>
      </c>
      <c r="G135" s="229">
        <f t="shared" si="11"/>
        <v>2.4956629441910905</v>
      </c>
    </row>
    <row r="136" spans="2:8" x14ac:dyDescent="0.25">
      <c r="B136" s="17" t="s">
        <v>948</v>
      </c>
      <c r="C136" s="97" t="s">
        <v>1103</v>
      </c>
      <c r="D136" s="97" t="s">
        <v>1063</v>
      </c>
      <c r="E136" s="97"/>
      <c r="F136" s="202">
        <f t="shared" si="12"/>
        <v>0.40210084622128922</v>
      </c>
      <c r="G136" s="229">
        <f t="shared" si="11"/>
        <v>0.40210084622128922</v>
      </c>
    </row>
    <row r="137" spans="2:8" x14ac:dyDescent="0.25">
      <c r="B137" s="17" t="s">
        <v>949</v>
      </c>
      <c r="C137" s="97" t="s">
        <v>1104</v>
      </c>
      <c r="D137" s="97" t="s">
        <v>1063</v>
      </c>
      <c r="E137" s="97"/>
      <c r="F137" s="202">
        <f t="shared" si="12"/>
        <v>0.13771009463236186</v>
      </c>
      <c r="G137" s="229">
        <f t="shared" si="11"/>
        <v>0.13771009463236186</v>
      </c>
    </row>
    <row r="138" spans="2:8" ht="15.75" thickBot="1" x14ac:dyDescent="0.3">
      <c r="B138" s="34" t="s">
        <v>950</v>
      </c>
      <c r="C138" s="36" t="s">
        <v>1105</v>
      </c>
      <c r="D138" s="36" t="s">
        <v>1063</v>
      </c>
      <c r="E138" s="36"/>
      <c r="F138" s="210">
        <f t="shared" si="12"/>
        <v>0.10791882594187081</v>
      </c>
      <c r="G138" s="233">
        <f t="shared" si="11"/>
        <v>0.10791882594187081</v>
      </c>
    </row>
    <row r="139" spans="2:8" ht="15.75" thickBot="1" x14ac:dyDescent="0.3">
      <c r="B139" s="325" t="s">
        <v>1520</v>
      </c>
      <c r="C139" s="326"/>
      <c r="D139" s="326"/>
      <c r="E139" s="326"/>
      <c r="F139" s="326"/>
      <c r="G139" s="327"/>
    </row>
    <row r="140" spans="2:8" ht="15.75" thickBot="1" x14ac:dyDescent="0.3">
      <c r="B140" s="321" t="s">
        <v>45</v>
      </c>
      <c r="C140" s="322" t="s">
        <v>579</v>
      </c>
      <c r="D140" s="322" t="s">
        <v>578</v>
      </c>
      <c r="E140" s="323" t="s">
        <v>47</v>
      </c>
      <c r="F140" s="323" t="s">
        <v>48</v>
      </c>
      <c r="G140" s="324" t="s">
        <v>5</v>
      </c>
      <c r="H140" s="30" t="s">
        <v>49</v>
      </c>
    </row>
    <row r="141" spans="2:8" x14ac:dyDescent="0.25">
      <c r="B141" s="253" t="s">
        <v>1521</v>
      </c>
      <c r="D141" s="108" t="s">
        <v>372</v>
      </c>
      <c r="E141" s="108" t="s">
        <v>1533</v>
      </c>
      <c r="F141" s="331">
        <f>G141</f>
        <v>2</v>
      </c>
      <c r="G141" s="332">
        <f>'PRNT Backend'!F117</f>
        <v>2</v>
      </c>
    </row>
    <row r="142" spans="2:8" x14ac:dyDescent="0.25">
      <c r="B142" s="88" t="s">
        <v>1522</v>
      </c>
      <c r="D142" s="97" t="s">
        <v>372</v>
      </c>
      <c r="E142" s="97" t="s">
        <v>1534</v>
      </c>
      <c r="F142" s="268">
        <f t="shared" ref="F142:F152" si="13">G142</f>
        <v>47.462295138888884</v>
      </c>
      <c r="G142" s="333">
        <f>'PRNT Backend'!F118</f>
        <v>47.462295138888884</v>
      </c>
    </row>
    <row r="143" spans="2:8" x14ac:dyDescent="0.25">
      <c r="B143" s="88" t="s">
        <v>1523</v>
      </c>
      <c r="D143" s="97" t="s">
        <v>372</v>
      </c>
      <c r="E143" s="97" t="s">
        <v>1535</v>
      </c>
      <c r="F143" s="268">
        <f t="shared" si="13"/>
        <v>2</v>
      </c>
      <c r="G143" s="333">
        <f>'PRNT Backend'!F119</f>
        <v>2</v>
      </c>
    </row>
    <row r="144" spans="2:8" x14ac:dyDescent="0.25">
      <c r="B144" s="88" t="s">
        <v>1524</v>
      </c>
      <c r="C144" s="97" t="s">
        <v>1536</v>
      </c>
      <c r="D144" s="97" t="s">
        <v>372</v>
      </c>
      <c r="E144" s="97" t="s">
        <v>1537</v>
      </c>
      <c r="F144" s="268">
        <f t="shared" si="13"/>
        <v>51.462295138888884</v>
      </c>
      <c r="G144" s="333">
        <f>SUM(F141:F143)</f>
        <v>51.462295138888884</v>
      </c>
    </row>
    <row r="145" spans="2:7" x14ac:dyDescent="0.25">
      <c r="B145" s="88" t="s">
        <v>1525</v>
      </c>
      <c r="D145" s="97" t="s">
        <v>372</v>
      </c>
      <c r="E145" s="97" t="s">
        <v>1538</v>
      </c>
      <c r="F145" s="268">
        <f t="shared" si="13"/>
        <v>2</v>
      </c>
      <c r="G145" s="333">
        <f>'PP Backend'!F65</f>
        <v>2</v>
      </c>
    </row>
    <row r="146" spans="2:7" x14ac:dyDescent="0.25">
      <c r="B146" s="88" t="s">
        <v>1526</v>
      </c>
      <c r="C146" s="97"/>
      <c r="D146" s="97" t="s">
        <v>372</v>
      </c>
      <c r="E146" s="97" t="s">
        <v>1539</v>
      </c>
      <c r="F146" s="268">
        <f t="shared" si="13"/>
        <v>5</v>
      </c>
      <c r="G146" s="333">
        <f>'PP Backend'!F66</f>
        <v>5</v>
      </c>
    </row>
    <row r="147" spans="2:7" x14ac:dyDescent="0.25">
      <c r="B147" s="88" t="s">
        <v>1527</v>
      </c>
      <c r="C147" s="97"/>
      <c r="D147" s="97" t="s">
        <v>372</v>
      </c>
      <c r="E147" s="97" t="s">
        <v>1540</v>
      </c>
      <c r="F147" s="268">
        <f t="shared" si="13"/>
        <v>17</v>
      </c>
      <c r="G147" s="333">
        <f>'PP Backend'!F67</f>
        <v>17</v>
      </c>
    </row>
    <row r="148" spans="2:7" x14ac:dyDescent="0.25">
      <c r="B148" s="88" t="s">
        <v>1528</v>
      </c>
      <c r="C148" s="97"/>
      <c r="D148" s="97" t="s">
        <v>372</v>
      </c>
      <c r="E148" s="97" t="s">
        <v>1541</v>
      </c>
      <c r="F148" s="268">
        <f t="shared" si="13"/>
        <v>2</v>
      </c>
      <c r="G148" s="333">
        <f>'PP Backend'!F68</f>
        <v>2</v>
      </c>
    </row>
    <row r="149" spans="2:7" x14ac:dyDescent="0.25">
      <c r="B149" s="88" t="s">
        <v>1529</v>
      </c>
      <c r="C149" s="97" t="s">
        <v>1543</v>
      </c>
      <c r="D149" s="97" t="s">
        <v>372</v>
      </c>
      <c r="E149" s="97" t="s">
        <v>1542</v>
      </c>
      <c r="F149" s="268">
        <f t="shared" si="13"/>
        <v>26</v>
      </c>
      <c r="G149" s="333">
        <f>SUM(F145:F148)</f>
        <v>26</v>
      </c>
    </row>
    <row r="150" spans="2:7" x14ac:dyDescent="0.25">
      <c r="B150" s="88" t="s">
        <v>1530</v>
      </c>
      <c r="C150" s="97"/>
      <c r="D150" s="97" t="s">
        <v>372</v>
      </c>
      <c r="E150" s="97" t="s">
        <v>1544</v>
      </c>
      <c r="F150" s="268">
        <f t="shared" si="13"/>
        <v>5.7032412565169039</v>
      </c>
      <c r="G150" s="333">
        <f>'MCN Backend'!F75/60</f>
        <v>5.7032412565169039</v>
      </c>
    </row>
    <row r="151" spans="2:7" x14ac:dyDescent="0.25">
      <c r="B151" s="88" t="s">
        <v>1531</v>
      </c>
      <c r="C151" s="97"/>
      <c r="D151" s="97" t="s">
        <v>372</v>
      </c>
      <c r="E151" s="97" t="s">
        <v>1545</v>
      </c>
      <c r="F151" s="268">
        <f t="shared" si="13"/>
        <v>0.5</v>
      </c>
      <c r="G151" s="333">
        <f>'MCN Backend'!F76/60</f>
        <v>0.5</v>
      </c>
    </row>
    <row r="152" spans="2:7" ht="15.75" thickBot="1" x14ac:dyDescent="0.3">
      <c r="B152" s="118" t="s">
        <v>1532</v>
      </c>
      <c r="C152" s="36" t="s">
        <v>1547</v>
      </c>
      <c r="D152" s="36" t="s">
        <v>372</v>
      </c>
      <c r="E152" s="36" t="s">
        <v>1546</v>
      </c>
      <c r="F152" s="335">
        <f t="shared" si="13"/>
        <v>6.2032412565169039</v>
      </c>
      <c r="G152" s="334">
        <f>SUM(F150:F151)</f>
        <v>6.2032412565169039</v>
      </c>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sheetData>
  <sheetProtection algorithmName="SHA-512" hashValue="CkAJoIfoWMVyxj6dGlfGY4oAOB3Y6b8PhEb//LoWW3AU96ZBWJgeB1ydAuz6g5LUGVEAin6XsRx161n+P1mfAg==" saltValue="TOoGiISrayEL5bx2dbDR/Q==" spinCount="100000" sheet="1" objects="1" scenarios="1"/>
  <pageMargins left="0.7" right="0.7" top="0.75" bottom="0.75" header="0.3" footer="0.3"/>
  <pageSetup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7DD4-7771-4F6E-8DA8-B9E735079E0C}">
  <sheetPr codeName="Sheet19">
    <tabColor theme="5" tint="-0.499984740745262"/>
  </sheetPr>
  <dimension ref="A1:AJ78"/>
  <sheetViews>
    <sheetView workbookViewId="0"/>
  </sheetViews>
  <sheetFormatPr defaultColWidth="16.7109375" defaultRowHeight="15" customHeight="1" x14ac:dyDescent="0.25"/>
  <cols>
    <col min="1" max="1" width="25.7109375" customWidth="1"/>
    <col min="3" max="3" width="32.7109375" style="23" customWidth="1"/>
    <col min="4" max="8" width="16.7109375" style="32"/>
    <col min="10" max="10" width="24.7109375" style="2" customWidth="1"/>
    <col min="11" max="11" width="32.7109375" style="2" customWidth="1"/>
    <col min="12" max="12" width="24.7109375" style="2" customWidth="1"/>
    <col min="13" max="13" width="16.7109375" style="18"/>
    <col min="14" max="14" width="17.5703125" style="26" customWidth="1"/>
    <col min="15" max="17" width="16.7109375" style="26"/>
    <col min="18" max="18" width="25.7109375" style="87" bestFit="1" customWidth="1"/>
    <col min="19" max="19" width="16.7109375" style="18"/>
    <col min="20" max="21" width="16.7109375" style="26"/>
    <col min="22" max="22" width="16.7109375" style="2"/>
  </cols>
  <sheetData>
    <row r="1" spans="1:36" ht="15" customHeight="1" x14ac:dyDescent="0.25">
      <c r="A1" t="s">
        <v>262</v>
      </c>
      <c r="C1" s="23" t="s">
        <v>260</v>
      </c>
      <c r="D1" s="82" t="s">
        <v>1583</v>
      </c>
      <c r="E1" s="82" t="s">
        <v>1584</v>
      </c>
      <c r="F1" s="82" t="s">
        <v>1588</v>
      </c>
      <c r="G1" s="82" t="s">
        <v>1589</v>
      </c>
      <c r="H1" s="82" t="s">
        <v>1585</v>
      </c>
      <c r="I1" s="82" t="s">
        <v>1592</v>
      </c>
      <c r="J1" s="82" t="s">
        <v>1595</v>
      </c>
      <c r="K1" s="82" t="s">
        <v>1596</v>
      </c>
      <c r="L1" s="357" t="s">
        <v>1586</v>
      </c>
      <c r="M1" s="357" t="s">
        <v>1587</v>
      </c>
      <c r="N1" s="82" t="s">
        <v>1590</v>
      </c>
      <c r="O1" s="82" t="s">
        <v>1591</v>
      </c>
      <c r="P1" s="82" t="s">
        <v>1593</v>
      </c>
      <c r="Q1" s="82" t="s">
        <v>1594</v>
      </c>
      <c r="R1" s="32" t="s">
        <v>364</v>
      </c>
      <c r="S1"/>
      <c r="T1" s="2"/>
      <c r="U1" s="2"/>
      <c r="W1" s="18"/>
      <c r="X1" s="26"/>
      <c r="Y1" s="26"/>
      <c r="Z1" s="26"/>
      <c r="AA1" s="26"/>
      <c r="AB1" s="18"/>
      <c r="AC1" s="18"/>
      <c r="AD1" s="18"/>
      <c r="AE1" s="86"/>
      <c r="AF1" s="87"/>
      <c r="AG1" s="18"/>
      <c r="AH1" s="26"/>
      <c r="AI1" s="26"/>
      <c r="AJ1" s="2"/>
    </row>
    <row r="2" spans="1:36" ht="15" customHeight="1" x14ac:dyDescent="0.25">
      <c r="A2" t="s">
        <v>189</v>
      </c>
      <c r="C2" s="23" t="s">
        <v>190</v>
      </c>
      <c r="D2" s="308">
        <v>200</v>
      </c>
      <c r="E2" s="308">
        <v>520</v>
      </c>
      <c r="F2" s="308">
        <v>130</v>
      </c>
      <c r="G2" s="308">
        <v>540</v>
      </c>
      <c r="H2" s="85">
        <v>0.05</v>
      </c>
      <c r="I2" s="85">
        <v>0.35</v>
      </c>
      <c r="J2" s="303">
        <v>0.08</v>
      </c>
      <c r="K2" s="303">
        <v>0.3</v>
      </c>
      <c r="L2" s="359">
        <v>10</v>
      </c>
      <c r="M2" s="359">
        <v>100</v>
      </c>
      <c r="N2" s="355">
        <v>10000</v>
      </c>
      <c r="O2" s="355">
        <v>100000</v>
      </c>
      <c r="P2" s="356">
        <v>150</v>
      </c>
      <c r="Q2" s="356">
        <v>1980</v>
      </c>
      <c r="R2" s="32" t="s">
        <v>361</v>
      </c>
      <c r="S2"/>
      <c r="T2" s="2"/>
      <c r="U2" s="2"/>
      <c r="W2" s="18"/>
      <c r="X2" s="26"/>
      <c r="Y2" s="26"/>
      <c r="Z2" s="26"/>
      <c r="AA2" s="26"/>
      <c r="AB2" s="18"/>
      <c r="AC2" s="18"/>
      <c r="AD2" s="18"/>
      <c r="AE2" s="86"/>
      <c r="AF2" s="87"/>
      <c r="AG2" s="18"/>
      <c r="AH2" s="26"/>
      <c r="AI2" s="26"/>
      <c r="AJ2" s="2"/>
    </row>
    <row r="3" spans="1:36" ht="15" customHeight="1" x14ac:dyDescent="0.25">
      <c r="A3" t="s">
        <v>188</v>
      </c>
      <c r="C3" s="23" t="s">
        <v>188</v>
      </c>
      <c r="D3" s="308">
        <v>100</v>
      </c>
      <c r="E3" s="308">
        <v>1500</v>
      </c>
      <c r="F3" s="308">
        <v>100</v>
      </c>
      <c r="G3" s="308">
        <v>1500</v>
      </c>
      <c r="H3" s="85">
        <v>0.15</v>
      </c>
      <c r="I3" s="85">
        <v>0.5</v>
      </c>
      <c r="J3" s="303">
        <v>0.06</v>
      </c>
      <c r="K3" s="303">
        <v>10</v>
      </c>
      <c r="L3" s="359">
        <v>10</v>
      </c>
      <c r="M3" s="359">
        <v>1000</v>
      </c>
      <c r="N3" s="355">
        <v>175000</v>
      </c>
      <c r="O3" s="355">
        <v>1000000</v>
      </c>
      <c r="P3" s="356">
        <v>1000</v>
      </c>
      <c r="Q3" s="356">
        <v>18000</v>
      </c>
      <c r="R3" s="32" t="s">
        <v>361</v>
      </c>
      <c r="S3"/>
      <c r="T3" s="2"/>
      <c r="U3" s="2"/>
      <c r="W3" s="18"/>
      <c r="X3" s="26"/>
      <c r="Y3" s="26"/>
      <c r="Z3" s="26"/>
      <c r="AA3" s="26"/>
      <c r="AB3" s="18"/>
      <c r="AC3" s="18"/>
      <c r="AD3" s="18"/>
      <c r="AE3" s="86"/>
      <c r="AF3" s="87"/>
      <c r="AG3" s="18"/>
      <c r="AH3" s="26"/>
      <c r="AI3" s="26"/>
      <c r="AJ3" s="2"/>
    </row>
    <row r="4" spans="1:36" ht="15" customHeight="1" x14ac:dyDescent="0.25">
      <c r="A4" t="s">
        <v>16</v>
      </c>
      <c r="C4" s="23" t="s">
        <v>192</v>
      </c>
      <c r="D4" s="308">
        <v>60</v>
      </c>
      <c r="E4" s="308">
        <v>500</v>
      </c>
      <c r="F4" s="308">
        <v>50</v>
      </c>
      <c r="G4" s="308">
        <v>450</v>
      </c>
      <c r="H4" s="85">
        <v>0.01</v>
      </c>
      <c r="I4" s="85">
        <v>0.05</v>
      </c>
      <c r="J4" s="303">
        <v>2.2000000000000002</v>
      </c>
      <c r="K4" s="303">
        <v>10</v>
      </c>
      <c r="L4" s="359">
        <v>10</v>
      </c>
      <c r="M4" s="359">
        <v>100</v>
      </c>
      <c r="N4" s="355">
        <v>8500</v>
      </c>
      <c r="O4" s="355">
        <v>150000</v>
      </c>
      <c r="P4" s="356">
        <v>400</v>
      </c>
      <c r="Q4" s="356">
        <v>3000</v>
      </c>
      <c r="R4" s="32" t="s">
        <v>362</v>
      </c>
      <c r="S4"/>
      <c r="T4" s="2"/>
      <c r="U4" s="2"/>
      <c r="W4" s="18"/>
      <c r="X4" s="26"/>
      <c r="Y4" s="26"/>
      <c r="Z4" s="26"/>
      <c r="AA4" s="26"/>
      <c r="AB4" s="18"/>
      <c r="AC4" s="18"/>
      <c r="AD4" s="18"/>
      <c r="AE4" s="86"/>
      <c r="AF4" s="87"/>
      <c r="AG4" s="18"/>
      <c r="AH4" s="26"/>
      <c r="AI4" s="26"/>
      <c r="AJ4" s="2"/>
    </row>
    <row r="5" spans="1:36" ht="15" customHeight="1" x14ac:dyDescent="0.25">
      <c r="A5" t="s">
        <v>259</v>
      </c>
      <c r="C5" s="23" t="s">
        <v>16</v>
      </c>
      <c r="D5" s="308">
        <v>90</v>
      </c>
      <c r="E5" s="308">
        <v>1200</v>
      </c>
      <c r="F5" s="308">
        <v>90</v>
      </c>
      <c r="G5" s="308">
        <v>600</v>
      </c>
      <c r="H5" s="85">
        <v>1.2E-2</v>
      </c>
      <c r="I5" s="85">
        <v>0.1</v>
      </c>
      <c r="J5" s="303">
        <v>4.5</v>
      </c>
      <c r="K5" s="303">
        <v>15.2</v>
      </c>
      <c r="L5" s="359">
        <v>10</v>
      </c>
      <c r="M5" s="359">
        <v>1000</v>
      </c>
      <c r="N5" s="355">
        <v>150000</v>
      </c>
      <c r="O5" s="355">
        <v>950000</v>
      </c>
      <c r="P5" s="356">
        <v>1500</v>
      </c>
      <c r="Q5" s="356">
        <v>9000</v>
      </c>
      <c r="R5" s="32" t="s">
        <v>361</v>
      </c>
      <c r="S5"/>
      <c r="T5" s="2"/>
      <c r="U5" s="2"/>
      <c r="W5" s="18"/>
      <c r="X5" s="26"/>
      <c r="Y5" s="26"/>
      <c r="Z5" s="26"/>
      <c r="AA5" s="26"/>
      <c r="AB5" s="18"/>
      <c r="AC5" s="18"/>
      <c r="AD5" s="18"/>
      <c r="AE5" s="86"/>
      <c r="AF5" s="87"/>
      <c r="AG5" s="18"/>
      <c r="AH5" s="26"/>
      <c r="AI5" s="26"/>
      <c r="AJ5" s="2"/>
    </row>
    <row r="6" spans="1:36" ht="15" customHeight="1" x14ac:dyDescent="0.25">
      <c r="C6" s="23" t="s">
        <v>189</v>
      </c>
      <c r="D6" s="308">
        <v>40</v>
      </c>
      <c r="E6" s="308">
        <v>850</v>
      </c>
      <c r="F6" s="308">
        <v>60</v>
      </c>
      <c r="G6" s="308">
        <v>610</v>
      </c>
      <c r="H6" s="85">
        <v>0.03</v>
      </c>
      <c r="I6" s="85">
        <v>0.3</v>
      </c>
      <c r="J6" s="358">
        <v>1</v>
      </c>
      <c r="K6" s="358">
        <v>20</v>
      </c>
      <c r="L6" s="359">
        <v>10</v>
      </c>
      <c r="M6" s="359">
        <v>1000</v>
      </c>
      <c r="N6" s="355">
        <v>75000</v>
      </c>
      <c r="O6" s="355">
        <v>750000</v>
      </c>
      <c r="P6" s="356">
        <v>492</v>
      </c>
      <c r="Q6" s="356">
        <v>7200</v>
      </c>
      <c r="R6" s="104" t="s">
        <v>360</v>
      </c>
      <c r="S6"/>
      <c r="T6" s="2"/>
      <c r="U6" s="2"/>
      <c r="W6" s="18"/>
      <c r="X6" s="26"/>
      <c r="Y6" s="26"/>
      <c r="Z6" s="26"/>
      <c r="AA6" s="26"/>
      <c r="AB6" s="18"/>
      <c r="AC6" s="18"/>
      <c r="AD6" s="18"/>
      <c r="AE6" s="86"/>
      <c r="AF6" s="87"/>
      <c r="AG6" s="18"/>
      <c r="AH6" s="26"/>
      <c r="AI6" s="26"/>
      <c r="AJ6" s="2"/>
    </row>
    <row r="7" spans="1:36" ht="15" customHeight="1" x14ac:dyDescent="0.25">
      <c r="C7" s="23" t="s">
        <v>259</v>
      </c>
      <c r="D7" s="308">
        <v>240</v>
      </c>
      <c r="E7" s="308">
        <v>260</v>
      </c>
      <c r="F7" s="308">
        <v>170</v>
      </c>
      <c r="G7" s="308">
        <v>250</v>
      </c>
      <c r="H7" s="85">
        <v>0.1</v>
      </c>
      <c r="I7" s="85">
        <v>0.1</v>
      </c>
      <c r="J7" s="358">
        <v>1</v>
      </c>
      <c r="K7" s="358">
        <v>100</v>
      </c>
      <c r="L7" s="359">
        <v>10</v>
      </c>
      <c r="M7" s="359">
        <v>1000</v>
      </c>
      <c r="N7" s="355">
        <v>6000</v>
      </c>
      <c r="O7" s="355">
        <v>35000</v>
      </c>
      <c r="P7" s="356">
        <v>350</v>
      </c>
      <c r="Q7" s="356">
        <v>2000</v>
      </c>
      <c r="R7" s="104" t="s">
        <v>361</v>
      </c>
      <c r="S7"/>
      <c r="T7" s="2"/>
      <c r="U7" s="2"/>
      <c r="W7" s="18"/>
      <c r="X7" s="26"/>
      <c r="Y7" s="26"/>
      <c r="Z7" s="26"/>
      <c r="AA7" s="26"/>
      <c r="AB7" s="18"/>
      <c r="AC7" s="18"/>
      <c r="AD7" s="18"/>
      <c r="AE7" s="86"/>
      <c r="AF7" s="87"/>
      <c r="AG7" s="18"/>
      <c r="AH7" s="26"/>
      <c r="AI7" s="26"/>
      <c r="AJ7" s="2"/>
    </row>
    <row r="8" spans="1:36" ht="15" customHeight="1" x14ac:dyDescent="0.25">
      <c r="A8" t="s">
        <v>263</v>
      </c>
      <c r="C8" s="23" t="s">
        <v>258</v>
      </c>
      <c r="D8" s="308">
        <v>220</v>
      </c>
      <c r="E8" s="308">
        <v>1500</v>
      </c>
      <c r="F8" s="308">
        <v>220</v>
      </c>
      <c r="G8" s="308">
        <v>1200</v>
      </c>
      <c r="H8" s="85">
        <v>8.0000000000000002E-3</v>
      </c>
      <c r="I8" s="85">
        <v>0.8</v>
      </c>
      <c r="J8" s="358">
        <v>1</v>
      </c>
      <c r="K8" s="358">
        <v>10</v>
      </c>
      <c r="L8" s="359">
        <v>10</v>
      </c>
      <c r="M8" s="359">
        <v>1000</v>
      </c>
      <c r="N8" s="355">
        <v>100000</v>
      </c>
      <c r="O8" s="355">
        <v>600000</v>
      </c>
      <c r="P8" s="356">
        <v>720</v>
      </c>
      <c r="Q8" s="356">
        <v>15000</v>
      </c>
      <c r="R8" s="104" t="s">
        <v>362</v>
      </c>
      <c r="S8"/>
      <c r="T8" s="2"/>
      <c r="U8" s="2"/>
      <c r="W8" s="18"/>
      <c r="X8" s="26"/>
      <c r="Y8" s="26"/>
      <c r="Z8" s="26"/>
      <c r="AA8" s="26"/>
      <c r="AB8" s="18"/>
      <c r="AC8" s="18"/>
      <c r="AD8" s="18"/>
      <c r="AE8" s="86"/>
      <c r="AF8" s="87"/>
      <c r="AG8" s="18"/>
      <c r="AH8" s="26"/>
      <c r="AI8" s="26"/>
      <c r="AJ8" s="2"/>
    </row>
    <row r="9" spans="1:36" ht="15" customHeight="1" x14ac:dyDescent="0.25">
      <c r="A9" t="s">
        <v>189</v>
      </c>
    </row>
    <row r="10" spans="1:36" ht="15" customHeight="1" x14ac:dyDescent="0.25">
      <c r="A10" t="s">
        <v>190</v>
      </c>
      <c r="D10" s="303"/>
      <c r="J10"/>
      <c r="K10"/>
      <c r="L10"/>
      <c r="M10"/>
      <c r="N10"/>
      <c r="O10"/>
      <c r="P10"/>
      <c r="Q10"/>
      <c r="R10"/>
      <c r="S10"/>
      <c r="T10"/>
      <c r="U10"/>
      <c r="V10"/>
    </row>
    <row r="11" spans="1:36" ht="15" customHeight="1" x14ac:dyDescent="0.25">
      <c r="A11" t="s">
        <v>258</v>
      </c>
      <c r="D11" s="303"/>
      <c r="J11"/>
      <c r="K11"/>
      <c r="L11"/>
      <c r="M11"/>
      <c r="N11"/>
      <c r="O11"/>
      <c r="P11"/>
      <c r="Q11"/>
      <c r="R11"/>
      <c r="S11"/>
      <c r="T11"/>
      <c r="U11"/>
      <c r="V11"/>
    </row>
    <row r="12" spans="1:36" ht="15" customHeight="1" x14ac:dyDescent="0.25">
      <c r="A12" t="s">
        <v>192</v>
      </c>
      <c r="D12" s="303"/>
      <c r="J12"/>
      <c r="K12"/>
      <c r="L12"/>
      <c r="M12"/>
      <c r="N12"/>
      <c r="O12"/>
      <c r="P12"/>
      <c r="Q12"/>
      <c r="R12"/>
      <c r="S12"/>
      <c r="T12"/>
      <c r="U12"/>
      <c r="V12"/>
    </row>
    <row r="13" spans="1:36" ht="15" customHeight="1" x14ac:dyDescent="0.25">
      <c r="D13" s="303"/>
      <c r="J13"/>
      <c r="K13"/>
      <c r="L13"/>
      <c r="M13"/>
      <c r="N13"/>
      <c r="O13"/>
      <c r="P13"/>
      <c r="Q13"/>
      <c r="R13"/>
      <c r="S13"/>
      <c r="T13"/>
      <c r="U13"/>
      <c r="V13"/>
    </row>
    <row r="14" spans="1:36" ht="15" customHeight="1" x14ac:dyDescent="0.25">
      <c r="D14" s="303"/>
      <c r="J14"/>
      <c r="K14"/>
      <c r="L14"/>
      <c r="M14"/>
      <c r="N14"/>
      <c r="O14"/>
      <c r="P14"/>
      <c r="Q14"/>
      <c r="R14"/>
      <c r="S14"/>
      <c r="T14"/>
      <c r="U14"/>
      <c r="V14"/>
    </row>
    <row r="15" spans="1:36" ht="15" customHeight="1" x14ac:dyDescent="0.25">
      <c r="C15" s="1"/>
      <c r="D15" s="303"/>
      <c r="J15"/>
      <c r="K15"/>
      <c r="L15"/>
      <c r="M15"/>
      <c r="N15"/>
      <c r="O15"/>
      <c r="P15"/>
      <c r="Q15"/>
      <c r="R15"/>
      <c r="S15"/>
      <c r="T15"/>
      <c r="U15"/>
      <c r="V15"/>
    </row>
    <row r="16" spans="1:36" ht="15" customHeight="1" x14ac:dyDescent="0.25">
      <c r="C16" s="1"/>
      <c r="D16" s="303"/>
      <c r="J16"/>
      <c r="K16"/>
      <c r="L16"/>
      <c r="M16"/>
      <c r="N16"/>
      <c r="O16"/>
      <c r="P16"/>
      <c r="Q16"/>
      <c r="R16"/>
      <c r="S16"/>
      <c r="T16"/>
      <c r="U16"/>
      <c r="V16"/>
    </row>
    <row r="17" spans="3:22" ht="15" customHeight="1" x14ac:dyDescent="0.25">
      <c r="C17" s="1"/>
      <c r="D17" s="303"/>
      <c r="J17"/>
      <c r="K17"/>
      <c r="L17"/>
      <c r="M17"/>
      <c r="N17"/>
      <c r="O17"/>
      <c r="P17"/>
      <c r="Q17"/>
      <c r="R17"/>
      <c r="S17"/>
      <c r="T17"/>
      <c r="U17"/>
      <c r="V17"/>
    </row>
    <row r="18" spans="3:22" ht="15" customHeight="1" x14ac:dyDescent="0.25">
      <c r="C18" s="1"/>
      <c r="D18" s="303"/>
      <c r="J18"/>
      <c r="K18"/>
      <c r="L18"/>
      <c r="M18"/>
      <c r="N18"/>
      <c r="O18"/>
      <c r="P18"/>
      <c r="Q18"/>
      <c r="R18"/>
      <c r="S18"/>
      <c r="T18"/>
      <c r="U18"/>
      <c r="V18"/>
    </row>
    <row r="19" spans="3:22" ht="15" customHeight="1" x14ac:dyDescent="0.25">
      <c r="C19" s="1"/>
      <c r="D19" s="303"/>
      <c r="J19"/>
      <c r="K19"/>
      <c r="L19"/>
      <c r="M19"/>
      <c r="N19"/>
      <c r="O19"/>
      <c r="P19"/>
      <c r="Q19"/>
      <c r="R19"/>
      <c r="S19"/>
      <c r="T19"/>
      <c r="U19"/>
      <c r="V19"/>
    </row>
    <row r="20" spans="3:22" ht="15" customHeight="1" x14ac:dyDescent="0.25">
      <c r="C20" s="1"/>
      <c r="D20" s="1"/>
      <c r="J20"/>
      <c r="K20"/>
      <c r="L20"/>
      <c r="M20"/>
      <c r="N20"/>
      <c r="O20"/>
      <c r="P20"/>
      <c r="Q20"/>
      <c r="R20"/>
      <c r="S20"/>
      <c r="T20"/>
      <c r="U20"/>
      <c r="V20"/>
    </row>
    <row r="21" spans="3:22" ht="15" customHeight="1" x14ac:dyDescent="0.25">
      <c r="C21" s="1"/>
      <c r="D21" s="1"/>
      <c r="J21"/>
      <c r="K21"/>
      <c r="L21"/>
      <c r="M21"/>
      <c r="N21"/>
      <c r="O21"/>
      <c r="P21"/>
      <c r="Q21"/>
      <c r="R21"/>
      <c r="S21"/>
      <c r="T21"/>
      <c r="U21"/>
      <c r="V21"/>
    </row>
    <row r="22" spans="3:22" ht="15" customHeight="1" x14ac:dyDescent="0.25">
      <c r="C22" s="1"/>
      <c r="D22" s="1"/>
      <c r="J22"/>
      <c r="K22"/>
      <c r="L22"/>
      <c r="M22"/>
      <c r="N22"/>
      <c r="O22"/>
      <c r="P22"/>
      <c r="Q22"/>
      <c r="R22"/>
      <c r="S22"/>
      <c r="T22"/>
      <c r="U22"/>
      <c r="V22"/>
    </row>
    <row r="23" spans="3:22" ht="15" customHeight="1" x14ac:dyDescent="0.25">
      <c r="C23"/>
      <c r="J23"/>
      <c r="K23"/>
      <c r="L23"/>
      <c r="M23"/>
      <c r="N23"/>
      <c r="O23"/>
      <c r="P23"/>
      <c r="Q23"/>
      <c r="R23"/>
      <c r="S23"/>
      <c r="T23"/>
      <c r="U23"/>
      <c r="V23"/>
    </row>
    <row r="24" spans="3:22" ht="15" customHeight="1" x14ac:dyDescent="0.25">
      <c r="C24"/>
      <c r="J24"/>
      <c r="K24"/>
      <c r="L24"/>
      <c r="M24"/>
      <c r="N24"/>
      <c r="O24"/>
      <c r="P24"/>
      <c r="Q24"/>
      <c r="R24"/>
      <c r="S24"/>
      <c r="T24"/>
      <c r="U24"/>
      <c r="V24"/>
    </row>
    <row r="25" spans="3:22" ht="15" customHeight="1" x14ac:dyDescent="0.25">
      <c r="C25"/>
      <c r="J25"/>
      <c r="K25"/>
      <c r="L25"/>
      <c r="M25"/>
      <c r="N25"/>
      <c r="O25"/>
      <c r="P25"/>
      <c r="Q25"/>
      <c r="R25"/>
      <c r="S25"/>
      <c r="T25"/>
      <c r="U25"/>
      <c r="V25"/>
    </row>
    <row r="26" spans="3:22" ht="15" customHeight="1" x14ac:dyDescent="0.25">
      <c r="C26"/>
      <c r="J26"/>
      <c r="K26"/>
      <c r="L26"/>
      <c r="M26"/>
      <c r="N26"/>
      <c r="O26"/>
      <c r="P26"/>
      <c r="Q26"/>
      <c r="R26"/>
      <c r="S26"/>
      <c r="T26"/>
      <c r="U26"/>
      <c r="V26"/>
    </row>
    <row r="27" spans="3:22" ht="15" customHeight="1" x14ac:dyDescent="0.25">
      <c r="C27"/>
      <c r="J27"/>
      <c r="K27"/>
      <c r="L27"/>
      <c r="M27"/>
      <c r="N27"/>
      <c r="O27"/>
      <c r="P27"/>
      <c r="Q27"/>
      <c r="R27"/>
      <c r="S27"/>
      <c r="T27"/>
      <c r="U27"/>
      <c r="V27"/>
    </row>
    <row r="28" spans="3:22" ht="15" customHeight="1" x14ac:dyDescent="0.25">
      <c r="C28"/>
      <c r="J28"/>
      <c r="K28"/>
      <c r="L28"/>
      <c r="M28"/>
      <c r="N28"/>
      <c r="O28"/>
      <c r="P28"/>
      <c r="Q28"/>
      <c r="R28"/>
      <c r="S28"/>
      <c r="T28"/>
      <c r="U28"/>
      <c r="V28"/>
    </row>
    <row r="29" spans="3:22" ht="15" customHeight="1" x14ac:dyDescent="0.25">
      <c r="C29"/>
      <c r="J29"/>
      <c r="K29"/>
      <c r="L29"/>
      <c r="M29"/>
      <c r="N29"/>
      <c r="O29"/>
      <c r="P29"/>
      <c r="Q29"/>
      <c r="R29"/>
      <c r="S29"/>
      <c r="T29"/>
      <c r="U29"/>
      <c r="V29"/>
    </row>
    <row r="30" spans="3:22" ht="15" customHeight="1" x14ac:dyDescent="0.25">
      <c r="C30"/>
      <c r="J30"/>
      <c r="K30"/>
      <c r="L30"/>
      <c r="M30"/>
      <c r="N30"/>
      <c r="O30"/>
      <c r="P30"/>
      <c r="Q30"/>
      <c r="R30"/>
      <c r="S30"/>
      <c r="T30"/>
      <c r="U30"/>
      <c r="V30"/>
    </row>
    <row r="31" spans="3:22" ht="15" customHeight="1" x14ac:dyDescent="0.25">
      <c r="C31"/>
      <c r="J31"/>
      <c r="K31"/>
      <c r="L31"/>
      <c r="M31"/>
      <c r="N31"/>
      <c r="O31"/>
      <c r="P31"/>
      <c r="Q31"/>
      <c r="R31"/>
      <c r="S31"/>
      <c r="T31"/>
      <c r="U31"/>
      <c r="V31"/>
    </row>
    <row r="32" spans="3:22" ht="15" customHeight="1" x14ac:dyDescent="0.25">
      <c r="C32"/>
      <c r="J32"/>
      <c r="K32"/>
      <c r="L32"/>
      <c r="M32"/>
      <c r="N32"/>
      <c r="O32"/>
      <c r="P32"/>
      <c r="Q32"/>
      <c r="R32"/>
      <c r="S32"/>
      <c r="T32"/>
      <c r="U32"/>
      <c r="V32"/>
    </row>
    <row r="33" spans="4:8" customFormat="1" ht="15" customHeight="1" x14ac:dyDescent="0.25">
      <c r="D33" s="32"/>
      <c r="E33" s="32"/>
      <c r="F33" s="32"/>
      <c r="G33" s="32"/>
      <c r="H33" s="32"/>
    </row>
    <row r="34" spans="4:8" customFormat="1" ht="15" customHeight="1" x14ac:dyDescent="0.25">
      <c r="D34" s="32"/>
      <c r="E34" s="32"/>
      <c r="F34" s="32"/>
      <c r="G34" s="32"/>
      <c r="H34" s="32"/>
    </row>
    <row r="35" spans="4:8" customFormat="1" ht="15" customHeight="1" x14ac:dyDescent="0.25">
      <c r="D35" s="32"/>
      <c r="E35" s="32"/>
      <c r="F35" s="32"/>
      <c r="G35" s="32"/>
      <c r="H35" s="32"/>
    </row>
    <row r="36" spans="4:8" customFormat="1" ht="15" customHeight="1" x14ac:dyDescent="0.25">
      <c r="D36" s="32"/>
      <c r="E36" s="32"/>
      <c r="F36" s="32"/>
      <c r="G36" s="32"/>
      <c r="H36" s="32"/>
    </row>
    <row r="37" spans="4:8" customFormat="1" ht="15" customHeight="1" x14ac:dyDescent="0.25">
      <c r="D37" s="32"/>
      <c r="E37" s="32"/>
      <c r="F37" s="32"/>
      <c r="G37" s="32"/>
      <c r="H37" s="32"/>
    </row>
    <row r="38" spans="4:8" customFormat="1" ht="15" customHeight="1" x14ac:dyDescent="0.25">
      <c r="D38" s="32"/>
      <c r="E38" s="32"/>
      <c r="F38" s="32"/>
      <c r="G38" s="32"/>
      <c r="H38" s="32"/>
    </row>
    <row r="39" spans="4:8" customFormat="1" ht="15" customHeight="1" x14ac:dyDescent="0.25">
      <c r="D39" s="32"/>
      <c r="E39" s="32"/>
      <c r="F39" s="32"/>
      <c r="G39" s="32"/>
      <c r="H39" s="32"/>
    </row>
    <row r="40" spans="4:8" customFormat="1" ht="15" customHeight="1" x14ac:dyDescent="0.25">
      <c r="D40" s="32"/>
      <c r="E40" s="32"/>
      <c r="F40" s="32"/>
      <c r="G40" s="32"/>
      <c r="H40" s="32"/>
    </row>
    <row r="41" spans="4:8" customFormat="1" ht="15" customHeight="1" x14ac:dyDescent="0.25">
      <c r="D41" s="32"/>
      <c r="E41" s="32"/>
      <c r="F41" s="32"/>
      <c r="G41" s="32"/>
      <c r="H41" s="32"/>
    </row>
    <row r="42" spans="4:8" customFormat="1" ht="15" customHeight="1" x14ac:dyDescent="0.25">
      <c r="D42" s="32"/>
      <c r="E42" s="32"/>
      <c r="F42" s="32"/>
      <c r="G42" s="32"/>
      <c r="H42" s="32"/>
    </row>
    <row r="43" spans="4:8" customFormat="1" ht="15" customHeight="1" x14ac:dyDescent="0.25">
      <c r="D43" s="32"/>
      <c r="E43" s="32"/>
      <c r="F43" s="32"/>
      <c r="G43" s="32"/>
      <c r="H43" s="32"/>
    </row>
    <row r="44" spans="4:8" customFormat="1" ht="15" customHeight="1" x14ac:dyDescent="0.25">
      <c r="D44" s="32"/>
      <c r="E44" s="32"/>
      <c r="F44" s="32"/>
      <c r="G44" s="32"/>
      <c r="H44" s="32"/>
    </row>
    <row r="45" spans="4:8" customFormat="1" ht="15" customHeight="1" x14ac:dyDescent="0.25">
      <c r="D45" s="32"/>
      <c r="E45" s="32"/>
      <c r="F45" s="32"/>
      <c r="G45" s="32"/>
      <c r="H45" s="32"/>
    </row>
    <row r="46" spans="4:8" customFormat="1" ht="15" customHeight="1" x14ac:dyDescent="0.25">
      <c r="D46" s="32"/>
      <c r="E46" s="32"/>
      <c r="F46" s="32"/>
      <c r="G46" s="32"/>
      <c r="H46" s="32"/>
    </row>
    <row r="47" spans="4:8" customFormat="1" ht="15" customHeight="1" x14ac:dyDescent="0.25">
      <c r="D47" s="32"/>
      <c r="E47" s="32"/>
      <c r="F47" s="32"/>
      <c r="G47" s="32"/>
      <c r="H47" s="32"/>
    </row>
    <row r="48" spans="4:8" customFormat="1" ht="15" customHeight="1" x14ac:dyDescent="0.25">
      <c r="D48" s="32"/>
      <c r="E48" s="32"/>
      <c r="F48" s="32"/>
      <c r="G48" s="32"/>
      <c r="H48" s="32"/>
    </row>
    <row r="49" spans="3:22" ht="15" customHeight="1" x14ac:dyDescent="0.25">
      <c r="C49"/>
      <c r="J49"/>
      <c r="K49"/>
      <c r="L49"/>
      <c r="M49"/>
      <c r="N49"/>
      <c r="O49"/>
      <c r="P49"/>
      <c r="Q49"/>
      <c r="R49"/>
      <c r="S49"/>
      <c r="T49"/>
      <c r="U49"/>
      <c r="V49"/>
    </row>
    <row r="50" spans="3:22" ht="15" customHeight="1" x14ac:dyDescent="0.25">
      <c r="C50"/>
      <c r="J50"/>
      <c r="K50"/>
      <c r="L50"/>
      <c r="M50"/>
      <c r="N50"/>
      <c r="O50"/>
      <c r="P50"/>
      <c r="Q50"/>
      <c r="R50"/>
      <c r="S50"/>
      <c r="T50"/>
      <c r="U50"/>
      <c r="V50"/>
    </row>
    <row r="51" spans="3:22" ht="15" customHeight="1" x14ac:dyDescent="0.25">
      <c r="C51"/>
      <c r="J51"/>
      <c r="K51"/>
      <c r="L51"/>
      <c r="M51"/>
      <c r="N51"/>
      <c r="O51"/>
      <c r="P51"/>
      <c r="Q51"/>
      <c r="R51"/>
      <c r="S51"/>
      <c r="T51"/>
      <c r="U51"/>
      <c r="V51"/>
    </row>
    <row r="52" spans="3:22" ht="15" customHeight="1" x14ac:dyDescent="0.25">
      <c r="C52"/>
      <c r="J52"/>
      <c r="K52"/>
      <c r="L52"/>
      <c r="M52"/>
      <c r="N52"/>
      <c r="O52"/>
      <c r="P52"/>
      <c r="Q52"/>
      <c r="R52"/>
      <c r="S52"/>
      <c r="T52"/>
      <c r="U52"/>
      <c r="V52"/>
    </row>
    <row r="53" spans="3:22" ht="15" customHeight="1" x14ac:dyDescent="0.25">
      <c r="C53"/>
      <c r="J53"/>
      <c r="K53"/>
      <c r="L53"/>
      <c r="M53"/>
      <c r="N53"/>
      <c r="O53"/>
      <c r="P53"/>
      <c r="Q53"/>
      <c r="R53"/>
      <c r="S53"/>
      <c r="T53"/>
      <c r="U53"/>
      <c r="V53"/>
    </row>
    <row r="54" spans="3:22" ht="15" customHeight="1" x14ac:dyDescent="0.25">
      <c r="C54"/>
      <c r="J54"/>
      <c r="K54"/>
      <c r="L54"/>
      <c r="M54"/>
      <c r="N54"/>
      <c r="O54"/>
      <c r="P54"/>
      <c r="Q54"/>
      <c r="R54"/>
      <c r="S54"/>
      <c r="T54"/>
      <c r="U54"/>
      <c r="V54"/>
    </row>
    <row r="55" spans="3:22" ht="15" customHeight="1" x14ac:dyDescent="0.25">
      <c r="C55"/>
      <c r="J55"/>
      <c r="K55"/>
      <c r="L55"/>
      <c r="M55"/>
      <c r="N55"/>
      <c r="O55"/>
      <c r="P55"/>
      <c r="Q55"/>
      <c r="R55"/>
      <c r="S55"/>
      <c r="T55"/>
      <c r="U55"/>
      <c r="V55"/>
    </row>
    <row r="56" spans="3:22" ht="15" customHeight="1" x14ac:dyDescent="0.25">
      <c r="C56"/>
      <c r="J56"/>
      <c r="K56"/>
      <c r="L56"/>
      <c r="M56"/>
      <c r="N56"/>
      <c r="O56"/>
      <c r="P56"/>
      <c r="Q56"/>
      <c r="R56"/>
      <c r="S56"/>
      <c r="T56"/>
      <c r="U56"/>
      <c r="V56"/>
    </row>
    <row r="57" spans="3:22" ht="15" customHeight="1" x14ac:dyDescent="0.25">
      <c r="C57"/>
      <c r="J57"/>
      <c r="K57"/>
      <c r="L57"/>
      <c r="M57"/>
      <c r="N57"/>
      <c r="O57"/>
      <c r="P57"/>
      <c r="Q57"/>
      <c r="R57"/>
      <c r="S57"/>
      <c r="T57"/>
      <c r="U57"/>
      <c r="V57"/>
    </row>
    <row r="58" spans="3:22" ht="15" customHeight="1" x14ac:dyDescent="0.25">
      <c r="C58"/>
      <c r="J58"/>
      <c r="K58"/>
      <c r="L58"/>
      <c r="M58"/>
      <c r="N58"/>
      <c r="O58"/>
      <c r="P58"/>
      <c r="Q58"/>
      <c r="R58"/>
      <c r="S58"/>
      <c r="T58"/>
      <c r="U58"/>
      <c r="V58"/>
    </row>
    <row r="59" spans="3:22" ht="15" customHeight="1" x14ac:dyDescent="0.25">
      <c r="C59"/>
      <c r="J59"/>
      <c r="K59"/>
      <c r="L59"/>
      <c r="M59"/>
      <c r="N59"/>
      <c r="O59"/>
      <c r="P59"/>
      <c r="Q59"/>
      <c r="R59"/>
      <c r="S59"/>
      <c r="T59"/>
      <c r="U59"/>
      <c r="V59"/>
    </row>
    <row r="60" spans="3:22" ht="15" customHeight="1" x14ac:dyDescent="0.25">
      <c r="C60"/>
      <c r="J60"/>
      <c r="K60"/>
      <c r="L60"/>
      <c r="M60"/>
      <c r="N60"/>
      <c r="O60"/>
      <c r="P60"/>
      <c r="Q60"/>
      <c r="R60"/>
      <c r="S60"/>
      <c r="T60"/>
      <c r="U60"/>
      <c r="V60"/>
    </row>
    <row r="61" spans="3:22" ht="15" customHeight="1" x14ac:dyDescent="0.25">
      <c r="C61"/>
      <c r="J61"/>
      <c r="K61"/>
      <c r="L61"/>
      <c r="M61"/>
      <c r="N61"/>
      <c r="O61"/>
      <c r="P61"/>
      <c r="Q61"/>
      <c r="R61"/>
      <c r="S61"/>
      <c r="T61"/>
      <c r="U61"/>
      <c r="V61"/>
    </row>
    <row r="62" spans="3:22" ht="15" customHeight="1" x14ac:dyDescent="0.25">
      <c r="C62"/>
      <c r="J62"/>
      <c r="K62"/>
      <c r="L62"/>
      <c r="M62"/>
      <c r="N62"/>
      <c r="O62"/>
      <c r="P62"/>
      <c r="Q62"/>
      <c r="R62"/>
      <c r="S62"/>
      <c r="T62"/>
      <c r="U62"/>
      <c r="V62"/>
    </row>
    <row r="63" spans="3:22" ht="15" customHeight="1" x14ac:dyDescent="0.25">
      <c r="C63"/>
      <c r="J63"/>
      <c r="K63"/>
      <c r="L63"/>
      <c r="M63"/>
      <c r="N63"/>
      <c r="O63"/>
      <c r="P63"/>
      <c r="Q63"/>
      <c r="R63"/>
      <c r="S63"/>
      <c r="T63"/>
      <c r="U63"/>
      <c r="V63"/>
    </row>
    <row r="64" spans="3:22" ht="15" customHeight="1" x14ac:dyDescent="0.25">
      <c r="J64"/>
      <c r="K64"/>
      <c r="L64"/>
      <c r="M64"/>
      <c r="N64"/>
      <c r="O64"/>
      <c r="P64"/>
      <c r="Q64"/>
      <c r="R64"/>
      <c r="S64"/>
      <c r="T64"/>
      <c r="U64"/>
      <c r="V64"/>
    </row>
    <row r="65" spans="20:21" ht="15" customHeight="1" x14ac:dyDescent="0.25">
      <c r="T65" s="2"/>
      <c r="U65" s="2"/>
    </row>
    <row r="66" spans="20:21" ht="15" customHeight="1" x14ac:dyDescent="0.25">
      <c r="T66" s="2"/>
      <c r="U66" s="2"/>
    </row>
    <row r="67" spans="20:21" ht="15" customHeight="1" x14ac:dyDescent="0.25">
      <c r="T67" s="2"/>
      <c r="U67" s="2"/>
    </row>
    <row r="68" spans="20:21" ht="15" customHeight="1" x14ac:dyDescent="0.25">
      <c r="T68" s="2"/>
      <c r="U68" s="2"/>
    </row>
    <row r="69" spans="20:21" ht="15" customHeight="1" x14ac:dyDescent="0.25">
      <c r="T69" s="2"/>
      <c r="U69" s="2"/>
    </row>
    <row r="70" spans="20:21" ht="15" customHeight="1" x14ac:dyDescent="0.25">
      <c r="T70" s="2"/>
      <c r="U70" s="2"/>
    </row>
    <row r="71" spans="20:21" ht="15" customHeight="1" x14ac:dyDescent="0.25">
      <c r="T71" s="2"/>
      <c r="U71" s="2"/>
    </row>
    <row r="72" spans="20:21" ht="15" customHeight="1" x14ac:dyDescent="0.25">
      <c r="T72" s="2"/>
      <c r="U72" s="2"/>
    </row>
    <row r="73" spans="20:21" ht="15" customHeight="1" x14ac:dyDescent="0.25">
      <c r="T73" s="2"/>
      <c r="U73" s="2"/>
    </row>
    <row r="74" spans="20:21" ht="15" customHeight="1" x14ac:dyDescent="0.25">
      <c r="T74" s="2"/>
      <c r="U74" s="2"/>
    </row>
    <row r="75" spans="20:21" ht="15" customHeight="1" x14ac:dyDescent="0.25">
      <c r="T75" s="2"/>
      <c r="U75" s="2"/>
    </row>
    <row r="76" spans="20:21" ht="15" customHeight="1" x14ac:dyDescent="0.25">
      <c r="T76" s="2"/>
      <c r="U76" s="2"/>
    </row>
    <row r="77" spans="20:21" ht="15" customHeight="1" x14ac:dyDescent="0.25">
      <c r="T77" s="2"/>
      <c r="U77" s="2"/>
    </row>
    <row r="78" spans="20:21" ht="15" customHeight="1" x14ac:dyDescent="0.25">
      <c r="T78" s="2"/>
      <c r="U78" s="2"/>
    </row>
  </sheetData>
  <sheetProtection algorithmName="SHA-512" hashValue="qzKlUK37E43b/pkGvMeeL7/EKu+4/ugugVO7Xv7TzsQ589tT5KUX9Evz6vSb/nOqiuCiv5S3tpUPo9mEdb2kew==" saltValue="xFiOHPt/I+liqvH5UfsnSw==" spinCount="100000" sheet="1" objects="1" scenarios="1"/>
  <sortState xmlns:xlrd2="http://schemas.microsoft.com/office/spreadsheetml/2017/richdata2" ref="A6:A7">
    <sortCondition ref="A6:A7"/>
  </sortState>
  <phoneticPr fontId="21" type="noConversion"/>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07A86-B4D5-4E47-80F8-8C4E6C542B9A}">
  <sheetPr codeName="Sheet17">
    <tabColor theme="5" tint="-0.499984740745262"/>
  </sheetPr>
  <dimension ref="A1:EC84"/>
  <sheetViews>
    <sheetView workbookViewId="0"/>
  </sheetViews>
  <sheetFormatPr defaultColWidth="12.7109375" defaultRowHeight="15" customHeight="1" x14ac:dyDescent="0.25"/>
  <cols>
    <col min="1" max="1" width="20.7109375" style="67" customWidth="1"/>
    <col min="2" max="2" width="12.7109375" style="67" customWidth="1"/>
    <col min="3" max="4" width="24.7109375" style="67" customWidth="1"/>
    <col min="5" max="5" width="16.7109375" style="72" customWidth="1"/>
    <col min="6" max="6" width="16.7109375" style="73" customWidth="1"/>
    <col min="7" max="7" width="12.7109375" style="73" customWidth="1"/>
    <col min="8" max="8" width="24.7109375" style="67" customWidth="1"/>
    <col min="9" max="9" width="16.7109375" style="67" customWidth="1"/>
    <col min="10" max="10" width="16.7109375" style="72" customWidth="1"/>
    <col min="11" max="11" width="16.7109375" style="73" customWidth="1"/>
    <col min="12" max="12" width="12.7109375" style="73" customWidth="1"/>
    <col min="13" max="13" width="24.7109375" style="67" customWidth="1"/>
    <col min="14" max="14" width="16.7109375" style="67" customWidth="1"/>
    <col min="15" max="15" width="16.7109375" style="72" customWidth="1"/>
    <col min="16" max="16" width="16.7109375" style="73" customWidth="1"/>
    <col min="17" max="17" width="12.7109375" style="73" customWidth="1"/>
    <col min="18" max="19" width="24.7109375" style="67" customWidth="1"/>
    <col min="20" max="20" width="16.7109375" style="72" customWidth="1"/>
    <col min="21" max="21" width="16.7109375" style="73" customWidth="1"/>
    <col min="22" max="16384" width="12.7109375" style="67"/>
  </cols>
  <sheetData>
    <row r="1" spans="1:133" ht="15" customHeight="1" x14ac:dyDescent="0.25">
      <c r="A1" s="67" t="s">
        <v>221</v>
      </c>
      <c r="C1" s="67" t="s">
        <v>11</v>
      </c>
      <c r="D1" s="67" t="s">
        <v>244</v>
      </c>
      <c r="E1" s="72" t="s">
        <v>226</v>
      </c>
      <c r="F1" s="73" t="s">
        <v>225</v>
      </c>
      <c r="H1" s="67" t="s">
        <v>193</v>
      </c>
      <c r="I1" s="67" t="s">
        <v>244</v>
      </c>
      <c r="J1" s="72" t="s">
        <v>226</v>
      </c>
      <c r="K1" s="73" t="s">
        <v>225</v>
      </c>
      <c r="M1" s="67" t="s">
        <v>246</v>
      </c>
      <c r="N1" s="67" t="s">
        <v>244</v>
      </c>
      <c r="O1" s="72" t="s">
        <v>226</v>
      </c>
      <c r="P1" s="73" t="s">
        <v>225</v>
      </c>
      <c r="R1" s="67" t="s">
        <v>194</v>
      </c>
      <c r="S1" s="67" t="s">
        <v>212</v>
      </c>
      <c r="T1" s="72" t="s">
        <v>226</v>
      </c>
      <c r="U1" s="73" t="s">
        <v>225</v>
      </c>
    </row>
    <row r="2" spans="1:133" ht="15" customHeight="1" x14ac:dyDescent="0.25">
      <c r="A2" s="67" t="s">
        <v>11</v>
      </c>
      <c r="C2" s="67" t="s">
        <v>114</v>
      </c>
      <c r="D2" s="67" t="s">
        <v>200</v>
      </c>
      <c r="E2" s="72" t="s">
        <v>184</v>
      </c>
      <c r="F2" s="73">
        <v>1.39</v>
      </c>
      <c r="H2" s="67" t="s">
        <v>77</v>
      </c>
      <c r="I2" s="67" t="s">
        <v>77</v>
      </c>
      <c r="J2" s="72">
        <v>39.400000000000006</v>
      </c>
      <c r="K2" s="73">
        <v>1.0656944444444443</v>
      </c>
      <c r="M2" s="67" t="s">
        <v>214</v>
      </c>
      <c r="N2" s="67" t="s">
        <v>214</v>
      </c>
      <c r="O2" s="74">
        <v>21.5</v>
      </c>
      <c r="P2" s="75">
        <v>1.9</v>
      </c>
      <c r="R2" s="67" t="s">
        <v>163</v>
      </c>
      <c r="S2" s="67" t="str">
        <f>TRIM(RIGHT(Db_Composite[[#This Row],[Composites]],LEN(Db_Composite[[#This Row],[Composites]])-FIND("-",Db_Composite[[#This Row],[Composites]])))</f>
        <v>ABS - GF</v>
      </c>
      <c r="T2" s="72" t="s">
        <v>184</v>
      </c>
      <c r="U2" s="73">
        <v>1.2509999999999999</v>
      </c>
    </row>
    <row r="3" spans="1:133" ht="15" customHeight="1" x14ac:dyDescent="0.25">
      <c r="A3" s="67" t="s">
        <v>186</v>
      </c>
      <c r="C3" s="67" t="s">
        <v>112</v>
      </c>
      <c r="D3" s="67" t="s">
        <v>200</v>
      </c>
      <c r="E3" s="72" t="s">
        <v>184</v>
      </c>
      <c r="F3" s="73">
        <v>2.7</v>
      </c>
      <c r="H3" s="67" t="s">
        <v>82</v>
      </c>
      <c r="I3" s="67" t="s">
        <v>77</v>
      </c>
      <c r="J3" s="72">
        <v>42</v>
      </c>
      <c r="K3" s="73">
        <v>1.0482500000000001</v>
      </c>
      <c r="M3" s="67" t="s">
        <v>213</v>
      </c>
      <c r="N3" s="67" t="s">
        <v>213</v>
      </c>
      <c r="O3" s="74">
        <v>1.85</v>
      </c>
      <c r="P3" s="75">
        <v>2.5</v>
      </c>
      <c r="R3" s="67" t="s">
        <v>103</v>
      </c>
      <c r="S3" s="67" t="str">
        <f>TRIM(RIGHT(Db_Composite[[#This Row],[Composites]],LEN(Db_Composite[[#This Row],[Composites]])-FIND("-",Db_Composite[[#This Row],[Composites]])))</f>
        <v>CF</v>
      </c>
      <c r="T3" s="72">
        <v>69</v>
      </c>
      <c r="U3" s="73">
        <v>1.1100000000000001</v>
      </c>
      <c r="EC3" s="68"/>
    </row>
    <row r="4" spans="1:133" ht="15" customHeight="1" x14ac:dyDescent="0.25">
      <c r="A4" s="67" t="s">
        <v>187</v>
      </c>
      <c r="C4" s="67" t="s">
        <v>102</v>
      </c>
      <c r="D4" s="67" t="s">
        <v>200</v>
      </c>
      <c r="E4" s="72" t="s">
        <v>184</v>
      </c>
      <c r="F4" s="73">
        <v>2.83</v>
      </c>
      <c r="H4" s="67" t="s">
        <v>144</v>
      </c>
      <c r="I4" s="67" t="s">
        <v>144</v>
      </c>
      <c r="J4" s="72">
        <v>24.95</v>
      </c>
      <c r="K4" s="73">
        <v>1.0377777777777777</v>
      </c>
      <c r="M4" s="67" t="s">
        <v>224</v>
      </c>
      <c r="N4" s="67" t="s">
        <v>224</v>
      </c>
      <c r="O4" s="74">
        <v>1</v>
      </c>
      <c r="P4" s="75">
        <v>0.13</v>
      </c>
      <c r="R4" s="67" t="s">
        <v>128</v>
      </c>
      <c r="S4" s="67" t="str">
        <f>TRIM(RIGHT(Db_Composite[[#This Row],[Composites]],LEN(Db_Composite[[#This Row],[Composites]])-FIND("-",Db_Composite[[#This Row],[Composites]])))</f>
        <v>CF</v>
      </c>
      <c r="T4" s="72">
        <v>106.66666666666667</v>
      </c>
      <c r="U4" s="73">
        <v>1.0535000000000001</v>
      </c>
      <c r="EC4" s="68"/>
    </row>
    <row r="5" spans="1:133" ht="15" customHeight="1" x14ac:dyDescent="0.25">
      <c r="C5" s="67" t="s">
        <v>116</v>
      </c>
      <c r="D5" s="67" t="s">
        <v>200</v>
      </c>
      <c r="E5" s="72" t="s">
        <v>184</v>
      </c>
      <c r="F5" s="73">
        <v>2.81</v>
      </c>
      <c r="H5" s="67" t="s">
        <v>88</v>
      </c>
      <c r="I5" s="67" t="s">
        <v>215</v>
      </c>
      <c r="J5" s="72" t="s">
        <v>184</v>
      </c>
      <c r="K5" s="73">
        <v>0.81250000000000011</v>
      </c>
      <c r="M5" s="67" t="s">
        <v>220</v>
      </c>
      <c r="N5" s="67" t="s">
        <v>220</v>
      </c>
      <c r="O5" s="74">
        <v>1</v>
      </c>
      <c r="P5" s="75">
        <v>1</v>
      </c>
      <c r="R5" s="67" t="s">
        <v>175</v>
      </c>
      <c r="S5" s="67" t="str">
        <f>TRIM(RIGHT(Db_Composite[[#This Row],[Composites]],LEN(Db_Composite[[#This Row],[Composites]])-FIND("-",Db_Composite[[#This Row],[Composites]])))</f>
        <v>CF</v>
      </c>
      <c r="T5" s="72" t="s">
        <v>184</v>
      </c>
      <c r="U5" s="73">
        <v>0.87125000000000008</v>
      </c>
    </row>
    <row r="6" spans="1:133" ht="15" customHeight="1" x14ac:dyDescent="0.25">
      <c r="C6" s="67" t="s">
        <v>110</v>
      </c>
      <c r="D6" s="67" t="s">
        <v>200</v>
      </c>
      <c r="E6" s="72">
        <v>25.333333333333332</v>
      </c>
      <c r="F6" s="73">
        <v>2.3480555555555558</v>
      </c>
      <c r="H6" s="67" t="s">
        <v>107</v>
      </c>
      <c r="I6" s="67" t="s">
        <v>215</v>
      </c>
      <c r="J6" s="72" t="s">
        <v>184</v>
      </c>
      <c r="K6" s="73">
        <v>0.81469696969696959</v>
      </c>
      <c r="R6" s="67" t="s">
        <v>157</v>
      </c>
      <c r="S6" s="67" t="str">
        <f>TRIM(RIGHT(Db_Composite[[#This Row],[Composites]],LEN(Db_Composite[[#This Row],[Composites]])-FIND("-",Db_Composite[[#This Row],[Composites]])))</f>
        <v>CF</v>
      </c>
      <c r="T6" s="72">
        <v>174</v>
      </c>
      <c r="U6" s="73">
        <v>0.93</v>
      </c>
    </row>
    <row r="7" spans="1:133" ht="15" customHeight="1" x14ac:dyDescent="0.25">
      <c r="A7" s="67" t="s">
        <v>222</v>
      </c>
      <c r="C7" s="67" t="s">
        <v>111</v>
      </c>
      <c r="D7" s="67" t="s">
        <v>200</v>
      </c>
      <c r="E7" s="72">
        <v>28</v>
      </c>
      <c r="F7" s="73">
        <v>1.3425</v>
      </c>
      <c r="H7" s="67" t="s">
        <v>124</v>
      </c>
      <c r="I7" s="67" t="s">
        <v>215</v>
      </c>
      <c r="J7" s="72">
        <v>80.633333333333326</v>
      </c>
      <c r="K7" s="73">
        <v>0.89150000000000007</v>
      </c>
      <c r="N7" s="67" t="s">
        <v>247</v>
      </c>
      <c r="R7" s="67" t="s">
        <v>159</v>
      </c>
      <c r="S7" s="67" t="str">
        <f>TRIM(RIGHT(Db_Composite[[#This Row],[Composites]],LEN(Db_Composite[[#This Row],[Composites]])-FIND("-",Db_Composite[[#This Row],[Composites]])))</f>
        <v>CF</v>
      </c>
      <c r="T7" s="72">
        <v>98</v>
      </c>
      <c r="U7" s="73">
        <v>1.1753333333333333</v>
      </c>
    </row>
    <row r="8" spans="1:133" ht="15" customHeight="1" x14ac:dyDescent="0.25">
      <c r="A8" s="67" t="s">
        <v>77</v>
      </c>
      <c r="C8" s="67" t="s">
        <v>135</v>
      </c>
      <c r="D8" s="67" t="s">
        <v>200</v>
      </c>
      <c r="E8" s="72">
        <v>26.5</v>
      </c>
      <c r="F8" s="73">
        <v>1.9183333333333332</v>
      </c>
      <c r="H8" s="67" t="s">
        <v>182</v>
      </c>
      <c r="I8" s="67" t="s">
        <v>216</v>
      </c>
      <c r="J8" s="72" t="s">
        <v>184</v>
      </c>
      <c r="K8" s="73">
        <v>1.38</v>
      </c>
      <c r="R8" s="67" t="s">
        <v>146</v>
      </c>
      <c r="S8" s="67" t="str">
        <f>TRIM(RIGHT(Db_Composite[[#This Row],[Composites]],LEN(Db_Composite[[#This Row],[Composites]])-FIND("-",Db_Composite[[#This Row],[Composites]])))</f>
        <v>CF</v>
      </c>
      <c r="T8" s="72">
        <v>114</v>
      </c>
      <c r="U8" s="73">
        <v>1.36</v>
      </c>
    </row>
    <row r="9" spans="1:133" ht="15" customHeight="1" x14ac:dyDescent="0.25">
      <c r="A9" s="67" t="s">
        <v>144</v>
      </c>
      <c r="C9" s="67" t="s">
        <v>166</v>
      </c>
      <c r="D9" s="67" t="s">
        <v>200</v>
      </c>
      <c r="E9" s="72" t="s">
        <v>184</v>
      </c>
      <c r="F9" s="73">
        <v>1.1666666666666667</v>
      </c>
      <c r="H9" s="67" t="s">
        <v>152</v>
      </c>
      <c r="I9" s="67" t="s">
        <v>216</v>
      </c>
      <c r="J9" s="72">
        <v>79.528888888888886</v>
      </c>
      <c r="K9" s="73">
        <v>1.187875</v>
      </c>
      <c r="R9" s="67" t="s">
        <v>155</v>
      </c>
      <c r="S9" s="67" t="str">
        <f>TRIM(RIGHT(Db_Composite[[#This Row],[Composites]],LEN(Db_Composite[[#This Row],[Composites]])-FIND("-",Db_Composite[[#This Row],[Composites]])))</f>
        <v>CF</v>
      </c>
      <c r="T9" s="72">
        <v>595</v>
      </c>
      <c r="U9" s="73">
        <v>1.3275000000000001</v>
      </c>
    </row>
    <row r="10" spans="1:133" ht="15" customHeight="1" x14ac:dyDescent="0.25">
      <c r="A10" s="67" t="s">
        <v>215</v>
      </c>
      <c r="C10" s="67" t="s">
        <v>122</v>
      </c>
      <c r="D10" s="67" t="s">
        <v>203</v>
      </c>
      <c r="E10" s="72">
        <v>73</v>
      </c>
      <c r="F10" s="73">
        <v>5.1222222222222227</v>
      </c>
      <c r="H10" s="67" t="s">
        <v>162</v>
      </c>
      <c r="I10" s="67" t="s">
        <v>216</v>
      </c>
      <c r="J10" s="72">
        <v>84</v>
      </c>
      <c r="K10" s="73">
        <v>1.1338888888888889</v>
      </c>
      <c r="R10" s="67" t="s">
        <v>176</v>
      </c>
      <c r="S10" s="67" t="str">
        <f>TRIM(RIGHT(Db_Composite[[#This Row],[Composites]],LEN(Db_Composite[[#This Row],[Composites]])-FIND("-",Db_Composite[[#This Row],[Composites]])))</f>
        <v>CF</v>
      </c>
      <c r="T10" s="72" t="s">
        <v>184</v>
      </c>
      <c r="U10" s="73">
        <v>1.3065</v>
      </c>
    </row>
    <row r="11" spans="1:133" ht="15" customHeight="1" x14ac:dyDescent="0.25">
      <c r="A11" s="67" t="s">
        <v>216</v>
      </c>
      <c r="C11" s="67" t="s">
        <v>117</v>
      </c>
      <c r="D11" s="67" t="s">
        <v>203</v>
      </c>
      <c r="E11" s="72">
        <v>72.666666666666671</v>
      </c>
      <c r="F11" s="73">
        <v>5.8</v>
      </c>
      <c r="H11" s="67" t="s">
        <v>84</v>
      </c>
      <c r="I11" s="67" t="s">
        <v>216</v>
      </c>
      <c r="J11" s="72" t="s">
        <v>184</v>
      </c>
      <c r="K11" s="73">
        <v>1.1499999999999999</v>
      </c>
      <c r="R11" s="67" t="s">
        <v>83</v>
      </c>
      <c r="S11" s="67" t="str">
        <f>TRIM(RIGHT(Db_Composite[[#This Row],[Composites]],LEN(Db_Composite[[#This Row],[Composites]])-FIND("-",Db_Composite[[#This Row],[Composites]])))</f>
        <v>CF</v>
      </c>
      <c r="T11" s="72">
        <v>72</v>
      </c>
      <c r="U11" s="73">
        <v>1.2923333333333333</v>
      </c>
    </row>
    <row r="12" spans="1:133" ht="15" customHeight="1" x14ac:dyDescent="0.25">
      <c r="A12" s="67" t="s">
        <v>80</v>
      </c>
      <c r="C12" s="67" t="s">
        <v>142</v>
      </c>
      <c r="D12" s="67" t="s">
        <v>203</v>
      </c>
      <c r="E12" s="72" t="s">
        <v>184</v>
      </c>
      <c r="F12" s="73">
        <v>7.8150000000000004</v>
      </c>
      <c r="H12" s="67" t="s">
        <v>180</v>
      </c>
      <c r="I12" s="67" t="s">
        <v>216</v>
      </c>
      <c r="J12" s="72" t="s">
        <v>184</v>
      </c>
      <c r="K12" s="73">
        <v>1.0149999999999999</v>
      </c>
      <c r="R12" s="67" t="s">
        <v>183</v>
      </c>
      <c r="S12" s="67" t="str">
        <f>TRIM(RIGHT(Db_Composite[[#This Row],[Composites]],LEN(Db_Composite[[#This Row],[Composites]])-FIND("-",Db_Composite[[#This Row],[Composites]])))</f>
        <v>CF</v>
      </c>
      <c r="T12" s="72">
        <v>97.5</v>
      </c>
      <c r="U12" s="73">
        <v>1.38</v>
      </c>
      <c r="Y12" s="27"/>
      <c r="Z12" s="27"/>
      <c r="AA12" s="27"/>
      <c r="AB12" s="27"/>
      <c r="AC12" s="27"/>
    </row>
    <row r="13" spans="1:133" ht="15" customHeight="1" x14ac:dyDescent="0.25">
      <c r="A13" s="67" t="s">
        <v>78</v>
      </c>
      <c r="C13" s="67" t="s">
        <v>137</v>
      </c>
      <c r="D13" s="67" t="s">
        <v>201</v>
      </c>
      <c r="E13" s="72">
        <v>32</v>
      </c>
      <c r="F13" s="73">
        <v>4.3499999999999996</v>
      </c>
      <c r="H13" s="67" t="s">
        <v>179</v>
      </c>
      <c r="I13" s="67" t="s">
        <v>216</v>
      </c>
      <c r="J13" s="72" t="s">
        <v>184</v>
      </c>
      <c r="K13" s="73">
        <v>1.27</v>
      </c>
      <c r="R13" s="67" t="s">
        <v>104</v>
      </c>
      <c r="S13" s="67" t="str">
        <f>TRIM(RIGHT(Db_Composite[[#This Row],[Composites]],LEN(Db_Composite[[#This Row],[Composites]])-FIND("-",Db_Composite[[#This Row],[Composites]])))</f>
        <v>ESD</v>
      </c>
      <c r="T13" s="72">
        <v>110</v>
      </c>
      <c r="U13" s="73">
        <v>1.0900000000000001</v>
      </c>
      <c r="Y13" s="27"/>
      <c r="Z13" s="27"/>
      <c r="AA13" s="27"/>
      <c r="AB13" s="27"/>
      <c r="AC13" s="27"/>
    </row>
    <row r="14" spans="1:133" ht="15" customHeight="1" x14ac:dyDescent="0.25">
      <c r="A14" s="67" t="s">
        <v>79</v>
      </c>
      <c r="C14" s="67" t="s">
        <v>138</v>
      </c>
      <c r="D14" s="67" t="s">
        <v>202</v>
      </c>
      <c r="E14" s="72">
        <v>36.5</v>
      </c>
      <c r="F14" s="73" t="s">
        <v>184</v>
      </c>
      <c r="H14" s="67" t="s">
        <v>145</v>
      </c>
      <c r="I14" s="67" t="s">
        <v>216</v>
      </c>
      <c r="J14" s="72" t="s">
        <v>184</v>
      </c>
      <c r="K14" s="73">
        <v>1.3065</v>
      </c>
      <c r="R14" s="67" t="s">
        <v>161</v>
      </c>
      <c r="S14" s="67" t="str">
        <f>TRIM(RIGHT(Db_Composite[[#This Row],[Composites]],LEN(Db_Composite[[#This Row],[Composites]])-FIND("-",Db_Composite[[#This Row],[Composites]])))</f>
        <v>ESD</v>
      </c>
      <c r="T14" s="72" t="s">
        <v>184</v>
      </c>
      <c r="U14" s="73">
        <v>0.90749999999999997</v>
      </c>
      <c r="Y14" s="27"/>
      <c r="Z14" s="27"/>
      <c r="AA14" s="27"/>
      <c r="AB14" s="27"/>
      <c r="AC14" s="27"/>
    </row>
    <row r="15" spans="1:133" ht="15" customHeight="1" x14ac:dyDescent="0.25">
      <c r="A15" s="67" t="s">
        <v>125</v>
      </c>
      <c r="C15" s="67" t="s">
        <v>106</v>
      </c>
      <c r="D15" s="67" t="s">
        <v>202</v>
      </c>
      <c r="E15" s="72" t="s">
        <v>184</v>
      </c>
      <c r="F15" s="73">
        <v>6.63</v>
      </c>
      <c r="H15" s="67" t="s">
        <v>181</v>
      </c>
      <c r="I15" s="67" t="s">
        <v>216</v>
      </c>
      <c r="J15" s="72" t="s">
        <v>184</v>
      </c>
      <c r="K15" s="73">
        <v>1.355</v>
      </c>
      <c r="R15" s="67" t="s">
        <v>108</v>
      </c>
      <c r="S15" s="67" t="str">
        <f>TRIM(RIGHT(Db_Composite[[#This Row],[Composites]],LEN(Db_Composite[[#This Row],[Composites]])-FIND("-",Db_Composite[[#This Row],[Composites]])))</f>
        <v>ESD</v>
      </c>
      <c r="T15" s="72" t="s">
        <v>184</v>
      </c>
      <c r="U15" s="73">
        <v>0.75</v>
      </c>
      <c r="Y15" s="27"/>
      <c r="Z15" s="27"/>
      <c r="AA15" s="27"/>
      <c r="AB15" s="27"/>
      <c r="AC15" s="27"/>
    </row>
    <row r="16" spans="1:133" ht="15" customHeight="1" x14ac:dyDescent="0.25">
      <c r="A16" s="67" t="s">
        <v>76</v>
      </c>
      <c r="C16" s="67" t="s">
        <v>75</v>
      </c>
      <c r="D16" s="67" t="s">
        <v>196</v>
      </c>
      <c r="E16" s="72" t="s">
        <v>184</v>
      </c>
      <c r="F16" s="73">
        <v>13.790000000000001</v>
      </c>
      <c r="H16" s="67" t="s">
        <v>105</v>
      </c>
      <c r="I16" s="67" t="s">
        <v>216</v>
      </c>
      <c r="J16" s="72">
        <v>195</v>
      </c>
      <c r="K16" s="73">
        <v>0.91763541666666659</v>
      </c>
      <c r="R16" s="67" t="s">
        <v>218</v>
      </c>
      <c r="S16" s="67" t="str">
        <f>TRIM(RIGHT(Db_Composite[[#This Row],[Composites]],LEN(Db_Composite[[#This Row],[Composites]])-FIND("-",Db_Composite[[#This Row],[Composites]])))</f>
        <v>ESD</v>
      </c>
      <c r="T16" s="72">
        <v>127.5</v>
      </c>
      <c r="U16" s="73">
        <v>1.2466666666666668</v>
      </c>
      <c r="Y16" s="27"/>
      <c r="Z16" s="27"/>
      <c r="AA16" s="27"/>
      <c r="AB16" s="27"/>
      <c r="AC16" s="27"/>
    </row>
    <row r="17" spans="1:29" ht="15" customHeight="1" x14ac:dyDescent="0.25">
      <c r="A17" s="67" t="s">
        <v>109</v>
      </c>
      <c r="C17" s="67" t="s">
        <v>140</v>
      </c>
      <c r="D17" s="67" t="s">
        <v>207</v>
      </c>
      <c r="E17" s="72">
        <v>45.333333333333336</v>
      </c>
      <c r="F17" s="73">
        <v>4.4539999999999997</v>
      </c>
      <c r="H17" s="67" t="s">
        <v>81</v>
      </c>
      <c r="I17" s="67" t="s">
        <v>216</v>
      </c>
      <c r="J17" s="72" t="s">
        <v>184</v>
      </c>
      <c r="K17" s="73">
        <v>0.92897435897435876</v>
      </c>
      <c r="R17" s="67" t="s">
        <v>86</v>
      </c>
      <c r="S17" s="67" t="str">
        <f>TRIM(RIGHT(Db_Composite[[#This Row],[Composites]],LEN(Db_Composite[[#This Row],[Composites]])-FIND("-",Db_Composite[[#This Row],[Composites]])))</f>
        <v>ESD</v>
      </c>
      <c r="T17" s="72">
        <v>795</v>
      </c>
      <c r="U17" s="73">
        <v>1.34</v>
      </c>
      <c r="Y17" s="27"/>
      <c r="Z17" s="27"/>
      <c r="AA17" s="27"/>
      <c r="AB17" s="27"/>
      <c r="AC17" s="27"/>
    </row>
    <row r="18" spans="1:29" ht="15" customHeight="1" x14ac:dyDescent="0.25">
      <c r="A18"/>
      <c r="C18" s="67" t="s">
        <v>185</v>
      </c>
      <c r="D18" s="67" t="s">
        <v>195</v>
      </c>
      <c r="E18" s="72" t="s">
        <v>184</v>
      </c>
      <c r="F18" s="73" t="s">
        <v>184</v>
      </c>
      <c r="H18" s="67" t="s">
        <v>153</v>
      </c>
      <c r="I18" s="67" t="s">
        <v>216</v>
      </c>
      <c r="J18" s="72">
        <v>225</v>
      </c>
      <c r="K18" s="73">
        <v>1.2699999999999998</v>
      </c>
      <c r="R18" s="67" t="s">
        <v>85</v>
      </c>
      <c r="S18" s="67" t="str">
        <f>TRIM(RIGHT(Db_Composite[[#This Row],[Composites]],LEN(Db_Composite[[#This Row],[Composites]])-FIND("-",Db_Composite[[#This Row],[Composites]])))</f>
        <v>ESD</v>
      </c>
      <c r="T18" s="72">
        <v>110</v>
      </c>
      <c r="U18" s="73">
        <v>1.28</v>
      </c>
      <c r="Y18" s="27"/>
      <c r="Z18" s="27"/>
      <c r="AA18" s="27"/>
      <c r="AB18" s="27"/>
      <c r="AC18" s="27"/>
    </row>
    <row r="19" spans="1:29" ht="15" customHeight="1" x14ac:dyDescent="0.25">
      <c r="C19" s="67" t="s">
        <v>74</v>
      </c>
      <c r="D19" s="67" t="s">
        <v>195</v>
      </c>
      <c r="E19" s="72" t="s">
        <v>184</v>
      </c>
      <c r="F19" s="73">
        <v>4.5</v>
      </c>
      <c r="H19" s="67" t="s">
        <v>154</v>
      </c>
      <c r="I19" s="67" t="s">
        <v>216</v>
      </c>
      <c r="J19" s="72">
        <v>250</v>
      </c>
      <c r="K19" s="73">
        <v>1.34</v>
      </c>
      <c r="R19" s="67" t="s">
        <v>171</v>
      </c>
      <c r="S19" s="67" t="str">
        <f>TRIM(RIGHT(Db_Composite[[#This Row],[Composites]],LEN(Db_Composite[[#This Row],[Composites]])-FIND("-",Db_Composite[[#This Row],[Composites]])))</f>
        <v>ESD</v>
      </c>
      <c r="T19" s="72">
        <v>110</v>
      </c>
      <c r="U19" s="73">
        <v>1.26</v>
      </c>
      <c r="Y19" s="27"/>
      <c r="Z19" s="27"/>
      <c r="AA19" s="27"/>
      <c r="AB19" s="27"/>
      <c r="AC19" s="27"/>
    </row>
    <row r="20" spans="1:29" ht="15" customHeight="1" x14ac:dyDescent="0.25">
      <c r="A20" t="s">
        <v>223</v>
      </c>
      <c r="C20" s="67" t="s">
        <v>115</v>
      </c>
      <c r="D20" s="67" t="s">
        <v>195</v>
      </c>
      <c r="E20" s="72" t="s">
        <v>184</v>
      </c>
      <c r="F20" s="73">
        <v>4.5</v>
      </c>
      <c r="H20" s="67" t="s">
        <v>80</v>
      </c>
      <c r="I20" s="67" t="s">
        <v>80</v>
      </c>
      <c r="J20" s="72">
        <v>595</v>
      </c>
      <c r="K20" s="73">
        <v>1.3215384615384616</v>
      </c>
      <c r="R20" s="67" t="s">
        <v>164</v>
      </c>
      <c r="S20" s="67" t="str">
        <f>TRIM(RIGHT(Db_Composite[[#This Row],[Composites]],LEN(Db_Composite[[#This Row],[Composites]])-FIND("-",Db_Composite[[#This Row],[Composites]])))</f>
        <v>ESD</v>
      </c>
      <c r="T20" s="72" t="s">
        <v>184</v>
      </c>
      <c r="U20" s="73">
        <v>1.35</v>
      </c>
    </row>
    <row r="21" spans="1:29" ht="15" customHeight="1" x14ac:dyDescent="0.25">
      <c r="A21" t="s">
        <v>214</v>
      </c>
      <c r="C21" s="67" t="s">
        <v>173</v>
      </c>
      <c r="D21" s="67" t="s">
        <v>195</v>
      </c>
      <c r="E21" s="72" t="s">
        <v>184</v>
      </c>
      <c r="F21" s="73" t="s">
        <v>184</v>
      </c>
      <c r="H21" s="67" t="s">
        <v>148</v>
      </c>
      <c r="I21" s="67" t="s">
        <v>80</v>
      </c>
      <c r="J21" s="72">
        <v>695</v>
      </c>
      <c r="K21" s="73">
        <v>1.2850000000000001</v>
      </c>
      <c r="R21" s="67" t="s">
        <v>172</v>
      </c>
      <c r="S21" s="67" t="str">
        <f>TRIM(RIGHT(Db_Composite[[#This Row],[Composites]],LEN(Db_Composite[[#This Row],[Composites]])-FIND("-",Db_Composite[[#This Row],[Composites]])))</f>
        <v>ESD</v>
      </c>
      <c r="T21" s="72" t="s">
        <v>184</v>
      </c>
      <c r="U21" s="73">
        <v>1.34</v>
      </c>
    </row>
    <row r="22" spans="1:29" ht="15" customHeight="1" x14ac:dyDescent="0.25">
      <c r="A22" t="s">
        <v>213</v>
      </c>
      <c r="C22" s="67" t="s">
        <v>98</v>
      </c>
      <c r="D22" s="67" t="s">
        <v>195</v>
      </c>
      <c r="E22" s="72" t="s">
        <v>184</v>
      </c>
      <c r="F22" s="73">
        <v>4.0250000000000004</v>
      </c>
      <c r="H22" s="67" t="s">
        <v>78</v>
      </c>
      <c r="I22" s="67" t="s">
        <v>78</v>
      </c>
      <c r="J22" s="72">
        <v>33.997500000000002</v>
      </c>
      <c r="K22" s="73">
        <v>1.2535263157894736</v>
      </c>
      <c r="R22" s="67" t="s">
        <v>87</v>
      </c>
      <c r="S22" s="67" t="str">
        <f>TRIM(RIGHT(Db_Composite[[#This Row],[Composites]],LEN(Db_Composite[[#This Row],[Composites]])-FIND("-",Db_Composite[[#This Row],[Composites]])))</f>
        <v>ESD</v>
      </c>
      <c r="T22" s="72">
        <v>495</v>
      </c>
      <c r="U22" s="73">
        <v>1.34</v>
      </c>
    </row>
    <row r="23" spans="1:29" ht="15" customHeight="1" x14ac:dyDescent="0.25">
      <c r="A23" t="s">
        <v>219</v>
      </c>
      <c r="C23" s="67" t="s">
        <v>167</v>
      </c>
      <c r="D23" s="67" t="s">
        <v>195</v>
      </c>
      <c r="E23" s="72" t="s">
        <v>184</v>
      </c>
      <c r="F23" s="73">
        <v>4.1500000000000004</v>
      </c>
      <c r="H23" s="67" t="s">
        <v>79</v>
      </c>
      <c r="I23" s="67" t="s">
        <v>79</v>
      </c>
      <c r="J23" s="72">
        <v>35.645000000000003</v>
      </c>
      <c r="K23" s="73">
        <v>1.2377674418604652</v>
      </c>
      <c r="R23" s="67" t="s">
        <v>147</v>
      </c>
      <c r="S23" s="67" t="str">
        <f>TRIM(RIGHT(Db_Composite[[#This Row],[Composites]],LEN(Db_Composite[[#This Row],[Composites]])-FIND("-",Db_Composite[[#This Row],[Composites]])))</f>
        <v>GF</v>
      </c>
      <c r="T23" s="72">
        <v>110.25</v>
      </c>
      <c r="U23" s="73">
        <v>1.1394444444444445</v>
      </c>
    </row>
    <row r="24" spans="1:29" ht="15" customHeight="1" x14ac:dyDescent="0.25">
      <c r="A24" t="s">
        <v>220</v>
      </c>
      <c r="C24" s="67" t="s">
        <v>93</v>
      </c>
      <c r="D24" s="67" t="s">
        <v>195</v>
      </c>
      <c r="E24" s="72">
        <v>79.366414386555931</v>
      </c>
      <c r="F24" s="73">
        <v>4.22</v>
      </c>
      <c r="H24" s="67" t="s">
        <v>125</v>
      </c>
      <c r="I24" s="67" t="s">
        <v>125</v>
      </c>
      <c r="J24" s="72">
        <v>116.00000000000001</v>
      </c>
      <c r="K24" s="73">
        <v>1.2297500000000001</v>
      </c>
      <c r="R24" s="67" t="s">
        <v>156</v>
      </c>
      <c r="S24" s="67" t="str">
        <f>TRIM(RIGHT(Db_Composite[[#This Row],[Composites]],LEN(Db_Composite[[#This Row],[Composites]])-FIND("-",Db_Composite[[#This Row],[Composites]])))</f>
        <v>GF</v>
      </c>
      <c r="T24" s="72" t="s">
        <v>184</v>
      </c>
      <c r="U24" s="73">
        <v>1.1749999999999998</v>
      </c>
    </row>
    <row r="25" spans="1:29" ht="15" customHeight="1" x14ac:dyDescent="0.25">
      <c r="A25"/>
      <c r="C25" s="67" t="s">
        <v>94</v>
      </c>
      <c r="D25" s="67" t="s">
        <v>195</v>
      </c>
      <c r="E25" s="72">
        <v>58.739292285714598</v>
      </c>
      <c r="F25" s="73">
        <v>5.5681500000000019</v>
      </c>
      <c r="H25" s="67" t="s">
        <v>76</v>
      </c>
      <c r="I25" s="67" t="s">
        <v>76</v>
      </c>
      <c r="J25" s="72">
        <v>68.485725239616769</v>
      </c>
      <c r="K25" s="73">
        <v>1.1414287539936128</v>
      </c>
      <c r="R25" s="67" t="s">
        <v>126</v>
      </c>
      <c r="S25" s="67" t="str">
        <f>TRIM(RIGHT(Db_Composite[[#This Row],[Composites]],LEN(Db_Composite[[#This Row],[Composites]])-FIND("-",Db_Composite[[#This Row],[Composites]])))</f>
        <v>GF</v>
      </c>
      <c r="T25" s="72" t="s">
        <v>184</v>
      </c>
      <c r="U25" s="73">
        <v>1.1416666666666668</v>
      </c>
    </row>
    <row r="26" spans="1:29" ht="15" customHeight="1" x14ac:dyDescent="0.25">
      <c r="C26" s="67" t="s">
        <v>96</v>
      </c>
      <c r="D26" s="67" t="s">
        <v>195</v>
      </c>
      <c r="E26" s="72">
        <v>79.366414386555931</v>
      </c>
      <c r="F26" s="73">
        <v>3.9565000000000001</v>
      </c>
      <c r="H26" s="67" t="s">
        <v>109</v>
      </c>
      <c r="I26" s="67" t="s">
        <v>109</v>
      </c>
      <c r="J26" s="72">
        <v>48.5</v>
      </c>
      <c r="K26" s="73">
        <v>0.90154079999999981</v>
      </c>
      <c r="R26" s="67" t="s">
        <v>160</v>
      </c>
      <c r="S26" s="67" t="str">
        <f>TRIM(RIGHT(Db_Composite[[#This Row],[Composites]],LEN(Db_Composite[[#This Row],[Composites]])-FIND("-",Db_Composite[[#This Row],[Composites]])))</f>
        <v>GF</v>
      </c>
      <c r="T26" s="72">
        <v>92.5</v>
      </c>
      <c r="U26" s="73">
        <v>1.2426666666666666</v>
      </c>
    </row>
    <row r="27" spans="1:29" ht="15" customHeight="1" x14ac:dyDescent="0.25">
      <c r="A27" t="s">
        <v>232</v>
      </c>
      <c r="C27" s="67" t="s">
        <v>97</v>
      </c>
      <c r="D27" s="67" t="s">
        <v>195</v>
      </c>
      <c r="E27" s="72">
        <v>57.489292285714598</v>
      </c>
      <c r="F27" s="73">
        <v>5.6843333333333339</v>
      </c>
      <c r="R27" s="67" t="s">
        <v>150</v>
      </c>
      <c r="S27" s="67" t="str">
        <f>TRIM(RIGHT(Db_Composite[[#This Row],[Composites]],LEN(Db_Composite[[#This Row],[Composites]])-FIND("-",Db_Composite[[#This Row],[Composites]])))</f>
        <v>GF</v>
      </c>
      <c r="T27" s="72" t="s">
        <v>184</v>
      </c>
      <c r="U27" s="73">
        <v>1.17</v>
      </c>
    </row>
    <row r="28" spans="1:29" ht="15" customHeight="1" x14ac:dyDescent="0.25">
      <c r="A28" t="s">
        <v>200</v>
      </c>
      <c r="C28" s="67" t="s">
        <v>119</v>
      </c>
      <c r="D28" s="67" t="s">
        <v>195</v>
      </c>
      <c r="E28" s="72">
        <v>90.389527495799797</v>
      </c>
      <c r="F28" s="73">
        <v>3.8499999999999996</v>
      </c>
      <c r="R28" s="67" t="s">
        <v>177</v>
      </c>
      <c r="S28" s="67" t="str">
        <f>TRIM(RIGHT(Db_Composite[[#This Row],[Composites]],LEN(Db_Composite[[#This Row],[Composites]])-FIND("-",Db_Composite[[#This Row],[Composites]])))</f>
        <v>GF</v>
      </c>
      <c r="T28" s="72">
        <v>695</v>
      </c>
      <c r="U28" s="73">
        <v>1.24</v>
      </c>
    </row>
    <row r="29" spans="1:29" ht="15" customHeight="1" x14ac:dyDescent="0.25">
      <c r="A29" s="67" t="s">
        <v>203</v>
      </c>
      <c r="C29" s="67" t="s">
        <v>121</v>
      </c>
      <c r="D29" s="67" t="s">
        <v>195</v>
      </c>
      <c r="E29" s="72" t="s">
        <v>184</v>
      </c>
      <c r="F29" s="73">
        <v>8.15</v>
      </c>
      <c r="H29"/>
      <c r="M29"/>
      <c r="N29"/>
      <c r="R29" s="67" t="s">
        <v>151</v>
      </c>
      <c r="S29" s="67" t="str">
        <f>TRIM(RIGHT(Db_Composite[[#This Row],[Composites]],LEN(Db_Composite[[#This Row],[Composites]])-FIND("-",Db_Composite[[#This Row],[Composites]])))</f>
        <v>GF</v>
      </c>
      <c r="T29" s="72">
        <v>97.5</v>
      </c>
      <c r="U29" s="73">
        <v>1.0865</v>
      </c>
    </row>
    <row r="30" spans="1:29" ht="15" customHeight="1" x14ac:dyDescent="0.25">
      <c r="A30" s="67" t="s">
        <v>201</v>
      </c>
      <c r="C30" s="67" t="s">
        <v>132</v>
      </c>
      <c r="D30" s="67" t="s">
        <v>195</v>
      </c>
      <c r="E30" s="72" t="s">
        <v>184</v>
      </c>
      <c r="F30" s="73">
        <v>4.0250000000000004</v>
      </c>
      <c r="H30"/>
      <c r="M30"/>
      <c r="N30"/>
      <c r="R30" s="67" t="s">
        <v>178</v>
      </c>
      <c r="S30" s="67" t="str">
        <f>TRIM(RIGHT(Db_Composite[[#This Row],[Composites]],LEN(Db_Composite[[#This Row],[Composites]])-FIND("-",Db_Composite[[#This Row],[Composites]])))</f>
        <v>MF</v>
      </c>
      <c r="T30" s="72" t="s">
        <v>184</v>
      </c>
      <c r="U30" s="73">
        <v>0.83</v>
      </c>
    </row>
    <row r="31" spans="1:29" ht="15" customHeight="1" x14ac:dyDescent="0.25">
      <c r="A31" s="67" t="s">
        <v>202</v>
      </c>
      <c r="C31" s="67" t="s">
        <v>120</v>
      </c>
      <c r="D31" s="67" t="s">
        <v>195</v>
      </c>
      <c r="E31" s="72" t="s">
        <v>184</v>
      </c>
      <c r="F31" s="73">
        <v>3.7999999999999994</v>
      </c>
      <c r="H31"/>
      <c r="M31"/>
      <c r="N31"/>
      <c r="R31" s="67" t="s">
        <v>158</v>
      </c>
      <c r="S31" s="67" t="str">
        <f>TRIM(RIGHT(Db_Composite[[#This Row],[Composites]],LEN(Db_Composite[[#This Row],[Composites]])-FIND("-",Db_Composite[[#This Row],[Composites]])))</f>
        <v>MF</v>
      </c>
      <c r="T31" s="72" t="s">
        <v>184</v>
      </c>
      <c r="U31" s="73">
        <v>0.875</v>
      </c>
    </row>
    <row r="32" spans="1:29" ht="15" customHeight="1" x14ac:dyDescent="0.25">
      <c r="A32" s="67" t="s">
        <v>196</v>
      </c>
      <c r="C32" s="67" t="s">
        <v>118</v>
      </c>
      <c r="D32" s="67" t="s">
        <v>208</v>
      </c>
      <c r="E32" s="72" t="s">
        <v>184</v>
      </c>
      <c r="F32" s="73">
        <v>3.3</v>
      </c>
      <c r="H32"/>
      <c r="M32"/>
      <c r="N32"/>
      <c r="R32" s="67" t="s">
        <v>169</v>
      </c>
      <c r="S32" s="67" t="str">
        <f>TRIM(RIGHT(Db_Composite[[#This Row],[Composites]],LEN(Db_Composite[[#This Row],[Composites]])-FIND("-",Db_Composite[[#This Row],[Composites]])))</f>
        <v>MF</v>
      </c>
      <c r="T32" s="72" t="s">
        <v>184</v>
      </c>
      <c r="U32" s="73">
        <v>1.0249999999999999</v>
      </c>
    </row>
    <row r="33" spans="1:14" ht="15" customHeight="1" x14ac:dyDescent="0.25">
      <c r="A33" s="67" t="s">
        <v>207</v>
      </c>
      <c r="C33" s="67" t="s">
        <v>99</v>
      </c>
      <c r="D33" s="67" t="s">
        <v>209</v>
      </c>
      <c r="E33" s="72" t="s">
        <v>184</v>
      </c>
      <c r="F33" s="73">
        <v>20.7</v>
      </c>
      <c r="H33"/>
      <c r="M33"/>
      <c r="N33"/>
    </row>
    <row r="34" spans="1:14" ht="15" customHeight="1" x14ac:dyDescent="0.25">
      <c r="A34" s="67" t="s">
        <v>195</v>
      </c>
      <c r="C34" s="67" t="s">
        <v>134</v>
      </c>
      <c r="D34" s="67" t="s">
        <v>199</v>
      </c>
      <c r="E34" s="72">
        <v>1038</v>
      </c>
      <c r="F34" s="73">
        <v>9.0389999999999997</v>
      </c>
      <c r="H34"/>
      <c r="M34"/>
      <c r="N34"/>
    </row>
    <row r="35" spans="1:14" ht="15" customHeight="1" x14ac:dyDescent="0.25">
      <c r="A35" s="67" t="s">
        <v>208</v>
      </c>
      <c r="C35" s="67" t="s">
        <v>174</v>
      </c>
      <c r="D35" s="67" t="s">
        <v>198</v>
      </c>
      <c r="E35" s="72" t="s">
        <v>184</v>
      </c>
      <c r="F35" s="73">
        <v>4.4850000000000003</v>
      </c>
      <c r="H35"/>
      <c r="M35"/>
      <c r="N35"/>
    </row>
    <row r="36" spans="1:14" ht="15" customHeight="1" x14ac:dyDescent="0.25">
      <c r="A36" s="67" t="s">
        <v>209</v>
      </c>
      <c r="C36" s="67" t="s">
        <v>127</v>
      </c>
      <c r="D36" s="67" t="s">
        <v>198</v>
      </c>
      <c r="E36" s="72" t="s">
        <v>184</v>
      </c>
      <c r="F36" s="73">
        <v>3.69</v>
      </c>
      <c r="H36"/>
      <c r="M36"/>
      <c r="N36"/>
    </row>
    <row r="37" spans="1:14" ht="15" customHeight="1" x14ac:dyDescent="0.25">
      <c r="A37" s="67" t="s">
        <v>199</v>
      </c>
      <c r="C37" s="67" t="s">
        <v>72</v>
      </c>
      <c r="D37" s="67" t="s">
        <v>198</v>
      </c>
      <c r="E37" s="72">
        <v>34.333333333333336</v>
      </c>
      <c r="F37" s="73">
        <v>5.8937647058823526</v>
      </c>
    </row>
    <row r="38" spans="1:14" ht="15" customHeight="1" x14ac:dyDescent="0.25">
      <c r="A38" s="67" t="s">
        <v>198</v>
      </c>
      <c r="C38" s="67" t="s">
        <v>92</v>
      </c>
      <c r="D38" s="67" t="s">
        <v>198</v>
      </c>
      <c r="E38" s="72">
        <v>121.25424420168267</v>
      </c>
      <c r="F38" s="73">
        <v>4</v>
      </c>
    </row>
    <row r="39" spans="1:14" ht="15" customHeight="1" x14ac:dyDescent="0.25">
      <c r="A39" s="67" t="s">
        <v>197</v>
      </c>
      <c r="C39" s="67" t="s">
        <v>113</v>
      </c>
      <c r="D39" s="67" t="s">
        <v>198</v>
      </c>
      <c r="E39" s="72">
        <v>48.501697680673068</v>
      </c>
      <c r="F39" s="73">
        <v>5.0888888888888886</v>
      </c>
    </row>
    <row r="40" spans="1:14" ht="15" customHeight="1" x14ac:dyDescent="0.25">
      <c r="A40" s="67" t="s">
        <v>210</v>
      </c>
      <c r="C40" s="67" t="s">
        <v>73</v>
      </c>
      <c r="D40" s="67" t="s">
        <v>198</v>
      </c>
      <c r="E40" s="72">
        <v>24.125424420168265</v>
      </c>
      <c r="F40" s="73">
        <v>5.7915277777777776</v>
      </c>
    </row>
    <row r="41" spans="1:14" ht="15" customHeight="1" x14ac:dyDescent="0.25">
      <c r="A41" s="67" t="s">
        <v>204</v>
      </c>
      <c r="C41" s="67" t="s">
        <v>129</v>
      </c>
      <c r="D41" s="67" t="s">
        <v>198</v>
      </c>
      <c r="E41" s="72">
        <v>16</v>
      </c>
      <c r="F41" s="73">
        <v>5.9450000000000003</v>
      </c>
    </row>
    <row r="42" spans="1:14" ht="15" customHeight="1" x14ac:dyDescent="0.25">
      <c r="A42" s="67" t="s">
        <v>206</v>
      </c>
      <c r="C42" s="67" t="s">
        <v>23</v>
      </c>
      <c r="D42" s="67" t="s">
        <v>198</v>
      </c>
      <c r="E42" s="72">
        <v>20.267334831932907</v>
      </c>
      <c r="F42" s="73">
        <v>6.4200909090909075</v>
      </c>
    </row>
    <row r="43" spans="1:14" ht="15" customHeight="1" x14ac:dyDescent="0.25">
      <c r="A43" s="67" t="s">
        <v>211</v>
      </c>
      <c r="C43" s="67" t="s">
        <v>170</v>
      </c>
      <c r="D43" s="67" t="s">
        <v>198</v>
      </c>
      <c r="E43" s="72" t="s">
        <v>184</v>
      </c>
      <c r="F43" s="73">
        <v>4</v>
      </c>
    </row>
    <row r="44" spans="1:14" ht="15" customHeight="1" x14ac:dyDescent="0.25">
      <c r="A44" s="67" t="s">
        <v>205</v>
      </c>
      <c r="C44" s="67" t="s">
        <v>90</v>
      </c>
      <c r="D44" s="67" t="s">
        <v>198</v>
      </c>
      <c r="E44" s="72" t="s">
        <v>184</v>
      </c>
      <c r="F44" s="73">
        <v>6.2840000000000007</v>
      </c>
    </row>
    <row r="45" spans="1:14" ht="15" customHeight="1" x14ac:dyDescent="0.25">
      <c r="A45"/>
      <c r="C45" s="67" t="s">
        <v>91</v>
      </c>
      <c r="D45" s="67" t="s">
        <v>198</v>
      </c>
      <c r="E45" s="72" t="s">
        <v>184</v>
      </c>
      <c r="F45" s="73">
        <v>3.85</v>
      </c>
    </row>
    <row r="46" spans="1:14" ht="15" customHeight="1" x14ac:dyDescent="0.25">
      <c r="A46"/>
      <c r="C46" s="67" t="s">
        <v>130</v>
      </c>
      <c r="D46" s="67" t="s">
        <v>198</v>
      </c>
      <c r="E46" s="72" t="s">
        <v>184</v>
      </c>
      <c r="F46" s="73">
        <v>3.8250000000000002</v>
      </c>
    </row>
    <row r="47" spans="1:14" ht="15" customHeight="1" x14ac:dyDescent="0.25">
      <c r="A47"/>
      <c r="C47" s="67" t="s">
        <v>165</v>
      </c>
      <c r="D47" s="67" t="s">
        <v>198</v>
      </c>
      <c r="E47" s="72" t="s">
        <v>184</v>
      </c>
      <c r="F47" s="73">
        <v>5</v>
      </c>
    </row>
    <row r="48" spans="1:14" ht="15" customHeight="1" x14ac:dyDescent="0.25">
      <c r="A48"/>
      <c r="C48" s="67" t="s">
        <v>100</v>
      </c>
      <c r="D48" s="67" t="s">
        <v>198</v>
      </c>
      <c r="E48" s="72" t="s">
        <v>184</v>
      </c>
      <c r="F48" s="73">
        <v>2.8540000000000001</v>
      </c>
    </row>
    <row r="49" spans="1:6" ht="15" customHeight="1" x14ac:dyDescent="0.25">
      <c r="A49"/>
      <c r="C49" s="67" t="s">
        <v>95</v>
      </c>
      <c r="D49" s="67" t="s">
        <v>197</v>
      </c>
      <c r="E49" s="72">
        <v>103.61726322689246</v>
      </c>
      <c r="F49" s="73" t="s">
        <v>184</v>
      </c>
    </row>
    <row r="50" spans="1:6" ht="15" customHeight="1" x14ac:dyDescent="0.25">
      <c r="A50"/>
      <c r="C50" s="67" t="s">
        <v>89</v>
      </c>
      <c r="D50" s="67" t="s">
        <v>197</v>
      </c>
      <c r="E50" s="72" t="s">
        <v>184</v>
      </c>
      <c r="F50" s="73">
        <v>3.9249999999999998</v>
      </c>
    </row>
    <row r="51" spans="1:6" ht="15" customHeight="1" x14ac:dyDescent="0.25">
      <c r="A51"/>
      <c r="C51" s="67" t="s">
        <v>101</v>
      </c>
      <c r="D51" s="67" t="s">
        <v>197</v>
      </c>
      <c r="E51" s="72" t="s">
        <v>184</v>
      </c>
      <c r="F51" s="73">
        <v>3.93</v>
      </c>
    </row>
    <row r="52" spans="1:6" ht="15" customHeight="1" x14ac:dyDescent="0.25">
      <c r="A52"/>
      <c r="C52" s="67" t="s">
        <v>131</v>
      </c>
      <c r="D52" s="67" t="s">
        <v>197</v>
      </c>
      <c r="E52" s="72">
        <v>30</v>
      </c>
      <c r="F52" s="73">
        <v>5.95</v>
      </c>
    </row>
    <row r="53" spans="1:6" ht="15" customHeight="1" x14ac:dyDescent="0.25">
      <c r="A53"/>
      <c r="C53" s="67" t="s">
        <v>139</v>
      </c>
      <c r="D53" s="67" t="s">
        <v>197</v>
      </c>
      <c r="E53" s="72">
        <v>32.666666666666664</v>
      </c>
      <c r="F53" s="73">
        <v>6.0100000000000007</v>
      </c>
    </row>
    <row r="54" spans="1:6" ht="15" customHeight="1" x14ac:dyDescent="0.25">
      <c r="A54"/>
      <c r="C54" s="67" t="s">
        <v>141</v>
      </c>
      <c r="D54" s="67" t="s">
        <v>210</v>
      </c>
      <c r="E54" s="72">
        <v>51.166666666666664</v>
      </c>
      <c r="F54" s="73">
        <v>2.875</v>
      </c>
    </row>
    <row r="55" spans="1:6" ht="15" customHeight="1" x14ac:dyDescent="0.25">
      <c r="A55"/>
      <c r="C55" s="67" t="s">
        <v>136</v>
      </c>
      <c r="D55" s="67" t="s">
        <v>204</v>
      </c>
      <c r="E55" s="72">
        <v>102</v>
      </c>
      <c r="F55" s="73">
        <v>2.5994444444444444</v>
      </c>
    </row>
    <row r="56" spans="1:6" ht="15" customHeight="1" x14ac:dyDescent="0.25">
      <c r="A56"/>
      <c r="C56" s="67" t="s">
        <v>149</v>
      </c>
      <c r="D56" s="67" t="s">
        <v>206</v>
      </c>
      <c r="E56" s="72" t="s">
        <v>184</v>
      </c>
      <c r="F56" s="73">
        <v>3.0645833333333332</v>
      </c>
    </row>
    <row r="57" spans="1:6" ht="15" customHeight="1" x14ac:dyDescent="0.25">
      <c r="A57"/>
      <c r="C57" s="67" t="s">
        <v>133</v>
      </c>
      <c r="D57" s="67" t="s">
        <v>206</v>
      </c>
      <c r="E57" s="72" t="s">
        <v>184</v>
      </c>
      <c r="F57" s="73">
        <v>3.7128571428571426</v>
      </c>
    </row>
    <row r="58" spans="1:6" ht="15" customHeight="1" x14ac:dyDescent="0.25">
      <c r="A58"/>
      <c r="C58" s="67" t="s">
        <v>123</v>
      </c>
      <c r="D58" s="67" t="s">
        <v>206</v>
      </c>
      <c r="E58" s="72" t="s">
        <v>184</v>
      </c>
      <c r="F58" s="73">
        <v>2.7455000000000007</v>
      </c>
    </row>
    <row r="59" spans="1:6" ht="15" customHeight="1" x14ac:dyDescent="0.25">
      <c r="A59"/>
      <c r="C59" s="67" t="s">
        <v>191</v>
      </c>
      <c r="D59" s="67" t="s">
        <v>206</v>
      </c>
      <c r="E59" s="72" t="s">
        <v>184</v>
      </c>
      <c r="F59" s="73" t="s">
        <v>184</v>
      </c>
    </row>
    <row r="60" spans="1:6" ht="15" customHeight="1" x14ac:dyDescent="0.25">
      <c r="A60"/>
      <c r="C60" s="67" t="s">
        <v>168</v>
      </c>
      <c r="D60" s="67" t="s">
        <v>211</v>
      </c>
      <c r="E60" s="72" t="s">
        <v>184</v>
      </c>
      <c r="F60" s="73">
        <v>8.6749999999999989</v>
      </c>
    </row>
    <row r="61" spans="1:6" ht="15" customHeight="1" x14ac:dyDescent="0.25">
      <c r="A61"/>
      <c r="C61" s="67" t="s">
        <v>143</v>
      </c>
      <c r="D61" s="67" t="s">
        <v>205</v>
      </c>
      <c r="E61" s="72">
        <v>20.666666666666668</v>
      </c>
      <c r="F61" s="73">
        <v>3.5665</v>
      </c>
    </row>
    <row r="62" spans="1:6" ht="15" customHeight="1" x14ac:dyDescent="0.25">
      <c r="A62"/>
    </row>
    <row r="63" spans="1:6" ht="15" customHeight="1" x14ac:dyDescent="0.25">
      <c r="A63"/>
    </row>
    <row r="64" spans="1:6" ht="15" customHeight="1" x14ac:dyDescent="0.25">
      <c r="A64"/>
    </row>
    <row r="65" spans="1:1" ht="15" customHeight="1" x14ac:dyDescent="0.25">
      <c r="A65"/>
    </row>
    <row r="66" spans="1:1" ht="15" customHeight="1" x14ac:dyDescent="0.25">
      <c r="A66"/>
    </row>
    <row r="67" spans="1:1" ht="15" customHeight="1" x14ac:dyDescent="0.25">
      <c r="A67"/>
    </row>
    <row r="68" spans="1:1" ht="15" customHeight="1" x14ac:dyDescent="0.25">
      <c r="A68"/>
    </row>
    <row r="69" spans="1:1" ht="15" customHeight="1" x14ac:dyDescent="0.25">
      <c r="A69"/>
    </row>
    <row r="70" spans="1:1" ht="15" customHeight="1" x14ac:dyDescent="0.25">
      <c r="A70"/>
    </row>
    <row r="71" spans="1:1" ht="15" customHeight="1" x14ac:dyDescent="0.25">
      <c r="A71"/>
    </row>
    <row r="72" spans="1:1" ht="15" customHeight="1" x14ac:dyDescent="0.25">
      <c r="A72"/>
    </row>
    <row r="73" spans="1:1" ht="15" customHeight="1" x14ac:dyDescent="0.25">
      <c r="A73"/>
    </row>
    <row r="74" spans="1:1" ht="15" customHeight="1" x14ac:dyDescent="0.25">
      <c r="A74"/>
    </row>
    <row r="75" spans="1:1" ht="15" customHeight="1" x14ac:dyDescent="0.25">
      <c r="A75"/>
    </row>
    <row r="76" spans="1:1" ht="15" customHeight="1" x14ac:dyDescent="0.25">
      <c r="A76"/>
    </row>
    <row r="77" spans="1:1" ht="15" customHeight="1" x14ac:dyDescent="0.25">
      <c r="A77"/>
    </row>
    <row r="78" spans="1:1" ht="15" customHeight="1" x14ac:dyDescent="0.25">
      <c r="A78"/>
    </row>
    <row r="79" spans="1:1" ht="15" customHeight="1" x14ac:dyDescent="0.25">
      <c r="A79"/>
    </row>
    <row r="80" spans="1:1" ht="15" customHeight="1" x14ac:dyDescent="0.25">
      <c r="A80"/>
    </row>
    <row r="81" spans="1:1" ht="15" customHeight="1" x14ac:dyDescent="0.25">
      <c r="A81"/>
    </row>
    <row r="82" spans="1:1" ht="15" customHeight="1" x14ac:dyDescent="0.25">
      <c r="A82"/>
    </row>
    <row r="83" spans="1:1" ht="15" customHeight="1" x14ac:dyDescent="0.25">
      <c r="A83"/>
    </row>
    <row r="84" spans="1:1" ht="15" customHeight="1" x14ac:dyDescent="0.25">
      <c r="A84"/>
    </row>
  </sheetData>
  <sheetProtection algorithmName="SHA-512" hashValue="hkU0WayCzyxMwBjkB3b46Jqz4eBKN44zVu33xz4JbvUZI/DytnyuS/Wpwxsu/dvNowEKiRyV/uyzznhun9d+4Q==" saltValue="5ZjWJDF1wwHYaLQL36cFyg==" spinCount="100000" sheet="1" objects="1" scenarios="1"/>
  <pageMargins left="0.7" right="0.7" top="0.75" bottom="0.75" header="0.3" footer="0.3"/>
  <pageSetup orientation="portrait" r:id="rId1"/>
  <tableParts count="8">
    <tablePart r:id="rId2"/>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9B113-FFA8-4704-9C6B-0E7059527895}">
  <sheetPr codeName="Sheet16">
    <tabColor theme="5" tint="-0.499984740745262"/>
  </sheetPr>
  <dimension ref="A1:V234"/>
  <sheetViews>
    <sheetView workbookViewId="0">
      <selection activeCell="E136" sqref="E136"/>
    </sheetView>
  </sheetViews>
  <sheetFormatPr defaultColWidth="12.7109375" defaultRowHeight="15" x14ac:dyDescent="0.25"/>
  <cols>
    <col min="1" max="2" width="32.7109375" customWidth="1"/>
    <col min="3" max="3" width="12.7109375" style="304" customWidth="1"/>
    <col min="4" max="14" width="12.7109375" style="294"/>
  </cols>
  <sheetData>
    <row r="1" spans="1:22" x14ac:dyDescent="0.25">
      <c r="A1" t="s">
        <v>5</v>
      </c>
      <c r="B1" t="s">
        <v>1221</v>
      </c>
      <c r="C1" s="304" t="s">
        <v>1177</v>
      </c>
      <c r="D1" s="311" t="s">
        <v>1220</v>
      </c>
      <c r="E1" s="294" t="s">
        <v>1493</v>
      </c>
      <c r="F1" s="294" t="s">
        <v>1494</v>
      </c>
      <c r="G1" s="294" t="s">
        <v>1495</v>
      </c>
      <c r="H1" s="294" t="s">
        <v>1496</v>
      </c>
      <c r="I1" s="294" t="s">
        <v>1497</v>
      </c>
      <c r="J1" s="294" t="s">
        <v>1498</v>
      </c>
      <c r="K1" s="294" t="s">
        <v>1499</v>
      </c>
      <c r="L1" s="294" t="s">
        <v>1500</v>
      </c>
      <c r="M1" s="294" t="s">
        <v>1501</v>
      </c>
      <c r="N1" s="294" t="s">
        <v>1502</v>
      </c>
      <c r="O1" s="304" t="s">
        <v>1581</v>
      </c>
    </row>
    <row r="2" spans="1:22" x14ac:dyDescent="0.25">
      <c r="A2" t="s">
        <v>1219</v>
      </c>
      <c r="B2" s="1" t="s">
        <v>1222</v>
      </c>
      <c r="C2" s="304" t="str">
        <f>Scenarios!C6</f>
        <v>AM Optimized Bracket (Base Case)</v>
      </c>
      <c r="D2" s="304" t="s">
        <v>1220</v>
      </c>
      <c r="E2" s="304" t="s">
        <v>1648</v>
      </c>
      <c r="F2" s="304"/>
      <c r="G2" s="28"/>
      <c r="H2" s="304"/>
      <c r="I2" s="304"/>
      <c r="J2" s="304"/>
      <c r="K2" s="304"/>
      <c r="L2" s="304"/>
      <c r="M2" s="304"/>
      <c r="N2" s="304"/>
      <c r="O2" s="304" t="str">
        <f ca="1">IF(Scenarios!$C$8 = "Example", Tbl_Scenarios[[#This Row],[Example]],OFFSET(Tbl_Scenarios[[#This Row],[Example]],0,Scenarios!$C$8))</f>
        <v>AM Optimized Bracket (Base Case)</v>
      </c>
      <c r="P2" t="s">
        <v>1514</v>
      </c>
      <c r="Q2" t="str">
        <f>'8. Comparison'!D3</f>
        <v>Example</v>
      </c>
      <c r="T2" t="s">
        <v>1513</v>
      </c>
      <c r="U2" t="str">
        <f>'8. Comparison'!I3</f>
        <v>Example</v>
      </c>
    </row>
    <row r="3" spans="1:22" x14ac:dyDescent="0.25">
      <c r="A3" s="344" t="s">
        <v>41</v>
      </c>
      <c r="B3" s="344" t="s">
        <v>1223</v>
      </c>
      <c r="C3" s="349">
        <v>44869</v>
      </c>
      <c r="D3" s="349">
        <v>44927</v>
      </c>
      <c r="E3" s="349">
        <v>44869</v>
      </c>
      <c r="F3" s="349"/>
      <c r="G3" s="349"/>
      <c r="H3" s="349"/>
      <c r="I3" s="349"/>
      <c r="J3" s="349"/>
      <c r="K3" s="349"/>
      <c r="L3" s="349"/>
      <c r="M3" s="349"/>
      <c r="N3" s="349"/>
      <c r="O3" s="349">
        <f ca="1">IF(Scenarios!$C$8 = "Example", Tbl_Scenarios[[#This Row],[Example]],OFFSET(Tbl_Scenarios[[#This Row],[Example]],0,Scenarios!$C$8))</f>
        <v>44869</v>
      </c>
    </row>
    <row r="4" spans="1:22" x14ac:dyDescent="0.25">
      <c r="A4" s="346" t="s">
        <v>1573</v>
      </c>
      <c r="B4" s="345" t="s">
        <v>1505</v>
      </c>
      <c r="C4" s="345" t="b">
        <f>'PRNT Backend'!F5</f>
        <v>1</v>
      </c>
      <c r="D4" s="345" t="b">
        <v>1</v>
      </c>
      <c r="E4" s="345" t="b">
        <v>1</v>
      </c>
      <c r="F4" s="345"/>
      <c r="G4" s="345"/>
      <c r="H4" s="345"/>
      <c r="I4" s="345"/>
      <c r="J4" s="345"/>
      <c r="K4" s="345"/>
      <c r="L4" s="345"/>
      <c r="M4" s="345"/>
      <c r="N4" s="345"/>
      <c r="O4" s="345" t="b">
        <f ca="1">IF(Scenarios!$C$8 = "Example", Tbl_Scenarios[[#This Row],[Example]],OFFSET(Tbl_Scenarios[[#This Row],[Example]],0,Scenarios!$C$8))</f>
        <v>1</v>
      </c>
      <c r="P4" s="23" t="s">
        <v>461</v>
      </c>
      <c r="Q4" s="291">
        <f>_xlfn.XLOOKUP(Q$2,$C$2:$N$2,$C176:$N176,"N/A",0)</f>
        <v>1</v>
      </c>
      <c r="R4" s="291">
        <f>1-Q4</f>
        <v>0</v>
      </c>
      <c r="T4" s="23" t="s">
        <v>461</v>
      </c>
      <c r="U4" s="291">
        <f>_xlfn.XLOOKUP(U$2,$C$2:$N$2,$C176:$N176,"N/A",0)</f>
        <v>1</v>
      </c>
      <c r="V4" s="291">
        <f>1-U4</f>
        <v>0</v>
      </c>
    </row>
    <row r="5" spans="1:22" x14ac:dyDescent="0.25">
      <c r="A5" s="346" t="s">
        <v>1574</v>
      </c>
      <c r="B5" s="345" t="s">
        <v>1576</v>
      </c>
      <c r="C5" s="345" t="b">
        <f>'PP Backend'!F5</f>
        <v>0</v>
      </c>
      <c r="D5" s="345" t="b">
        <v>1</v>
      </c>
      <c r="E5" s="345" t="b">
        <v>0</v>
      </c>
      <c r="F5" s="345"/>
      <c r="G5" s="345"/>
      <c r="H5" s="345"/>
      <c r="I5" s="345"/>
      <c r="J5" s="345"/>
      <c r="K5" s="345"/>
      <c r="L5" s="345"/>
      <c r="M5" s="345"/>
      <c r="N5" s="345"/>
      <c r="O5" s="345" t="b">
        <f ca="1">IF(Scenarios!$C$8 = "Example", Tbl_Scenarios[[#This Row],[Example]],OFFSET(Tbl_Scenarios[[#This Row],[Example]],0,Scenarios!$C$8))</f>
        <v>0</v>
      </c>
      <c r="P5" s="23" t="s">
        <v>67</v>
      </c>
      <c r="Q5" s="291">
        <f>_xlfn.XLOOKUP(Q$2,$C$2:$N$2,$C177:$N177,"N/A",0)</f>
        <v>0.67464751146979152</v>
      </c>
      <c r="R5" s="291">
        <f>1-Q5</f>
        <v>0.32535248853020848</v>
      </c>
      <c r="T5" s="23" t="s">
        <v>67</v>
      </c>
      <c r="U5" s="291">
        <f>_xlfn.XLOOKUP(U$2,$C$2:$N$2,$C177:$N177,"N/A",0)</f>
        <v>0.67464751146979152</v>
      </c>
      <c r="V5" s="291">
        <f>1-U5</f>
        <v>0.32535248853020848</v>
      </c>
    </row>
    <row r="6" spans="1:22" x14ac:dyDescent="0.25">
      <c r="A6" s="346" t="s">
        <v>1575</v>
      </c>
      <c r="B6" s="345" t="s">
        <v>1577</v>
      </c>
      <c r="C6" s="345" t="b">
        <f>'MCN Backend'!F5</f>
        <v>1</v>
      </c>
      <c r="D6" s="345" t="b">
        <v>1</v>
      </c>
      <c r="E6" s="345" t="b">
        <v>1</v>
      </c>
      <c r="F6" s="345"/>
      <c r="G6" s="345"/>
      <c r="H6" s="345"/>
      <c r="I6" s="345"/>
      <c r="J6" s="345"/>
      <c r="K6" s="345"/>
      <c r="L6" s="345"/>
      <c r="M6" s="345"/>
      <c r="N6" s="345"/>
      <c r="O6" s="345" t="b">
        <f ca="1">IF(Scenarios!$C$8 = "Example", Tbl_Scenarios[[#This Row],[Example]],OFFSET(Tbl_Scenarios[[#This Row],[Example]],0,Scenarios!$C$8))</f>
        <v>1</v>
      </c>
      <c r="P6" s="23" t="s">
        <v>1107</v>
      </c>
      <c r="Q6" s="291">
        <f>_xlfn.XLOOKUP(Q$2,$C$2:$N$2,$C178:$N178,"N/A",0)</f>
        <v>0.18687721621579831</v>
      </c>
      <c r="R6" s="291">
        <f>1-Q6</f>
        <v>0.81312278378420166</v>
      </c>
      <c r="T6" s="23" t="s">
        <v>1107</v>
      </c>
      <c r="U6" s="291">
        <f>_xlfn.XLOOKUP(U$2,$C$2:$N$2,$C178:$N178,"N/A",0)</f>
        <v>0.18687721621579831</v>
      </c>
      <c r="V6" s="291">
        <f>1-U6</f>
        <v>0.81312278378420166</v>
      </c>
    </row>
    <row r="7" spans="1:22" x14ac:dyDescent="0.25">
      <c r="A7" s="350" t="s">
        <v>1155</v>
      </c>
      <c r="B7" s="345" t="s">
        <v>1242</v>
      </c>
      <c r="C7" s="349" t="str">
        <f>'1. TEA Variables'!D11</f>
        <v>Intermediate</v>
      </c>
      <c r="D7" s="349" t="s">
        <v>1124</v>
      </c>
      <c r="E7" s="349" t="s">
        <v>1634</v>
      </c>
      <c r="F7" s="349"/>
      <c r="G7" s="28"/>
      <c r="H7" s="349"/>
      <c r="I7" s="349"/>
      <c r="J7" s="349"/>
      <c r="K7" s="349"/>
      <c r="L7" s="349"/>
      <c r="M7" s="349"/>
      <c r="N7" s="349"/>
      <c r="O7" s="349" t="str">
        <f ca="1">IF(Scenarios!$C$8 = "Example", Tbl_Scenarios[[#This Row],[Example]],OFFSET(Tbl_Scenarios[[#This Row],[Example]],0,Scenarios!$C$8))</f>
        <v>Intermediate</v>
      </c>
    </row>
    <row r="8" spans="1:22" x14ac:dyDescent="0.25">
      <c r="A8" s="350" t="s">
        <v>1243</v>
      </c>
      <c r="B8" s="345" t="s">
        <v>1256</v>
      </c>
      <c r="C8" s="351">
        <f>'1. TEA Variables'!D31</f>
        <v>3</v>
      </c>
      <c r="D8" s="351">
        <v>3</v>
      </c>
      <c r="E8" s="351">
        <v>3</v>
      </c>
      <c r="F8" s="351"/>
      <c r="G8" s="351"/>
      <c r="H8" s="351"/>
      <c r="I8" s="351"/>
      <c r="J8" s="351"/>
      <c r="K8" s="351"/>
      <c r="L8" s="351"/>
      <c r="M8" s="351"/>
      <c r="N8" s="351"/>
      <c r="O8" s="351">
        <f ca="1">IF(Scenarios!$C$8 = "Example", Tbl_Scenarios[[#This Row],[Example]],OFFSET(Tbl_Scenarios[[#This Row],[Example]],0,Scenarios!$C$8))</f>
        <v>3</v>
      </c>
      <c r="P8" s="2" t="s">
        <v>261</v>
      </c>
      <c r="Q8" s="309">
        <f>_xlfn.XLOOKUP(Q$2,$C$2:$N$2,$C227:$N227,"N/A",0)</f>
        <v>151354.91715276023</v>
      </c>
      <c r="R8" s="126">
        <f>Q8/Q$12</f>
        <v>0.10599710241215854</v>
      </c>
      <c r="S8" s="286"/>
      <c r="T8" s="2" t="s">
        <v>261</v>
      </c>
      <c r="U8" s="309">
        <f>_xlfn.XLOOKUP(U$2,$C$2:$N$2,$C227:$N227,"N/A",0)</f>
        <v>151354.91715276023</v>
      </c>
      <c r="V8" s="126">
        <f>U8/U$12</f>
        <v>0.10599710241215854</v>
      </c>
    </row>
    <row r="9" spans="1:22" x14ac:dyDescent="0.25">
      <c r="A9" s="350" t="s">
        <v>1244</v>
      </c>
      <c r="B9" s="345" t="s">
        <v>1257</v>
      </c>
      <c r="C9" s="352">
        <f>'1. TEA Variables'!D32</f>
        <v>7.4999999999999997E-2</v>
      </c>
      <c r="D9" s="352">
        <v>0.05</v>
      </c>
      <c r="E9" s="352">
        <v>7.4999999999999997E-2</v>
      </c>
      <c r="F9" s="352"/>
      <c r="G9" s="352"/>
      <c r="H9" s="352"/>
      <c r="I9" s="352"/>
      <c r="J9" s="352"/>
      <c r="K9" s="352"/>
      <c r="L9" s="352"/>
      <c r="M9" s="352"/>
      <c r="N9" s="352"/>
      <c r="O9" s="352">
        <f ca="1">IF(Scenarios!$C$8 = "Example", Tbl_Scenarios[[#This Row],[Example]],OFFSET(Tbl_Scenarios[[#This Row],[Example]],0,Scenarios!$C$8))</f>
        <v>7.4999999999999997E-2</v>
      </c>
      <c r="P9" t="s">
        <v>461</v>
      </c>
      <c r="Q9" s="309">
        <f>_xlfn.XLOOKUP(Q$2,$C$2:$N$2,$C228:$N228,"N/A",0)</f>
        <v>1168907.4063295973</v>
      </c>
      <c r="R9" s="126">
        <f>Q9/Q$12</f>
        <v>0.81861098661233278</v>
      </c>
      <c r="T9" t="s">
        <v>461</v>
      </c>
      <c r="U9" s="309">
        <f>_xlfn.XLOOKUP(U$2,$C$2:$N$2,$C228:$N228,"N/A",0)</f>
        <v>1168907.4063295973</v>
      </c>
      <c r="V9" s="126">
        <f>U9/U$12</f>
        <v>0.81861098661233278</v>
      </c>
    </row>
    <row r="10" spans="1:22" x14ac:dyDescent="0.25">
      <c r="A10" s="350" t="s">
        <v>1245</v>
      </c>
      <c r="B10" s="345" t="s">
        <v>1258</v>
      </c>
      <c r="C10" s="352">
        <f>'1. TEA Variables'!D33</f>
        <v>0.1</v>
      </c>
      <c r="D10" s="352">
        <v>0.1</v>
      </c>
      <c r="E10" s="352">
        <v>0.1</v>
      </c>
      <c r="F10" s="352"/>
      <c r="G10" s="352"/>
      <c r="H10" s="352"/>
      <c r="I10" s="352"/>
      <c r="J10" s="352"/>
      <c r="K10" s="352"/>
      <c r="L10" s="352"/>
      <c r="M10" s="352"/>
      <c r="N10" s="352"/>
      <c r="O10" s="352">
        <f ca="1">IF(Scenarios!$C$8 = "Example", Tbl_Scenarios[[#This Row],[Example]],OFFSET(Tbl_Scenarios[[#This Row],[Example]],0,Scenarios!$C$8))</f>
        <v>0.1</v>
      </c>
      <c r="P10" s="23" t="s">
        <v>67</v>
      </c>
      <c r="Q10" s="309">
        <f>_xlfn.XLOOKUP(Q$2,$C$2:$N$2,$C229:$N229,"N/A",0)</f>
        <v>84696.35444881751</v>
      </c>
      <c r="R10" s="126">
        <f>Q10/Q$12</f>
        <v>5.9314677879852853E-2</v>
      </c>
      <c r="T10" s="23" t="s">
        <v>67</v>
      </c>
      <c r="U10" s="309">
        <f>_xlfn.XLOOKUP(U$2,$C$2:$N$2,$C229:$N229,"N/A",0)</f>
        <v>84696.35444881751</v>
      </c>
      <c r="V10" s="126">
        <f>U10/U$12</f>
        <v>5.9314677879852853E-2</v>
      </c>
    </row>
    <row r="11" spans="1:22" x14ac:dyDescent="0.25">
      <c r="A11" s="350" t="s">
        <v>1246</v>
      </c>
      <c r="B11" s="345" t="s">
        <v>1259</v>
      </c>
      <c r="C11" s="352">
        <f>'1. TEA Variables'!D34</f>
        <v>0.1</v>
      </c>
      <c r="D11" s="352">
        <v>0.05</v>
      </c>
      <c r="E11" s="352">
        <v>0.1</v>
      </c>
      <c r="F11" s="352"/>
      <c r="G11" s="352"/>
      <c r="H11" s="352"/>
      <c r="I11" s="352"/>
      <c r="J11" s="352"/>
      <c r="K11" s="352"/>
      <c r="L11" s="352"/>
      <c r="M11" s="352"/>
      <c r="N11" s="352"/>
      <c r="O11" s="352">
        <f ca="1">IF(Scenarios!$C$8 = "Example", Tbl_Scenarios[[#This Row],[Example]],OFFSET(Tbl_Scenarios[[#This Row],[Example]],0,Scenarios!$C$8))</f>
        <v>0.1</v>
      </c>
      <c r="P11" s="23" t="s">
        <v>30</v>
      </c>
      <c r="Q11" s="309">
        <f>_xlfn.XLOOKUP(Q$2,$C$2:$N$2,$C230:$N230,"N/A",0)</f>
        <v>22956.932103452207</v>
      </c>
      <c r="R11" s="126">
        <f>Q11/Q$12</f>
        <v>1.6077233095655768E-2</v>
      </c>
      <c r="T11" s="23" t="s">
        <v>30</v>
      </c>
      <c r="U11" s="309">
        <f>_xlfn.XLOOKUP(U$2,$C$2:$N$2,$C230:$N230,"N/A",0)</f>
        <v>22956.932103452207</v>
      </c>
      <c r="V11" s="126">
        <f>U11/U$12</f>
        <v>1.6077233095655768E-2</v>
      </c>
    </row>
    <row r="12" spans="1:22" x14ac:dyDescent="0.25">
      <c r="A12" s="350" t="s">
        <v>1247</v>
      </c>
      <c r="B12" s="345" t="s">
        <v>1260</v>
      </c>
      <c r="C12" s="352">
        <f>'1. TEA Variables'!D35</f>
        <v>0.1</v>
      </c>
      <c r="D12" s="352">
        <v>2.5000000000000001E-2</v>
      </c>
      <c r="E12" s="352">
        <v>0.1</v>
      </c>
      <c r="F12" s="352"/>
      <c r="G12" s="352"/>
      <c r="H12" s="352"/>
      <c r="I12" s="352"/>
      <c r="J12" s="352"/>
      <c r="K12" s="352"/>
      <c r="L12" s="352"/>
      <c r="M12" s="352"/>
      <c r="N12" s="352"/>
      <c r="O12" s="352">
        <f ca="1">IF(Scenarios!$C$8 = "Example", Tbl_Scenarios[[#This Row],[Example]],OFFSET(Tbl_Scenarios[[#This Row],[Example]],0,Scenarios!$C$8))</f>
        <v>0.1</v>
      </c>
      <c r="P12" s="23" t="s">
        <v>346</v>
      </c>
      <c r="Q12" s="309">
        <f>SUM(Q8:Q11)</f>
        <v>1427915.6100346274</v>
      </c>
      <c r="R12" s="126">
        <f>SUM(R8:R11)</f>
        <v>1</v>
      </c>
      <c r="T12" s="23" t="s">
        <v>346</v>
      </c>
      <c r="U12" s="309">
        <f>SUM(U8:U11)</f>
        <v>1427915.6100346274</v>
      </c>
      <c r="V12" s="126">
        <f>SUM(V8:V11)</f>
        <v>1</v>
      </c>
    </row>
    <row r="13" spans="1:22" x14ac:dyDescent="0.25">
      <c r="A13" s="350" t="s">
        <v>1248</v>
      </c>
      <c r="B13" s="345" t="s">
        <v>1261</v>
      </c>
      <c r="C13" s="352">
        <f>'1. TEA Variables'!D36</f>
        <v>0.05</v>
      </c>
      <c r="D13" s="352">
        <v>0.05</v>
      </c>
      <c r="E13" s="352">
        <v>0.05</v>
      </c>
      <c r="F13" s="352"/>
      <c r="G13" s="352"/>
      <c r="H13" s="352"/>
      <c r="I13" s="352"/>
      <c r="J13" s="352"/>
      <c r="K13" s="352"/>
      <c r="L13" s="352"/>
      <c r="M13" s="352"/>
      <c r="N13" s="352"/>
      <c r="O13" s="352">
        <f ca="1">IF(Scenarios!$C$8 = "Example", Tbl_Scenarios[[#This Row],[Example]],OFFSET(Tbl_Scenarios[[#This Row],[Example]],0,Scenarios!$C$8))</f>
        <v>0.05</v>
      </c>
    </row>
    <row r="14" spans="1:22" x14ac:dyDescent="0.25">
      <c r="A14" s="350" t="s">
        <v>1249</v>
      </c>
      <c r="B14" s="345" t="s">
        <v>1262</v>
      </c>
      <c r="C14" s="352">
        <f>'1. TEA Variables'!D37</f>
        <v>0.55000000000000004</v>
      </c>
      <c r="D14" s="352">
        <v>0.55000000000000004</v>
      </c>
      <c r="E14" s="352">
        <v>0.55000000000000004</v>
      </c>
      <c r="F14" s="352"/>
      <c r="G14" s="352"/>
      <c r="H14" s="352"/>
      <c r="I14" s="352"/>
      <c r="J14" s="352"/>
      <c r="K14" s="352"/>
      <c r="L14" s="352"/>
      <c r="M14" s="352"/>
      <c r="N14" s="352"/>
      <c r="O14" s="352">
        <f ca="1">IF(Scenarios!$C$8 = "Example", Tbl_Scenarios[[#This Row],[Example]],OFFSET(Tbl_Scenarios[[#This Row],[Example]],0,Scenarios!$C$8))</f>
        <v>0.55000000000000004</v>
      </c>
      <c r="P14" s="23" t="s">
        <v>461</v>
      </c>
      <c r="Q14" s="303">
        <f>_xlfn.XLOOKUP(Q$2,$C$2:$N$2,$C232:$N232,"N/A",0)</f>
        <v>68.53049482855667</v>
      </c>
      <c r="R14" s="126">
        <f>Q14/Q$17</f>
        <v>0.687409326782916</v>
      </c>
      <c r="T14" s="23" t="s">
        <v>461</v>
      </c>
      <c r="U14" s="303">
        <f>_xlfn.XLOOKUP(U$2,$C$2:$N$2,$C232:$N232,"N/A",0)</f>
        <v>68.53049482855667</v>
      </c>
      <c r="V14" s="126">
        <f>U14/U$17</f>
        <v>0.687409326782916</v>
      </c>
    </row>
    <row r="15" spans="1:22" x14ac:dyDescent="0.25">
      <c r="A15" s="350" t="s">
        <v>1309</v>
      </c>
      <c r="B15" s="345" t="s">
        <v>1263</v>
      </c>
      <c r="C15" s="351">
        <f>'1. TEA Variables'!D38</f>
        <v>0.5</v>
      </c>
      <c r="D15" s="351">
        <v>0.5</v>
      </c>
      <c r="E15" s="351">
        <v>0.5</v>
      </c>
      <c r="F15" s="351"/>
      <c r="G15" s="351"/>
      <c r="H15" s="351"/>
      <c r="I15" s="351"/>
      <c r="J15" s="351"/>
      <c r="K15" s="351"/>
      <c r="L15" s="351"/>
      <c r="M15" s="351"/>
      <c r="N15" s="351"/>
      <c r="O15" s="351">
        <f ca="1">IF(Scenarios!$C$8 = "Example", Tbl_Scenarios[[#This Row],[Example]],OFFSET(Tbl_Scenarios[[#This Row],[Example]],0,Scenarios!$C$8))</f>
        <v>0.5</v>
      </c>
      <c r="P15" s="23" t="s">
        <v>67</v>
      </c>
      <c r="Q15" s="303">
        <f>_xlfn.XLOOKUP(Q$2,$C$2:$N$2,$C233:$N233,"N/A",0)</f>
        <v>30.2328734375</v>
      </c>
      <c r="R15" s="126">
        <f>Q15/Q$17</f>
        <v>0.303257100775011</v>
      </c>
      <c r="T15" s="23" t="s">
        <v>67</v>
      </c>
      <c r="U15" s="303">
        <f>_xlfn.XLOOKUP(U$2,$C$2:$N$2,$C233:$N233,"N/A",0)</f>
        <v>30.2328734375</v>
      </c>
      <c r="V15" s="126">
        <f>U15/U$17</f>
        <v>0.303257100775011</v>
      </c>
    </row>
    <row r="16" spans="1:22" x14ac:dyDescent="0.25">
      <c r="A16" s="350" t="s">
        <v>1250</v>
      </c>
      <c r="B16" s="345" t="s">
        <v>1264</v>
      </c>
      <c r="C16" s="353">
        <f>'1. TEA Variables'!D39</f>
        <v>30</v>
      </c>
      <c r="D16" s="353">
        <v>30</v>
      </c>
      <c r="E16" s="353">
        <v>30</v>
      </c>
      <c r="F16" s="353"/>
      <c r="G16" s="353"/>
      <c r="H16" s="353"/>
      <c r="I16" s="353"/>
      <c r="J16" s="353"/>
      <c r="K16" s="353"/>
      <c r="L16" s="353"/>
      <c r="M16" s="353"/>
      <c r="N16" s="353"/>
      <c r="O16" s="353">
        <f ca="1">IF(Scenarios!$C$8 = "Example", Tbl_Scenarios[[#This Row],[Example]],OFFSET(Tbl_Scenarios[[#This Row],[Example]],0,Scenarios!$C$8))</f>
        <v>30</v>
      </c>
      <c r="P16" s="23" t="s">
        <v>30</v>
      </c>
      <c r="Q16" s="303">
        <f>_xlfn.XLOOKUP(Q$2,$C$2:$N$2,$C234:$N234,"N/A",0)</f>
        <v>0.9304999409404815</v>
      </c>
      <c r="R16" s="126">
        <f>Q16/Q$17</f>
        <v>9.3335724420729529E-3</v>
      </c>
      <c r="T16" s="23" t="s">
        <v>30</v>
      </c>
      <c r="U16" s="303">
        <f>_xlfn.XLOOKUP(U$2,$C$2:$N$2,$C234:$N234,"N/A",0)</f>
        <v>0.9304999409404815</v>
      </c>
      <c r="V16" s="126">
        <f>U16/U$17</f>
        <v>9.3335724420729529E-3</v>
      </c>
    </row>
    <row r="17" spans="1:22" x14ac:dyDescent="0.25">
      <c r="A17" s="350" t="s">
        <v>1251</v>
      </c>
      <c r="B17" s="345" t="s">
        <v>1265</v>
      </c>
      <c r="C17" s="353">
        <f>'1. TEA Variables'!D40</f>
        <v>75000</v>
      </c>
      <c r="D17" s="353">
        <v>75000</v>
      </c>
      <c r="E17" s="353">
        <v>75000</v>
      </c>
      <c r="F17" s="353"/>
      <c r="G17" s="353"/>
      <c r="H17" s="353"/>
      <c r="I17" s="353"/>
      <c r="J17" s="353"/>
      <c r="K17" s="353"/>
      <c r="L17" s="353"/>
      <c r="M17" s="353"/>
      <c r="N17" s="353"/>
      <c r="O17" s="353">
        <f ca="1">IF(Scenarios!$C$8 = "Example", Tbl_Scenarios[[#This Row],[Example]],OFFSET(Tbl_Scenarios[[#This Row],[Example]],0,Scenarios!$C$8))</f>
        <v>75000</v>
      </c>
      <c r="P17" s="23" t="s">
        <v>346</v>
      </c>
      <c r="Q17" s="303">
        <f>SUM(Q14:Q16)</f>
        <v>99.693868206997152</v>
      </c>
      <c r="R17" s="126">
        <f>SUM(R14:R16)</f>
        <v>1</v>
      </c>
      <c r="T17" s="23" t="s">
        <v>346</v>
      </c>
      <c r="U17" s="303">
        <f>SUM(U14:U16)</f>
        <v>99.693868206997152</v>
      </c>
      <c r="V17" s="126">
        <f>SUM(V14:V16)</f>
        <v>1</v>
      </c>
    </row>
    <row r="18" spans="1:22" x14ac:dyDescent="0.25">
      <c r="A18" s="350" t="s">
        <v>1252</v>
      </c>
      <c r="B18" s="345" t="s">
        <v>1266</v>
      </c>
      <c r="C18" s="353">
        <f>'1. TEA Variables'!D41</f>
        <v>0.1</v>
      </c>
      <c r="D18" s="353">
        <v>0.1</v>
      </c>
      <c r="E18" s="353">
        <v>0.1</v>
      </c>
      <c r="F18" s="353"/>
      <c r="G18" s="353"/>
      <c r="H18" s="353"/>
      <c r="I18" s="353"/>
      <c r="J18" s="353"/>
      <c r="K18" s="353"/>
      <c r="L18" s="353"/>
      <c r="M18" s="353"/>
      <c r="N18" s="353"/>
      <c r="O18" s="353">
        <f ca="1">IF(Scenarios!$C$8 = "Example", Tbl_Scenarios[[#This Row],[Example]],OFFSET(Tbl_Scenarios[[#This Row],[Example]],0,Scenarios!$C$8))</f>
        <v>0.1</v>
      </c>
    </row>
    <row r="19" spans="1:22" x14ac:dyDescent="0.25">
      <c r="A19" s="350" t="s">
        <v>1253</v>
      </c>
      <c r="B19" s="345" t="s">
        <v>1267</v>
      </c>
      <c r="C19" s="353">
        <f>'1. TEA Variables'!D42</f>
        <v>25</v>
      </c>
      <c r="D19" s="353">
        <v>20</v>
      </c>
      <c r="E19" s="353">
        <v>25</v>
      </c>
      <c r="F19" s="353"/>
      <c r="G19" s="353"/>
      <c r="H19" s="353"/>
      <c r="I19" s="353"/>
      <c r="J19" s="353"/>
      <c r="K19" s="353"/>
      <c r="L19" s="353"/>
      <c r="M19" s="353"/>
      <c r="N19" s="353"/>
      <c r="O19" s="353">
        <f ca="1">IF(Scenarios!$C$8 = "Example", Tbl_Scenarios[[#This Row],[Example]],OFFSET(Tbl_Scenarios[[#This Row],[Example]],0,Scenarios!$C$8))</f>
        <v>25</v>
      </c>
      <c r="P19" s="23"/>
      <c r="Q19" t="str">
        <f>Q2</f>
        <v>Example</v>
      </c>
      <c r="R19" t="str">
        <f>U2</f>
        <v>Example</v>
      </c>
    </row>
    <row r="20" spans="1:22" x14ac:dyDescent="0.25">
      <c r="A20" s="350" t="s">
        <v>1254</v>
      </c>
      <c r="B20" s="345" t="s">
        <v>1268</v>
      </c>
      <c r="C20" s="351">
        <f>'1. TEA Variables'!D43</f>
        <v>10</v>
      </c>
      <c r="D20" s="351">
        <v>15</v>
      </c>
      <c r="E20" s="447">
        <v>10</v>
      </c>
      <c r="F20" s="351"/>
      <c r="G20" s="351"/>
      <c r="H20" s="351"/>
      <c r="I20" s="351"/>
      <c r="J20" s="351"/>
      <c r="K20" s="351"/>
      <c r="L20" s="351"/>
      <c r="M20" s="351"/>
      <c r="N20" s="351"/>
      <c r="O20" s="351">
        <f ca="1">IF(Scenarios!$C$8 = "Example", Tbl_Scenarios[[#This Row],[Example]],OFFSET(Tbl_Scenarios[[#This Row],[Example]],0,Scenarios!$C$8))</f>
        <v>10</v>
      </c>
      <c r="P20" s="23" t="s">
        <v>1550</v>
      </c>
      <c r="Q20" s="338">
        <f>_xlfn.XLOOKUP(Q19,$C$2:$N$2,$C175:$N175,"N/A",0)</f>
        <v>1214.6517736807064</v>
      </c>
      <c r="R20" s="338">
        <f>_xlfn.XLOOKUP(R19,$C$2:$N$2,$C175:$N175,"N/A",0)</f>
        <v>1214.6517736807064</v>
      </c>
    </row>
    <row r="21" spans="1:22" x14ac:dyDescent="0.25">
      <c r="A21" s="350" t="s">
        <v>1255</v>
      </c>
      <c r="B21" s="345" t="s">
        <v>1269</v>
      </c>
      <c r="C21" s="351">
        <f>'1. TEA Variables'!D44</f>
        <v>20</v>
      </c>
      <c r="D21" s="351">
        <v>15</v>
      </c>
      <c r="E21" s="351">
        <v>20</v>
      </c>
      <c r="F21" s="351"/>
      <c r="G21" s="351"/>
      <c r="H21" s="351"/>
      <c r="I21" s="351"/>
      <c r="J21" s="351"/>
      <c r="K21" s="351"/>
      <c r="L21" s="351"/>
      <c r="M21" s="351"/>
      <c r="N21" s="351"/>
      <c r="O21" s="351">
        <f ca="1">IF(Scenarios!$C$8 = "Example", Tbl_Scenarios[[#This Row],[Example]],OFFSET(Tbl_Scenarios[[#This Row],[Example]],0,Scenarios!$C$8))</f>
        <v>20</v>
      </c>
      <c r="P21" s="23" t="s">
        <v>1551</v>
      </c>
      <c r="Q21" s="286">
        <f>Q12/Q20</f>
        <v>1175.5761124093015</v>
      </c>
      <c r="R21" s="286">
        <f>U12/R20</f>
        <v>1175.5761124093015</v>
      </c>
    </row>
    <row r="22" spans="1:22" x14ac:dyDescent="0.25">
      <c r="A22" s="350" t="s">
        <v>1270</v>
      </c>
      <c r="B22" s="345" t="s">
        <v>1313</v>
      </c>
      <c r="C22" s="351"/>
      <c r="D22" s="351">
        <v>3</v>
      </c>
      <c r="E22" s="351"/>
      <c r="F22" s="351"/>
      <c r="G22" s="450"/>
      <c r="H22" s="351"/>
      <c r="I22" s="351"/>
      <c r="J22" s="351"/>
      <c r="K22" s="351"/>
      <c r="L22" s="351"/>
      <c r="M22" s="351"/>
      <c r="N22" s="351"/>
      <c r="O22" s="351">
        <f ca="1">IF(Scenarios!$C$8 = "Example", Tbl_Scenarios[[#This Row],[Example]],OFFSET(Tbl_Scenarios[[#This Row],[Example]],0,Scenarios!$C$8))</f>
        <v>0</v>
      </c>
      <c r="P22" s="23" t="s">
        <v>1552</v>
      </c>
      <c r="Q22" s="289">
        <f>Q17</f>
        <v>99.693868206997152</v>
      </c>
      <c r="R22" s="289">
        <f>U17</f>
        <v>99.693868206997152</v>
      </c>
    </row>
    <row r="23" spans="1:22" x14ac:dyDescent="0.25">
      <c r="A23" s="350" t="s">
        <v>1271</v>
      </c>
      <c r="B23" s="345" t="s">
        <v>1314</v>
      </c>
      <c r="C23" s="352"/>
      <c r="D23" s="352">
        <v>0.05</v>
      </c>
      <c r="E23" s="352"/>
      <c r="F23" s="352"/>
      <c r="G23" s="451"/>
      <c r="H23" s="352"/>
      <c r="I23" s="352"/>
      <c r="J23" s="352"/>
      <c r="K23" s="352"/>
      <c r="L23" s="352"/>
      <c r="M23" s="352"/>
      <c r="N23" s="352"/>
      <c r="O23" s="352">
        <f ca="1">IF(Scenarios!$C$8 = "Example", Tbl_Scenarios[[#This Row],[Example]],OFFSET(Tbl_Scenarios[[#This Row],[Example]],0,Scenarios!$C$8))</f>
        <v>0</v>
      </c>
    </row>
    <row r="24" spans="1:22" x14ac:dyDescent="0.25">
      <c r="A24" s="350" t="s">
        <v>1272</v>
      </c>
      <c r="B24" s="345" t="s">
        <v>1315</v>
      </c>
      <c r="C24" s="352"/>
      <c r="D24" s="352">
        <v>0.1</v>
      </c>
      <c r="E24" s="352"/>
      <c r="F24" s="352"/>
      <c r="G24" s="451"/>
      <c r="H24" s="352"/>
      <c r="I24" s="352"/>
      <c r="J24" s="352"/>
      <c r="K24" s="352"/>
      <c r="L24" s="352"/>
      <c r="M24" s="352"/>
      <c r="N24" s="352"/>
      <c r="O24" s="352">
        <f ca="1">IF(Scenarios!$C$8 = "Example", Tbl_Scenarios[[#This Row],[Example]],OFFSET(Tbl_Scenarios[[#This Row],[Example]],0,Scenarios!$C$8))</f>
        <v>0</v>
      </c>
      <c r="P24" s="23"/>
    </row>
    <row r="25" spans="1:22" x14ac:dyDescent="0.25">
      <c r="A25" s="350" t="s">
        <v>1273</v>
      </c>
      <c r="B25" s="345" t="s">
        <v>1316</v>
      </c>
      <c r="C25" s="352"/>
      <c r="D25" s="352">
        <v>0.05</v>
      </c>
      <c r="E25" s="352"/>
      <c r="F25" s="352"/>
      <c r="G25" s="451"/>
      <c r="H25" s="352"/>
      <c r="I25" s="352"/>
      <c r="J25" s="352"/>
      <c r="K25" s="352"/>
      <c r="L25" s="352"/>
      <c r="M25" s="352"/>
      <c r="N25" s="352"/>
      <c r="O25" s="352">
        <f ca="1">IF(Scenarios!$C$8 = "Example", Tbl_Scenarios[[#This Row],[Example]],OFFSET(Tbl_Scenarios[[#This Row],[Example]],0,Scenarios!$C$8))</f>
        <v>0</v>
      </c>
      <c r="P25" s="23"/>
    </row>
    <row r="26" spans="1:22" x14ac:dyDescent="0.25">
      <c r="A26" s="350" t="s">
        <v>1274</v>
      </c>
      <c r="B26" s="345" t="s">
        <v>1317</v>
      </c>
      <c r="C26" s="352"/>
      <c r="D26" s="352">
        <v>2.5000000000000001E-2</v>
      </c>
      <c r="E26" s="352"/>
      <c r="F26" s="352"/>
      <c r="G26" s="451"/>
      <c r="H26" s="352"/>
      <c r="I26" s="352"/>
      <c r="J26" s="352"/>
      <c r="K26" s="352"/>
      <c r="L26" s="352"/>
      <c r="M26" s="352"/>
      <c r="N26" s="352"/>
      <c r="O26" s="352">
        <f ca="1">IF(Scenarios!$C$8 = "Example", Tbl_Scenarios[[#This Row],[Example]],OFFSET(Tbl_Scenarios[[#This Row],[Example]],0,Scenarios!$C$8))</f>
        <v>0</v>
      </c>
      <c r="P26" s="23"/>
    </row>
    <row r="27" spans="1:22" x14ac:dyDescent="0.25">
      <c r="A27" s="350" t="s">
        <v>1275</v>
      </c>
      <c r="B27" s="345" t="s">
        <v>1318</v>
      </c>
      <c r="C27" s="352"/>
      <c r="D27" s="352">
        <v>0.05</v>
      </c>
      <c r="E27" s="352"/>
      <c r="F27" s="352"/>
      <c r="G27" s="451"/>
      <c r="H27" s="352"/>
      <c r="I27" s="352"/>
      <c r="J27" s="352"/>
      <c r="K27" s="352"/>
      <c r="L27" s="352"/>
      <c r="M27" s="352"/>
      <c r="N27" s="352"/>
      <c r="O27" s="352">
        <f ca="1">IF(Scenarios!$C$8 = "Example", Tbl_Scenarios[[#This Row],[Example]],OFFSET(Tbl_Scenarios[[#This Row],[Example]],0,Scenarios!$C$8))</f>
        <v>0</v>
      </c>
    </row>
    <row r="28" spans="1:22" x14ac:dyDescent="0.25">
      <c r="A28" s="23" t="s">
        <v>1276</v>
      </c>
      <c r="B28" s="343" t="s">
        <v>1319</v>
      </c>
      <c r="C28" s="126"/>
      <c r="D28" s="126">
        <v>0.55000000000000004</v>
      </c>
      <c r="E28" s="126"/>
      <c r="F28" s="126"/>
      <c r="G28" s="451"/>
      <c r="H28" s="126"/>
      <c r="I28" s="126"/>
      <c r="J28" s="126"/>
      <c r="K28" s="126"/>
      <c r="L28" s="126"/>
      <c r="M28" s="126"/>
      <c r="N28" s="126"/>
      <c r="O28" s="126">
        <f ca="1">IF(Scenarios!$C$8 = "Example", Tbl_Scenarios[[#This Row],[Example]],OFFSET(Tbl_Scenarios[[#This Row],[Example]],0,Scenarios!$C$8))</f>
        <v>0</v>
      </c>
    </row>
    <row r="29" spans="1:22" x14ac:dyDescent="0.25">
      <c r="A29" s="23" t="s">
        <v>1310</v>
      </c>
      <c r="B29" s="343" t="s">
        <v>1320</v>
      </c>
      <c r="C29" s="303"/>
      <c r="D29" s="303">
        <v>0.5</v>
      </c>
      <c r="E29" s="303"/>
      <c r="F29" s="303"/>
      <c r="G29" s="450"/>
      <c r="H29" s="303"/>
      <c r="I29" s="303"/>
      <c r="J29" s="303"/>
      <c r="K29" s="303"/>
      <c r="L29" s="303"/>
      <c r="M29" s="303"/>
      <c r="N29" s="303"/>
      <c r="O29" s="303">
        <f ca="1">IF(Scenarios!$C$8 = "Example", Tbl_Scenarios[[#This Row],[Example]],OFFSET(Tbl_Scenarios[[#This Row],[Example]],0,Scenarios!$C$8))</f>
        <v>0</v>
      </c>
    </row>
    <row r="30" spans="1:22" x14ac:dyDescent="0.25">
      <c r="A30" s="23" t="s">
        <v>1277</v>
      </c>
      <c r="B30" s="343" t="s">
        <v>1321</v>
      </c>
      <c r="C30" s="285"/>
      <c r="D30" s="285">
        <v>30</v>
      </c>
      <c r="E30" s="285"/>
      <c r="F30" s="285"/>
      <c r="G30" s="452"/>
      <c r="H30" s="285"/>
      <c r="I30" s="285"/>
      <c r="J30" s="285"/>
      <c r="K30" s="285"/>
      <c r="L30" s="285"/>
      <c r="M30" s="285"/>
      <c r="N30" s="285"/>
      <c r="O30" s="285">
        <f ca="1">IF(Scenarios!$C$8 = "Example", Tbl_Scenarios[[#This Row],[Example]],OFFSET(Tbl_Scenarios[[#This Row],[Example]],0,Scenarios!$C$8))</f>
        <v>0</v>
      </c>
    </row>
    <row r="31" spans="1:22" x14ac:dyDescent="0.25">
      <c r="A31" s="23" t="s">
        <v>1278</v>
      </c>
      <c r="B31" s="343" t="s">
        <v>1322</v>
      </c>
      <c r="C31" s="285"/>
      <c r="D31" s="285">
        <v>75000</v>
      </c>
      <c r="E31" s="285"/>
      <c r="F31" s="285"/>
      <c r="G31" s="452"/>
      <c r="H31" s="285"/>
      <c r="I31" s="285"/>
      <c r="J31" s="285"/>
      <c r="K31" s="285"/>
      <c r="L31" s="285"/>
      <c r="M31" s="285"/>
      <c r="N31" s="285"/>
      <c r="O31" s="285">
        <f ca="1">IF(Scenarios!$C$8 = "Example", Tbl_Scenarios[[#This Row],[Example]],OFFSET(Tbl_Scenarios[[#This Row],[Example]],0,Scenarios!$C$8))</f>
        <v>0</v>
      </c>
    </row>
    <row r="32" spans="1:22" x14ac:dyDescent="0.25">
      <c r="A32" s="23" t="s">
        <v>1279</v>
      </c>
      <c r="B32" s="343" t="s">
        <v>1323</v>
      </c>
      <c r="C32" s="285"/>
      <c r="D32" s="285">
        <v>0.1</v>
      </c>
      <c r="E32" s="285"/>
      <c r="F32" s="285"/>
      <c r="G32" s="452"/>
      <c r="H32" s="285"/>
      <c r="I32" s="285"/>
      <c r="J32" s="285"/>
      <c r="K32" s="285"/>
      <c r="L32" s="285"/>
      <c r="M32" s="285"/>
      <c r="N32" s="285"/>
      <c r="O32" s="285">
        <f ca="1">IF(Scenarios!$C$8 = "Example", Tbl_Scenarios[[#This Row],[Example]],OFFSET(Tbl_Scenarios[[#This Row],[Example]],0,Scenarios!$C$8))</f>
        <v>0</v>
      </c>
    </row>
    <row r="33" spans="1:15" x14ac:dyDescent="0.25">
      <c r="A33" s="23" t="s">
        <v>1280</v>
      </c>
      <c r="B33" s="343" t="s">
        <v>1324</v>
      </c>
      <c r="C33" s="285"/>
      <c r="D33" s="285">
        <v>20</v>
      </c>
      <c r="E33" s="285"/>
      <c r="F33" s="285"/>
      <c r="G33" s="452"/>
      <c r="H33" s="285"/>
      <c r="I33" s="285"/>
      <c r="J33" s="285"/>
      <c r="K33" s="285"/>
      <c r="L33" s="285"/>
      <c r="M33" s="285"/>
      <c r="N33" s="285"/>
      <c r="O33" s="285">
        <f ca="1">IF(Scenarios!$C$8 = "Example", Tbl_Scenarios[[#This Row],[Example]],OFFSET(Tbl_Scenarios[[#This Row],[Example]],0,Scenarios!$C$8))</f>
        <v>0</v>
      </c>
    </row>
    <row r="34" spans="1:15" x14ac:dyDescent="0.25">
      <c r="A34" s="23" t="s">
        <v>1281</v>
      </c>
      <c r="B34" s="343" t="s">
        <v>1325</v>
      </c>
      <c r="C34" s="303"/>
      <c r="D34" s="303">
        <v>15</v>
      </c>
      <c r="E34" s="303"/>
      <c r="F34" s="303"/>
      <c r="G34" s="450"/>
      <c r="H34" s="303"/>
      <c r="I34" s="303"/>
      <c r="J34" s="303"/>
      <c r="K34" s="303"/>
      <c r="L34" s="303"/>
      <c r="M34" s="303"/>
      <c r="N34" s="303"/>
      <c r="O34" s="303">
        <f ca="1">IF(Scenarios!$C$8 = "Example", Tbl_Scenarios[[#This Row],[Example]],OFFSET(Tbl_Scenarios[[#This Row],[Example]],0,Scenarios!$C$8))</f>
        <v>0</v>
      </c>
    </row>
    <row r="35" spans="1:15" x14ac:dyDescent="0.25">
      <c r="A35" s="23" t="s">
        <v>1282</v>
      </c>
      <c r="B35" s="343" t="s">
        <v>1326</v>
      </c>
      <c r="C35" s="303"/>
      <c r="D35" s="303">
        <v>15</v>
      </c>
      <c r="E35" s="303"/>
      <c r="F35" s="303"/>
      <c r="G35" s="450"/>
      <c r="H35" s="303"/>
      <c r="I35" s="303"/>
      <c r="J35" s="303"/>
      <c r="K35" s="303"/>
      <c r="L35" s="303"/>
      <c r="M35" s="303"/>
      <c r="N35" s="303"/>
      <c r="O35" s="303">
        <f ca="1">IF(Scenarios!$C$8 = "Example", Tbl_Scenarios[[#This Row],[Example]],OFFSET(Tbl_Scenarios[[#This Row],[Example]],0,Scenarios!$C$8))</f>
        <v>0</v>
      </c>
    </row>
    <row r="36" spans="1:15" x14ac:dyDescent="0.25">
      <c r="A36" s="23" t="s">
        <v>1283</v>
      </c>
      <c r="B36" s="343" t="s">
        <v>1327</v>
      </c>
      <c r="C36" s="303"/>
      <c r="D36" s="303">
        <v>3</v>
      </c>
      <c r="E36" s="303"/>
      <c r="F36" s="303"/>
      <c r="G36" s="450"/>
      <c r="H36" s="303"/>
      <c r="I36" s="303"/>
      <c r="J36" s="303"/>
      <c r="K36" s="303"/>
      <c r="L36" s="303"/>
      <c r="M36" s="303"/>
      <c r="N36" s="303"/>
      <c r="O36" s="303">
        <f ca="1">IF(Scenarios!$C$8 = "Example", Tbl_Scenarios[[#This Row],[Example]],OFFSET(Tbl_Scenarios[[#This Row],[Example]],0,Scenarios!$C$8))</f>
        <v>0</v>
      </c>
    </row>
    <row r="37" spans="1:15" x14ac:dyDescent="0.25">
      <c r="A37" s="23" t="s">
        <v>1284</v>
      </c>
      <c r="B37" s="343" t="s">
        <v>1328</v>
      </c>
      <c r="C37" s="126"/>
      <c r="D37" s="126">
        <v>0.05</v>
      </c>
      <c r="E37" s="126"/>
      <c r="F37" s="126"/>
      <c r="G37" s="451"/>
      <c r="H37" s="126"/>
      <c r="I37" s="126"/>
      <c r="J37" s="126"/>
      <c r="K37" s="126"/>
      <c r="L37" s="126"/>
      <c r="M37" s="126"/>
      <c r="N37" s="126"/>
      <c r="O37" s="126">
        <f ca="1">IF(Scenarios!$C$8 = "Example", Tbl_Scenarios[[#This Row],[Example]],OFFSET(Tbl_Scenarios[[#This Row],[Example]],0,Scenarios!$C$8))</f>
        <v>0</v>
      </c>
    </row>
    <row r="38" spans="1:15" x14ac:dyDescent="0.25">
      <c r="A38" s="23" t="s">
        <v>1285</v>
      </c>
      <c r="B38" s="343" t="s">
        <v>1329</v>
      </c>
      <c r="C38" s="126"/>
      <c r="D38" s="126">
        <v>0.1</v>
      </c>
      <c r="E38" s="126"/>
      <c r="F38" s="126"/>
      <c r="G38" s="451"/>
      <c r="H38" s="126"/>
      <c r="I38" s="126"/>
      <c r="J38" s="126"/>
      <c r="K38" s="126"/>
      <c r="L38" s="126"/>
      <c r="M38" s="126"/>
      <c r="N38" s="126"/>
      <c r="O38" s="126">
        <f ca="1">IF(Scenarios!$C$8 = "Example", Tbl_Scenarios[[#This Row],[Example]],OFFSET(Tbl_Scenarios[[#This Row],[Example]],0,Scenarios!$C$8))</f>
        <v>0</v>
      </c>
    </row>
    <row r="39" spans="1:15" x14ac:dyDescent="0.25">
      <c r="A39" s="23" t="s">
        <v>1286</v>
      </c>
      <c r="B39" s="343" t="s">
        <v>1330</v>
      </c>
      <c r="C39" s="126"/>
      <c r="D39" s="126">
        <v>0.05</v>
      </c>
      <c r="E39" s="126"/>
      <c r="F39" s="126"/>
      <c r="G39" s="451"/>
      <c r="H39" s="126"/>
      <c r="I39" s="126"/>
      <c r="J39" s="126"/>
      <c r="K39" s="126"/>
      <c r="L39" s="126"/>
      <c r="M39" s="126"/>
      <c r="N39" s="126"/>
      <c r="O39" s="126">
        <f ca="1">IF(Scenarios!$C$8 = "Example", Tbl_Scenarios[[#This Row],[Example]],OFFSET(Tbl_Scenarios[[#This Row],[Example]],0,Scenarios!$C$8))</f>
        <v>0</v>
      </c>
    </row>
    <row r="40" spans="1:15" x14ac:dyDescent="0.25">
      <c r="A40" s="23" t="s">
        <v>1287</v>
      </c>
      <c r="B40" s="343" t="s">
        <v>1331</v>
      </c>
      <c r="C40" s="126"/>
      <c r="D40" s="126">
        <v>2.5000000000000001E-2</v>
      </c>
      <c r="E40" s="126"/>
      <c r="F40" s="126"/>
      <c r="G40" s="451"/>
      <c r="H40" s="126"/>
      <c r="I40" s="126"/>
      <c r="J40" s="126"/>
      <c r="K40" s="126"/>
      <c r="L40" s="126"/>
      <c r="M40" s="126"/>
      <c r="N40" s="126"/>
      <c r="O40" s="126">
        <f ca="1">IF(Scenarios!$C$8 = "Example", Tbl_Scenarios[[#This Row],[Example]],OFFSET(Tbl_Scenarios[[#This Row],[Example]],0,Scenarios!$C$8))</f>
        <v>0</v>
      </c>
    </row>
    <row r="41" spans="1:15" x14ac:dyDescent="0.25">
      <c r="A41" s="23" t="s">
        <v>1288</v>
      </c>
      <c r="B41" s="343" t="s">
        <v>1332</v>
      </c>
      <c r="C41" s="126"/>
      <c r="D41" s="126">
        <v>0.05</v>
      </c>
      <c r="E41" s="126"/>
      <c r="F41" s="126"/>
      <c r="G41" s="451"/>
      <c r="H41" s="126"/>
      <c r="I41" s="126"/>
      <c r="J41" s="126"/>
      <c r="K41" s="126"/>
      <c r="L41" s="126"/>
      <c r="M41" s="126"/>
      <c r="N41" s="126"/>
      <c r="O41" s="126">
        <f ca="1">IF(Scenarios!$C$8 = "Example", Tbl_Scenarios[[#This Row],[Example]],OFFSET(Tbl_Scenarios[[#This Row],[Example]],0,Scenarios!$C$8))</f>
        <v>0</v>
      </c>
    </row>
    <row r="42" spans="1:15" x14ac:dyDescent="0.25">
      <c r="A42" s="23" t="s">
        <v>1289</v>
      </c>
      <c r="B42" s="343" t="s">
        <v>1333</v>
      </c>
      <c r="C42" s="126"/>
      <c r="D42" s="126">
        <v>0.55000000000000004</v>
      </c>
      <c r="E42" s="126"/>
      <c r="F42" s="126"/>
      <c r="G42" s="451"/>
      <c r="H42" s="126"/>
      <c r="I42" s="126"/>
      <c r="J42" s="126"/>
      <c r="K42" s="126"/>
      <c r="L42" s="126"/>
      <c r="M42" s="126"/>
      <c r="N42" s="126"/>
      <c r="O42" s="126">
        <f ca="1">IF(Scenarios!$C$8 = "Example", Tbl_Scenarios[[#This Row],[Example]],OFFSET(Tbl_Scenarios[[#This Row],[Example]],0,Scenarios!$C$8))</f>
        <v>0</v>
      </c>
    </row>
    <row r="43" spans="1:15" x14ac:dyDescent="0.25">
      <c r="A43" s="23" t="s">
        <v>1311</v>
      </c>
      <c r="B43" s="343" t="s">
        <v>1334</v>
      </c>
      <c r="C43" s="303"/>
      <c r="D43" s="303">
        <v>0.5</v>
      </c>
      <c r="E43" s="303"/>
      <c r="F43" s="303"/>
      <c r="G43" s="450"/>
      <c r="H43" s="303"/>
      <c r="I43" s="303"/>
      <c r="J43" s="303"/>
      <c r="K43" s="303"/>
      <c r="L43" s="303"/>
      <c r="M43" s="303"/>
      <c r="N43" s="303"/>
      <c r="O43" s="303">
        <f ca="1">IF(Scenarios!$C$8 = "Example", Tbl_Scenarios[[#This Row],[Example]],OFFSET(Tbl_Scenarios[[#This Row],[Example]],0,Scenarios!$C$8))</f>
        <v>0</v>
      </c>
    </row>
    <row r="44" spans="1:15" x14ac:dyDescent="0.25">
      <c r="A44" s="23" t="s">
        <v>1290</v>
      </c>
      <c r="B44" s="343" t="s">
        <v>1335</v>
      </c>
      <c r="C44" s="285"/>
      <c r="D44" s="285">
        <v>30</v>
      </c>
      <c r="E44" s="285"/>
      <c r="F44" s="285"/>
      <c r="G44" s="452"/>
      <c r="H44" s="285"/>
      <c r="I44" s="285"/>
      <c r="J44" s="285"/>
      <c r="K44" s="285"/>
      <c r="L44" s="285"/>
      <c r="M44" s="285"/>
      <c r="N44" s="285"/>
      <c r="O44" s="285">
        <f ca="1">IF(Scenarios!$C$8 = "Example", Tbl_Scenarios[[#This Row],[Example]],OFFSET(Tbl_Scenarios[[#This Row],[Example]],0,Scenarios!$C$8))</f>
        <v>0</v>
      </c>
    </row>
    <row r="45" spans="1:15" x14ac:dyDescent="0.25">
      <c r="A45" s="23" t="s">
        <v>1291</v>
      </c>
      <c r="B45" s="343" t="s">
        <v>1336</v>
      </c>
      <c r="C45" s="285"/>
      <c r="D45" s="285">
        <v>75000</v>
      </c>
      <c r="E45" s="285"/>
      <c r="F45" s="285"/>
      <c r="G45" s="452"/>
      <c r="H45" s="285"/>
      <c r="I45" s="285"/>
      <c r="J45" s="285"/>
      <c r="K45" s="285"/>
      <c r="L45" s="285"/>
      <c r="M45" s="285"/>
      <c r="N45" s="285"/>
      <c r="O45" s="285">
        <f ca="1">IF(Scenarios!$C$8 = "Example", Tbl_Scenarios[[#This Row],[Example]],OFFSET(Tbl_Scenarios[[#This Row],[Example]],0,Scenarios!$C$8))</f>
        <v>0</v>
      </c>
    </row>
    <row r="46" spans="1:15" x14ac:dyDescent="0.25">
      <c r="A46" s="23" t="s">
        <v>1292</v>
      </c>
      <c r="B46" s="343" t="s">
        <v>1337</v>
      </c>
      <c r="C46" s="285"/>
      <c r="D46" s="285">
        <v>0.1</v>
      </c>
      <c r="E46" s="285"/>
      <c r="F46" s="285"/>
      <c r="G46" s="452"/>
      <c r="H46" s="285"/>
      <c r="I46" s="285"/>
      <c r="J46" s="285"/>
      <c r="K46" s="285"/>
      <c r="L46" s="285"/>
      <c r="M46" s="285"/>
      <c r="N46" s="285"/>
      <c r="O46" s="285">
        <f ca="1">IF(Scenarios!$C$8 = "Example", Tbl_Scenarios[[#This Row],[Example]],OFFSET(Tbl_Scenarios[[#This Row],[Example]],0,Scenarios!$C$8))</f>
        <v>0</v>
      </c>
    </row>
    <row r="47" spans="1:15" x14ac:dyDescent="0.25">
      <c r="A47" s="23" t="s">
        <v>1293</v>
      </c>
      <c r="B47" s="343" t="s">
        <v>1338</v>
      </c>
      <c r="C47" s="285"/>
      <c r="D47" s="285">
        <v>20</v>
      </c>
      <c r="E47" s="285"/>
      <c r="F47" s="285"/>
      <c r="G47" s="452"/>
      <c r="H47" s="285"/>
      <c r="I47" s="285"/>
      <c r="J47" s="285"/>
      <c r="K47" s="285"/>
      <c r="L47" s="285"/>
      <c r="M47" s="285"/>
      <c r="N47" s="285"/>
      <c r="O47" s="285">
        <f ca="1">IF(Scenarios!$C$8 = "Example", Tbl_Scenarios[[#This Row],[Example]],OFFSET(Tbl_Scenarios[[#This Row],[Example]],0,Scenarios!$C$8))</f>
        <v>0</v>
      </c>
    </row>
    <row r="48" spans="1:15" x14ac:dyDescent="0.25">
      <c r="A48" s="23" t="s">
        <v>1294</v>
      </c>
      <c r="B48" s="343" t="s">
        <v>1339</v>
      </c>
      <c r="C48" s="303"/>
      <c r="D48" s="303">
        <v>15</v>
      </c>
      <c r="E48" s="303"/>
      <c r="F48" s="303"/>
      <c r="G48" s="450"/>
      <c r="H48" s="303"/>
      <c r="I48" s="303"/>
      <c r="J48" s="303"/>
      <c r="K48" s="303"/>
      <c r="L48" s="303"/>
      <c r="M48" s="303"/>
      <c r="N48" s="303"/>
      <c r="O48" s="303">
        <f ca="1">IF(Scenarios!$C$8 = "Example", Tbl_Scenarios[[#This Row],[Example]],OFFSET(Tbl_Scenarios[[#This Row],[Example]],0,Scenarios!$C$8))</f>
        <v>0</v>
      </c>
    </row>
    <row r="49" spans="1:15" x14ac:dyDescent="0.25">
      <c r="A49" s="23" t="s">
        <v>1295</v>
      </c>
      <c r="B49" s="343" t="s">
        <v>1340</v>
      </c>
      <c r="C49" s="303"/>
      <c r="D49" s="303">
        <v>15</v>
      </c>
      <c r="E49" s="303"/>
      <c r="F49" s="303"/>
      <c r="G49" s="450"/>
      <c r="H49" s="303"/>
      <c r="I49" s="303"/>
      <c r="J49" s="303"/>
      <c r="K49" s="303"/>
      <c r="L49" s="303"/>
      <c r="M49" s="303"/>
      <c r="N49" s="303"/>
      <c r="O49" s="303">
        <f ca="1">IF(Scenarios!$C$8 = "Example", Tbl_Scenarios[[#This Row],[Example]],OFFSET(Tbl_Scenarios[[#This Row],[Example]],0,Scenarios!$C$8))</f>
        <v>0</v>
      </c>
    </row>
    <row r="50" spans="1:15" x14ac:dyDescent="0.25">
      <c r="A50" s="23" t="s">
        <v>1296</v>
      </c>
      <c r="B50" s="343" t="s">
        <v>1341</v>
      </c>
      <c r="C50" s="303"/>
      <c r="D50" s="303">
        <v>3</v>
      </c>
      <c r="E50" s="303"/>
      <c r="F50" s="303"/>
      <c r="G50" s="450"/>
      <c r="H50" s="303"/>
      <c r="I50" s="303"/>
      <c r="J50" s="303"/>
      <c r="K50" s="303"/>
      <c r="L50" s="303"/>
      <c r="M50" s="303"/>
      <c r="N50" s="303"/>
      <c r="O50" s="303">
        <f ca="1">IF(Scenarios!$C$8 = "Example", Tbl_Scenarios[[#This Row],[Example]],OFFSET(Tbl_Scenarios[[#This Row],[Example]],0,Scenarios!$C$8))</f>
        <v>0</v>
      </c>
    </row>
    <row r="51" spans="1:15" x14ac:dyDescent="0.25">
      <c r="A51" s="23" t="s">
        <v>1297</v>
      </c>
      <c r="B51" s="343" t="s">
        <v>1342</v>
      </c>
      <c r="C51" s="126"/>
      <c r="D51" s="126">
        <v>0.05</v>
      </c>
      <c r="E51" s="126"/>
      <c r="F51" s="126"/>
      <c r="G51" s="451"/>
      <c r="H51" s="126"/>
      <c r="I51" s="126"/>
      <c r="J51" s="126"/>
      <c r="K51" s="126"/>
      <c r="L51" s="126"/>
      <c r="M51" s="126"/>
      <c r="N51" s="126"/>
      <c r="O51" s="126">
        <f ca="1">IF(Scenarios!$C$8 = "Example", Tbl_Scenarios[[#This Row],[Example]],OFFSET(Tbl_Scenarios[[#This Row],[Example]],0,Scenarios!$C$8))</f>
        <v>0</v>
      </c>
    </row>
    <row r="52" spans="1:15" x14ac:dyDescent="0.25">
      <c r="A52" s="23" t="s">
        <v>1298</v>
      </c>
      <c r="B52" s="343" t="s">
        <v>1343</v>
      </c>
      <c r="C52" s="126"/>
      <c r="D52" s="126">
        <v>0.1</v>
      </c>
      <c r="E52" s="126"/>
      <c r="F52" s="126"/>
      <c r="G52" s="451"/>
      <c r="H52" s="126"/>
      <c r="I52" s="126"/>
      <c r="J52" s="126"/>
      <c r="K52" s="126"/>
      <c r="L52" s="126"/>
      <c r="M52" s="126"/>
      <c r="N52" s="126"/>
      <c r="O52" s="126">
        <f ca="1">IF(Scenarios!$C$8 = "Example", Tbl_Scenarios[[#This Row],[Example]],OFFSET(Tbl_Scenarios[[#This Row],[Example]],0,Scenarios!$C$8))</f>
        <v>0</v>
      </c>
    </row>
    <row r="53" spans="1:15" x14ac:dyDescent="0.25">
      <c r="A53" s="23" t="s">
        <v>1299</v>
      </c>
      <c r="B53" s="343" t="s">
        <v>1344</v>
      </c>
      <c r="C53" s="126"/>
      <c r="D53" s="126">
        <v>0.05</v>
      </c>
      <c r="E53" s="126"/>
      <c r="F53" s="126"/>
      <c r="G53" s="451"/>
      <c r="H53" s="126"/>
      <c r="I53" s="126"/>
      <c r="J53" s="126"/>
      <c r="K53" s="126"/>
      <c r="L53" s="126"/>
      <c r="M53" s="126"/>
      <c r="N53" s="126"/>
      <c r="O53" s="126">
        <f ca="1">IF(Scenarios!$C$8 = "Example", Tbl_Scenarios[[#This Row],[Example]],OFFSET(Tbl_Scenarios[[#This Row],[Example]],0,Scenarios!$C$8))</f>
        <v>0</v>
      </c>
    </row>
    <row r="54" spans="1:15" x14ac:dyDescent="0.25">
      <c r="A54" s="23" t="s">
        <v>1300</v>
      </c>
      <c r="B54" s="343" t="s">
        <v>1345</v>
      </c>
      <c r="C54" s="126"/>
      <c r="D54" s="126">
        <v>2.5000000000000001E-2</v>
      </c>
      <c r="E54" s="126"/>
      <c r="F54" s="126"/>
      <c r="G54" s="451"/>
      <c r="H54" s="126"/>
      <c r="I54" s="126"/>
      <c r="J54" s="126"/>
      <c r="K54" s="126"/>
      <c r="L54" s="126"/>
      <c r="M54" s="126"/>
      <c r="N54" s="126"/>
      <c r="O54" s="126">
        <f ca="1">IF(Scenarios!$C$8 = "Example", Tbl_Scenarios[[#This Row],[Example]],OFFSET(Tbl_Scenarios[[#This Row],[Example]],0,Scenarios!$C$8))</f>
        <v>0</v>
      </c>
    </row>
    <row r="55" spans="1:15" x14ac:dyDescent="0.25">
      <c r="A55" s="23" t="s">
        <v>1301</v>
      </c>
      <c r="B55" s="343" t="s">
        <v>1346</v>
      </c>
      <c r="C55" s="126"/>
      <c r="D55" s="126">
        <v>0.05</v>
      </c>
      <c r="E55" s="126"/>
      <c r="F55" s="126"/>
      <c r="G55" s="451"/>
      <c r="H55" s="126"/>
      <c r="I55" s="126"/>
      <c r="J55" s="126"/>
      <c r="K55" s="126"/>
      <c r="L55" s="126"/>
      <c r="M55" s="126"/>
      <c r="N55" s="126"/>
      <c r="O55" s="126">
        <f ca="1">IF(Scenarios!$C$8 = "Example", Tbl_Scenarios[[#This Row],[Example]],OFFSET(Tbl_Scenarios[[#This Row],[Example]],0,Scenarios!$C$8))</f>
        <v>0</v>
      </c>
    </row>
    <row r="56" spans="1:15" x14ac:dyDescent="0.25">
      <c r="A56" s="23" t="s">
        <v>1302</v>
      </c>
      <c r="B56" s="343" t="s">
        <v>1347</v>
      </c>
      <c r="C56" s="126"/>
      <c r="D56" s="126">
        <v>0.55000000000000004</v>
      </c>
      <c r="E56" s="126"/>
      <c r="F56" s="126"/>
      <c r="G56" s="451"/>
      <c r="H56" s="126"/>
      <c r="I56" s="126"/>
      <c r="J56" s="126"/>
      <c r="K56" s="126"/>
      <c r="L56" s="126"/>
      <c r="M56" s="126"/>
      <c r="N56" s="126"/>
      <c r="O56" s="126">
        <f ca="1">IF(Scenarios!$C$8 = "Example", Tbl_Scenarios[[#This Row],[Example]],OFFSET(Tbl_Scenarios[[#This Row],[Example]],0,Scenarios!$C$8))</f>
        <v>0</v>
      </c>
    </row>
    <row r="57" spans="1:15" x14ac:dyDescent="0.25">
      <c r="A57" s="23" t="s">
        <v>1312</v>
      </c>
      <c r="B57" s="343" t="s">
        <v>1348</v>
      </c>
      <c r="C57" s="303"/>
      <c r="D57" s="303">
        <v>0.5</v>
      </c>
      <c r="E57" s="303"/>
      <c r="F57" s="303"/>
      <c r="G57" s="450"/>
      <c r="H57" s="303"/>
      <c r="I57" s="303"/>
      <c r="J57" s="303"/>
      <c r="K57" s="303"/>
      <c r="L57" s="303"/>
      <c r="M57" s="303"/>
      <c r="N57" s="303"/>
      <c r="O57" s="303">
        <f ca="1">IF(Scenarios!$C$8 = "Example", Tbl_Scenarios[[#This Row],[Example]],OFFSET(Tbl_Scenarios[[#This Row],[Example]],0,Scenarios!$C$8))</f>
        <v>0</v>
      </c>
    </row>
    <row r="58" spans="1:15" x14ac:dyDescent="0.25">
      <c r="A58" s="23" t="s">
        <v>1303</v>
      </c>
      <c r="B58" s="343" t="s">
        <v>1349</v>
      </c>
      <c r="C58" s="285"/>
      <c r="D58" s="285">
        <v>30</v>
      </c>
      <c r="E58" s="285"/>
      <c r="F58" s="285"/>
      <c r="G58" s="452"/>
      <c r="H58" s="285"/>
      <c r="I58" s="285"/>
      <c r="J58" s="285"/>
      <c r="K58" s="285"/>
      <c r="L58" s="285"/>
      <c r="M58" s="285"/>
      <c r="N58" s="285"/>
      <c r="O58" s="285">
        <f ca="1">IF(Scenarios!$C$8 = "Example", Tbl_Scenarios[[#This Row],[Example]],OFFSET(Tbl_Scenarios[[#This Row],[Example]],0,Scenarios!$C$8))</f>
        <v>0</v>
      </c>
    </row>
    <row r="59" spans="1:15" x14ac:dyDescent="0.25">
      <c r="A59" s="23" t="s">
        <v>1304</v>
      </c>
      <c r="B59" s="343" t="s">
        <v>1350</v>
      </c>
      <c r="C59" s="285"/>
      <c r="D59" s="285">
        <v>75000</v>
      </c>
      <c r="E59" s="285"/>
      <c r="F59" s="285"/>
      <c r="G59" s="452"/>
      <c r="H59" s="285"/>
      <c r="I59" s="285"/>
      <c r="J59" s="285"/>
      <c r="K59" s="285"/>
      <c r="L59" s="285"/>
      <c r="M59" s="285"/>
      <c r="N59" s="285"/>
      <c r="O59" s="285">
        <f ca="1">IF(Scenarios!$C$8 = "Example", Tbl_Scenarios[[#This Row],[Example]],OFFSET(Tbl_Scenarios[[#This Row],[Example]],0,Scenarios!$C$8))</f>
        <v>0</v>
      </c>
    </row>
    <row r="60" spans="1:15" x14ac:dyDescent="0.25">
      <c r="A60" s="23" t="s">
        <v>1305</v>
      </c>
      <c r="B60" s="343" t="s">
        <v>1351</v>
      </c>
      <c r="C60" s="285"/>
      <c r="D60" s="285">
        <v>0.1</v>
      </c>
      <c r="E60" s="285"/>
      <c r="F60" s="285"/>
      <c r="G60" s="452"/>
      <c r="H60" s="285"/>
      <c r="I60" s="285"/>
      <c r="J60" s="285"/>
      <c r="K60" s="285"/>
      <c r="L60" s="285"/>
      <c r="M60" s="285"/>
      <c r="N60" s="285"/>
      <c r="O60" s="285">
        <f ca="1">IF(Scenarios!$C$8 = "Example", Tbl_Scenarios[[#This Row],[Example]],OFFSET(Tbl_Scenarios[[#This Row],[Example]],0,Scenarios!$C$8))</f>
        <v>0</v>
      </c>
    </row>
    <row r="61" spans="1:15" x14ac:dyDescent="0.25">
      <c r="A61" s="23" t="s">
        <v>1306</v>
      </c>
      <c r="B61" s="343" t="s">
        <v>1352</v>
      </c>
      <c r="C61" s="285"/>
      <c r="D61" s="285">
        <v>20</v>
      </c>
      <c r="E61" s="285"/>
      <c r="F61" s="285"/>
      <c r="G61" s="452"/>
      <c r="H61" s="285"/>
      <c r="I61" s="285"/>
      <c r="J61" s="285"/>
      <c r="K61" s="285"/>
      <c r="L61" s="285"/>
      <c r="M61" s="285"/>
      <c r="N61" s="285"/>
      <c r="O61" s="285">
        <f ca="1">IF(Scenarios!$C$8 = "Example", Tbl_Scenarios[[#This Row],[Example]],OFFSET(Tbl_Scenarios[[#This Row],[Example]],0,Scenarios!$C$8))</f>
        <v>0</v>
      </c>
    </row>
    <row r="62" spans="1:15" x14ac:dyDescent="0.25">
      <c r="A62" s="23" t="s">
        <v>1307</v>
      </c>
      <c r="B62" s="343" t="s">
        <v>1353</v>
      </c>
      <c r="C62" s="303"/>
      <c r="D62" s="303">
        <v>15</v>
      </c>
      <c r="E62" s="303"/>
      <c r="F62" s="303"/>
      <c r="G62" s="450"/>
      <c r="H62" s="303"/>
      <c r="I62" s="303"/>
      <c r="J62" s="303"/>
      <c r="K62" s="303"/>
      <c r="L62" s="303"/>
      <c r="M62" s="303"/>
      <c r="N62" s="303"/>
      <c r="O62" s="303">
        <f ca="1">IF(Scenarios!$C$8 = "Example", Tbl_Scenarios[[#This Row],[Example]],OFFSET(Tbl_Scenarios[[#This Row],[Example]],0,Scenarios!$C$8))</f>
        <v>0</v>
      </c>
    </row>
    <row r="63" spans="1:15" x14ac:dyDescent="0.25">
      <c r="A63" s="23" t="s">
        <v>1308</v>
      </c>
      <c r="B63" s="343" t="s">
        <v>1354</v>
      </c>
      <c r="C63" s="303"/>
      <c r="D63" s="303">
        <v>15</v>
      </c>
      <c r="E63" s="303"/>
      <c r="F63" s="303"/>
      <c r="G63" s="450"/>
      <c r="H63" s="303"/>
      <c r="I63" s="303"/>
      <c r="J63" s="303"/>
      <c r="K63" s="303"/>
      <c r="L63" s="303"/>
      <c r="M63" s="303"/>
      <c r="N63" s="303"/>
      <c r="O63" s="303">
        <f ca="1">IF(Scenarios!$C$8 = "Example", Tbl_Scenarios[[#This Row],[Example]],OFFSET(Tbl_Scenarios[[#This Row],[Example]],0,Scenarios!$C$8))</f>
        <v>0</v>
      </c>
    </row>
    <row r="64" spans="1:15" x14ac:dyDescent="0.25">
      <c r="A64" s="82" t="s">
        <v>69</v>
      </c>
      <c r="B64" s="343" t="s">
        <v>1603</v>
      </c>
      <c r="C64" s="432" t="str">
        <f>'PRNT Backend'!F8</f>
        <v>Cuboid</v>
      </c>
      <c r="D64" s="432" t="s">
        <v>66</v>
      </c>
      <c r="E64" s="432" t="s">
        <v>66</v>
      </c>
      <c r="F64" s="432"/>
      <c r="G64" s="28"/>
      <c r="H64" s="432"/>
      <c r="I64" s="432"/>
      <c r="J64" s="432"/>
      <c r="K64" s="432"/>
      <c r="L64" s="432"/>
      <c r="M64" s="432"/>
      <c r="N64" s="432"/>
      <c r="O64" s="432" t="str">
        <f ca="1">IF(Scenarios!$C$8 = "Example", Tbl_Scenarios[[#This Row],[Example]],OFFSET(Tbl_Scenarios[[#This Row],[Example]],0,Scenarios!$C$8))</f>
        <v>Cuboid</v>
      </c>
    </row>
    <row r="65" spans="1:15" x14ac:dyDescent="0.25">
      <c r="A65" t="s">
        <v>1604</v>
      </c>
      <c r="B65" s="343" t="s">
        <v>1227</v>
      </c>
      <c r="C65" s="304">
        <f>'2. Geometry'!D8</f>
        <v>150</v>
      </c>
      <c r="D65" s="304">
        <v>100</v>
      </c>
      <c r="E65" s="304">
        <v>150</v>
      </c>
      <c r="F65" s="304"/>
      <c r="G65" s="28"/>
      <c r="H65" s="304"/>
      <c r="I65" s="304"/>
      <c r="J65" s="304"/>
      <c r="K65" s="304"/>
      <c r="L65" s="304"/>
      <c r="M65" s="304"/>
      <c r="N65" s="304"/>
      <c r="O65" s="304">
        <f ca="1">IF(Scenarios!$C$8 = "Example", Tbl_Scenarios[[#This Row],[Example]],OFFSET(Tbl_Scenarios[[#This Row],[Example]],0,Scenarios!$C$8))</f>
        <v>150</v>
      </c>
    </row>
    <row r="66" spans="1:15" x14ac:dyDescent="0.25">
      <c r="A66" t="s">
        <v>1605</v>
      </c>
      <c r="B66" s="343" t="s">
        <v>1228</v>
      </c>
      <c r="C66" s="304">
        <f>'2. Geometry'!D9</f>
        <v>100</v>
      </c>
      <c r="D66" s="304">
        <v>100</v>
      </c>
      <c r="E66" s="304">
        <v>100</v>
      </c>
      <c r="F66" s="304"/>
      <c r="G66" s="28"/>
      <c r="H66" s="304"/>
      <c r="I66" s="304"/>
      <c r="J66" s="304"/>
      <c r="K66" s="304"/>
      <c r="L66" s="304"/>
      <c r="M66" s="304"/>
      <c r="N66" s="304"/>
      <c r="O66" s="304">
        <f ca="1">IF(Scenarios!$C$8 = "Example", Tbl_Scenarios[[#This Row],[Example]],OFFSET(Tbl_Scenarios[[#This Row],[Example]],0,Scenarios!$C$8))</f>
        <v>100</v>
      </c>
    </row>
    <row r="67" spans="1:15" x14ac:dyDescent="0.25">
      <c r="A67" t="s">
        <v>3</v>
      </c>
      <c r="B67" s="343" t="s">
        <v>1229</v>
      </c>
      <c r="C67" s="304">
        <f>'2. Geometry'!D10</f>
        <v>130</v>
      </c>
      <c r="D67" s="304">
        <v>150</v>
      </c>
      <c r="E67" s="304">
        <v>130</v>
      </c>
      <c r="F67" s="304"/>
      <c r="G67" s="28"/>
      <c r="H67" s="304"/>
      <c r="I67" s="304"/>
      <c r="J67" s="304"/>
      <c r="K67" s="304"/>
      <c r="L67" s="304"/>
      <c r="M67" s="304"/>
      <c r="N67" s="304"/>
      <c r="O67" s="304">
        <f ca="1">IF(Scenarios!$C$8 = "Example", Tbl_Scenarios[[#This Row],[Example]],OFFSET(Tbl_Scenarios[[#This Row],[Example]],0,Scenarios!$C$8))</f>
        <v>130</v>
      </c>
    </row>
    <row r="68" spans="1:15" x14ac:dyDescent="0.25">
      <c r="A68" t="s">
        <v>4</v>
      </c>
      <c r="B68" s="343" t="s">
        <v>1230</v>
      </c>
      <c r="C68" s="304">
        <f>'2. Geometry'!D11</f>
        <v>85</v>
      </c>
      <c r="D68" s="304">
        <v>1000</v>
      </c>
      <c r="E68" s="304">
        <v>85</v>
      </c>
      <c r="F68" s="304"/>
      <c r="G68" s="28"/>
      <c r="H68" s="304"/>
      <c r="I68" s="304"/>
      <c r="J68" s="304"/>
      <c r="K68" s="304"/>
      <c r="L68" s="304"/>
      <c r="M68" s="304"/>
      <c r="N68" s="304"/>
      <c r="O68" s="304">
        <f ca="1">IF(Scenarios!$C$8 = "Example", Tbl_Scenarios[[#This Row],[Example]],OFFSET(Tbl_Scenarios[[#This Row],[Example]],0,Scenarios!$C$8))</f>
        <v>85</v>
      </c>
    </row>
    <row r="69" spans="1:15" x14ac:dyDescent="0.25">
      <c r="A69" t="s">
        <v>22</v>
      </c>
      <c r="B69" s="343" t="s">
        <v>1231</v>
      </c>
      <c r="C69" s="304" t="str">
        <f>'3. Material'!C12</f>
        <v>Metal</v>
      </c>
      <c r="D69" s="304" t="s">
        <v>186</v>
      </c>
      <c r="E69" s="304" t="s">
        <v>11</v>
      </c>
      <c r="F69" s="304"/>
      <c r="G69" s="28"/>
      <c r="H69" s="304"/>
      <c r="I69" s="304"/>
      <c r="J69" s="304"/>
      <c r="K69" s="304"/>
      <c r="L69" s="304"/>
      <c r="M69" s="304"/>
      <c r="N69" s="304"/>
      <c r="O69" s="304" t="str">
        <f ca="1">IF(Scenarios!$C$8 = "Example", Tbl_Scenarios[[#This Row],[Example]],OFFSET(Tbl_Scenarios[[#This Row],[Example]],0,Scenarios!$C$8))</f>
        <v>Metal</v>
      </c>
    </row>
    <row r="70" spans="1:15" x14ac:dyDescent="0.25">
      <c r="A70" t="s">
        <v>1224</v>
      </c>
      <c r="B70" s="343" t="s">
        <v>1232</v>
      </c>
      <c r="C70" s="304" t="str">
        <f>'3. Material'!C13</f>
        <v>Titanium Alloy</v>
      </c>
      <c r="D70" s="304" t="s">
        <v>77</v>
      </c>
      <c r="E70" s="304" t="s">
        <v>206</v>
      </c>
      <c r="F70" s="304"/>
      <c r="G70" s="28"/>
      <c r="H70" s="304"/>
      <c r="I70" s="304"/>
      <c r="J70" s="304"/>
      <c r="K70" s="304"/>
      <c r="L70" s="304"/>
      <c r="M70" s="304"/>
      <c r="N70" s="304"/>
      <c r="O70" s="304" t="str">
        <f ca="1">IF(Scenarios!$C$8 = "Example", Tbl_Scenarios[[#This Row],[Example]],OFFSET(Tbl_Scenarios[[#This Row],[Example]],0,Scenarios!$C$8))</f>
        <v>Titanium Alloy</v>
      </c>
    </row>
    <row r="71" spans="1:15" x14ac:dyDescent="0.25">
      <c r="A71" t="s">
        <v>217</v>
      </c>
      <c r="B71" s="343" t="s">
        <v>1233</v>
      </c>
      <c r="C71" s="304" t="str">
        <f>'3. Material'!C14</f>
        <v>Glass Fiber</v>
      </c>
      <c r="D71" s="304" t="s">
        <v>213</v>
      </c>
      <c r="E71" s="304" t="s">
        <v>213</v>
      </c>
      <c r="F71" s="304"/>
      <c r="G71" s="28"/>
      <c r="H71" s="304"/>
      <c r="I71" s="304"/>
      <c r="J71" s="304"/>
      <c r="K71" s="304"/>
      <c r="L71" s="304"/>
      <c r="M71" s="304"/>
      <c r="N71" s="304"/>
      <c r="O71" s="304" t="str">
        <f ca="1">IF(Scenarios!$C$8 = "Example", Tbl_Scenarios[[#This Row],[Example]],OFFSET(Tbl_Scenarios[[#This Row],[Example]],0,Scenarios!$C$8))</f>
        <v>Glass Fiber</v>
      </c>
    </row>
    <row r="72" spans="1:15" x14ac:dyDescent="0.25">
      <c r="A72" t="s">
        <v>310</v>
      </c>
      <c r="B72" s="343" t="s">
        <v>1234</v>
      </c>
      <c r="C72" s="304" t="str">
        <f>'3. Material'!C15</f>
        <v>No</v>
      </c>
      <c r="D72" s="304" t="s">
        <v>307</v>
      </c>
      <c r="E72" s="304" t="s">
        <v>307</v>
      </c>
      <c r="F72" s="304"/>
      <c r="G72" s="28"/>
      <c r="H72" s="304"/>
      <c r="I72" s="304"/>
      <c r="J72" s="304"/>
      <c r="K72" s="304"/>
      <c r="L72" s="304"/>
      <c r="M72" s="304"/>
      <c r="N72" s="304"/>
      <c r="O72" s="304" t="str">
        <f ca="1">IF(Scenarios!$C$8 = "Example", Tbl_Scenarios[[#This Row],[Example]],OFFSET(Tbl_Scenarios[[#This Row],[Example]],0,Scenarios!$C$8))</f>
        <v>No</v>
      </c>
    </row>
    <row r="73" spans="1:15" x14ac:dyDescent="0.25">
      <c r="A73" t="s">
        <v>14</v>
      </c>
      <c r="B73" s="343" t="s">
        <v>1235</v>
      </c>
      <c r="C73" s="304" t="str">
        <f>'3. Material'!D24</f>
        <v>N/A</v>
      </c>
      <c r="D73" s="304" t="s">
        <v>234</v>
      </c>
      <c r="E73" s="304" t="s">
        <v>1629</v>
      </c>
      <c r="F73" s="304"/>
      <c r="G73" s="28"/>
      <c r="H73" s="304"/>
      <c r="I73" s="304"/>
      <c r="J73" s="304"/>
      <c r="K73" s="304"/>
      <c r="L73" s="304"/>
      <c r="M73" s="304"/>
      <c r="N73" s="304"/>
      <c r="O73" s="304" t="str">
        <f ca="1">IF(Scenarios!$C$8 = "Example", Tbl_Scenarios[[#This Row],[Example]],OFFSET(Tbl_Scenarios[[#This Row],[Example]],0,Scenarios!$C$8))</f>
        <v>N/A</v>
      </c>
    </row>
    <row r="74" spans="1:15" x14ac:dyDescent="0.25">
      <c r="A74" t="s">
        <v>10</v>
      </c>
      <c r="B74" s="343" t="s">
        <v>1236</v>
      </c>
      <c r="C74" s="304" t="str">
        <f>'3. Material'!D25</f>
        <v>Ti6Al4V</v>
      </c>
      <c r="D74" s="304" t="s">
        <v>77</v>
      </c>
      <c r="E74" s="304" t="s">
        <v>123</v>
      </c>
      <c r="F74" s="304"/>
      <c r="G74" s="28"/>
      <c r="H74" s="304"/>
      <c r="I74" s="304"/>
      <c r="J74" s="304"/>
      <c r="K74" s="304"/>
      <c r="L74" s="304"/>
      <c r="M74" s="304"/>
      <c r="N74" s="304"/>
      <c r="O74" s="304" t="str">
        <f ca="1">IF(Scenarios!$C$8 = "Example", Tbl_Scenarios[[#This Row],[Example]],OFFSET(Tbl_Scenarios[[#This Row],[Example]],0,Scenarios!$C$8))</f>
        <v>Ti6Al4V</v>
      </c>
    </row>
    <row r="75" spans="1:15" x14ac:dyDescent="0.25">
      <c r="A75" t="s">
        <v>233</v>
      </c>
      <c r="B75" s="343" t="s">
        <v>1237</v>
      </c>
      <c r="C75" s="304">
        <f>'3. Material'!D26</f>
        <v>0.25</v>
      </c>
      <c r="D75" s="304">
        <v>0.25</v>
      </c>
      <c r="E75" s="304">
        <v>0.25</v>
      </c>
      <c r="F75" s="304"/>
      <c r="G75" s="28"/>
      <c r="H75" s="304"/>
      <c r="I75" s="304"/>
      <c r="J75" s="304"/>
      <c r="K75" s="304"/>
      <c r="L75" s="304"/>
      <c r="M75" s="304"/>
      <c r="N75" s="304"/>
      <c r="O75" s="304">
        <f ca="1">IF(Scenarios!$C$8 = "Example", Tbl_Scenarios[[#This Row],[Example]],OFFSET(Tbl_Scenarios[[#This Row],[Example]],0,Scenarios!$C$8))</f>
        <v>0.25</v>
      </c>
    </row>
    <row r="76" spans="1:15" x14ac:dyDescent="0.25">
      <c r="A76" t="s">
        <v>230</v>
      </c>
      <c r="B76" s="343" t="s">
        <v>1238</v>
      </c>
      <c r="C76" s="304">
        <f>'3. Material'!D27</f>
        <v>1.85</v>
      </c>
      <c r="D76" s="304">
        <v>1.85</v>
      </c>
      <c r="E76" s="304">
        <v>1.85</v>
      </c>
      <c r="F76" s="304"/>
      <c r="G76" s="28"/>
      <c r="H76" s="304"/>
      <c r="I76" s="304"/>
      <c r="J76" s="304"/>
      <c r="K76" s="304"/>
      <c r="L76" s="304"/>
      <c r="M76" s="304"/>
      <c r="N76" s="304"/>
      <c r="O76" s="304">
        <f ca="1">IF(Scenarios!$C$8 = "Example", Tbl_Scenarios[[#This Row],[Example]],OFFSET(Tbl_Scenarios[[#This Row],[Example]],0,Scenarios!$C$8))</f>
        <v>1.85</v>
      </c>
    </row>
    <row r="77" spans="1:15" x14ac:dyDescent="0.25">
      <c r="A77" t="s">
        <v>231</v>
      </c>
      <c r="B77" s="343" t="s">
        <v>1239</v>
      </c>
      <c r="C77" s="304">
        <f>'3. Material'!D28</f>
        <v>2.5</v>
      </c>
      <c r="D77" s="304">
        <v>2.5</v>
      </c>
      <c r="E77" s="304">
        <v>2.5</v>
      </c>
      <c r="F77" s="304"/>
      <c r="G77" s="28"/>
      <c r="H77" s="304"/>
      <c r="I77" s="304"/>
      <c r="J77" s="304"/>
      <c r="K77" s="304"/>
      <c r="L77" s="304"/>
      <c r="M77" s="304"/>
      <c r="N77" s="304"/>
      <c r="O77" s="304">
        <f ca="1">IF(Scenarios!$C$8 = "Example", Tbl_Scenarios[[#This Row],[Example]],OFFSET(Tbl_Scenarios[[#This Row],[Example]],0,Scenarios!$C$8))</f>
        <v>2.5</v>
      </c>
    </row>
    <row r="78" spans="1:15" x14ac:dyDescent="0.25">
      <c r="A78" t="s">
        <v>1225</v>
      </c>
      <c r="B78" s="343" t="s">
        <v>1240</v>
      </c>
      <c r="C78" s="304">
        <f>'3. Material'!D29</f>
        <v>300</v>
      </c>
      <c r="D78" s="304">
        <v>42</v>
      </c>
      <c r="E78" s="449">
        <v>300</v>
      </c>
      <c r="F78" s="304"/>
      <c r="G78" s="453"/>
      <c r="H78" s="304"/>
      <c r="I78" s="304"/>
      <c r="J78" s="304"/>
      <c r="K78" s="304"/>
      <c r="L78" s="304"/>
      <c r="M78" s="304"/>
      <c r="N78" s="304"/>
      <c r="O78" s="304">
        <f ca="1">IF(Scenarios!$C$8 = "Example", Tbl_Scenarios[[#This Row],[Example]],OFFSET(Tbl_Scenarios[[#This Row],[Example]],0,Scenarios!$C$8))</f>
        <v>300</v>
      </c>
    </row>
    <row r="79" spans="1:15" x14ac:dyDescent="0.25">
      <c r="A79" t="s">
        <v>1226</v>
      </c>
      <c r="B79" s="343" t="s">
        <v>1241</v>
      </c>
      <c r="C79" s="304">
        <f>'3. Material'!D30</f>
        <v>4.5060000000000002</v>
      </c>
      <c r="D79" s="304">
        <v>1.0656944444444401</v>
      </c>
      <c r="E79" s="304">
        <v>4.5060000000000002</v>
      </c>
      <c r="F79" s="304"/>
      <c r="G79" s="454"/>
      <c r="H79" s="304"/>
      <c r="I79" s="304"/>
      <c r="J79" s="304"/>
      <c r="K79" s="304"/>
      <c r="L79" s="304"/>
      <c r="M79" s="304"/>
      <c r="N79" s="304"/>
      <c r="O79" s="304">
        <f ca="1">IF(Scenarios!$C$8 = "Example", Tbl_Scenarios[[#This Row],[Example]],OFFSET(Tbl_Scenarios[[#This Row],[Example]],0,Scenarios!$C$8))</f>
        <v>4.5060000000000002</v>
      </c>
    </row>
    <row r="80" spans="1:15" x14ac:dyDescent="0.25">
      <c r="A80" t="s">
        <v>260</v>
      </c>
      <c r="B80" s="343" t="s">
        <v>1355</v>
      </c>
      <c r="C80" s="304" t="str">
        <f>'4. Printing'!C13</f>
        <v>Powder Bed Fusion</v>
      </c>
      <c r="D80" s="304" t="s">
        <v>190</v>
      </c>
      <c r="E80" s="304" t="s">
        <v>16</v>
      </c>
      <c r="F80" s="304"/>
      <c r="G80" s="28"/>
      <c r="H80" s="304"/>
      <c r="I80" s="304"/>
      <c r="J80" s="304"/>
      <c r="K80" s="304"/>
      <c r="L80" s="304"/>
      <c r="M80" s="304"/>
      <c r="N80" s="304"/>
      <c r="O80" s="304" t="str">
        <f ca="1">IF(Scenarios!$C$8 = "Example", Tbl_Scenarios[[#This Row],[Example]],OFFSET(Tbl_Scenarios[[#This Row],[Example]],0,Scenarios!$C$8))</f>
        <v>Powder Bed Fusion</v>
      </c>
    </row>
    <row r="81" spans="1:18" x14ac:dyDescent="0.25">
      <c r="A81" t="s">
        <v>51</v>
      </c>
      <c r="B81" s="343" t="s">
        <v>1606</v>
      </c>
      <c r="C81" s="305">
        <f>'4. Printing'!D25</f>
        <v>350</v>
      </c>
      <c r="D81" s="305">
        <v>250</v>
      </c>
      <c r="E81" s="305">
        <v>350</v>
      </c>
      <c r="F81" s="305"/>
      <c r="G81" s="439"/>
      <c r="H81" s="305"/>
      <c r="I81" s="305"/>
      <c r="J81" s="305"/>
      <c r="K81" s="305"/>
      <c r="L81" s="305"/>
      <c r="M81" s="305"/>
      <c r="N81" s="305"/>
      <c r="O81" s="305">
        <f ca="1">IF(Scenarios!$C$8 = "Example", Tbl_Scenarios[[#This Row],[Example]],OFFSET(Tbl_Scenarios[[#This Row],[Example]],0,Scenarios!$C$8))</f>
        <v>350</v>
      </c>
      <c r="Q81" t="s">
        <v>1636</v>
      </c>
    </row>
    <row r="82" spans="1:18" x14ac:dyDescent="0.25">
      <c r="A82" t="s">
        <v>52</v>
      </c>
      <c r="B82" s="343" t="s">
        <v>1356</v>
      </c>
      <c r="C82" s="305">
        <f>'4. Printing'!D26</f>
        <v>350</v>
      </c>
      <c r="D82" s="305">
        <v>250</v>
      </c>
      <c r="E82" s="305">
        <v>350</v>
      </c>
      <c r="F82" s="305"/>
      <c r="G82" s="439"/>
      <c r="H82" s="305"/>
      <c r="I82" s="305"/>
      <c r="J82" s="305"/>
      <c r="K82" s="305"/>
      <c r="L82" s="305"/>
      <c r="M82" s="305"/>
      <c r="N82" s="305"/>
      <c r="O82" s="305">
        <f ca="1">IF(Scenarios!$C$8 = "Example", Tbl_Scenarios[[#This Row],[Example]],OFFSET(Tbl_Scenarios[[#This Row],[Example]],0,Scenarios!$C$8))</f>
        <v>350</v>
      </c>
      <c r="Q82" t="s">
        <v>1636</v>
      </c>
    </row>
    <row r="83" spans="1:18" x14ac:dyDescent="0.25">
      <c r="A83" t="s">
        <v>58</v>
      </c>
      <c r="B83" s="343" t="s">
        <v>1357</v>
      </c>
      <c r="C83" s="305">
        <f>'4. Printing'!D27</f>
        <v>5</v>
      </c>
      <c r="D83" s="305">
        <v>10</v>
      </c>
      <c r="E83" s="305">
        <v>5</v>
      </c>
      <c r="F83" s="305"/>
      <c r="G83" s="439"/>
      <c r="H83" s="305"/>
      <c r="I83" s="305"/>
      <c r="J83" s="305"/>
      <c r="K83" s="305"/>
      <c r="L83" s="305"/>
      <c r="M83" s="305"/>
      <c r="N83" s="305"/>
      <c r="O83" s="305">
        <f ca="1">IF(Scenarios!$C$8 = "Example", Tbl_Scenarios[[#This Row],[Example]],OFFSET(Tbl_Scenarios[[#This Row],[Example]],0,Scenarios!$C$8))</f>
        <v>5</v>
      </c>
    </row>
    <row r="84" spans="1:18" x14ac:dyDescent="0.25">
      <c r="A84" t="s">
        <v>57</v>
      </c>
      <c r="B84" s="343" t="s">
        <v>1358</v>
      </c>
      <c r="C84" s="305">
        <f>'4. Printing'!D28</f>
        <v>5</v>
      </c>
      <c r="D84" s="305">
        <v>10</v>
      </c>
      <c r="E84" s="305">
        <v>5</v>
      </c>
      <c r="F84" s="305"/>
      <c r="G84" s="439"/>
      <c r="H84" s="305"/>
      <c r="I84" s="305"/>
      <c r="J84" s="305"/>
      <c r="K84" s="305"/>
      <c r="L84" s="305"/>
      <c r="M84" s="305"/>
      <c r="N84" s="305"/>
      <c r="O84" s="305">
        <f ca="1">IF(Scenarios!$C$8 = "Example", Tbl_Scenarios[[#This Row],[Example]],OFFSET(Tbl_Scenarios[[#This Row],[Example]],0,Scenarios!$C$8))</f>
        <v>5</v>
      </c>
    </row>
    <row r="85" spans="1:18" x14ac:dyDescent="0.25">
      <c r="A85" t="s">
        <v>1112</v>
      </c>
      <c r="B85" s="343" t="s">
        <v>1359</v>
      </c>
      <c r="C85" s="293">
        <f>'4. Printing'!D29</f>
        <v>7</v>
      </c>
      <c r="D85" s="293">
        <v>2.5</v>
      </c>
      <c r="E85" s="293">
        <v>7</v>
      </c>
      <c r="F85" s="293"/>
      <c r="G85" s="440"/>
      <c r="H85" s="293"/>
      <c r="I85" s="293"/>
      <c r="J85" s="293"/>
      <c r="K85" s="293"/>
      <c r="L85" s="293"/>
      <c r="M85" s="293"/>
      <c r="N85" s="293"/>
      <c r="O85" s="293">
        <f ca="1">IF(Scenarios!$C$8 = "Example", Tbl_Scenarios[[#This Row],[Example]],OFFSET(Tbl_Scenarios[[#This Row],[Example]],0,Scenarios!$C$8))</f>
        <v>7</v>
      </c>
      <c r="Q85" t="s">
        <v>1636</v>
      </c>
    </row>
    <row r="86" spans="1:18" x14ac:dyDescent="0.25">
      <c r="A86" t="s">
        <v>456</v>
      </c>
      <c r="B86" s="343" t="s">
        <v>1360</v>
      </c>
      <c r="C86" s="293">
        <f>'4. Printing'!D30</f>
        <v>4</v>
      </c>
      <c r="D86" s="293">
        <v>1</v>
      </c>
      <c r="E86" s="293">
        <v>4</v>
      </c>
      <c r="F86" s="293"/>
      <c r="G86" s="440"/>
      <c r="H86" s="293"/>
      <c r="I86" s="293"/>
      <c r="J86" s="293"/>
      <c r="K86" s="293"/>
      <c r="L86" s="293"/>
      <c r="M86" s="293"/>
      <c r="N86" s="293"/>
      <c r="O86" s="293">
        <f ca="1">IF(Scenarios!$C$8 = "Example", Tbl_Scenarios[[#This Row],[Example]],OFFSET(Tbl_Scenarios[[#This Row],[Example]],0,Scenarios!$C$8))</f>
        <v>4</v>
      </c>
      <c r="Q86" t="s">
        <v>1637</v>
      </c>
    </row>
    <row r="87" spans="1:18" x14ac:dyDescent="0.25">
      <c r="A87" t="s">
        <v>55</v>
      </c>
      <c r="B87" s="343" t="s">
        <v>1361</v>
      </c>
      <c r="C87" s="126">
        <f>'4. Printing'!D31</f>
        <v>0.02</v>
      </c>
      <c r="D87" s="126">
        <v>7.4999999999999997E-2</v>
      </c>
      <c r="E87" s="126">
        <v>0.02</v>
      </c>
      <c r="F87" s="126"/>
      <c r="G87" s="441"/>
      <c r="H87" s="126"/>
      <c r="I87" s="126"/>
      <c r="J87" s="126"/>
      <c r="K87" s="126"/>
      <c r="L87" s="126"/>
      <c r="M87" s="126"/>
      <c r="N87" s="126"/>
      <c r="O87" s="126">
        <f ca="1">IF(Scenarios!$C$8 = "Example", Tbl_Scenarios[[#This Row],[Example]],OFFSET(Tbl_Scenarios[[#This Row],[Example]],0,Scenarios!$C$8))</f>
        <v>0.02</v>
      </c>
      <c r="Q87" t="s">
        <v>1638</v>
      </c>
    </row>
    <row r="88" spans="1:18" x14ac:dyDescent="0.25">
      <c r="A88" t="s">
        <v>276</v>
      </c>
      <c r="B88" s="343" t="s">
        <v>1362</v>
      </c>
      <c r="C88" s="293">
        <f>'4. Printing'!D32</f>
        <v>40</v>
      </c>
      <c r="D88" s="293">
        <v>5</v>
      </c>
      <c r="E88" s="434">
        <v>40</v>
      </c>
      <c r="F88" s="293"/>
      <c r="G88" s="440"/>
      <c r="H88" s="293"/>
      <c r="I88" s="293"/>
      <c r="J88" s="293"/>
      <c r="K88" s="293"/>
      <c r="L88" s="293"/>
      <c r="M88" s="293"/>
      <c r="N88" s="293"/>
      <c r="O88" s="293">
        <f ca="1">IF(Scenarios!$C$8 = "Example", Tbl_Scenarios[[#This Row],[Example]],OFFSET(Tbl_Scenarios[[#This Row],[Example]],0,Scenarios!$C$8))</f>
        <v>40</v>
      </c>
      <c r="Q88" t="s">
        <v>1635</v>
      </c>
    </row>
    <row r="89" spans="1:18" x14ac:dyDescent="0.25">
      <c r="A89" t="s">
        <v>54</v>
      </c>
      <c r="B89" s="343" t="s">
        <v>1363</v>
      </c>
      <c r="C89" s="38">
        <f>'4. Printing'!D33</f>
        <v>0.1</v>
      </c>
      <c r="D89" s="38">
        <v>0.2</v>
      </c>
      <c r="E89" s="436">
        <v>0.1</v>
      </c>
      <c r="F89" s="38"/>
      <c r="G89" s="222"/>
      <c r="H89" s="38"/>
      <c r="I89" s="38"/>
      <c r="J89" s="38"/>
      <c r="K89" s="38"/>
      <c r="L89" s="38"/>
      <c r="M89" s="38"/>
      <c r="N89" s="38"/>
      <c r="O89" s="38">
        <f ca="1">IF(Scenarios!$C$8 = "Example", Tbl_Scenarios[[#This Row],[Example]],OFFSET(Tbl_Scenarios[[#This Row],[Example]],0,Scenarios!$C$8))</f>
        <v>0.1</v>
      </c>
    </row>
    <row r="90" spans="1:18" x14ac:dyDescent="0.25">
      <c r="A90" s="1" t="s">
        <v>1598</v>
      </c>
      <c r="B90" s="343" t="s">
        <v>1364</v>
      </c>
      <c r="C90" s="305">
        <f>'4. Printing'!D34</f>
        <v>8</v>
      </c>
      <c r="D90" s="305">
        <v>84</v>
      </c>
      <c r="E90" s="433">
        <v>8</v>
      </c>
      <c r="F90" s="305"/>
      <c r="G90" s="439"/>
      <c r="H90" s="305"/>
      <c r="I90" s="305"/>
      <c r="J90" s="305"/>
      <c r="K90" s="305"/>
      <c r="L90" s="305"/>
      <c r="M90" s="305"/>
      <c r="N90" s="305"/>
      <c r="O90" s="305">
        <f ca="1">IF(Scenarios!$C$8 = "Example", Tbl_Scenarios[[#This Row],[Example]],OFFSET(Tbl_Scenarios[[#This Row],[Example]],0,Scenarios!$C$8))</f>
        <v>8</v>
      </c>
      <c r="Q90" t="s">
        <v>1631</v>
      </c>
      <c r="R90" t="s">
        <v>1639</v>
      </c>
    </row>
    <row r="91" spans="1:18" x14ac:dyDescent="0.25">
      <c r="A91" t="s">
        <v>1578</v>
      </c>
      <c r="B91" s="343" t="s">
        <v>1365</v>
      </c>
      <c r="C91" s="305"/>
      <c r="D91" s="305">
        <v>10</v>
      </c>
      <c r="E91" s="305"/>
      <c r="F91" s="305"/>
      <c r="G91" s="455"/>
      <c r="H91" s="305"/>
      <c r="I91" s="305"/>
      <c r="J91" s="305"/>
      <c r="K91" s="305"/>
      <c r="L91" s="305"/>
      <c r="M91" s="305"/>
      <c r="N91" s="305"/>
      <c r="O91" s="305">
        <f ca="1">IF(Scenarios!$C$8 = "Example", Tbl_Scenarios[[#This Row],[Example]],OFFSET(Tbl_Scenarios[[#This Row],[Example]],0,Scenarios!$C$8))</f>
        <v>0</v>
      </c>
    </row>
    <row r="92" spans="1:18" x14ac:dyDescent="0.25">
      <c r="A92" t="s">
        <v>274</v>
      </c>
      <c r="B92" s="343" t="s">
        <v>1366</v>
      </c>
      <c r="C92" s="307">
        <f>'4. Printing'!D36</f>
        <v>0.14000000000000001</v>
      </c>
      <c r="D92" s="307">
        <v>5.7499999999999996E-2</v>
      </c>
      <c r="E92" s="307">
        <v>0.14000000000000001</v>
      </c>
      <c r="F92" s="307"/>
      <c r="G92" s="442"/>
      <c r="H92" s="307"/>
      <c r="I92" s="307"/>
      <c r="J92" s="307"/>
      <c r="K92" s="307"/>
      <c r="L92" s="307"/>
      <c r="M92" s="307"/>
      <c r="N92" s="307"/>
      <c r="O92" s="307">
        <f ca="1">IF(Scenarios!$C$8 = "Example", Tbl_Scenarios[[#This Row],[Example]],OFFSET(Tbl_Scenarios[[#This Row],[Example]],0,Scenarios!$C$8))</f>
        <v>0.14000000000000001</v>
      </c>
      <c r="Q92" t="s">
        <v>1640</v>
      </c>
    </row>
    <row r="93" spans="1:18" x14ac:dyDescent="0.25">
      <c r="A93" t="s">
        <v>622</v>
      </c>
      <c r="B93" s="343" t="s">
        <v>1367</v>
      </c>
      <c r="C93" s="126">
        <f>'4. Printing'!D37</f>
        <v>0.05</v>
      </c>
      <c r="D93" s="126">
        <v>0.05</v>
      </c>
      <c r="E93" s="435">
        <v>0.05</v>
      </c>
      <c r="F93" s="126"/>
      <c r="G93" s="441"/>
      <c r="H93" s="126"/>
      <c r="I93" s="126"/>
      <c r="J93" s="126"/>
      <c r="K93" s="126"/>
      <c r="L93" s="126"/>
      <c r="M93" s="126"/>
      <c r="N93" s="126"/>
      <c r="O93" s="126">
        <f ca="1">IF(Scenarios!$C$8 = "Example", Tbl_Scenarios[[#This Row],[Example]],OFFSET(Tbl_Scenarios[[#This Row],[Example]],0,Scenarios!$C$8))</f>
        <v>0.05</v>
      </c>
      <c r="Q93" t="s">
        <v>1630</v>
      </c>
    </row>
    <row r="94" spans="1:18" x14ac:dyDescent="0.25">
      <c r="A94" s="344" t="s">
        <v>53</v>
      </c>
      <c r="B94" s="343" t="s">
        <v>1368</v>
      </c>
      <c r="C94" s="305"/>
      <c r="D94" s="305">
        <v>131.1</v>
      </c>
      <c r="E94" s="305"/>
      <c r="F94" s="305"/>
      <c r="G94" s="455"/>
      <c r="H94" s="305"/>
      <c r="I94" s="305"/>
      <c r="J94" s="305"/>
      <c r="K94" s="305"/>
      <c r="L94" s="305"/>
      <c r="M94" s="305"/>
      <c r="N94" s="305"/>
      <c r="O94" s="305">
        <f ca="1">IF(Scenarios!$C$8 = "Example", Tbl_Scenarios[[#This Row],[Example]],OFFSET(Tbl_Scenarios[[#This Row],[Example]],0,Scenarios!$C$8))</f>
        <v>0</v>
      </c>
    </row>
    <row r="95" spans="1:18" x14ac:dyDescent="0.25">
      <c r="A95" s="344" t="s">
        <v>288</v>
      </c>
      <c r="B95" s="345" t="s">
        <v>1369</v>
      </c>
      <c r="C95" s="308">
        <f>'4. Printing'!D46</f>
        <v>250</v>
      </c>
      <c r="D95" s="308">
        <v>280</v>
      </c>
      <c r="E95" s="308">
        <v>250</v>
      </c>
      <c r="F95" s="308"/>
      <c r="G95" s="443"/>
      <c r="H95" s="308"/>
      <c r="I95" s="308"/>
      <c r="J95" s="308"/>
      <c r="K95" s="308"/>
      <c r="L95" s="308"/>
      <c r="M95" s="308"/>
      <c r="N95" s="308"/>
      <c r="O95" s="308">
        <f ca="1">IF(Scenarios!$C$8 = "Example", Tbl_Scenarios[[#This Row],[Example]],OFFSET(Tbl_Scenarios[[#This Row],[Example]],0,Scenarios!$C$8))</f>
        <v>250</v>
      </c>
      <c r="Q95" t="s">
        <v>1641</v>
      </c>
    </row>
    <row r="96" spans="1:18" x14ac:dyDescent="0.25">
      <c r="A96" s="344" t="s">
        <v>287</v>
      </c>
      <c r="B96" s="345" t="s">
        <v>1370</v>
      </c>
      <c r="C96" s="308">
        <f>'4. Printing'!D47</f>
        <v>16</v>
      </c>
      <c r="D96" s="308">
        <v>24</v>
      </c>
      <c r="E96" s="308">
        <v>16</v>
      </c>
      <c r="F96" s="308"/>
      <c r="G96" s="443"/>
      <c r="H96" s="308"/>
      <c r="I96" s="308"/>
      <c r="J96" s="308"/>
      <c r="K96" s="308"/>
      <c r="L96" s="308"/>
      <c r="M96" s="308"/>
      <c r="N96" s="308"/>
      <c r="O96" s="308">
        <f ca="1">IF(Scenarios!$C$8 = "Example", Tbl_Scenarios[[#This Row],[Example]],OFFSET(Tbl_Scenarios[[#This Row],[Example]],0,Scenarios!$C$8))</f>
        <v>16</v>
      </c>
      <c r="Q96" t="s">
        <v>1642</v>
      </c>
    </row>
    <row r="97" spans="1:17" x14ac:dyDescent="0.25">
      <c r="A97" s="344" t="s">
        <v>465</v>
      </c>
      <c r="B97" s="345" t="s">
        <v>1371</v>
      </c>
      <c r="C97" s="308">
        <f>'4. Printing'!D48</f>
        <v>1</v>
      </c>
      <c r="D97" s="308">
        <v>4</v>
      </c>
      <c r="E97" s="308">
        <v>1</v>
      </c>
      <c r="F97" s="308"/>
      <c r="G97" s="443"/>
      <c r="H97" s="308"/>
      <c r="I97" s="308"/>
      <c r="J97" s="308"/>
      <c r="K97" s="308"/>
      <c r="L97" s="308"/>
      <c r="M97" s="308"/>
      <c r="N97" s="308"/>
      <c r="O97" s="308">
        <f ca="1">IF(Scenarios!$C$8 = "Example", Tbl_Scenarios[[#This Row],[Example]],OFFSET(Tbl_Scenarios[[#This Row],[Example]],0,Scenarios!$C$8))</f>
        <v>1</v>
      </c>
    </row>
    <row r="98" spans="1:17" x14ac:dyDescent="0.25">
      <c r="A98" s="344" t="s">
        <v>297</v>
      </c>
      <c r="B98" s="345" t="s">
        <v>1372</v>
      </c>
      <c r="C98" s="308">
        <f>'4. Printing'!D49</f>
        <v>100</v>
      </c>
      <c r="D98" s="308">
        <v>200</v>
      </c>
      <c r="E98" s="308">
        <v>100</v>
      </c>
      <c r="F98" s="308"/>
      <c r="G98" s="443"/>
      <c r="H98" s="308"/>
      <c r="I98" s="308"/>
      <c r="J98" s="308"/>
      <c r="K98" s="308"/>
      <c r="L98" s="308"/>
      <c r="M98" s="308"/>
      <c r="N98" s="308"/>
      <c r="O98" s="308">
        <f ca="1">IF(Scenarios!$C$8 = "Example", Tbl_Scenarios[[#This Row],[Example]],OFFSET(Tbl_Scenarios[[#This Row],[Example]],0,Scenarios!$C$8))</f>
        <v>100</v>
      </c>
      <c r="Q98" t="s">
        <v>1632</v>
      </c>
    </row>
    <row r="99" spans="1:17" x14ac:dyDescent="0.25">
      <c r="A99" s="344" t="s">
        <v>317</v>
      </c>
      <c r="B99" s="345" t="s">
        <v>1373</v>
      </c>
      <c r="C99" s="302">
        <f>'4. Printing'!D50</f>
        <v>1</v>
      </c>
      <c r="D99" s="302">
        <v>1</v>
      </c>
      <c r="E99" s="302">
        <v>1</v>
      </c>
      <c r="F99" s="302"/>
      <c r="G99" s="444"/>
      <c r="H99" s="302"/>
      <c r="I99" s="302"/>
      <c r="J99" s="302"/>
      <c r="K99" s="302"/>
      <c r="L99" s="302"/>
      <c r="M99" s="302"/>
      <c r="N99" s="302"/>
      <c r="O99" s="302">
        <f ca="1">IF(Scenarios!$C$8 = "Example", Tbl_Scenarios[[#This Row],[Example]],OFFSET(Tbl_Scenarios[[#This Row],[Example]],0,Scenarios!$C$8))</f>
        <v>1</v>
      </c>
    </row>
    <row r="100" spans="1:17" x14ac:dyDescent="0.25">
      <c r="A100" s="344" t="s">
        <v>327</v>
      </c>
      <c r="B100" s="345" t="s">
        <v>1374</v>
      </c>
      <c r="C100" s="126">
        <f>'4. Printing'!D51</f>
        <v>0.25</v>
      </c>
      <c r="D100" s="126">
        <v>0.25</v>
      </c>
      <c r="E100" s="126">
        <v>0.25</v>
      </c>
      <c r="F100" s="126"/>
      <c r="G100" s="441"/>
      <c r="H100" s="126"/>
      <c r="I100" s="126"/>
      <c r="J100" s="126"/>
      <c r="K100" s="126"/>
      <c r="L100" s="126"/>
      <c r="M100" s="126"/>
      <c r="N100" s="126"/>
      <c r="O100" s="126">
        <f ca="1">IF(Scenarios!$C$8 = "Example", Tbl_Scenarios[[#This Row],[Example]],OFFSET(Tbl_Scenarios[[#This Row],[Example]],0,Scenarios!$C$8))</f>
        <v>0.25</v>
      </c>
    </row>
    <row r="101" spans="1:17" x14ac:dyDescent="0.25">
      <c r="A101" s="344" t="s">
        <v>463</v>
      </c>
      <c r="B101" s="345" t="s">
        <v>1375</v>
      </c>
      <c r="C101" s="308">
        <f>'4. Printing'!D52</f>
        <v>1</v>
      </c>
      <c r="D101" s="308">
        <v>10</v>
      </c>
      <c r="E101" s="308">
        <v>1</v>
      </c>
      <c r="F101" s="308"/>
      <c r="G101" s="443"/>
      <c r="H101" s="308"/>
      <c r="I101" s="308"/>
      <c r="J101" s="308"/>
      <c r="K101" s="308"/>
      <c r="L101" s="308"/>
      <c r="M101" s="308"/>
      <c r="N101" s="308"/>
      <c r="O101" s="308">
        <f ca="1">IF(Scenarios!$C$8 = "Example", Tbl_Scenarios[[#This Row],[Example]],OFFSET(Tbl_Scenarios[[#This Row],[Example]],0,Scenarios!$C$8))</f>
        <v>1</v>
      </c>
    </row>
    <row r="102" spans="1:17" x14ac:dyDescent="0.25">
      <c r="A102" s="344" t="s">
        <v>281</v>
      </c>
      <c r="B102" s="345" t="s">
        <v>1376</v>
      </c>
      <c r="C102" s="302">
        <f>'4. Printing'!D53</f>
        <v>2</v>
      </c>
      <c r="D102" s="302">
        <v>2</v>
      </c>
      <c r="E102" s="302">
        <v>2</v>
      </c>
      <c r="F102" s="302"/>
      <c r="G102" s="444"/>
      <c r="H102" s="302"/>
      <c r="I102" s="302"/>
      <c r="J102" s="302"/>
      <c r="K102" s="302"/>
      <c r="L102" s="302"/>
      <c r="M102" s="302"/>
      <c r="N102" s="302"/>
      <c r="O102" s="302">
        <f ca="1">IF(Scenarios!$C$8 = "Example", Tbl_Scenarios[[#This Row],[Example]],OFFSET(Tbl_Scenarios[[#This Row],[Example]],0,Scenarios!$C$8))</f>
        <v>2</v>
      </c>
    </row>
    <row r="103" spans="1:17" x14ac:dyDescent="0.25">
      <c r="A103" s="344" t="s">
        <v>293</v>
      </c>
      <c r="B103" s="345" t="s">
        <v>1377</v>
      </c>
      <c r="C103" s="302">
        <f>'4. Printing'!D54</f>
        <v>2</v>
      </c>
      <c r="D103" s="302">
        <v>2</v>
      </c>
      <c r="E103" s="302">
        <v>2</v>
      </c>
      <c r="F103" s="302"/>
      <c r="G103" s="444"/>
      <c r="H103" s="302"/>
      <c r="I103" s="302"/>
      <c r="J103" s="302"/>
      <c r="K103" s="302"/>
      <c r="L103" s="302"/>
      <c r="M103" s="302"/>
      <c r="N103" s="302"/>
      <c r="O103" s="302">
        <f ca="1">IF(Scenarios!$C$8 = "Example", Tbl_Scenarios[[#This Row],[Example]],OFFSET(Tbl_Scenarios[[#This Row],[Example]],0,Scenarios!$C$8))</f>
        <v>2</v>
      </c>
    </row>
    <row r="104" spans="1:17" x14ac:dyDescent="0.25">
      <c r="A104" s="344" t="s">
        <v>326</v>
      </c>
      <c r="B104" s="345" t="s">
        <v>1378</v>
      </c>
      <c r="C104" s="303">
        <f>'4. Printing'!D55</f>
        <v>0.25</v>
      </c>
      <c r="D104" s="303">
        <v>0.25</v>
      </c>
      <c r="E104" s="303">
        <v>0.25</v>
      </c>
      <c r="F104" s="303"/>
      <c r="G104" s="104"/>
      <c r="H104" s="303"/>
      <c r="I104" s="303"/>
      <c r="J104" s="303"/>
      <c r="K104" s="303"/>
      <c r="L104" s="303"/>
      <c r="M104" s="303"/>
      <c r="N104" s="303"/>
      <c r="O104" s="303">
        <f ca="1">IF(Scenarios!$C$8 = "Example", Tbl_Scenarios[[#This Row],[Example]],OFFSET(Tbl_Scenarios[[#This Row],[Example]],0,Scenarios!$C$8))</f>
        <v>0.25</v>
      </c>
    </row>
    <row r="105" spans="1:17" x14ac:dyDescent="0.25">
      <c r="A105" s="344" t="s">
        <v>56</v>
      </c>
      <c r="B105" s="345" t="s">
        <v>1379</v>
      </c>
      <c r="C105" s="126">
        <f>'4. Printing'!D56</f>
        <v>0.9</v>
      </c>
      <c r="D105" s="126">
        <v>0.9</v>
      </c>
      <c r="E105" s="126">
        <v>0.9</v>
      </c>
      <c r="F105" s="126"/>
      <c r="G105" s="441"/>
      <c r="H105" s="126"/>
      <c r="I105" s="126"/>
      <c r="J105" s="126"/>
      <c r="K105" s="126"/>
      <c r="L105" s="126"/>
      <c r="M105" s="126"/>
      <c r="N105" s="126"/>
      <c r="O105" s="126">
        <f ca="1">IF(Scenarios!$C$8 = "Example", Tbl_Scenarios[[#This Row],[Example]],OFFSET(Tbl_Scenarios[[#This Row],[Example]],0,Scenarios!$C$8))</f>
        <v>0.9</v>
      </c>
    </row>
    <row r="106" spans="1:17" x14ac:dyDescent="0.25">
      <c r="A106" s="344" t="s">
        <v>462</v>
      </c>
      <c r="B106" s="345" t="s">
        <v>1380</v>
      </c>
      <c r="C106" s="303">
        <f>'4. Printing'!D57</f>
        <v>500</v>
      </c>
      <c r="D106" s="303">
        <v>500</v>
      </c>
      <c r="E106" s="303">
        <v>500</v>
      </c>
      <c r="F106" s="303"/>
      <c r="G106" s="104"/>
      <c r="H106" s="303"/>
      <c r="I106" s="303"/>
      <c r="J106" s="303"/>
      <c r="K106" s="303"/>
      <c r="L106" s="303"/>
      <c r="M106" s="303"/>
      <c r="N106" s="303"/>
      <c r="O106" s="303">
        <f ca="1">IF(Scenarios!$C$8 = "Example", Tbl_Scenarios[[#This Row],[Example]],OFFSET(Tbl_Scenarios[[#This Row],[Example]],0,Scenarios!$C$8))</f>
        <v>500</v>
      </c>
    </row>
    <row r="107" spans="1:17" x14ac:dyDescent="0.25">
      <c r="A107" s="344" t="s">
        <v>24</v>
      </c>
      <c r="B107" s="345" t="s">
        <v>1381</v>
      </c>
      <c r="C107" s="309">
        <f>'4. Printing'!D58</f>
        <v>750000</v>
      </c>
      <c r="D107" s="309">
        <v>1000000</v>
      </c>
      <c r="E107" s="309">
        <v>750000</v>
      </c>
      <c r="F107" s="309"/>
      <c r="G107" s="445"/>
      <c r="H107" s="309"/>
      <c r="I107" s="309"/>
      <c r="J107" s="309"/>
      <c r="K107" s="309"/>
      <c r="L107" s="309"/>
      <c r="M107" s="309"/>
      <c r="N107" s="309"/>
      <c r="O107" s="309">
        <f ca="1">IF(Scenarios!$C$8 = "Example", Tbl_Scenarios[[#This Row],[Example]],OFFSET(Tbl_Scenarios[[#This Row],[Example]],0,Scenarios!$C$8))</f>
        <v>750000</v>
      </c>
    </row>
    <row r="108" spans="1:17" x14ac:dyDescent="0.25">
      <c r="A108" s="344" t="s">
        <v>266</v>
      </c>
      <c r="B108" s="345" t="s">
        <v>1607</v>
      </c>
      <c r="C108" s="309">
        <f>'4. Printing'!D59</f>
        <v>1000</v>
      </c>
      <c r="D108" s="309">
        <v>1000</v>
      </c>
      <c r="E108" s="309">
        <v>1000</v>
      </c>
      <c r="F108" s="309"/>
      <c r="G108" s="445"/>
      <c r="H108" s="309"/>
      <c r="I108" s="309"/>
      <c r="J108" s="309"/>
      <c r="K108" s="309"/>
      <c r="L108" s="309"/>
      <c r="M108" s="309"/>
      <c r="N108" s="309"/>
      <c r="O108" s="309">
        <f ca="1">IF(Scenarios!$C$8 = "Example", Tbl_Scenarios[[#This Row],[Example]],OFFSET(Tbl_Scenarios[[#This Row],[Example]],0,Scenarios!$C$8))</f>
        <v>1000</v>
      </c>
    </row>
    <row r="109" spans="1:17" x14ac:dyDescent="0.25">
      <c r="A109" s="344" t="s">
        <v>318</v>
      </c>
      <c r="B109" s="345" t="s">
        <v>1625</v>
      </c>
      <c r="C109" s="309">
        <f>'4. Printing'!D60</f>
        <v>75000</v>
      </c>
      <c r="D109" s="309">
        <v>32000</v>
      </c>
      <c r="E109" s="309">
        <v>75000</v>
      </c>
      <c r="F109" s="309"/>
      <c r="G109" s="445"/>
      <c r="H109" s="309"/>
      <c r="I109" s="309"/>
      <c r="J109" s="309"/>
      <c r="K109" s="309"/>
      <c r="L109" s="309"/>
      <c r="M109" s="309"/>
      <c r="N109" s="309"/>
      <c r="O109" s="309">
        <f ca="1">IF(Scenarios!$C$8 = "Example", Tbl_Scenarios[[#This Row],[Example]],OFFSET(Tbl_Scenarios[[#This Row],[Example]],0,Scenarios!$C$8))</f>
        <v>75000</v>
      </c>
    </row>
    <row r="110" spans="1:17" x14ac:dyDescent="0.25">
      <c r="A110" s="346" t="s">
        <v>1137</v>
      </c>
      <c r="B110" s="345" t="s">
        <v>1608</v>
      </c>
      <c r="C110" s="309" t="b">
        <f>'PP Backend'!F11</f>
        <v>1</v>
      </c>
      <c r="D110" s="309" t="b">
        <v>1</v>
      </c>
      <c r="E110" s="309" t="b">
        <v>1</v>
      </c>
      <c r="F110" s="309"/>
      <c r="G110" s="445"/>
      <c r="H110" s="309"/>
      <c r="I110" s="309"/>
      <c r="J110" s="309"/>
      <c r="K110" s="309"/>
      <c r="L110" s="309"/>
      <c r="M110" s="309"/>
      <c r="N110" s="309"/>
      <c r="O110" s="309" t="b">
        <f ca="1">IF(Scenarios!$C$8 = "Example", Tbl_Scenarios[[#This Row],[Example]],OFFSET(Tbl_Scenarios[[#This Row],[Example]],0,Scenarios!$C$8))</f>
        <v>1</v>
      </c>
    </row>
    <row r="111" spans="1:17" x14ac:dyDescent="0.25">
      <c r="A111" s="344" t="s">
        <v>352</v>
      </c>
      <c r="B111" s="345" t="s">
        <v>1382</v>
      </c>
      <c r="C111" s="308">
        <f>'5. Post Processing'!D16</f>
        <v>36</v>
      </c>
      <c r="D111" s="308">
        <v>10</v>
      </c>
      <c r="E111" s="308">
        <v>36</v>
      </c>
      <c r="F111" s="308"/>
      <c r="G111" s="443"/>
      <c r="H111" s="308"/>
      <c r="I111" s="308"/>
      <c r="J111" s="308"/>
      <c r="K111" s="308"/>
      <c r="L111" s="308"/>
      <c r="M111" s="308"/>
      <c r="N111" s="308"/>
      <c r="O111" s="308">
        <f ca="1">IF(Scenarios!$C$8 = "Example", Tbl_Scenarios[[#This Row],[Example]],OFFSET(Tbl_Scenarios[[#This Row],[Example]],0,Scenarios!$C$8))</f>
        <v>36</v>
      </c>
    </row>
    <row r="112" spans="1:17" x14ac:dyDescent="0.25">
      <c r="A112" s="344" t="s">
        <v>26</v>
      </c>
      <c r="B112" s="345" t="s">
        <v>1383</v>
      </c>
      <c r="C112" s="303"/>
      <c r="D112" s="303">
        <v>6.3109999999999999E-2</v>
      </c>
      <c r="E112" s="303"/>
      <c r="F112" s="303"/>
      <c r="G112" s="450"/>
      <c r="H112" s="303"/>
      <c r="I112" s="303"/>
      <c r="J112" s="303"/>
      <c r="K112" s="303"/>
      <c r="L112" s="303"/>
      <c r="M112" s="303"/>
      <c r="N112" s="303"/>
      <c r="O112" s="303">
        <f ca="1">IF(Scenarios!$C$8 = "Example", Tbl_Scenarios[[#This Row],[Example]],OFFSET(Tbl_Scenarios[[#This Row],[Example]],0,Scenarios!$C$8))</f>
        <v>0</v>
      </c>
      <c r="Q112" t="s">
        <v>1633</v>
      </c>
    </row>
    <row r="113" spans="1:17" x14ac:dyDescent="0.25">
      <c r="A113" s="344" t="s">
        <v>356</v>
      </c>
      <c r="B113" s="345" t="s">
        <v>1384</v>
      </c>
      <c r="C113" s="303">
        <f>'5. Post Processing'!D18</f>
        <v>17</v>
      </c>
      <c r="D113" s="303">
        <v>10</v>
      </c>
      <c r="E113" s="303">
        <v>17</v>
      </c>
      <c r="F113" s="303"/>
      <c r="G113" s="104"/>
      <c r="H113" s="303"/>
      <c r="I113" s="303"/>
      <c r="J113" s="303"/>
      <c r="K113" s="303"/>
      <c r="L113" s="303"/>
      <c r="M113" s="303"/>
      <c r="N113" s="303"/>
      <c r="O113" s="303">
        <f ca="1">IF(Scenarios!$C$8 = "Example", Tbl_Scenarios[[#This Row],[Example]],OFFSET(Tbl_Scenarios[[#This Row],[Example]],0,Scenarios!$C$8))</f>
        <v>17</v>
      </c>
      <c r="Q113" t="s">
        <v>1651</v>
      </c>
    </row>
    <row r="114" spans="1:17" x14ac:dyDescent="0.25">
      <c r="A114" s="344" t="s">
        <v>1567</v>
      </c>
      <c r="B114" s="345" t="s">
        <v>1385</v>
      </c>
      <c r="C114" s="303">
        <f>'5. Post Processing'!D19</f>
        <v>5</v>
      </c>
      <c r="D114" s="303">
        <v>12</v>
      </c>
      <c r="E114" s="303">
        <v>5</v>
      </c>
      <c r="F114" s="303"/>
      <c r="G114" s="104"/>
      <c r="H114" s="303"/>
      <c r="I114" s="303"/>
      <c r="J114" s="303"/>
      <c r="K114" s="303"/>
      <c r="L114" s="303"/>
      <c r="M114" s="303"/>
      <c r="N114" s="303"/>
      <c r="O114" s="303">
        <f ca="1">IF(Scenarios!$C$8 = "Example", Tbl_Scenarios[[#This Row],[Example]],OFFSET(Tbl_Scenarios[[#This Row],[Example]],0,Scenarios!$C$8))</f>
        <v>5</v>
      </c>
    </row>
    <row r="115" spans="1:17" x14ac:dyDescent="0.25">
      <c r="A115" s="344" t="s">
        <v>354</v>
      </c>
      <c r="B115" s="345" t="s">
        <v>1386</v>
      </c>
      <c r="C115" s="303">
        <f>'5. Post Processing'!D20</f>
        <v>0</v>
      </c>
      <c r="D115" s="303">
        <v>5</v>
      </c>
      <c r="E115" s="437">
        <v>0</v>
      </c>
      <c r="F115" s="303"/>
      <c r="G115" s="104"/>
      <c r="H115" s="303"/>
      <c r="I115" s="303"/>
      <c r="J115" s="303"/>
      <c r="K115" s="303"/>
      <c r="L115" s="303"/>
      <c r="M115" s="303"/>
      <c r="N115" s="303"/>
      <c r="O115" s="303">
        <f ca="1">IF(Scenarios!$C$8 = "Example", Tbl_Scenarios[[#This Row],[Example]],OFFSET(Tbl_Scenarios[[#This Row],[Example]],0,Scenarios!$C$8))</f>
        <v>0</v>
      </c>
    </row>
    <row r="116" spans="1:17" x14ac:dyDescent="0.25">
      <c r="A116" s="344" t="s">
        <v>355</v>
      </c>
      <c r="B116" s="345" t="s">
        <v>1579</v>
      </c>
      <c r="C116" s="303">
        <v>22.85</v>
      </c>
      <c r="D116" s="303">
        <v>17</v>
      </c>
      <c r="E116" s="303">
        <v>22.85</v>
      </c>
      <c r="F116" s="303"/>
      <c r="G116" s="104"/>
      <c r="H116" s="303"/>
      <c r="I116" s="303"/>
      <c r="J116" s="303"/>
      <c r="K116" s="303"/>
      <c r="L116" s="303"/>
      <c r="M116" s="303"/>
      <c r="N116" s="303"/>
      <c r="O116" s="303">
        <f ca="1">IF(Scenarios!$C$8 = "Example", Tbl_Scenarios[[#This Row],[Example]],OFFSET(Tbl_Scenarios[[#This Row],[Example]],0,Scenarios!$C$8))</f>
        <v>22.85</v>
      </c>
      <c r="Q116" t="s">
        <v>1647</v>
      </c>
    </row>
    <row r="117" spans="1:17" x14ac:dyDescent="0.25">
      <c r="A117" s="344" t="s">
        <v>288</v>
      </c>
      <c r="B117" s="345" t="s">
        <v>1387</v>
      </c>
      <c r="C117" s="304">
        <f>'5. Post Processing'!D25</f>
        <v>250</v>
      </c>
      <c r="D117" s="304">
        <v>280</v>
      </c>
      <c r="E117" s="304">
        <v>250</v>
      </c>
      <c r="F117" s="304"/>
      <c r="G117" s="28"/>
      <c r="H117" s="304"/>
      <c r="I117" s="304"/>
      <c r="J117" s="304"/>
      <c r="K117" s="304"/>
      <c r="L117" s="304"/>
      <c r="M117" s="304"/>
      <c r="N117" s="304"/>
      <c r="O117" s="304">
        <f ca="1">IF(Scenarios!$C$8 = "Example", Tbl_Scenarios[[#This Row],[Example]],OFFSET(Tbl_Scenarios[[#This Row],[Example]],0,Scenarios!$C$8))</f>
        <v>250</v>
      </c>
    </row>
    <row r="118" spans="1:17" x14ac:dyDescent="0.25">
      <c r="A118" s="344" t="s">
        <v>287</v>
      </c>
      <c r="B118" s="345" t="s">
        <v>1388</v>
      </c>
      <c r="C118" s="304">
        <f>'5. Post Processing'!D26</f>
        <v>16</v>
      </c>
      <c r="D118" s="304">
        <v>24</v>
      </c>
      <c r="E118" s="304">
        <v>16</v>
      </c>
      <c r="F118" s="304"/>
      <c r="G118" s="28"/>
      <c r="H118" s="304"/>
      <c r="I118" s="304"/>
      <c r="J118" s="304"/>
      <c r="K118" s="304"/>
      <c r="L118" s="304"/>
      <c r="M118" s="304"/>
      <c r="N118" s="304"/>
      <c r="O118" s="304">
        <f ca="1">IF(Scenarios!$C$8 = "Example", Tbl_Scenarios[[#This Row],[Example]],OFFSET(Tbl_Scenarios[[#This Row],[Example]],0,Scenarios!$C$8))</f>
        <v>16</v>
      </c>
    </row>
    <row r="119" spans="1:17" x14ac:dyDescent="0.25">
      <c r="A119" s="344" t="s">
        <v>1140</v>
      </c>
      <c r="B119" s="345" t="s">
        <v>1389</v>
      </c>
      <c r="C119" s="304">
        <f>'5. Post Processing'!D27</f>
        <v>1</v>
      </c>
      <c r="D119" s="304">
        <v>1</v>
      </c>
      <c r="E119" s="304">
        <v>1</v>
      </c>
      <c r="F119" s="304"/>
      <c r="G119" s="28"/>
      <c r="H119" s="304"/>
      <c r="I119" s="304"/>
      <c r="J119" s="304"/>
      <c r="K119" s="304"/>
      <c r="L119" s="304"/>
      <c r="M119" s="304"/>
      <c r="N119" s="304"/>
      <c r="O119" s="304">
        <f ca="1">IF(Scenarios!$C$8 = "Example", Tbl_Scenarios[[#This Row],[Example]],OFFSET(Tbl_Scenarios[[#This Row],[Example]],0,Scenarios!$C$8))</f>
        <v>1</v>
      </c>
    </row>
    <row r="120" spans="1:17" x14ac:dyDescent="0.25">
      <c r="A120" s="344" t="s">
        <v>297</v>
      </c>
      <c r="B120" s="345" t="s">
        <v>1390</v>
      </c>
      <c r="C120" s="304">
        <f>'5. Post Processing'!D28</f>
        <v>100</v>
      </c>
      <c r="D120" s="304">
        <v>200</v>
      </c>
      <c r="E120" s="304">
        <v>100</v>
      </c>
      <c r="F120" s="304"/>
      <c r="G120" s="28"/>
      <c r="H120" s="304"/>
      <c r="I120" s="304"/>
      <c r="J120" s="304"/>
      <c r="K120" s="304"/>
      <c r="L120" s="304"/>
      <c r="M120" s="304"/>
      <c r="N120" s="304"/>
      <c r="O120" s="304">
        <f ca="1">IF(Scenarios!$C$8 = "Example", Tbl_Scenarios[[#This Row],[Example]],OFFSET(Tbl_Scenarios[[#This Row],[Example]],0,Scenarios!$C$8))</f>
        <v>100</v>
      </c>
    </row>
    <row r="121" spans="1:17" x14ac:dyDescent="0.25">
      <c r="A121" s="344" t="s">
        <v>1136</v>
      </c>
      <c r="B121" s="345" t="s">
        <v>1391</v>
      </c>
      <c r="C121" s="304">
        <f>'5. Post Processing'!D29</f>
        <v>1</v>
      </c>
      <c r="D121" s="304">
        <v>1</v>
      </c>
      <c r="E121" s="304">
        <v>1</v>
      </c>
      <c r="F121" s="304"/>
      <c r="G121" s="28"/>
      <c r="H121" s="304"/>
      <c r="I121" s="304"/>
      <c r="J121" s="304"/>
      <c r="K121" s="304"/>
      <c r="L121" s="304"/>
      <c r="M121" s="304"/>
      <c r="N121" s="304"/>
      <c r="O121" s="304">
        <f ca="1">IF(Scenarios!$C$8 = "Example", Tbl_Scenarios[[#This Row],[Example]],OFFSET(Tbl_Scenarios[[#This Row],[Example]],0,Scenarios!$C$8))</f>
        <v>1</v>
      </c>
    </row>
    <row r="122" spans="1:17" x14ac:dyDescent="0.25">
      <c r="A122" s="344" t="s">
        <v>1153</v>
      </c>
      <c r="B122" s="345" t="s">
        <v>1392</v>
      </c>
      <c r="C122" s="304">
        <f>'5. Post Processing'!D30</f>
        <v>0.25</v>
      </c>
      <c r="D122" s="304">
        <v>0.25</v>
      </c>
      <c r="E122" s="304">
        <v>0.25</v>
      </c>
      <c r="F122" s="304"/>
      <c r="G122" s="28"/>
      <c r="H122" s="304"/>
      <c r="I122" s="304"/>
      <c r="J122" s="304"/>
      <c r="K122" s="304"/>
      <c r="L122" s="304"/>
      <c r="M122" s="304"/>
      <c r="N122" s="304"/>
      <c r="O122" s="304">
        <f ca="1">IF(Scenarios!$C$8 = "Example", Tbl_Scenarios[[#This Row],[Example]],OFFSET(Tbl_Scenarios[[#This Row],[Example]],0,Scenarios!$C$8))</f>
        <v>0.25</v>
      </c>
    </row>
    <row r="123" spans="1:17" x14ac:dyDescent="0.25">
      <c r="A123" s="344" t="s">
        <v>281</v>
      </c>
      <c r="B123" s="345" t="s">
        <v>1393</v>
      </c>
      <c r="C123" s="303">
        <f>'5. Post Processing'!D31</f>
        <v>2</v>
      </c>
      <c r="D123" s="303">
        <v>1</v>
      </c>
      <c r="E123" s="303">
        <v>2</v>
      </c>
      <c r="F123" s="303"/>
      <c r="G123" s="104"/>
      <c r="H123" s="303"/>
      <c r="I123" s="303"/>
      <c r="J123" s="303"/>
      <c r="K123" s="303"/>
      <c r="L123" s="303"/>
      <c r="M123" s="303"/>
      <c r="N123" s="303"/>
      <c r="O123" s="303">
        <f ca="1">IF(Scenarios!$C$8 = "Example", Tbl_Scenarios[[#This Row],[Example]],OFFSET(Tbl_Scenarios[[#This Row],[Example]],0,Scenarios!$C$8))</f>
        <v>2</v>
      </c>
    </row>
    <row r="124" spans="1:17" x14ac:dyDescent="0.25">
      <c r="A124" s="344" t="s">
        <v>293</v>
      </c>
      <c r="B124" s="345" t="s">
        <v>1394</v>
      </c>
      <c r="C124" s="303">
        <f>'5. Post Processing'!D32</f>
        <v>2</v>
      </c>
      <c r="D124" s="303">
        <v>1</v>
      </c>
      <c r="E124" s="303">
        <v>2</v>
      </c>
      <c r="F124" s="303"/>
      <c r="G124" s="104"/>
      <c r="H124" s="303"/>
      <c r="I124" s="303"/>
      <c r="J124" s="303"/>
      <c r="K124" s="303"/>
      <c r="L124" s="303"/>
      <c r="M124" s="303"/>
      <c r="N124" s="303"/>
      <c r="O124" s="303">
        <f ca="1">IF(Scenarios!$C$8 = "Example", Tbl_Scenarios[[#This Row],[Example]],OFFSET(Tbl_Scenarios[[#This Row],[Example]],0,Scenarios!$C$8))</f>
        <v>2</v>
      </c>
    </row>
    <row r="125" spans="1:17" x14ac:dyDescent="0.25">
      <c r="A125" s="344" t="s">
        <v>359</v>
      </c>
      <c r="B125" s="345" t="s">
        <v>1395</v>
      </c>
      <c r="C125" s="126">
        <f>'5. Post Processing'!D33</f>
        <v>0.9</v>
      </c>
      <c r="D125" s="126">
        <v>0.9</v>
      </c>
      <c r="E125" s="126">
        <v>0.9</v>
      </c>
      <c r="F125" s="126"/>
      <c r="G125" s="441"/>
      <c r="H125" s="126"/>
      <c r="I125" s="126"/>
      <c r="J125" s="126"/>
      <c r="K125" s="126"/>
      <c r="L125" s="126"/>
      <c r="M125" s="126"/>
      <c r="N125" s="126"/>
      <c r="O125" s="126">
        <f ca="1">IF(Scenarios!$C$8 = "Example", Tbl_Scenarios[[#This Row],[Example]],OFFSET(Tbl_Scenarios[[#This Row],[Example]],0,Scenarios!$C$8))</f>
        <v>0.9</v>
      </c>
    </row>
    <row r="126" spans="1:17" x14ac:dyDescent="0.25">
      <c r="A126" s="344" t="s">
        <v>24</v>
      </c>
      <c r="B126" s="345" t="s">
        <v>1396</v>
      </c>
      <c r="C126" s="309">
        <f>'5. Post Processing'!D34</f>
        <v>2500000</v>
      </c>
      <c r="D126" s="309">
        <v>25000</v>
      </c>
      <c r="E126" s="309">
        <v>2500000</v>
      </c>
      <c r="F126" s="309"/>
      <c r="G126" s="445"/>
      <c r="H126" s="309"/>
      <c r="I126" s="309"/>
      <c r="J126" s="309"/>
      <c r="K126" s="309"/>
      <c r="L126" s="309"/>
      <c r="M126" s="309"/>
      <c r="N126" s="309"/>
      <c r="O126" s="309">
        <f ca="1">IF(Scenarios!$C$8 = "Example", Tbl_Scenarios[[#This Row],[Example]],OFFSET(Tbl_Scenarios[[#This Row],[Example]],0,Scenarios!$C$8))</f>
        <v>2500000</v>
      </c>
    </row>
    <row r="127" spans="1:17" x14ac:dyDescent="0.25">
      <c r="A127" s="344" t="s">
        <v>257</v>
      </c>
      <c r="B127" s="345" t="s">
        <v>1609</v>
      </c>
      <c r="C127" s="309">
        <f>'5. Post Processing'!D35</f>
        <v>250000</v>
      </c>
      <c r="D127" s="309">
        <v>5000</v>
      </c>
      <c r="E127" s="309">
        <v>250000</v>
      </c>
      <c r="F127" s="309"/>
      <c r="G127" s="445"/>
      <c r="H127" s="309"/>
      <c r="I127" s="309"/>
      <c r="J127" s="309"/>
      <c r="K127" s="309"/>
      <c r="L127" s="309"/>
      <c r="M127" s="309"/>
      <c r="N127" s="309"/>
      <c r="O127" s="309">
        <f ca="1">IF(Scenarios!$C$8 = "Example", Tbl_Scenarios[[#This Row],[Example]],OFFSET(Tbl_Scenarios[[#This Row],[Example]],0,Scenarios!$C$8))</f>
        <v>250000</v>
      </c>
    </row>
    <row r="128" spans="1:17" x14ac:dyDescent="0.25">
      <c r="A128" s="346" t="s">
        <v>1397</v>
      </c>
      <c r="B128" s="345" t="s">
        <v>1610</v>
      </c>
      <c r="C128" s="304" t="b">
        <f>'MCN Backend'!F15</f>
        <v>1</v>
      </c>
      <c r="D128" s="304" t="b">
        <v>1</v>
      </c>
      <c r="E128" s="304" t="b">
        <v>1</v>
      </c>
      <c r="F128" s="304"/>
      <c r="G128" s="28"/>
      <c r="H128" s="304"/>
      <c r="I128" s="304"/>
      <c r="J128" s="304"/>
      <c r="K128" s="304"/>
      <c r="L128" s="304"/>
      <c r="M128" s="304"/>
      <c r="N128" s="304"/>
      <c r="O128" s="304" t="b">
        <f ca="1">IF(Scenarios!$C$8 = "Example", Tbl_Scenarios[[#This Row],[Example]],OFFSET(Tbl_Scenarios[[#This Row],[Example]],0,Scenarios!$C$8))</f>
        <v>1</v>
      </c>
    </row>
    <row r="129" spans="1:17" x14ac:dyDescent="0.25">
      <c r="A129" s="344" t="s">
        <v>392</v>
      </c>
      <c r="B129" s="345" t="s">
        <v>1398</v>
      </c>
      <c r="C129" s="38">
        <f>'6. Machining'!D16</f>
        <v>100</v>
      </c>
      <c r="D129" s="38">
        <v>300</v>
      </c>
      <c r="E129" s="436">
        <v>100</v>
      </c>
      <c r="F129" s="38"/>
      <c r="G129" s="222"/>
      <c r="H129" s="38"/>
      <c r="I129" s="38"/>
      <c r="J129" s="38"/>
      <c r="K129" s="38"/>
      <c r="L129" s="38"/>
      <c r="M129" s="38"/>
      <c r="N129" s="38"/>
      <c r="O129" s="38">
        <f ca="1">IF(Scenarios!$C$8 = "Example", Tbl_Scenarios[[#This Row],[Example]],OFFSET(Tbl_Scenarios[[#This Row],[Example]],0,Scenarios!$C$8))</f>
        <v>100</v>
      </c>
      <c r="Q129" t="s">
        <v>1643</v>
      </c>
    </row>
    <row r="130" spans="1:17" x14ac:dyDescent="0.25">
      <c r="A130" s="344" t="s">
        <v>34</v>
      </c>
      <c r="B130" s="345" t="s">
        <v>1399</v>
      </c>
      <c r="C130" s="38">
        <f>'6. Machining'!D17</f>
        <v>0.2</v>
      </c>
      <c r="D130" s="38">
        <v>0.5</v>
      </c>
      <c r="E130" s="436">
        <v>0.2</v>
      </c>
      <c r="F130" s="38"/>
      <c r="G130" s="222"/>
      <c r="H130" s="38"/>
      <c r="I130" s="38"/>
      <c r="J130" s="38"/>
      <c r="K130" s="38"/>
      <c r="L130" s="38"/>
      <c r="M130" s="38"/>
      <c r="N130" s="38"/>
      <c r="O130" s="38">
        <f ca="1">IF(Scenarios!$C$8 = "Example", Tbl_Scenarios[[#This Row],[Example]],OFFSET(Tbl_Scenarios[[#This Row],[Example]],0,Scenarios!$C$8))</f>
        <v>0.2</v>
      </c>
      <c r="Q130" t="s">
        <v>1644</v>
      </c>
    </row>
    <row r="131" spans="1:17" x14ac:dyDescent="0.25">
      <c r="A131" s="344" t="s">
        <v>394</v>
      </c>
      <c r="B131" s="345" t="s">
        <v>1400</v>
      </c>
      <c r="C131" s="38">
        <f>'6. Machining'!D18</f>
        <v>6.35</v>
      </c>
      <c r="D131" s="38">
        <v>6.35</v>
      </c>
      <c r="E131" s="436">
        <v>6.35</v>
      </c>
      <c r="F131" s="38"/>
      <c r="G131" s="222"/>
      <c r="H131" s="38"/>
      <c r="I131" s="38"/>
      <c r="J131" s="38"/>
      <c r="K131" s="38"/>
      <c r="L131" s="38"/>
      <c r="M131" s="38"/>
      <c r="N131" s="38"/>
      <c r="O131" s="38">
        <f ca="1">IF(Scenarios!$C$8 = "Example", Tbl_Scenarios[[#This Row],[Example]],OFFSET(Tbl_Scenarios[[#This Row],[Example]],0,Scenarios!$C$8))</f>
        <v>6.35</v>
      </c>
      <c r="Q131" t="s">
        <v>1645</v>
      </c>
    </row>
    <row r="132" spans="1:17" x14ac:dyDescent="0.25">
      <c r="A132" s="344" t="s">
        <v>396</v>
      </c>
      <c r="B132" s="345" t="s">
        <v>1401</v>
      </c>
      <c r="C132" s="38">
        <f>'6. Machining'!D19</f>
        <v>1.2699999999999999E-2</v>
      </c>
      <c r="D132" s="38">
        <v>0.20147000000000001</v>
      </c>
      <c r="E132" s="436">
        <v>1.2699999999999999E-2</v>
      </c>
      <c r="F132" s="38"/>
      <c r="G132" s="456"/>
      <c r="H132" s="38"/>
      <c r="I132" s="38"/>
      <c r="J132" s="38"/>
      <c r="K132" s="38"/>
      <c r="L132" s="38"/>
      <c r="M132" s="38"/>
      <c r="N132" s="38"/>
      <c r="O132" s="38">
        <f ca="1">IF(Scenarios!$C$8 = "Example", Tbl_Scenarios[[#This Row],[Example]],OFFSET(Tbl_Scenarios[[#This Row],[Example]],0,Scenarios!$C$8))</f>
        <v>1.2699999999999999E-2</v>
      </c>
    </row>
    <row r="133" spans="1:17" x14ac:dyDescent="0.25">
      <c r="A133" s="344" t="s">
        <v>395</v>
      </c>
      <c r="B133" s="345" t="s">
        <v>1402</v>
      </c>
      <c r="C133" s="38">
        <f>'6. Machining'!D20</f>
        <v>3</v>
      </c>
      <c r="D133" s="38">
        <v>3</v>
      </c>
      <c r="E133" s="38">
        <v>3</v>
      </c>
      <c r="F133" s="38"/>
      <c r="G133" s="222"/>
      <c r="H133" s="38"/>
      <c r="I133" s="38"/>
      <c r="J133" s="38"/>
      <c r="K133" s="38"/>
      <c r="L133" s="38"/>
      <c r="M133" s="38"/>
      <c r="N133" s="38"/>
      <c r="O133" s="38">
        <f ca="1">IF(Scenarios!$C$8 = "Example", Tbl_Scenarios[[#This Row],[Example]],OFFSET(Tbl_Scenarios[[#This Row],[Example]],0,Scenarios!$C$8))</f>
        <v>3</v>
      </c>
    </row>
    <row r="134" spans="1:17" x14ac:dyDescent="0.25">
      <c r="A134" s="344" t="s">
        <v>32</v>
      </c>
      <c r="B134" s="345" t="s">
        <v>1403</v>
      </c>
      <c r="C134" s="38"/>
      <c r="D134" s="38">
        <v>0.2</v>
      </c>
      <c r="E134" s="38"/>
      <c r="F134" s="38"/>
      <c r="G134" s="457"/>
      <c r="H134" s="38"/>
      <c r="I134" s="38"/>
      <c r="J134" s="38"/>
      <c r="K134" s="38"/>
      <c r="L134" s="38"/>
      <c r="M134" s="38"/>
      <c r="N134" s="38"/>
      <c r="O134" s="38">
        <f ca="1">IF(Scenarios!$C$8 = "Example", Tbl_Scenarios[[#This Row],[Example]],OFFSET(Tbl_Scenarios[[#This Row],[Example]],0,Scenarios!$C$8))</f>
        <v>0</v>
      </c>
    </row>
    <row r="135" spans="1:17" x14ac:dyDescent="0.25">
      <c r="A135" s="344" t="s">
        <v>1571</v>
      </c>
      <c r="B135" s="345" t="s">
        <v>1404</v>
      </c>
      <c r="C135" s="38"/>
      <c r="D135" s="38">
        <v>100</v>
      </c>
      <c r="E135" s="38"/>
      <c r="F135" s="38"/>
      <c r="G135" s="457"/>
      <c r="H135" s="38"/>
      <c r="I135" s="38"/>
      <c r="J135" s="38"/>
      <c r="K135" s="38"/>
      <c r="L135" s="38"/>
      <c r="M135" s="38"/>
      <c r="N135" s="38"/>
      <c r="O135" s="38">
        <f ca="1">IF(Scenarios!$C$8 = "Example", Tbl_Scenarios[[#This Row],[Example]],OFFSET(Tbl_Scenarios[[#This Row],[Example]],0,Scenarios!$C$8))</f>
        <v>0</v>
      </c>
    </row>
    <row r="136" spans="1:17" x14ac:dyDescent="0.25">
      <c r="A136" s="344" t="s">
        <v>27</v>
      </c>
      <c r="B136" s="345" t="s">
        <v>1405</v>
      </c>
      <c r="C136" s="38">
        <f>'6. Machining'!D23</f>
        <v>30</v>
      </c>
      <c r="D136" s="38">
        <v>5</v>
      </c>
      <c r="E136" s="38">
        <v>30</v>
      </c>
      <c r="F136" s="38"/>
      <c r="G136" s="222"/>
      <c r="H136" s="38"/>
      <c r="I136" s="38"/>
      <c r="J136" s="38"/>
      <c r="K136" s="38"/>
      <c r="L136" s="38"/>
      <c r="M136" s="38"/>
      <c r="N136" s="38"/>
      <c r="O136" s="38">
        <f ca="1">IF(Scenarios!$C$8 = "Example", Tbl_Scenarios[[#This Row],[Example]],OFFSET(Tbl_Scenarios[[#This Row],[Example]],0,Scenarios!$C$8))</f>
        <v>30</v>
      </c>
    </row>
    <row r="137" spans="1:17" x14ac:dyDescent="0.25">
      <c r="A137" s="344" t="s">
        <v>354</v>
      </c>
      <c r="B137" s="345" t="s">
        <v>1406</v>
      </c>
      <c r="C137" s="38">
        <f>'6. Machining'!D24</f>
        <v>2</v>
      </c>
      <c r="D137" s="38">
        <v>2</v>
      </c>
      <c r="E137" s="38">
        <v>2</v>
      </c>
      <c r="F137" s="38"/>
      <c r="G137" s="222"/>
      <c r="H137" s="38"/>
      <c r="I137" s="38"/>
      <c r="J137" s="38"/>
      <c r="K137" s="38"/>
      <c r="L137" s="38"/>
      <c r="M137" s="38"/>
      <c r="N137" s="38"/>
      <c r="O137" s="38">
        <f ca="1">IF(Scenarios!$C$8 = "Example", Tbl_Scenarios[[#This Row],[Example]],OFFSET(Tbl_Scenarios[[#This Row],[Example]],0,Scenarios!$C$8))</f>
        <v>2</v>
      </c>
    </row>
    <row r="138" spans="1:17" x14ac:dyDescent="0.25">
      <c r="A138" s="344" t="s">
        <v>355</v>
      </c>
      <c r="B138" s="345" t="s">
        <v>1580</v>
      </c>
      <c r="C138" s="38">
        <f>'6. Machining'!D25</f>
        <v>7.5</v>
      </c>
      <c r="D138" s="38">
        <v>7.5</v>
      </c>
      <c r="E138" s="38">
        <v>7.5</v>
      </c>
      <c r="F138" s="38"/>
      <c r="G138" s="440"/>
      <c r="H138" s="38"/>
      <c r="I138" s="38"/>
      <c r="J138" s="38"/>
      <c r="K138" s="38"/>
      <c r="L138" s="38"/>
      <c r="M138" s="38"/>
      <c r="N138" s="38"/>
      <c r="O138" s="38">
        <f ca="1">IF(Scenarios!$C$8 = "Example", Tbl_Scenarios[[#This Row],[Example]],OFFSET(Tbl_Scenarios[[#This Row],[Example]],0,Scenarios!$C$8))</f>
        <v>7.5</v>
      </c>
    </row>
    <row r="139" spans="1:17" x14ac:dyDescent="0.25">
      <c r="A139" s="344" t="s">
        <v>288</v>
      </c>
      <c r="B139" s="345" t="s">
        <v>1407</v>
      </c>
      <c r="C139" s="305">
        <f>'6. Machining'!D29</f>
        <v>250</v>
      </c>
      <c r="D139" s="305">
        <v>280</v>
      </c>
      <c r="E139" s="305">
        <v>250</v>
      </c>
      <c r="F139" s="305"/>
      <c r="G139" s="439"/>
      <c r="H139" s="305"/>
      <c r="I139" s="305"/>
      <c r="J139" s="305"/>
      <c r="K139" s="305"/>
      <c r="L139" s="305"/>
      <c r="M139" s="305"/>
      <c r="N139" s="305"/>
      <c r="O139" s="305">
        <f ca="1">IF(Scenarios!$C$8 = "Example", Tbl_Scenarios[[#This Row],[Example]],OFFSET(Tbl_Scenarios[[#This Row],[Example]],0,Scenarios!$C$8))</f>
        <v>250</v>
      </c>
    </row>
    <row r="140" spans="1:17" x14ac:dyDescent="0.25">
      <c r="A140" s="344" t="s">
        <v>287</v>
      </c>
      <c r="B140" s="345" t="s">
        <v>1408</v>
      </c>
      <c r="C140" s="305">
        <f>'6. Machining'!D30</f>
        <v>16</v>
      </c>
      <c r="D140" s="305">
        <v>24</v>
      </c>
      <c r="E140" s="305">
        <v>16</v>
      </c>
      <c r="F140" s="305"/>
      <c r="G140" s="439"/>
      <c r="H140" s="305"/>
      <c r="I140" s="305"/>
      <c r="J140" s="305"/>
      <c r="K140" s="305"/>
      <c r="L140" s="305"/>
      <c r="M140" s="305"/>
      <c r="N140" s="305"/>
      <c r="O140" s="305">
        <f ca="1">IF(Scenarios!$C$8 = "Example", Tbl_Scenarios[[#This Row],[Example]],OFFSET(Tbl_Scenarios[[#This Row],[Example]],0,Scenarios!$C$8))</f>
        <v>16</v>
      </c>
    </row>
    <row r="141" spans="1:17" x14ac:dyDescent="0.25">
      <c r="A141" s="344" t="s">
        <v>1145</v>
      </c>
      <c r="B141" s="345" t="s">
        <v>1409</v>
      </c>
      <c r="C141" s="305">
        <f>'6. Machining'!D31</f>
        <v>1</v>
      </c>
      <c r="D141" s="305">
        <v>1</v>
      </c>
      <c r="E141" s="305">
        <v>1</v>
      </c>
      <c r="F141" s="305"/>
      <c r="G141" s="439"/>
      <c r="H141" s="305"/>
      <c r="I141" s="305"/>
      <c r="J141" s="305"/>
      <c r="K141" s="305"/>
      <c r="L141" s="305"/>
      <c r="M141" s="305"/>
      <c r="N141" s="305"/>
      <c r="O141" s="305">
        <f ca="1">IF(Scenarios!$C$8 = "Example", Tbl_Scenarios[[#This Row],[Example]],OFFSET(Tbl_Scenarios[[#This Row],[Example]],0,Scenarios!$C$8))</f>
        <v>1</v>
      </c>
    </row>
    <row r="142" spans="1:17" x14ac:dyDescent="0.25">
      <c r="A142" s="344" t="s">
        <v>297</v>
      </c>
      <c r="B142" s="345" t="s">
        <v>1410</v>
      </c>
      <c r="C142" s="305">
        <f>'6. Machining'!D32</f>
        <v>200</v>
      </c>
      <c r="D142" s="305">
        <v>200</v>
      </c>
      <c r="E142" s="305">
        <v>200</v>
      </c>
      <c r="F142" s="305"/>
      <c r="G142" s="439"/>
      <c r="H142" s="305"/>
      <c r="I142" s="305"/>
      <c r="J142" s="305"/>
      <c r="K142" s="305"/>
      <c r="L142" s="305"/>
      <c r="M142" s="305"/>
      <c r="N142" s="305"/>
      <c r="O142" s="305">
        <f ca="1">IF(Scenarios!$C$8 = "Example", Tbl_Scenarios[[#This Row],[Example]],OFFSET(Tbl_Scenarios[[#This Row],[Example]],0,Scenarios!$C$8))</f>
        <v>200</v>
      </c>
    </row>
    <row r="143" spans="1:17" s="109" customFormat="1" x14ac:dyDescent="0.25">
      <c r="A143" s="344" t="s">
        <v>1136</v>
      </c>
      <c r="B143" s="345" t="s">
        <v>1411</v>
      </c>
      <c r="C143" s="293">
        <f>'6. Machining'!D33</f>
        <v>1</v>
      </c>
      <c r="D143" s="293">
        <v>1</v>
      </c>
      <c r="E143" s="293">
        <v>1</v>
      </c>
      <c r="F143" s="293"/>
      <c r="G143" s="440"/>
      <c r="H143" s="293"/>
      <c r="I143" s="293"/>
      <c r="J143" s="293"/>
      <c r="K143" s="293"/>
      <c r="L143" s="293"/>
      <c r="M143" s="293"/>
      <c r="N143" s="293"/>
      <c r="O143" s="293">
        <f ca="1">IF(Scenarios!$C$8 = "Example", Tbl_Scenarios[[#This Row],[Example]],OFFSET(Tbl_Scenarios[[#This Row],[Example]],0,Scenarios!$C$8))</f>
        <v>1</v>
      </c>
    </row>
    <row r="144" spans="1:17" x14ac:dyDescent="0.25">
      <c r="A144" s="344" t="s">
        <v>1146</v>
      </c>
      <c r="B144" s="345" t="s">
        <v>1412</v>
      </c>
      <c r="C144" s="126">
        <f>'6. Machining'!D34</f>
        <v>0.25</v>
      </c>
      <c r="D144" s="126">
        <v>0.25</v>
      </c>
      <c r="E144" s="126">
        <v>0.25</v>
      </c>
      <c r="F144" s="126"/>
      <c r="G144" s="441"/>
      <c r="H144" s="126"/>
      <c r="I144" s="126"/>
      <c r="J144" s="126"/>
      <c r="K144" s="126"/>
      <c r="L144" s="126"/>
      <c r="M144" s="126"/>
      <c r="N144" s="126"/>
      <c r="O144" s="126">
        <f ca="1">IF(Scenarios!$C$8 = "Example", Tbl_Scenarios[[#This Row],[Example]],OFFSET(Tbl_Scenarios[[#This Row],[Example]],0,Scenarios!$C$8))</f>
        <v>0.25</v>
      </c>
    </row>
    <row r="145" spans="1:15" x14ac:dyDescent="0.25">
      <c r="A145" s="344" t="s">
        <v>326</v>
      </c>
      <c r="B145" s="345" t="s">
        <v>1413</v>
      </c>
      <c r="C145" s="38">
        <f>'6. Machining'!D35</f>
        <v>2E-3</v>
      </c>
      <c r="D145" s="38">
        <v>0.25</v>
      </c>
      <c r="E145" s="436">
        <v>2E-3</v>
      </c>
      <c r="F145" s="38"/>
      <c r="G145" s="456"/>
      <c r="H145" s="38"/>
      <c r="I145" s="38"/>
      <c r="J145" s="38"/>
      <c r="K145" s="38"/>
      <c r="L145" s="38"/>
      <c r="M145" s="38"/>
      <c r="N145" s="38"/>
      <c r="O145" s="38">
        <f ca="1">IF(Scenarios!$C$8 = "Example", Tbl_Scenarios[[#This Row],[Example]],OFFSET(Tbl_Scenarios[[#This Row],[Example]],0,Scenarios!$C$8))</f>
        <v>2E-3</v>
      </c>
    </row>
    <row r="146" spans="1:15" x14ac:dyDescent="0.25">
      <c r="A146" s="344" t="s">
        <v>1148</v>
      </c>
      <c r="B146" s="345" t="s">
        <v>1414</v>
      </c>
      <c r="C146" s="126">
        <f>'6. Machining'!D36</f>
        <v>0.9</v>
      </c>
      <c r="D146" s="126">
        <v>0.9</v>
      </c>
      <c r="E146" s="126">
        <v>0.9</v>
      </c>
      <c r="F146" s="126"/>
      <c r="G146" s="441"/>
      <c r="H146" s="126"/>
      <c r="I146" s="126"/>
      <c r="J146" s="126"/>
      <c r="K146" s="126"/>
      <c r="L146" s="126"/>
      <c r="M146" s="126"/>
      <c r="N146" s="126"/>
      <c r="O146" s="126">
        <f ca="1">IF(Scenarios!$C$8 = "Example", Tbl_Scenarios[[#This Row],[Example]],OFFSET(Tbl_Scenarios[[#This Row],[Example]],0,Scenarios!$C$8))</f>
        <v>0.9</v>
      </c>
    </row>
    <row r="147" spans="1:15" x14ac:dyDescent="0.25">
      <c r="A147" s="344" t="s">
        <v>24</v>
      </c>
      <c r="B147" s="345" t="s">
        <v>1415</v>
      </c>
      <c r="C147" s="309">
        <f>'6. Machining'!D37</f>
        <v>25000</v>
      </c>
      <c r="D147" s="309">
        <v>25000</v>
      </c>
      <c r="E147" s="309">
        <v>25000</v>
      </c>
      <c r="F147" s="309"/>
      <c r="G147" s="445"/>
      <c r="H147" s="309"/>
      <c r="I147" s="309"/>
      <c r="J147" s="309"/>
      <c r="K147" s="309"/>
      <c r="L147" s="309"/>
      <c r="M147" s="309"/>
      <c r="N147" s="309"/>
      <c r="O147" s="309">
        <f ca="1">IF(Scenarios!$C$8 = "Example", Tbl_Scenarios[[#This Row],[Example]],OFFSET(Tbl_Scenarios[[#This Row],[Example]],0,Scenarios!$C$8))</f>
        <v>25000</v>
      </c>
    </row>
    <row r="148" spans="1:15" x14ac:dyDescent="0.25">
      <c r="A148" s="344" t="s">
        <v>266</v>
      </c>
      <c r="B148" s="345" t="s">
        <v>1416</v>
      </c>
      <c r="C148" s="309">
        <f>'6. Machining'!D38</f>
        <v>50</v>
      </c>
      <c r="D148" s="309">
        <v>1000</v>
      </c>
      <c r="E148" s="438">
        <v>50</v>
      </c>
      <c r="F148" s="309"/>
      <c r="G148" s="445"/>
      <c r="H148" s="309"/>
      <c r="I148" s="309"/>
      <c r="J148" s="309"/>
      <c r="K148" s="309"/>
      <c r="L148" s="309"/>
      <c r="M148" s="309"/>
      <c r="N148" s="309"/>
      <c r="O148" s="309">
        <f ca="1">IF(Scenarios!$C$8 = "Example", Tbl_Scenarios[[#This Row],[Example]],OFFSET(Tbl_Scenarios[[#This Row],[Example]],0,Scenarios!$C$8))</f>
        <v>50</v>
      </c>
    </row>
    <row r="149" spans="1:15" ht="15.75" thickBot="1" x14ac:dyDescent="0.3">
      <c r="A149" s="347" t="s">
        <v>257</v>
      </c>
      <c r="B149" s="348" t="s">
        <v>1611</v>
      </c>
      <c r="C149" s="310">
        <f>'6. Machining'!D39</f>
        <v>5000</v>
      </c>
      <c r="D149" s="310">
        <v>10000</v>
      </c>
      <c r="E149" s="310">
        <v>5000</v>
      </c>
      <c r="F149" s="310"/>
      <c r="G149" s="446"/>
      <c r="H149" s="310"/>
      <c r="I149" s="310"/>
      <c r="J149" s="310"/>
      <c r="K149" s="310"/>
      <c r="L149" s="310"/>
      <c r="M149" s="310"/>
      <c r="N149" s="310"/>
      <c r="O149" s="310">
        <f ca="1">IF(Scenarios!$C$8 = "Example", Tbl_Scenarios[[#This Row],[Example]],OFFSET(Tbl_Scenarios[[#This Row],[Example]],0,Scenarios!$C$8))</f>
        <v>5000</v>
      </c>
    </row>
    <row r="150" spans="1:15" x14ac:dyDescent="0.25">
      <c r="A150" s="109" t="s">
        <v>269</v>
      </c>
      <c r="B150" s="342" t="s">
        <v>1612</v>
      </c>
      <c r="C150" s="319">
        <f>'PRNT Backend'!F91</f>
        <v>126.5</v>
      </c>
      <c r="D150" s="319">
        <v>1733.4375</v>
      </c>
      <c r="E150" s="319">
        <v>126.5</v>
      </c>
      <c r="F150" s="319"/>
      <c r="G150" s="463"/>
      <c r="H150" s="319"/>
      <c r="I150" s="319"/>
      <c r="J150" s="319"/>
      <c r="K150" s="319"/>
      <c r="L150" s="319"/>
      <c r="M150" s="319"/>
      <c r="N150" s="319"/>
      <c r="O150" s="319">
        <f ca="1">IF(Scenarios!$C$8 = "Example", Tbl_Scenarios[[#This Row],[Example]],OFFSET(Tbl_Scenarios[[#This Row],[Example]],0,Scenarios!$C$8))</f>
        <v>126.5</v>
      </c>
    </row>
    <row r="151" spans="1:15" x14ac:dyDescent="0.25">
      <c r="A151" t="s">
        <v>1417</v>
      </c>
      <c r="B151" s="343" t="s">
        <v>1613</v>
      </c>
      <c r="C151" s="303">
        <f>'PRNT Backend'!F117</f>
        <v>2</v>
      </c>
      <c r="D151" s="303">
        <v>2</v>
      </c>
      <c r="E151" s="303">
        <v>2</v>
      </c>
      <c r="F151" s="303"/>
      <c r="G151" s="464"/>
      <c r="H151" s="303"/>
      <c r="I151" s="303"/>
      <c r="J151" s="303"/>
      <c r="K151" s="303"/>
      <c r="L151" s="303"/>
      <c r="M151" s="303"/>
      <c r="N151" s="303"/>
      <c r="O151" s="303">
        <f ca="1">IF(Scenarios!$C$8 = "Example", Tbl_Scenarios[[#This Row],[Example]],OFFSET(Tbl_Scenarios[[#This Row],[Example]],0,Scenarios!$C$8))</f>
        <v>2</v>
      </c>
    </row>
    <row r="152" spans="1:15" x14ac:dyDescent="0.25">
      <c r="A152" t="s">
        <v>1418</v>
      </c>
      <c r="B152" s="343" t="s">
        <v>1614</v>
      </c>
      <c r="C152" s="303">
        <f>'PRNT Backend'!F118</f>
        <v>47.462295138888884</v>
      </c>
      <c r="D152" s="303">
        <v>64.53049482855667</v>
      </c>
      <c r="E152" s="303">
        <v>47.462295138888884</v>
      </c>
      <c r="F152" s="303"/>
      <c r="G152" s="464"/>
      <c r="H152" s="303"/>
      <c r="I152" s="303"/>
      <c r="J152" s="303"/>
      <c r="K152" s="303"/>
      <c r="L152" s="303"/>
      <c r="M152" s="303"/>
      <c r="N152" s="303"/>
      <c r="O152" s="303">
        <f ca="1">IF(Scenarios!$C$8 = "Example", Tbl_Scenarios[[#This Row],[Example]],OFFSET(Tbl_Scenarios[[#This Row],[Example]],0,Scenarios!$C$8))</f>
        <v>47.462295138888884</v>
      </c>
    </row>
    <row r="153" spans="1:15" x14ac:dyDescent="0.25">
      <c r="A153" t="s">
        <v>1419</v>
      </c>
      <c r="B153" s="343" t="s">
        <v>1615</v>
      </c>
      <c r="C153" s="303">
        <f>'PRNT Backend'!F119</f>
        <v>2</v>
      </c>
      <c r="D153" s="303">
        <v>2</v>
      </c>
      <c r="E153" s="303">
        <v>2</v>
      </c>
      <c r="F153" s="303"/>
      <c r="G153" s="464"/>
      <c r="H153" s="303"/>
      <c r="I153" s="303"/>
      <c r="J153" s="303"/>
      <c r="K153" s="303"/>
      <c r="L153" s="303"/>
      <c r="M153" s="303"/>
      <c r="N153" s="303"/>
      <c r="O153" s="303">
        <f ca="1">IF(Scenarios!$C$8 = "Example", Tbl_Scenarios[[#This Row],[Example]],OFFSET(Tbl_Scenarios[[#This Row],[Example]],0,Scenarios!$C$8))</f>
        <v>2</v>
      </c>
    </row>
    <row r="154" spans="1:15" x14ac:dyDescent="0.25">
      <c r="A154" t="s">
        <v>1510</v>
      </c>
      <c r="B154" s="343" t="s">
        <v>1608</v>
      </c>
      <c r="C154" s="309" t="b">
        <f>'PP Backend'!F11</f>
        <v>1</v>
      </c>
      <c r="D154" s="309" t="b">
        <v>1</v>
      </c>
      <c r="E154" s="309" t="b">
        <v>1</v>
      </c>
      <c r="F154" s="309"/>
      <c r="G154" s="465"/>
      <c r="H154" s="309"/>
      <c r="I154" s="309"/>
      <c r="J154" s="309"/>
      <c r="K154" s="309"/>
      <c r="L154" s="309"/>
      <c r="M154" s="309"/>
      <c r="N154" s="309"/>
      <c r="O154" s="309" t="b">
        <f ca="1">IF(Scenarios!$C$8 = "Example", Tbl_Scenarios[[#This Row],[Example]],OFFSET(Tbl_Scenarios[[#This Row],[Example]],0,Scenarios!$C$8))</f>
        <v>1</v>
      </c>
    </row>
    <row r="155" spans="1:15" x14ac:dyDescent="0.25">
      <c r="A155" t="s">
        <v>1420</v>
      </c>
      <c r="B155" s="343" t="s">
        <v>1616</v>
      </c>
      <c r="C155" s="38">
        <f>'PP Backend'!F65</f>
        <v>2</v>
      </c>
      <c r="D155" s="38">
        <v>1</v>
      </c>
      <c r="E155" s="38">
        <v>2</v>
      </c>
      <c r="F155" s="38"/>
      <c r="G155" s="466"/>
      <c r="H155" s="38"/>
      <c r="I155" s="38"/>
      <c r="J155" s="38"/>
      <c r="K155" s="38"/>
      <c r="L155" s="38"/>
      <c r="M155" s="38"/>
      <c r="N155" s="38"/>
      <c r="O155" s="38">
        <f ca="1">IF(Scenarios!$C$8 = "Example", Tbl_Scenarios[[#This Row],[Example]],OFFSET(Tbl_Scenarios[[#This Row],[Example]],0,Scenarios!$C$8))</f>
        <v>2</v>
      </c>
    </row>
    <row r="156" spans="1:15" x14ac:dyDescent="0.25">
      <c r="A156" t="s">
        <v>1421</v>
      </c>
      <c r="B156" s="343" t="s">
        <v>1617</v>
      </c>
      <c r="C156" s="38">
        <f>'PP Backend'!F66</f>
        <v>5</v>
      </c>
      <c r="D156" s="38">
        <v>18.2328734375</v>
      </c>
      <c r="E156" s="38">
        <v>5</v>
      </c>
      <c r="F156" s="38"/>
      <c r="G156" s="466"/>
      <c r="H156" s="38"/>
      <c r="I156" s="38"/>
      <c r="J156" s="38"/>
      <c r="K156" s="38"/>
      <c r="L156" s="38"/>
      <c r="M156" s="38"/>
      <c r="N156" s="38"/>
      <c r="O156" s="38">
        <f ca="1">IF(Scenarios!$C$8 = "Example", Tbl_Scenarios[[#This Row],[Example]],OFFSET(Tbl_Scenarios[[#This Row],[Example]],0,Scenarios!$C$8))</f>
        <v>5</v>
      </c>
    </row>
    <row r="157" spans="1:15" x14ac:dyDescent="0.25">
      <c r="A157" t="s">
        <v>1422</v>
      </c>
      <c r="B157" s="343" t="s">
        <v>1618</v>
      </c>
      <c r="C157" s="38">
        <f>'PP Backend'!F67</f>
        <v>17</v>
      </c>
      <c r="D157" s="38">
        <v>10</v>
      </c>
      <c r="E157" s="38">
        <v>17</v>
      </c>
      <c r="F157" s="38"/>
      <c r="G157" s="466"/>
      <c r="H157" s="38"/>
      <c r="I157" s="38"/>
      <c r="J157" s="38"/>
      <c r="K157" s="38"/>
      <c r="L157" s="38"/>
      <c r="M157" s="38"/>
      <c r="N157" s="38"/>
      <c r="O157" s="38">
        <f ca="1">IF(Scenarios!$C$8 = "Example", Tbl_Scenarios[[#This Row],[Example]],OFFSET(Tbl_Scenarios[[#This Row],[Example]],0,Scenarios!$C$8))</f>
        <v>17</v>
      </c>
    </row>
    <row r="158" spans="1:15" x14ac:dyDescent="0.25">
      <c r="A158" t="s">
        <v>1423</v>
      </c>
      <c r="B158" s="343" t="s">
        <v>1619</v>
      </c>
      <c r="C158" s="38">
        <f>'PP Backend'!F68</f>
        <v>2</v>
      </c>
      <c r="D158" s="38">
        <v>1</v>
      </c>
      <c r="E158" s="38">
        <v>2</v>
      </c>
      <c r="F158" s="38"/>
      <c r="G158" s="466"/>
      <c r="H158" s="38"/>
      <c r="I158" s="38"/>
      <c r="J158" s="38"/>
      <c r="K158" s="38"/>
      <c r="L158" s="38"/>
      <c r="M158" s="38"/>
      <c r="N158" s="38"/>
      <c r="O158" s="38">
        <f ca="1">IF(Scenarios!$C$8 = "Example", Tbl_Scenarios[[#This Row],[Example]],OFFSET(Tbl_Scenarios[[#This Row],[Example]],0,Scenarios!$C$8))</f>
        <v>2</v>
      </c>
    </row>
    <row r="159" spans="1:15" x14ac:dyDescent="0.25">
      <c r="A159" t="s">
        <v>1511</v>
      </c>
      <c r="B159" s="343" t="s">
        <v>1610</v>
      </c>
      <c r="C159" s="320" t="b">
        <f>'MCN Backend'!F15</f>
        <v>1</v>
      </c>
      <c r="D159" s="320" t="b">
        <v>1</v>
      </c>
      <c r="E159" s="320" t="b">
        <v>1</v>
      </c>
      <c r="F159" s="320"/>
      <c r="G159" s="467"/>
      <c r="H159" s="320"/>
      <c r="I159" s="320"/>
      <c r="J159" s="320"/>
      <c r="K159" s="320"/>
      <c r="L159" s="320"/>
      <c r="M159" s="320"/>
      <c r="N159" s="320"/>
      <c r="O159" s="320" t="b">
        <f ca="1">IF(Scenarios!$C$8 = "Example", Tbl_Scenarios[[#This Row],[Example]],OFFSET(Tbl_Scenarios[[#This Row],[Example]],0,Scenarios!$C$8))</f>
        <v>1</v>
      </c>
    </row>
    <row r="160" spans="1:15" x14ac:dyDescent="0.25">
      <c r="A160" t="s">
        <v>1424</v>
      </c>
      <c r="B160" s="343" t="s">
        <v>1620</v>
      </c>
      <c r="C160" s="38">
        <f>'MCN Backend'!F75</f>
        <v>342.19447539101424</v>
      </c>
      <c r="D160" s="38">
        <v>50.829996456428887</v>
      </c>
      <c r="E160" s="38">
        <v>342.19447539101424</v>
      </c>
      <c r="F160" s="38"/>
      <c r="G160" s="466"/>
      <c r="H160" s="38"/>
      <c r="I160" s="38"/>
      <c r="J160" s="38"/>
      <c r="K160" s="38"/>
      <c r="L160" s="38"/>
      <c r="M160" s="38"/>
      <c r="N160" s="38"/>
      <c r="O160" s="38">
        <f ca="1">IF(Scenarios!$C$8 = "Example", Tbl_Scenarios[[#This Row],[Example]],OFFSET(Tbl_Scenarios[[#This Row],[Example]],0,Scenarios!$C$8))</f>
        <v>342.19447539101424</v>
      </c>
    </row>
    <row r="161" spans="1:15" x14ac:dyDescent="0.25">
      <c r="A161" t="s">
        <v>1425</v>
      </c>
      <c r="B161" s="343" t="s">
        <v>1621</v>
      </c>
      <c r="C161" s="38">
        <f>'MCN Backend'!F76</f>
        <v>30</v>
      </c>
      <c r="D161" s="38">
        <v>5</v>
      </c>
      <c r="E161" s="38">
        <v>30</v>
      </c>
      <c r="F161" s="38"/>
      <c r="G161" s="466"/>
      <c r="H161" s="38"/>
      <c r="I161" s="38"/>
      <c r="J161" s="38"/>
      <c r="K161" s="38"/>
      <c r="L161" s="38"/>
      <c r="M161" s="38"/>
      <c r="N161" s="38"/>
      <c r="O161" s="38">
        <f ca="1">IF(Scenarios!$C$8 = "Example", Tbl_Scenarios[[#This Row],[Example]],OFFSET(Tbl_Scenarios[[#This Row],[Example]],0,Scenarios!$C$8))</f>
        <v>30</v>
      </c>
    </row>
    <row r="162" spans="1:15" x14ac:dyDescent="0.25">
      <c r="A162" t="s">
        <v>1197</v>
      </c>
      <c r="B162" s="343" t="s">
        <v>1426</v>
      </c>
      <c r="C162" s="308">
        <f>'TEA Backend'!F27</f>
        <v>1</v>
      </c>
      <c r="D162" s="308">
        <v>1</v>
      </c>
      <c r="E162" s="308">
        <v>1</v>
      </c>
      <c r="F162" s="308"/>
      <c r="G162" s="468"/>
      <c r="H162" s="308"/>
      <c r="I162" s="308"/>
      <c r="J162" s="308"/>
      <c r="K162" s="308"/>
      <c r="L162" s="308"/>
      <c r="M162" s="308"/>
      <c r="N162" s="308"/>
      <c r="O162" s="308">
        <f ca="1">IF(Scenarios!$C$8 = "Example", Tbl_Scenarios[[#This Row],[Example]],OFFSET(Tbl_Scenarios[[#This Row],[Example]],0,Scenarios!$C$8))</f>
        <v>1</v>
      </c>
    </row>
    <row r="163" spans="1:15" x14ac:dyDescent="0.25">
      <c r="A163" t="s">
        <v>413</v>
      </c>
      <c r="B163" s="343" t="s">
        <v>1427</v>
      </c>
      <c r="C163" s="38">
        <f>'TEA Backend'!F28</f>
        <v>455.0980928501653</v>
      </c>
      <c r="D163" s="38">
        <v>1499.5700909638349</v>
      </c>
      <c r="E163" s="38">
        <v>455.0980928501653</v>
      </c>
      <c r="F163" s="38"/>
      <c r="G163" s="466"/>
      <c r="H163" s="38"/>
      <c r="I163" s="38"/>
      <c r="J163" s="38"/>
      <c r="K163" s="38"/>
      <c r="L163" s="38"/>
      <c r="M163" s="38"/>
      <c r="N163" s="38"/>
      <c r="O163" s="38">
        <f ca="1">IF(Scenarios!$C$8 = "Example", Tbl_Scenarios[[#This Row],[Example]],OFFSET(Tbl_Scenarios[[#This Row],[Example]],0,Scenarios!$C$8))</f>
        <v>455.0980928501653</v>
      </c>
    </row>
    <row r="164" spans="1:15" x14ac:dyDescent="0.25">
      <c r="A164" t="s">
        <v>414</v>
      </c>
      <c r="B164" s="343" t="s">
        <v>1428</v>
      </c>
      <c r="C164" s="308" t="str">
        <f>'TEA Backend'!F29</f>
        <v>PRNT</v>
      </c>
      <c r="D164" s="308" t="s">
        <v>418</v>
      </c>
      <c r="E164" s="308" t="s">
        <v>418</v>
      </c>
      <c r="F164" s="308"/>
      <c r="G164" s="468"/>
      <c r="H164" s="308"/>
      <c r="I164" s="308"/>
      <c r="J164" s="308"/>
      <c r="K164" s="308"/>
      <c r="L164" s="308"/>
      <c r="M164" s="308"/>
      <c r="N164" s="308"/>
      <c r="O164" s="308" t="str">
        <f ca="1">IF(Scenarios!$C$8 = "Example", Tbl_Scenarios[[#This Row],[Example]],OFFSET(Tbl_Scenarios[[#This Row],[Example]],0,Scenarios!$C$8))</f>
        <v>PRNT</v>
      </c>
    </row>
    <row r="165" spans="1:15" x14ac:dyDescent="0.25">
      <c r="A165" t="s">
        <v>439</v>
      </c>
      <c r="B165" s="343" t="s">
        <v>1429</v>
      </c>
      <c r="C165" s="38">
        <f>'TEA Backend'!F30</f>
        <v>455.0980928501653</v>
      </c>
      <c r="D165" s="38">
        <v>1499.5700909638349</v>
      </c>
      <c r="E165" s="38">
        <v>455.0980928501653</v>
      </c>
      <c r="F165" s="38"/>
      <c r="G165" s="466"/>
      <c r="H165" s="38"/>
      <c r="I165" s="38"/>
      <c r="J165" s="38"/>
      <c r="K165" s="38"/>
      <c r="L165" s="38"/>
      <c r="M165" s="38"/>
      <c r="N165" s="38"/>
      <c r="O165" s="38">
        <f ca="1">IF(Scenarios!$C$8 = "Example", Tbl_Scenarios[[#This Row],[Example]],OFFSET(Tbl_Scenarios[[#This Row],[Example]],0,Scenarios!$C$8))</f>
        <v>455.0980928501653</v>
      </c>
    </row>
    <row r="166" spans="1:15" x14ac:dyDescent="0.25">
      <c r="A166" t="s">
        <v>440</v>
      </c>
      <c r="B166" s="343" t="s">
        <v>1430</v>
      </c>
      <c r="C166" s="38">
        <f>'TEA Backend'!F31</f>
        <v>409.5882835651488</v>
      </c>
      <c r="D166" s="38">
        <v>1349.6130818674515</v>
      </c>
      <c r="E166" s="38">
        <v>409.5882835651488</v>
      </c>
      <c r="F166" s="38"/>
      <c r="G166" s="466"/>
      <c r="H166" s="38"/>
      <c r="I166" s="38"/>
      <c r="J166" s="38"/>
      <c r="K166" s="38"/>
      <c r="L166" s="38"/>
      <c r="M166" s="38"/>
      <c r="N166" s="38"/>
      <c r="O166" s="38">
        <f ca="1">IF(Scenarios!$C$8 = "Example", Tbl_Scenarios[[#This Row],[Example]],OFFSET(Tbl_Scenarios[[#This Row],[Example]],0,Scenarios!$C$8))</f>
        <v>409.5882835651488</v>
      </c>
    </row>
    <row r="167" spans="1:15" x14ac:dyDescent="0.25">
      <c r="A167" t="s">
        <v>447</v>
      </c>
      <c r="B167" s="343" t="s">
        <v>1431</v>
      </c>
      <c r="C167" s="38">
        <f>'TEA Backend'!F32</f>
        <v>368.62945520863394</v>
      </c>
      <c r="D167" s="38">
        <v>1214.6517736807064</v>
      </c>
      <c r="E167" s="38">
        <v>368.62945520863394</v>
      </c>
      <c r="F167" s="38"/>
      <c r="G167" s="466"/>
      <c r="H167" s="38"/>
      <c r="I167" s="38"/>
      <c r="J167" s="38"/>
      <c r="K167" s="38"/>
      <c r="L167" s="38"/>
      <c r="M167" s="38"/>
      <c r="N167" s="38"/>
      <c r="O167" s="38">
        <f ca="1">IF(Scenarios!$C$8 = "Example", Tbl_Scenarios[[#This Row],[Example]],OFFSET(Tbl_Scenarios[[#This Row],[Example]],0,Scenarios!$C$8))</f>
        <v>368.62945520863394</v>
      </c>
    </row>
    <row r="168" spans="1:15" x14ac:dyDescent="0.25">
      <c r="A168" t="s">
        <v>441</v>
      </c>
      <c r="B168" s="343" t="s">
        <v>1432</v>
      </c>
      <c r="C168" s="38">
        <f>'TEA Backend'!F33</f>
        <v>4000</v>
      </c>
      <c r="D168" s="38">
        <v>6720</v>
      </c>
      <c r="E168" s="38">
        <v>4000</v>
      </c>
      <c r="F168" s="38"/>
      <c r="G168" s="466"/>
      <c r="H168" s="38"/>
      <c r="I168" s="38"/>
      <c r="J168" s="38"/>
      <c r="K168" s="38"/>
      <c r="L168" s="38"/>
      <c r="M168" s="38"/>
      <c r="N168" s="38"/>
      <c r="O168" s="38">
        <f ca="1">IF(Scenarios!$C$8 = "Example", Tbl_Scenarios[[#This Row],[Example]],OFFSET(Tbl_Scenarios[[#This Row],[Example]],0,Scenarios!$C$8))</f>
        <v>4000</v>
      </c>
    </row>
    <row r="169" spans="1:15" x14ac:dyDescent="0.25">
      <c r="A169" t="s">
        <v>442</v>
      </c>
      <c r="B169" s="343" t="s">
        <v>1433</v>
      </c>
      <c r="C169" s="38">
        <f>'TEA Backend'!F34</f>
        <v>328.68195594734163</v>
      </c>
      <c r="D169" s="38">
        <v>4533.6312770769991</v>
      </c>
      <c r="E169" s="38">
        <v>328.68195594734163</v>
      </c>
      <c r="F169" s="38"/>
      <c r="G169" s="466"/>
      <c r="H169" s="38"/>
      <c r="I169" s="38"/>
      <c r="J169" s="38"/>
      <c r="K169" s="38"/>
      <c r="L169" s="38"/>
      <c r="M169" s="38"/>
      <c r="N169" s="38"/>
      <c r="O169" s="38">
        <f ca="1">IF(Scenarios!$C$8 = "Example", Tbl_Scenarios[[#This Row],[Example]],OFFSET(Tbl_Scenarios[[#This Row],[Example]],0,Scenarios!$C$8))</f>
        <v>328.68195594734163</v>
      </c>
    </row>
    <row r="170" spans="1:15" x14ac:dyDescent="0.25">
      <c r="A170" t="s">
        <v>448</v>
      </c>
      <c r="B170" s="343" t="s">
        <v>1434</v>
      </c>
      <c r="C170" s="38">
        <f>'TEA Backend'!F35</f>
        <v>2540.7749387972758</v>
      </c>
      <c r="D170" s="38">
        <v>1255.8148929701647</v>
      </c>
      <c r="E170" s="38">
        <v>2540.7749387972758</v>
      </c>
      <c r="F170" s="38"/>
      <c r="G170" s="466"/>
      <c r="H170" s="38"/>
      <c r="I170" s="38"/>
      <c r="J170" s="38"/>
      <c r="K170" s="38"/>
      <c r="L170" s="38"/>
      <c r="M170" s="38"/>
      <c r="N170" s="38"/>
      <c r="O170" s="38">
        <f ca="1">IF(Scenarios!$C$8 = "Example", Tbl_Scenarios[[#This Row],[Example]],OFFSET(Tbl_Scenarios[[#This Row],[Example]],0,Scenarios!$C$8))</f>
        <v>2540.7749387972758</v>
      </c>
    </row>
    <row r="171" spans="1:15" x14ac:dyDescent="0.25">
      <c r="A171" t="s">
        <v>443</v>
      </c>
      <c r="B171" s="343" t="s">
        <v>1435</v>
      </c>
      <c r="C171" s="38">
        <f>'TEA Backend'!F36</f>
        <v>505.66454761129478</v>
      </c>
      <c r="D171" s="38">
        <v>1666.1889899598166</v>
      </c>
      <c r="E171" s="38">
        <v>505.66454761129478</v>
      </c>
      <c r="F171" s="38"/>
      <c r="G171" s="466"/>
      <c r="H171" s="38"/>
      <c r="I171" s="38"/>
      <c r="J171" s="38"/>
      <c r="K171" s="38"/>
      <c r="L171" s="38"/>
      <c r="M171" s="38"/>
      <c r="N171" s="38"/>
      <c r="O171" s="38">
        <f ca="1">IF(Scenarios!$C$8 = "Example", Tbl_Scenarios[[#This Row],[Example]],OFFSET(Tbl_Scenarios[[#This Row],[Example]],0,Scenarios!$C$8))</f>
        <v>505.66454761129478</v>
      </c>
    </row>
    <row r="172" spans="1:15" x14ac:dyDescent="0.25">
      <c r="A172" t="s">
        <v>445</v>
      </c>
      <c r="B172" s="343" t="s">
        <v>1436</v>
      </c>
      <c r="C172" s="38">
        <f>'TEA Backend'!F37</f>
        <v>84.277424601882458</v>
      </c>
      <c r="D172" s="38">
        <v>416.54724748995415</v>
      </c>
      <c r="E172" s="38">
        <v>84.277424601882458</v>
      </c>
      <c r="F172" s="38"/>
      <c r="G172" s="466"/>
      <c r="H172" s="38"/>
      <c r="I172" s="38"/>
      <c r="J172" s="38"/>
      <c r="K172" s="38"/>
      <c r="L172" s="38"/>
      <c r="M172" s="38"/>
      <c r="N172" s="38"/>
      <c r="O172" s="38">
        <f ca="1">IF(Scenarios!$C$8 = "Example", Tbl_Scenarios[[#This Row],[Example]],OFFSET(Tbl_Scenarios[[#This Row],[Example]],0,Scenarios!$C$8))</f>
        <v>84.277424601882458</v>
      </c>
    </row>
    <row r="173" spans="1:15" x14ac:dyDescent="0.25">
      <c r="A173" t="s">
        <v>444</v>
      </c>
      <c r="B173" s="343" t="s">
        <v>1437</v>
      </c>
      <c r="C173" s="38">
        <f>'TEA Backend'!F38</f>
        <v>3355.0133286649116</v>
      </c>
      <c r="D173" s="38">
        <v>12311.90174677554</v>
      </c>
      <c r="E173" s="38">
        <v>3355.0133286649116</v>
      </c>
      <c r="F173" s="38"/>
      <c r="G173" s="466"/>
      <c r="H173" s="38"/>
      <c r="I173" s="38"/>
      <c r="J173" s="38"/>
      <c r="K173" s="38"/>
      <c r="L173" s="38"/>
      <c r="M173" s="38"/>
      <c r="N173" s="38"/>
      <c r="O173" s="38">
        <f ca="1">IF(Scenarios!$C$8 = "Example", Tbl_Scenarios[[#This Row],[Example]],OFFSET(Tbl_Scenarios[[#This Row],[Example]],0,Scenarios!$C$8))</f>
        <v>3355.0133286649116</v>
      </c>
    </row>
    <row r="174" spans="1:15" x14ac:dyDescent="0.25">
      <c r="A174" t="s">
        <v>1031</v>
      </c>
      <c r="B174" s="343" t="s">
        <v>1438</v>
      </c>
      <c r="C174" s="38">
        <f>'TEA Backend'!F39</f>
        <v>12.641613690282371</v>
      </c>
      <c r="D174" s="38">
        <v>149.95700909638353</v>
      </c>
      <c r="E174" s="38">
        <v>12.641613690282371</v>
      </c>
      <c r="F174" s="38"/>
      <c r="G174" s="466"/>
      <c r="H174" s="38"/>
      <c r="I174" s="38"/>
      <c r="J174" s="38"/>
      <c r="K174" s="38"/>
      <c r="L174" s="38"/>
      <c r="M174" s="38"/>
      <c r="N174" s="38"/>
      <c r="O174" s="38">
        <f ca="1">IF(Scenarios!$C$8 = "Example", Tbl_Scenarios[[#This Row],[Example]],OFFSET(Tbl_Scenarios[[#This Row],[Example]],0,Scenarios!$C$8))</f>
        <v>12.641613690282371</v>
      </c>
    </row>
    <row r="175" spans="1:15" x14ac:dyDescent="0.25">
      <c r="A175" t="s">
        <v>1202</v>
      </c>
      <c r="B175" s="343" t="s">
        <v>1439</v>
      </c>
      <c r="C175" s="38">
        <f>'TEA Backend'!F40</f>
        <v>368.62945520863394</v>
      </c>
      <c r="D175" s="38">
        <v>1214.6517736807064</v>
      </c>
      <c r="E175" s="38">
        <v>368.62945520863394</v>
      </c>
      <c r="F175" s="38"/>
      <c r="G175" s="466"/>
      <c r="H175" s="38"/>
      <c r="I175" s="38"/>
      <c r="J175" s="38"/>
      <c r="K175" s="38"/>
      <c r="L175" s="38"/>
      <c r="M175" s="38"/>
      <c r="N175" s="38"/>
      <c r="O175" s="38">
        <f ca="1">IF(Scenarios!$C$8 = "Example", Tbl_Scenarios[[#This Row],[Example]],OFFSET(Tbl_Scenarios[[#This Row],[Example]],0,Scenarios!$C$8))</f>
        <v>368.62945520863394</v>
      </c>
    </row>
    <row r="176" spans="1:15" x14ac:dyDescent="0.25">
      <c r="A176" t="s">
        <v>469</v>
      </c>
      <c r="B176" s="343" t="s">
        <v>1440</v>
      </c>
      <c r="C176" s="126">
        <f>'TEA Backend'!F41</f>
        <v>1</v>
      </c>
      <c r="D176" s="126">
        <v>1</v>
      </c>
      <c r="E176" s="126">
        <v>1</v>
      </c>
      <c r="F176" s="126"/>
      <c r="G176" s="469"/>
      <c r="H176" s="126"/>
      <c r="I176" s="126"/>
      <c r="J176" s="126"/>
      <c r="K176" s="126"/>
      <c r="L176" s="126"/>
      <c r="M176" s="126"/>
      <c r="N176" s="126"/>
      <c r="O176" s="126">
        <f ca="1">IF(Scenarios!$C$8 = "Example", Tbl_Scenarios[[#This Row],[Example]],OFFSET(Tbl_Scenarios[[#This Row],[Example]],0,Scenarios!$C$8))</f>
        <v>1</v>
      </c>
    </row>
    <row r="177" spans="1:15" x14ac:dyDescent="0.25">
      <c r="A177" t="s">
        <v>470</v>
      </c>
      <c r="B177" s="343" t="s">
        <v>1441</v>
      </c>
      <c r="C177" s="126">
        <f>'TEA Backend'!F42</f>
        <v>8.2170488986835405E-2</v>
      </c>
      <c r="D177" s="126">
        <v>0.67464751146979152</v>
      </c>
      <c r="E177" s="126">
        <v>8.2170488986835405E-2</v>
      </c>
      <c r="F177" s="126"/>
      <c r="G177" s="469"/>
      <c r="H177" s="126"/>
      <c r="I177" s="126"/>
      <c r="J177" s="126"/>
      <c r="K177" s="126"/>
      <c r="L177" s="126"/>
      <c r="M177" s="126"/>
      <c r="N177" s="126"/>
      <c r="O177" s="126">
        <f ca="1">IF(Scenarios!$C$8 = "Example", Tbl_Scenarios[[#This Row],[Example]],OFFSET(Tbl_Scenarios[[#This Row],[Example]],0,Scenarios!$C$8))</f>
        <v>8.2170488986835405E-2</v>
      </c>
    </row>
    <row r="178" spans="1:15" x14ac:dyDescent="0.25">
      <c r="A178" t="s">
        <v>471</v>
      </c>
      <c r="B178" s="343" t="s">
        <v>1442</v>
      </c>
      <c r="C178" s="126">
        <f>'TEA Backend'!F43</f>
        <v>0.63519373469931895</v>
      </c>
      <c r="D178" s="126">
        <v>0.18687721621579831</v>
      </c>
      <c r="E178" s="126">
        <v>0.63519373469931895</v>
      </c>
      <c r="F178" s="126"/>
      <c r="G178" s="469"/>
      <c r="H178" s="126"/>
      <c r="I178" s="126"/>
      <c r="J178" s="126"/>
      <c r="K178" s="126"/>
      <c r="L178" s="126"/>
      <c r="M178" s="126"/>
      <c r="N178" s="126"/>
      <c r="O178" s="126">
        <f ca="1">IF(Scenarios!$C$8 = "Example", Tbl_Scenarios[[#This Row],[Example]],OFFSET(Tbl_Scenarios[[#This Row],[Example]],0,Scenarios!$C$8))</f>
        <v>0.63519373469931895</v>
      </c>
    </row>
    <row r="179" spans="1:15" x14ac:dyDescent="0.25">
      <c r="A179" t="s">
        <v>962</v>
      </c>
      <c r="B179" s="343" t="s">
        <v>1443</v>
      </c>
      <c r="C179" s="422">
        <f>'TEA Backend'!F46</f>
        <v>1348.4387936301193</v>
      </c>
      <c r="D179" s="422">
        <v>1666.1889899598166</v>
      </c>
      <c r="E179" s="422">
        <v>1348.4387936301193</v>
      </c>
      <c r="F179" s="422"/>
      <c r="G179" s="470"/>
      <c r="H179" s="422"/>
      <c r="I179" s="422"/>
      <c r="J179" s="422"/>
      <c r="K179" s="422"/>
      <c r="L179" s="422"/>
      <c r="M179" s="422"/>
      <c r="N179" s="422"/>
      <c r="O179" s="422">
        <f ca="1">IF(Scenarios!$C$8 = "Example", Tbl_Scenarios[[#This Row],[Example]],OFFSET(Tbl_Scenarios[[#This Row],[Example]],0,Scenarios!$C$8))</f>
        <v>1348.4387936301193</v>
      </c>
    </row>
    <row r="180" spans="1:15" x14ac:dyDescent="0.25">
      <c r="A180" t="s">
        <v>963</v>
      </c>
      <c r="B180" s="343" t="s">
        <v>1444</v>
      </c>
      <c r="C180" s="422">
        <f>'TEA Backend'!F47</f>
        <v>25640.232111147296</v>
      </c>
      <c r="D180" s="422">
        <v>63034.527525100457</v>
      </c>
      <c r="E180" s="422">
        <v>25640.232111147296</v>
      </c>
      <c r="F180" s="422"/>
      <c r="G180" s="470"/>
      <c r="H180" s="422"/>
      <c r="I180" s="422"/>
      <c r="J180" s="422"/>
      <c r="K180" s="422"/>
      <c r="L180" s="422"/>
      <c r="M180" s="422"/>
      <c r="N180" s="422"/>
      <c r="O180" s="422">
        <f ca="1">IF(Scenarios!$C$8 = "Example", Tbl_Scenarios[[#This Row],[Example]],OFFSET(Tbl_Scenarios[[#This Row],[Example]],0,Scenarios!$C$8))</f>
        <v>25640.232111147296</v>
      </c>
    </row>
    <row r="181" spans="1:15" x14ac:dyDescent="0.25">
      <c r="A181" t="s">
        <v>1213</v>
      </c>
      <c r="B181" s="343" t="s">
        <v>1445</v>
      </c>
      <c r="C181" s="422">
        <f>'TEA Backend'!F48</f>
        <v>26988.670904777417</v>
      </c>
      <c r="D181" s="422">
        <v>64700.716515060274</v>
      </c>
      <c r="E181" s="422">
        <v>26988.670904777417</v>
      </c>
      <c r="F181" s="422"/>
      <c r="G181" s="470"/>
      <c r="H181" s="422"/>
      <c r="I181" s="422"/>
      <c r="J181" s="422"/>
      <c r="K181" s="422"/>
      <c r="L181" s="422"/>
      <c r="M181" s="422"/>
      <c r="N181" s="422"/>
      <c r="O181" s="422">
        <f ca="1">IF(Scenarios!$C$8 = "Example", Tbl_Scenarios[[#This Row],[Example]],OFFSET(Tbl_Scenarios[[#This Row],[Example]],0,Scenarios!$C$8))</f>
        <v>26988.670904777417</v>
      </c>
    </row>
    <row r="182" spans="1:15" x14ac:dyDescent="0.25">
      <c r="A182" t="s">
        <v>1207</v>
      </c>
      <c r="B182" s="343" t="s">
        <v>1446</v>
      </c>
      <c r="C182" s="422">
        <f>'TEA Backend'!F49</f>
        <v>1444.304364114761</v>
      </c>
      <c r="D182" s="422">
        <v>53978.352309465932</v>
      </c>
      <c r="E182" s="422">
        <v>1485.3896086081786</v>
      </c>
      <c r="F182" s="422"/>
      <c r="G182" s="470"/>
      <c r="H182" s="422"/>
      <c r="I182" s="422"/>
      <c r="J182" s="422"/>
      <c r="K182" s="422"/>
      <c r="L182" s="422"/>
      <c r="M182" s="422"/>
      <c r="N182" s="422"/>
      <c r="O182" s="422">
        <f ca="1">IF(Scenarios!$C$8 = "Example", Tbl_Scenarios[[#This Row],[Example]],OFFSET(Tbl_Scenarios[[#This Row],[Example]],0,Scenarios!$C$8))</f>
        <v>1485.3896086081786</v>
      </c>
    </row>
    <row r="183" spans="1:15" x14ac:dyDescent="0.25">
      <c r="A183" t="s">
        <v>1208</v>
      </c>
      <c r="B183" s="343" t="s">
        <v>1447</v>
      </c>
      <c r="C183" s="422">
        <f>'TEA Backend'!F50</f>
        <v>16136.499835057868</v>
      </c>
      <c r="D183" s="422">
        <v>7920.0351312782877</v>
      </c>
      <c r="E183" s="422">
        <v>16136.499835057868</v>
      </c>
      <c r="F183" s="422"/>
      <c r="G183" s="470"/>
      <c r="H183" s="422"/>
      <c r="I183" s="422"/>
      <c r="J183" s="422"/>
      <c r="K183" s="422"/>
      <c r="L183" s="422"/>
      <c r="M183" s="422"/>
      <c r="N183" s="422"/>
      <c r="O183" s="422">
        <f ca="1">IF(Scenarios!$C$8 = "Example", Tbl_Scenarios[[#This Row],[Example]],OFFSET(Tbl_Scenarios[[#This Row],[Example]],0,Scenarios!$C$8))</f>
        <v>16136.499835057868</v>
      </c>
    </row>
    <row r="184" spans="1:15" x14ac:dyDescent="0.25">
      <c r="A184" t="s">
        <v>1506</v>
      </c>
      <c r="B184" s="343" t="s">
        <v>1448</v>
      </c>
      <c r="C184" s="330">
        <f>'TEA Backend'!F51</f>
        <v>44569.475103950041</v>
      </c>
      <c r="D184" s="330">
        <v>126599.1039558045</v>
      </c>
      <c r="E184" s="330">
        <v>44610.560348443461</v>
      </c>
      <c r="F184" s="330"/>
      <c r="G184" s="470"/>
      <c r="H184" s="330"/>
      <c r="I184" s="330"/>
      <c r="J184" s="330"/>
      <c r="K184" s="330"/>
      <c r="L184" s="330"/>
      <c r="M184" s="330"/>
      <c r="N184" s="330"/>
      <c r="O184" s="330">
        <f ca="1">IF(Scenarios!$C$8 = "Example", Tbl_Scenarios[[#This Row],[Example]],OFFSET(Tbl_Scenarios[[#This Row],[Example]],0,Scenarios!$C$8))</f>
        <v>44610.560348443461</v>
      </c>
    </row>
    <row r="185" spans="1:15" x14ac:dyDescent="0.25">
      <c r="A185" t="s">
        <v>979</v>
      </c>
      <c r="B185" s="343" t="s">
        <v>1449</v>
      </c>
      <c r="C185" s="309">
        <f>'TEA Backend'!F52</f>
        <v>209889.37873418679</v>
      </c>
      <c r="D185" s="309">
        <v>150102.33071564088</v>
      </c>
      <c r="E185" s="309">
        <v>209889.37873418679</v>
      </c>
      <c r="F185" s="309"/>
      <c r="G185" s="465"/>
      <c r="H185" s="309"/>
      <c r="I185" s="309"/>
      <c r="J185" s="309"/>
      <c r="K185" s="309"/>
      <c r="L185" s="309"/>
      <c r="M185" s="309"/>
      <c r="N185" s="309"/>
      <c r="O185" s="309">
        <f ca="1">IF(Scenarios!$C$8 = "Example", Tbl_Scenarios[[#This Row],[Example]],OFFSET(Tbl_Scenarios[[#This Row],[Example]],0,Scenarios!$C$8))</f>
        <v>209889.37873418679</v>
      </c>
    </row>
    <row r="186" spans="1:15" x14ac:dyDescent="0.25">
      <c r="A186" t="s">
        <v>910</v>
      </c>
      <c r="B186" s="343" t="s">
        <v>1450</v>
      </c>
      <c r="C186" s="309">
        <f>'TEA Backend'!F53</f>
        <v>58256.700731962614</v>
      </c>
      <c r="D186" s="309">
        <v>370588.34102484869</v>
      </c>
      <c r="E186" s="309">
        <v>58256.700731962614</v>
      </c>
      <c r="F186" s="309"/>
      <c r="G186" s="465"/>
      <c r="H186" s="309"/>
      <c r="I186" s="309"/>
      <c r="J186" s="309"/>
      <c r="K186" s="309"/>
      <c r="L186" s="309"/>
      <c r="M186" s="309"/>
      <c r="N186" s="309"/>
      <c r="O186" s="309">
        <f ca="1">IF(Scenarios!$C$8 = "Example", Tbl_Scenarios[[#This Row],[Example]],OFFSET(Tbl_Scenarios[[#This Row],[Example]],0,Scenarios!$C$8))</f>
        <v>58256.700731962614</v>
      </c>
    </row>
    <row r="187" spans="1:15" x14ac:dyDescent="0.25">
      <c r="A187" t="s">
        <v>911</v>
      </c>
      <c r="B187" s="343" t="s">
        <v>1451</v>
      </c>
      <c r="C187" s="309">
        <f>'TEA Backend'!F54</f>
        <v>2698.8670904777418</v>
      </c>
      <c r="D187" s="309">
        <v>6470.0716515060276</v>
      </c>
      <c r="E187" s="309">
        <v>2698.8670904777418</v>
      </c>
      <c r="F187" s="309"/>
      <c r="G187" s="465"/>
      <c r="H187" s="309"/>
      <c r="I187" s="309"/>
      <c r="J187" s="309"/>
      <c r="K187" s="309"/>
      <c r="L187" s="309"/>
      <c r="M187" s="309"/>
      <c r="N187" s="309"/>
      <c r="O187" s="309">
        <f ca="1">IF(Scenarios!$C$8 = "Example", Tbl_Scenarios[[#This Row],[Example]],OFFSET(Tbl_Scenarios[[#This Row],[Example]],0,Scenarios!$C$8))</f>
        <v>2698.8670904777418</v>
      </c>
    </row>
    <row r="188" spans="1:15" x14ac:dyDescent="0.25">
      <c r="A188" t="s">
        <v>912</v>
      </c>
      <c r="B188" s="343" t="s">
        <v>1452</v>
      </c>
      <c r="C188" s="309">
        <f>'TEA Backend'!F55</f>
        <v>18205.218978738314</v>
      </c>
      <c r="D188" s="309">
        <v>17233.460799146604</v>
      </c>
      <c r="E188" s="309">
        <v>18205.218978738314</v>
      </c>
      <c r="F188" s="309"/>
      <c r="G188" s="465"/>
      <c r="H188" s="309"/>
      <c r="I188" s="309"/>
      <c r="J188" s="309"/>
      <c r="K188" s="309"/>
      <c r="L188" s="309"/>
      <c r="M188" s="309"/>
      <c r="N188" s="309"/>
      <c r="O188" s="309">
        <f ca="1">IF(Scenarios!$C$8 = "Example", Tbl_Scenarios[[#This Row],[Example]],OFFSET(Tbl_Scenarios[[#This Row],[Example]],0,Scenarios!$C$8))</f>
        <v>18205.218978738314</v>
      </c>
    </row>
    <row r="189" spans="1:15" x14ac:dyDescent="0.25">
      <c r="A189" t="s">
        <v>913</v>
      </c>
      <c r="B189" s="343" t="s">
        <v>1453</v>
      </c>
      <c r="C189" s="309">
        <f>'TEA Backend'!F56</f>
        <v>94500.000000000015</v>
      </c>
      <c r="D189" s="309">
        <v>316960</v>
      </c>
      <c r="E189" s="309">
        <v>94500.000000000015</v>
      </c>
      <c r="F189" s="309"/>
      <c r="G189" s="465"/>
      <c r="H189" s="309"/>
      <c r="I189" s="309"/>
      <c r="J189" s="309"/>
      <c r="K189" s="309"/>
      <c r="L189" s="309"/>
      <c r="M189" s="309"/>
      <c r="N189" s="309"/>
      <c r="O189" s="309">
        <f ca="1">IF(Scenarios!$C$8 = "Example", Tbl_Scenarios[[#This Row],[Example]],OFFSET(Tbl_Scenarios[[#This Row],[Example]],0,Scenarios!$C$8))</f>
        <v>94500.000000000015</v>
      </c>
    </row>
    <row r="190" spans="1:15" x14ac:dyDescent="0.25">
      <c r="A190" t="s">
        <v>914</v>
      </c>
      <c r="B190" s="343" t="s">
        <v>1454</v>
      </c>
      <c r="C190" s="309">
        <f>'TEA Backend'!F57</f>
        <v>125</v>
      </c>
      <c r="D190" s="309">
        <v>1066.6666666666667</v>
      </c>
      <c r="E190" s="309">
        <v>125</v>
      </c>
      <c r="F190" s="309"/>
      <c r="G190" s="465"/>
      <c r="H190" s="309"/>
      <c r="I190" s="309"/>
      <c r="J190" s="309"/>
      <c r="K190" s="309"/>
      <c r="L190" s="309"/>
      <c r="M190" s="309"/>
      <c r="N190" s="309"/>
      <c r="O190" s="309">
        <f ca="1">IF(Scenarios!$C$8 = "Example", Tbl_Scenarios[[#This Row],[Example]],OFFSET(Tbl_Scenarios[[#This Row],[Example]],0,Scenarios!$C$8))</f>
        <v>125</v>
      </c>
    </row>
    <row r="191" spans="1:15" x14ac:dyDescent="0.25">
      <c r="A191" t="s">
        <v>915</v>
      </c>
      <c r="B191" s="343" t="s">
        <v>1455</v>
      </c>
      <c r="C191" s="309">
        <f>'TEA Backend'!F58</f>
        <v>4000</v>
      </c>
      <c r="D191" s="309">
        <v>16000</v>
      </c>
      <c r="E191" s="309">
        <v>4000</v>
      </c>
      <c r="F191" s="309"/>
      <c r="G191" s="465"/>
      <c r="H191" s="309"/>
      <c r="I191" s="309"/>
      <c r="J191" s="309"/>
      <c r="K191" s="309"/>
      <c r="L191" s="309"/>
      <c r="M191" s="309"/>
      <c r="N191" s="309"/>
      <c r="O191" s="309">
        <f ca="1">IF(Scenarios!$C$8 = "Example", Tbl_Scenarios[[#This Row],[Example]],OFFSET(Tbl_Scenarios[[#This Row],[Example]],0,Scenarios!$C$8))</f>
        <v>4000</v>
      </c>
    </row>
    <row r="192" spans="1:15" x14ac:dyDescent="0.25">
      <c r="A192" t="s">
        <v>916</v>
      </c>
      <c r="B192" s="343" t="s">
        <v>1456</v>
      </c>
      <c r="C192" s="309">
        <f>'TEA Backend'!F59</f>
        <v>150000</v>
      </c>
      <c r="D192" s="309">
        <v>300000.00000000006</v>
      </c>
      <c r="E192" s="309">
        <v>150000</v>
      </c>
      <c r="F192" s="309"/>
      <c r="G192" s="465"/>
      <c r="H192" s="309"/>
      <c r="I192" s="309"/>
      <c r="J192" s="309"/>
      <c r="K192" s="309"/>
      <c r="L192" s="309"/>
      <c r="M192" s="309"/>
      <c r="N192" s="309"/>
      <c r="O192" s="309">
        <f ca="1">IF(Scenarios!$C$8 = "Example", Tbl_Scenarios[[#This Row],[Example]],OFFSET(Tbl_Scenarios[[#This Row],[Example]],0,Scenarios!$C$8))</f>
        <v>150000</v>
      </c>
    </row>
    <row r="193" spans="1:15" x14ac:dyDescent="0.25">
      <c r="A193" t="s">
        <v>925</v>
      </c>
      <c r="B193" s="343" t="s">
        <v>1457</v>
      </c>
      <c r="C193" s="309">
        <f>'TEA Backend'!F60</f>
        <v>5584.4328476822375</v>
      </c>
      <c r="D193" s="309">
        <v>63162.964980492885</v>
      </c>
      <c r="E193" s="309">
        <v>5584.4328476822375</v>
      </c>
      <c r="F193" s="309"/>
      <c r="G193" s="465"/>
      <c r="H193" s="309"/>
      <c r="I193" s="309"/>
      <c r="J193" s="309"/>
      <c r="K193" s="309"/>
      <c r="L193" s="309"/>
      <c r="M193" s="309"/>
      <c r="N193" s="309"/>
      <c r="O193" s="309">
        <f ca="1">IF(Scenarios!$C$8 = "Example", Tbl_Scenarios[[#This Row],[Example]],OFFSET(Tbl_Scenarios[[#This Row],[Example]],0,Scenarios!$C$8))</f>
        <v>5584.4328476822375</v>
      </c>
    </row>
    <row r="194" spans="1:15" x14ac:dyDescent="0.25">
      <c r="A194" t="s">
        <v>926</v>
      </c>
      <c r="B194" s="343" t="s">
        <v>1458</v>
      </c>
      <c r="C194" s="309">
        <f>'TEA Backend'!F61</f>
        <v>144.43043641147611</v>
      </c>
      <c r="D194" s="309">
        <v>5397.8352309465936</v>
      </c>
      <c r="E194" s="309">
        <v>148.53896086081787</v>
      </c>
      <c r="F194" s="309"/>
      <c r="G194" s="465"/>
      <c r="H194" s="309"/>
      <c r="I194" s="309"/>
      <c r="J194" s="309"/>
      <c r="K194" s="309"/>
      <c r="L194" s="309"/>
      <c r="M194" s="309"/>
      <c r="N194" s="309"/>
      <c r="O194" s="309">
        <f ca="1">IF(Scenarios!$C$8 = "Example", Tbl_Scenarios[[#This Row],[Example]],OFFSET(Tbl_Scenarios[[#This Row],[Example]],0,Scenarios!$C$8))</f>
        <v>148.53896086081787</v>
      </c>
    </row>
    <row r="195" spans="1:15" x14ac:dyDescent="0.25">
      <c r="A195" t="s">
        <v>927</v>
      </c>
      <c r="B195" s="343" t="s">
        <v>1459</v>
      </c>
      <c r="C195" s="309">
        <f>'TEA Backend'!F62</f>
        <v>1745.135264900699</v>
      </c>
      <c r="D195" s="309">
        <v>11749.063426430965</v>
      </c>
      <c r="E195" s="309">
        <v>1745.135264900699</v>
      </c>
      <c r="F195" s="309"/>
      <c r="G195" s="465"/>
      <c r="H195" s="309"/>
      <c r="I195" s="309"/>
      <c r="J195" s="309"/>
      <c r="K195" s="309"/>
      <c r="L195" s="309"/>
      <c r="M195" s="309"/>
      <c r="N195" s="309"/>
      <c r="O195" s="309">
        <f ca="1">IF(Scenarios!$C$8 = "Example", Tbl_Scenarios[[#This Row],[Example]],OFFSET(Tbl_Scenarios[[#This Row],[Example]],0,Scenarios!$C$8))</f>
        <v>1745.135264900699</v>
      </c>
    </row>
    <row r="196" spans="1:15" x14ac:dyDescent="0.25">
      <c r="A196" t="s">
        <v>928</v>
      </c>
      <c r="B196" s="343" t="s">
        <v>1460</v>
      </c>
      <c r="C196" s="309">
        <f>'TEA Backend'!F63</f>
        <v>25883.704030853154</v>
      </c>
      <c r="D196" s="309">
        <v>1534.823088593776</v>
      </c>
      <c r="E196" s="309">
        <v>25883.704030853154</v>
      </c>
      <c r="F196" s="309"/>
      <c r="G196" s="465"/>
      <c r="H196" s="309"/>
      <c r="I196" s="309"/>
      <c r="J196" s="309"/>
      <c r="K196" s="309"/>
      <c r="L196" s="309"/>
      <c r="M196" s="309"/>
      <c r="N196" s="309"/>
      <c r="O196" s="309">
        <f ca="1">IF(Scenarios!$C$8 = "Example", Tbl_Scenarios[[#This Row],[Example]],OFFSET(Tbl_Scenarios[[#This Row],[Example]],0,Scenarios!$C$8))</f>
        <v>25883.704030853154</v>
      </c>
    </row>
    <row r="197" spans="1:15" x14ac:dyDescent="0.25">
      <c r="A197" t="s">
        <v>929</v>
      </c>
      <c r="B197" s="343" t="s">
        <v>1461</v>
      </c>
      <c r="C197" s="309">
        <f>'TEA Backend'!F64</f>
        <v>10.271311123354426</v>
      </c>
      <c r="D197" s="309">
        <v>179.90600305861108</v>
      </c>
      <c r="E197" s="309">
        <v>10.271311123354426</v>
      </c>
      <c r="F197" s="309"/>
      <c r="G197" s="465"/>
      <c r="H197" s="309"/>
      <c r="I197" s="309"/>
      <c r="J197" s="309"/>
      <c r="K197" s="309"/>
      <c r="L197" s="309"/>
      <c r="M197" s="309"/>
      <c r="N197" s="309"/>
      <c r="O197" s="309">
        <f ca="1">IF(Scenarios!$C$8 = "Example", Tbl_Scenarios[[#This Row],[Example]],OFFSET(Tbl_Scenarios[[#This Row],[Example]],0,Scenarios!$C$8))</f>
        <v>10.271311123354426</v>
      </c>
    </row>
    <row r="198" spans="1:15" x14ac:dyDescent="0.25">
      <c r="A198" t="s">
        <v>930</v>
      </c>
      <c r="B198" s="343" t="s">
        <v>1462</v>
      </c>
      <c r="C198" s="309">
        <f>'TEA Backend'!F65</f>
        <v>41085.244493417704</v>
      </c>
      <c r="D198" s="309">
        <v>1264.9640840058591</v>
      </c>
      <c r="E198" s="309">
        <v>41085.244493417704</v>
      </c>
      <c r="F198" s="309"/>
      <c r="G198" s="465"/>
      <c r="H198" s="309"/>
      <c r="I198" s="309"/>
      <c r="J198" s="309"/>
      <c r="K198" s="309"/>
      <c r="L198" s="309"/>
      <c r="M198" s="309"/>
      <c r="N198" s="309"/>
      <c r="O198" s="309">
        <f ca="1">IF(Scenarios!$C$8 = "Example", Tbl_Scenarios[[#This Row],[Example]],OFFSET(Tbl_Scenarios[[#This Row],[Example]],0,Scenarios!$C$8))</f>
        <v>41085.244493417704</v>
      </c>
    </row>
    <row r="199" spans="1:15" x14ac:dyDescent="0.25">
      <c r="A199" t="s">
        <v>937</v>
      </c>
      <c r="B199" s="343" t="s">
        <v>1463</v>
      </c>
      <c r="C199" s="309">
        <f>'TEA Backend'!F66</f>
        <v>33010.833922367055</v>
      </c>
      <c r="D199" s="309">
        <v>16669.045034959901</v>
      </c>
      <c r="E199" s="309">
        <v>33010.833922367055</v>
      </c>
      <c r="F199" s="309"/>
      <c r="G199" s="465"/>
      <c r="H199" s="309"/>
      <c r="I199" s="309"/>
      <c r="J199" s="309"/>
      <c r="K199" s="309"/>
      <c r="L199" s="309"/>
      <c r="M199" s="309"/>
      <c r="N199" s="309"/>
      <c r="O199" s="309">
        <f ca="1">IF(Scenarios!$C$8 = "Example", Tbl_Scenarios[[#This Row],[Example]],OFFSET(Tbl_Scenarios[[#This Row],[Example]],0,Scenarios!$C$8))</f>
        <v>33010.833922367055</v>
      </c>
    </row>
    <row r="200" spans="1:15" x14ac:dyDescent="0.25">
      <c r="A200" t="s">
        <v>938</v>
      </c>
      <c r="B200" s="343" t="s">
        <v>1464</v>
      </c>
      <c r="C200" s="309">
        <f>'TEA Backend'!F67</f>
        <v>1613.6499835057868</v>
      </c>
      <c r="D200" s="309">
        <v>792.0035131278288</v>
      </c>
      <c r="E200" s="309">
        <v>1613.6499835057868</v>
      </c>
      <c r="F200" s="309"/>
      <c r="G200" s="465"/>
      <c r="H200" s="309"/>
      <c r="I200" s="309"/>
      <c r="J200" s="309"/>
      <c r="K200" s="309"/>
      <c r="L200" s="309"/>
      <c r="M200" s="309"/>
      <c r="N200" s="309"/>
      <c r="O200" s="309">
        <f ca="1">IF(Scenarios!$C$8 = "Example", Tbl_Scenarios[[#This Row],[Example]],OFFSET(Tbl_Scenarios[[#This Row],[Example]],0,Scenarios!$C$8))</f>
        <v>1613.6499835057868</v>
      </c>
    </row>
    <row r="201" spans="1:15" x14ac:dyDescent="0.25">
      <c r="A201" t="s">
        <v>939</v>
      </c>
      <c r="B201" s="343" t="s">
        <v>1465</v>
      </c>
      <c r="C201" s="309">
        <f>'TEA Backend'!F68</f>
        <v>11462.095111933006</v>
      </c>
      <c r="D201" s="309">
        <v>3445.1564639054027</v>
      </c>
      <c r="E201" s="309">
        <v>11462.095111933006</v>
      </c>
      <c r="F201" s="309"/>
      <c r="G201" s="465"/>
      <c r="H201" s="309"/>
      <c r="I201" s="309"/>
      <c r="J201" s="309"/>
      <c r="K201" s="309"/>
      <c r="L201" s="309"/>
      <c r="M201" s="309"/>
      <c r="N201" s="309"/>
      <c r="O201" s="309">
        <f ca="1">IF(Scenarios!$C$8 = "Example", Tbl_Scenarios[[#This Row],[Example]],OFFSET(Tbl_Scenarios[[#This Row],[Example]],0,Scenarios!$C$8))</f>
        <v>11462.095111933006</v>
      </c>
    </row>
    <row r="202" spans="1:15" x14ac:dyDescent="0.25">
      <c r="A202" t="s">
        <v>940</v>
      </c>
      <c r="B202" s="343" t="s">
        <v>1466</v>
      </c>
      <c r="C202" s="309">
        <f>'TEA Backend'!F69</f>
        <v>2167.5986196614263</v>
      </c>
      <c r="D202" s="309">
        <v>490.55269256647057</v>
      </c>
      <c r="E202" s="309">
        <v>2167.5986196614263</v>
      </c>
      <c r="F202" s="309"/>
      <c r="G202" s="465"/>
      <c r="H202" s="309"/>
      <c r="I202" s="309"/>
      <c r="J202" s="309"/>
      <c r="K202" s="309"/>
      <c r="L202" s="309"/>
      <c r="M202" s="309"/>
      <c r="N202" s="309"/>
      <c r="O202" s="309">
        <f ca="1">IF(Scenarios!$C$8 = "Example", Tbl_Scenarios[[#This Row],[Example]],OFFSET(Tbl_Scenarios[[#This Row],[Example]],0,Scenarios!$C$8))</f>
        <v>2167.5986196614263</v>
      </c>
    </row>
    <row r="203" spans="1:15" x14ac:dyDescent="0.25">
      <c r="A203" t="s">
        <v>941</v>
      </c>
      <c r="B203" s="343" t="s">
        <v>1467</v>
      </c>
      <c r="C203" s="309">
        <f>'TEA Backend'!F70</f>
        <v>158.79843367482974</v>
      </c>
      <c r="D203" s="309">
        <v>49.833924324212887</v>
      </c>
      <c r="E203" s="309">
        <v>158.79843367482974</v>
      </c>
      <c r="F203" s="309"/>
      <c r="G203" s="465"/>
      <c r="H203" s="309"/>
      <c r="I203" s="309"/>
      <c r="J203" s="309"/>
      <c r="K203" s="309"/>
      <c r="L203" s="309"/>
      <c r="M203" s="309"/>
      <c r="N203" s="309"/>
      <c r="O203" s="309">
        <f ca="1">IF(Scenarios!$C$8 = "Example", Tbl_Scenarios[[#This Row],[Example]],OFFSET(Tbl_Scenarios[[#This Row],[Example]],0,Scenarios!$C$8))</f>
        <v>158.79843367482974</v>
      </c>
    </row>
    <row r="204" spans="1:15" x14ac:dyDescent="0.25">
      <c r="A204" t="s">
        <v>942</v>
      </c>
      <c r="B204" s="343" t="s">
        <v>1468</v>
      </c>
      <c r="C204" s="309">
        <f>'TEA Backend'!F71</f>
        <v>15879.843367482974</v>
      </c>
      <c r="D204" s="309">
        <v>747.50886486319325</v>
      </c>
      <c r="E204" s="309">
        <v>15879.843367482974</v>
      </c>
      <c r="F204" s="309"/>
      <c r="G204" s="465"/>
      <c r="H204" s="309"/>
      <c r="I204" s="309"/>
      <c r="J204" s="309"/>
      <c r="K204" s="309"/>
      <c r="L204" s="309"/>
      <c r="M204" s="309"/>
      <c r="N204" s="309"/>
      <c r="O204" s="309">
        <f ca="1">IF(Scenarios!$C$8 = "Example", Tbl_Scenarios[[#This Row],[Example]],OFFSET(Tbl_Scenarios[[#This Row],[Example]],0,Scenarios!$C$8))</f>
        <v>15879.843367482974</v>
      </c>
    </row>
    <row r="205" spans="1:15" x14ac:dyDescent="0.25">
      <c r="A205" t="s">
        <v>943</v>
      </c>
      <c r="B205" s="343" t="s">
        <v>1469</v>
      </c>
      <c r="C205" s="309">
        <f>'TEA Backend'!F72</f>
        <v>3175.9686734965949</v>
      </c>
      <c r="D205" s="309">
        <v>350.39478040462188</v>
      </c>
      <c r="E205" s="309">
        <v>3175.9686734965949</v>
      </c>
      <c r="F205" s="309"/>
      <c r="G205" s="465"/>
      <c r="H205" s="309"/>
      <c r="I205" s="309"/>
      <c r="J205" s="309"/>
      <c r="K205" s="309"/>
      <c r="L205" s="309"/>
      <c r="M205" s="309"/>
      <c r="N205" s="309"/>
      <c r="O205" s="309">
        <f ca="1">IF(Scenarios!$C$8 = "Example", Tbl_Scenarios[[#This Row],[Example]],OFFSET(Tbl_Scenarios[[#This Row],[Example]],0,Scenarios!$C$8))</f>
        <v>3175.9686734965949</v>
      </c>
    </row>
    <row r="206" spans="1:15" x14ac:dyDescent="0.25">
      <c r="A206" t="s">
        <v>917</v>
      </c>
      <c r="B206" s="343" t="s">
        <v>1470</v>
      </c>
      <c r="C206" s="309">
        <f>'TEA Backend'!F73</f>
        <v>2629.066058158438</v>
      </c>
      <c r="D206" s="309">
        <v>1252.5864371193456</v>
      </c>
      <c r="E206" s="309">
        <v>2629.066058158438</v>
      </c>
      <c r="F206" s="309"/>
      <c r="G206" s="465"/>
      <c r="H206" s="309"/>
      <c r="I206" s="309"/>
      <c r="J206" s="309"/>
      <c r="K206" s="309"/>
      <c r="L206" s="309"/>
      <c r="M206" s="309"/>
      <c r="N206" s="309"/>
      <c r="O206" s="309">
        <f ca="1">IF(Scenarios!$C$8 = "Example", Tbl_Scenarios[[#This Row],[Example]],OFFSET(Tbl_Scenarios[[#This Row],[Example]],0,Scenarios!$C$8))</f>
        <v>2629.066058158438</v>
      </c>
    </row>
    <row r="207" spans="1:15" x14ac:dyDescent="0.25">
      <c r="A207" t="s">
        <v>918</v>
      </c>
      <c r="B207" s="343" t="s">
        <v>1471</v>
      </c>
      <c r="C207" s="309">
        <f>'TEA Backend'!F74</f>
        <v>729.72112966547866</v>
      </c>
      <c r="D207" s="309">
        <v>3092.516468659509</v>
      </c>
      <c r="E207" s="309">
        <v>729.72112966547866</v>
      </c>
      <c r="F207" s="309"/>
      <c r="G207" s="465"/>
      <c r="H207" s="309"/>
      <c r="I207" s="309"/>
      <c r="J207" s="309"/>
      <c r="K207" s="309"/>
      <c r="L207" s="309"/>
      <c r="M207" s="309"/>
      <c r="N207" s="309"/>
      <c r="O207" s="309">
        <f ca="1">IF(Scenarios!$C$8 = "Example", Tbl_Scenarios[[#This Row],[Example]],OFFSET(Tbl_Scenarios[[#This Row],[Example]],0,Scenarios!$C$8))</f>
        <v>729.72112966547866</v>
      </c>
    </row>
    <row r="208" spans="1:15" x14ac:dyDescent="0.25">
      <c r="A208" t="s">
        <v>919</v>
      </c>
      <c r="B208" s="343" t="s">
        <v>1472</v>
      </c>
      <c r="C208" s="309">
        <f>'TEA Backend'!F75</f>
        <v>33.805902451319071</v>
      </c>
      <c r="D208" s="309">
        <v>53.991993057189575</v>
      </c>
      <c r="E208" s="309">
        <v>33.805902451319071</v>
      </c>
      <c r="F208" s="309"/>
      <c r="G208" s="465"/>
      <c r="H208" s="309"/>
      <c r="I208" s="309"/>
      <c r="J208" s="309"/>
      <c r="K208" s="309"/>
      <c r="L208" s="309"/>
      <c r="M208" s="309"/>
      <c r="N208" s="309"/>
      <c r="O208" s="309">
        <f ca="1">IF(Scenarios!$C$8 = "Example", Tbl_Scenarios[[#This Row],[Example]],OFFSET(Tbl_Scenarios[[#This Row],[Example]],0,Scenarios!$C$8))</f>
        <v>33.805902451319071</v>
      </c>
    </row>
    <row r="209" spans="1:15" x14ac:dyDescent="0.25">
      <c r="A209" t="s">
        <v>920</v>
      </c>
      <c r="B209" s="343" t="s">
        <v>1473</v>
      </c>
      <c r="C209" s="309">
        <f>'TEA Backend'!F76</f>
        <v>228.03785302046526</v>
      </c>
      <c r="D209" s="309">
        <v>143.81121971072571</v>
      </c>
      <c r="E209" s="309">
        <v>228.03785302046526</v>
      </c>
      <c r="F209" s="309"/>
      <c r="G209" s="465"/>
      <c r="H209" s="309"/>
      <c r="I209" s="309"/>
      <c r="J209" s="309"/>
      <c r="K209" s="309"/>
      <c r="L209" s="309"/>
      <c r="M209" s="309"/>
      <c r="N209" s="309"/>
      <c r="O209" s="309">
        <f ca="1">IF(Scenarios!$C$8 = "Example", Tbl_Scenarios[[#This Row],[Example]],OFFSET(Tbl_Scenarios[[#This Row],[Example]],0,Scenarios!$C$8))</f>
        <v>228.03785302046526</v>
      </c>
    </row>
    <row r="210" spans="1:15" x14ac:dyDescent="0.25">
      <c r="A210" t="s">
        <v>921</v>
      </c>
      <c r="B210" s="343" t="s">
        <v>1474</v>
      </c>
      <c r="C210" s="309">
        <f>'TEA Backend'!F77</f>
        <v>40107.806200058709</v>
      </c>
      <c r="D210" s="309">
        <v>134209.90627759998</v>
      </c>
      <c r="E210" s="309">
        <v>40107.806200058709</v>
      </c>
      <c r="F210" s="309"/>
      <c r="G210" s="465"/>
      <c r="H210" s="309"/>
      <c r="I210" s="309"/>
      <c r="J210" s="309"/>
      <c r="K210" s="309"/>
      <c r="L210" s="309"/>
      <c r="M210" s="309"/>
      <c r="N210" s="309"/>
      <c r="O210" s="309">
        <f ca="1">IF(Scenarios!$C$8 = "Example", Tbl_Scenarios[[#This Row],[Example]],OFFSET(Tbl_Scenarios[[#This Row],[Example]],0,Scenarios!$C$8))</f>
        <v>40107.806200058709</v>
      </c>
    </row>
    <row r="211" spans="1:15" x14ac:dyDescent="0.25">
      <c r="A211" t="s">
        <v>922</v>
      </c>
      <c r="B211" s="343" t="s">
        <v>1475</v>
      </c>
      <c r="C211" s="309">
        <f>'TEA Backend'!F78</f>
        <v>116.67795806554216</v>
      </c>
      <c r="D211" s="309">
        <v>451.65709667709893</v>
      </c>
      <c r="E211" s="309">
        <v>116.67795806554216</v>
      </c>
      <c r="F211" s="309"/>
      <c r="G211" s="465"/>
      <c r="H211" s="309"/>
      <c r="I211" s="309"/>
      <c r="J211" s="309"/>
      <c r="K211" s="309"/>
      <c r="L211" s="309"/>
      <c r="M211" s="309"/>
      <c r="N211" s="309"/>
      <c r="O211" s="309">
        <f ca="1">IF(Scenarios!$C$8 = "Example", Tbl_Scenarios[[#This Row],[Example]],OFFSET(Tbl_Scenarios[[#This Row],[Example]],0,Scenarios!$C$8))</f>
        <v>116.67795806554216</v>
      </c>
    </row>
    <row r="212" spans="1:15" x14ac:dyDescent="0.25">
      <c r="A212" t="s">
        <v>923</v>
      </c>
      <c r="B212" s="343" t="s">
        <v>1476</v>
      </c>
      <c r="C212" s="309">
        <f>'TEA Backend'!F79</f>
        <v>50.103841823992752</v>
      </c>
      <c r="D212" s="309">
        <v>133.51813325188778</v>
      </c>
      <c r="E212" s="309">
        <v>50.103841823992752</v>
      </c>
      <c r="F212" s="309"/>
      <c r="G212" s="465"/>
      <c r="H212" s="309"/>
      <c r="I212" s="309"/>
      <c r="J212" s="309"/>
      <c r="K212" s="309"/>
      <c r="L212" s="309"/>
      <c r="M212" s="309"/>
      <c r="N212" s="309"/>
      <c r="O212" s="309">
        <f ca="1">IF(Scenarios!$C$8 = "Example", Tbl_Scenarios[[#This Row],[Example]],OFFSET(Tbl_Scenarios[[#This Row],[Example]],0,Scenarios!$C$8))</f>
        <v>50.103841823992752</v>
      </c>
    </row>
    <row r="213" spans="1:15" x14ac:dyDescent="0.25">
      <c r="A213" t="s">
        <v>924</v>
      </c>
      <c r="B213" s="343" t="s">
        <v>1477</v>
      </c>
      <c r="C213" s="309">
        <f>'TEA Backend'!F80</f>
        <v>1878.8940683997353</v>
      </c>
      <c r="D213" s="309">
        <v>2503.4649984728894</v>
      </c>
      <c r="E213" s="309">
        <v>1878.8940683997353</v>
      </c>
      <c r="F213" s="309"/>
      <c r="G213" s="465"/>
      <c r="H213" s="309"/>
      <c r="I213" s="309"/>
      <c r="J213" s="309"/>
      <c r="K213" s="309"/>
      <c r="L213" s="309"/>
      <c r="M213" s="309"/>
      <c r="N213" s="309"/>
      <c r="O213" s="309">
        <f ca="1">IF(Scenarios!$C$8 = "Example", Tbl_Scenarios[[#This Row],[Example]],OFFSET(Tbl_Scenarios[[#This Row],[Example]],0,Scenarios!$C$8))</f>
        <v>1878.8940683997353</v>
      </c>
    </row>
    <row r="214" spans="1:15" x14ac:dyDescent="0.25">
      <c r="A214" t="s">
        <v>931</v>
      </c>
      <c r="B214" s="343" t="s">
        <v>1478</v>
      </c>
      <c r="C214" s="309">
        <f>'TEA Backend'!F81</f>
        <v>69.950385019245005</v>
      </c>
      <c r="D214" s="309">
        <v>527.08757342810713</v>
      </c>
      <c r="E214" s="309">
        <v>69.950385019245005</v>
      </c>
      <c r="F214" s="309"/>
      <c r="G214" s="465"/>
      <c r="H214" s="309"/>
      <c r="I214" s="309"/>
      <c r="J214" s="309"/>
      <c r="K214" s="309"/>
      <c r="L214" s="309"/>
      <c r="M214" s="309"/>
      <c r="N214" s="309"/>
      <c r="O214" s="309">
        <f ca="1">IF(Scenarios!$C$8 = "Example", Tbl_Scenarios[[#This Row],[Example]],OFFSET(Tbl_Scenarios[[#This Row],[Example]],0,Scenarios!$C$8))</f>
        <v>69.950385019245005</v>
      </c>
    </row>
    <row r="215" spans="1:15" x14ac:dyDescent="0.25">
      <c r="A215" t="s">
        <v>932</v>
      </c>
      <c r="B215" s="343" t="s">
        <v>1479</v>
      </c>
      <c r="C215" s="309">
        <f>'TEA Backend'!F82</f>
        <v>1.8091299351327166</v>
      </c>
      <c r="D215" s="309">
        <v>45.04430522732946</v>
      </c>
      <c r="E215" s="309">
        <v>1.860593149917662</v>
      </c>
      <c r="F215" s="309"/>
      <c r="G215" s="465"/>
      <c r="H215" s="309"/>
      <c r="I215" s="309"/>
      <c r="J215" s="309"/>
      <c r="K215" s="309"/>
      <c r="L215" s="309"/>
      <c r="M215" s="309"/>
      <c r="N215" s="309"/>
      <c r="O215" s="309">
        <f ca="1">IF(Scenarios!$C$8 = "Example", Tbl_Scenarios[[#This Row],[Example]],OFFSET(Tbl_Scenarios[[#This Row],[Example]],0,Scenarios!$C$8))</f>
        <v>1.860593149917662</v>
      </c>
    </row>
    <row r="216" spans="1:15" x14ac:dyDescent="0.25">
      <c r="A216" t="s">
        <v>933</v>
      </c>
      <c r="B216" s="343" t="s">
        <v>1480</v>
      </c>
      <c r="C216" s="309">
        <f>'TEA Backend'!F83</f>
        <v>21.859495318514519</v>
      </c>
      <c r="D216" s="309">
        <v>98.044563509691216</v>
      </c>
      <c r="E216" s="309">
        <v>21.859495318514519</v>
      </c>
      <c r="F216" s="309"/>
      <c r="G216" s="465"/>
      <c r="H216" s="309"/>
      <c r="I216" s="309"/>
      <c r="J216" s="309"/>
      <c r="K216" s="309"/>
      <c r="L216" s="309"/>
      <c r="M216" s="309"/>
      <c r="N216" s="309"/>
      <c r="O216" s="309">
        <f ca="1">IF(Scenarios!$C$8 = "Example", Tbl_Scenarios[[#This Row],[Example]],OFFSET(Tbl_Scenarios[[#This Row],[Example]],0,Scenarios!$C$8))</f>
        <v>21.859495318514519</v>
      </c>
    </row>
    <row r="217" spans="1:15" x14ac:dyDescent="0.25">
      <c r="A217" t="s">
        <v>934</v>
      </c>
      <c r="B217" s="343" t="s">
        <v>1481</v>
      </c>
      <c r="C217" s="309">
        <f>'TEA Backend'!F84</f>
        <v>10985.593492160177</v>
      </c>
      <c r="D217" s="309">
        <v>649.88788135053983</v>
      </c>
      <c r="E217" s="309">
        <v>10985.593492160177</v>
      </c>
      <c r="F217" s="309"/>
      <c r="G217" s="465"/>
      <c r="H217" s="309"/>
      <c r="I217" s="309"/>
      <c r="J217" s="309"/>
      <c r="K217" s="309"/>
      <c r="L217" s="309"/>
      <c r="M217" s="309"/>
      <c r="N217" s="309"/>
      <c r="O217" s="309">
        <f ca="1">IF(Scenarios!$C$8 = "Example", Tbl_Scenarios[[#This Row],[Example]],OFFSET(Tbl_Scenarios[[#This Row],[Example]],0,Scenarios!$C$8))</f>
        <v>10985.593492160177</v>
      </c>
    </row>
    <row r="218" spans="1:15" x14ac:dyDescent="0.25">
      <c r="A218" t="s">
        <v>935</v>
      </c>
      <c r="B218" s="343" t="s">
        <v>1482</v>
      </c>
      <c r="C218" s="309">
        <f>'TEA Backend'!F85</f>
        <v>9.5874848682310763</v>
      </c>
      <c r="D218" s="309">
        <v>76.177334077718967</v>
      </c>
      <c r="E218" s="309">
        <v>9.5874848682310763</v>
      </c>
      <c r="F218" s="309"/>
      <c r="G218" s="465"/>
      <c r="H218" s="309"/>
      <c r="I218" s="309"/>
      <c r="J218" s="309"/>
      <c r="K218" s="309"/>
      <c r="L218" s="309"/>
      <c r="M218" s="309"/>
      <c r="N218" s="309"/>
      <c r="O218" s="309">
        <f ca="1">IF(Scenarios!$C$8 = "Example", Tbl_Scenarios[[#This Row],[Example]],OFFSET(Tbl_Scenarios[[#This Row],[Example]],0,Scenarios!$C$8))</f>
        <v>9.5874848682310763</v>
      </c>
    </row>
    <row r="219" spans="1:15" x14ac:dyDescent="0.25">
      <c r="A219" t="s">
        <v>936</v>
      </c>
      <c r="B219" s="343" t="s">
        <v>1483</v>
      </c>
      <c r="C219" s="309">
        <f>'TEA Backend'!F86</f>
        <v>514.63214784957381</v>
      </c>
      <c r="D219" s="309">
        <v>10.555977695446472</v>
      </c>
      <c r="E219" s="309">
        <v>514.63214784957381</v>
      </c>
      <c r="F219" s="309"/>
      <c r="G219" s="465"/>
      <c r="H219" s="309"/>
      <c r="I219" s="309"/>
      <c r="J219" s="309"/>
      <c r="K219" s="309"/>
      <c r="L219" s="309"/>
      <c r="M219" s="309"/>
      <c r="N219" s="309"/>
      <c r="O219" s="309">
        <f ca="1">IF(Scenarios!$C$8 = "Example", Tbl_Scenarios[[#This Row],[Example]],OFFSET(Tbl_Scenarios[[#This Row],[Example]],0,Scenarios!$C$8))</f>
        <v>514.63214784957381</v>
      </c>
    </row>
    <row r="220" spans="1:15" x14ac:dyDescent="0.25">
      <c r="A220" t="s">
        <v>944</v>
      </c>
      <c r="B220" s="343" t="s">
        <v>1484</v>
      </c>
      <c r="C220" s="309">
        <f>'TEA Backend'!F87</f>
        <v>413.49240033108799</v>
      </c>
      <c r="D220" s="309">
        <v>139.10123600996667</v>
      </c>
      <c r="E220" s="309">
        <v>413.49240033108799</v>
      </c>
      <c r="F220" s="309"/>
      <c r="G220" s="465"/>
      <c r="H220" s="309"/>
      <c r="I220" s="309"/>
      <c r="J220" s="309"/>
      <c r="K220" s="309"/>
      <c r="L220" s="309"/>
      <c r="M220" s="309"/>
      <c r="N220" s="309"/>
      <c r="O220" s="309">
        <f ca="1">IF(Scenarios!$C$8 = "Example", Tbl_Scenarios[[#This Row],[Example]],OFFSET(Tbl_Scenarios[[#This Row],[Example]],0,Scenarios!$C$8))</f>
        <v>413.49240033108799</v>
      </c>
    </row>
    <row r="221" spans="1:15" x14ac:dyDescent="0.25">
      <c r="A221" t="s">
        <v>945</v>
      </c>
      <c r="B221" s="343" t="s">
        <v>1485</v>
      </c>
      <c r="C221" s="309">
        <f>'TEA Backend'!F88</f>
        <v>20.212515883215701</v>
      </c>
      <c r="D221" s="309">
        <v>6.6091769126102236</v>
      </c>
      <c r="E221" s="309">
        <v>20.212515883215701</v>
      </c>
      <c r="F221" s="309"/>
      <c r="G221" s="465"/>
      <c r="H221" s="309"/>
      <c r="I221" s="309"/>
      <c r="J221" s="309"/>
      <c r="K221" s="309"/>
      <c r="L221" s="309"/>
      <c r="M221" s="309"/>
      <c r="N221" s="309"/>
      <c r="O221" s="309">
        <f ca="1">IF(Scenarios!$C$8 = "Example", Tbl_Scenarios[[#This Row],[Example]],OFFSET(Tbl_Scenarios[[#This Row],[Example]],0,Scenarios!$C$8))</f>
        <v>20.212515883215701</v>
      </c>
    </row>
    <row r="222" spans="1:15" x14ac:dyDescent="0.25">
      <c r="A222" t="s">
        <v>946</v>
      </c>
      <c r="B222" s="343" t="s">
        <v>1486</v>
      </c>
      <c r="C222" s="309">
        <f>'TEA Backend'!F89</f>
        <v>143.57375011496333</v>
      </c>
      <c r="D222" s="309">
        <v>28.749428738833103</v>
      </c>
      <c r="E222" s="309">
        <v>143.57375011496333</v>
      </c>
      <c r="F222" s="309"/>
      <c r="G222" s="465"/>
      <c r="H222" s="309"/>
      <c r="I222" s="309"/>
      <c r="J222" s="309"/>
      <c r="K222" s="309"/>
      <c r="L222" s="309"/>
      <c r="M222" s="309"/>
      <c r="N222" s="309"/>
      <c r="O222" s="309">
        <f ca="1">IF(Scenarios!$C$8 = "Example", Tbl_Scenarios[[#This Row],[Example]],OFFSET(Tbl_Scenarios[[#This Row],[Example]],0,Scenarios!$C$8))</f>
        <v>143.57375011496333</v>
      </c>
    </row>
    <row r="223" spans="1:15" x14ac:dyDescent="0.25">
      <c r="A223" t="s">
        <v>947</v>
      </c>
      <c r="B223" s="343" t="s">
        <v>1487</v>
      </c>
      <c r="C223" s="309">
        <f>'TEA Backend'!F90</f>
        <v>919.97487150153711</v>
      </c>
      <c r="D223" s="309">
        <v>207.71400458597395</v>
      </c>
      <c r="E223" s="309">
        <v>919.97487150153711</v>
      </c>
      <c r="F223" s="309"/>
      <c r="G223" s="465"/>
      <c r="H223" s="309"/>
      <c r="I223" s="309"/>
      <c r="J223" s="309"/>
      <c r="K223" s="309"/>
      <c r="L223" s="309"/>
      <c r="M223" s="309"/>
      <c r="N223" s="309"/>
      <c r="O223" s="309">
        <f ca="1">IF(Scenarios!$C$8 = "Example", Tbl_Scenarios[[#This Row],[Example]],OFFSET(Tbl_Scenarios[[#This Row],[Example]],0,Scenarios!$C$8))</f>
        <v>919.97487150153711</v>
      </c>
    </row>
    <row r="224" spans="1:15" x14ac:dyDescent="0.25">
      <c r="A224" t="s">
        <v>948</v>
      </c>
      <c r="B224" s="343" t="s">
        <v>1488</v>
      </c>
      <c r="C224" s="309">
        <f>'TEA Backend'!F91</f>
        <v>148.22621588148453</v>
      </c>
      <c r="D224" s="309">
        <v>21.101105227781488</v>
      </c>
      <c r="E224" s="309">
        <v>148.22621588148453</v>
      </c>
      <c r="F224" s="309"/>
      <c r="G224" s="465"/>
      <c r="H224" s="309"/>
      <c r="I224" s="309"/>
      <c r="J224" s="309"/>
      <c r="K224" s="309"/>
      <c r="L224" s="309"/>
      <c r="M224" s="309"/>
      <c r="N224" s="309"/>
      <c r="O224" s="309">
        <f ca="1">IF(Scenarios!$C$8 = "Example", Tbl_Scenarios[[#This Row],[Example]],OFFSET(Tbl_Scenarios[[#This Row],[Example]],0,Scenarios!$C$8))</f>
        <v>148.22621588148453</v>
      </c>
    </row>
    <row r="225" spans="1:15" x14ac:dyDescent="0.25">
      <c r="A225" t="s">
        <v>949</v>
      </c>
      <c r="B225" s="343" t="s">
        <v>1489</v>
      </c>
      <c r="C225" s="309">
        <f>'TEA Backend'!F92</f>
        <v>50.763997161056977</v>
      </c>
      <c r="D225" s="309">
        <v>6.237874264110701</v>
      </c>
      <c r="E225" s="309">
        <v>50.763997161056977</v>
      </c>
      <c r="F225" s="309"/>
      <c r="G225" s="465"/>
      <c r="H225" s="309"/>
      <c r="I225" s="309"/>
      <c r="J225" s="309"/>
      <c r="K225" s="309"/>
      <c r="L225" s="309"/>
      <c r="M225" s="309"/>
      <c r="N225" s="309"/>
      <c r="O225" s="309">
        <f ca="1">IF(Scenarios!$C$8 = "Example", Tbl_Scenarios[[#This Row],[Example]],OFFSET(Tbl_Scenarios[[#This Row],[Example]],0,Scenarios!$C$8))</f>
        <v>50.763997161056977</v>
      </c>
    </row>
    <row r="226" spans="1:15" ht="15.75" thickBot="1" x14ac:dyDescent="0.3">
      <c r="A226" s="193" t="s">
        <v>950</v>
      </c>
      <c r="B226" s="423" t="s">
        <v>1509</v>
      </c>
      <c r="C226" s="310">
        <f>'TEA Backend'!F93</f>
        <v>39.782058013707228</v>
      </c>
      <c r="D226" s="310">
        <v>2.9240035613017881</v>
      </c>
      <c r="E226" s="310">
        <v>39.782058013707228</v>
      </c>
      <c r="F226" s="310"/>
      <c r="G226" s="471"/>
      <c r="H226" s="310"/>
      <c r="I226" s="310"/>
      <c r="J226" s="310"/>
      <c r="K226" s="310"/>
      <c r="L226" s="310"/>
      <c r="M226" s="310"/>
      <c r="N226" s="310"/>
      <c r="O226" s="310">
        <f ca="1">IF(Scenarios!$C$8 = "Example", Tbl_Scenarios[[#This Row],[Example]],OFFSET(Tbl_Scenarios[[#This Row],[Example]],0,Scenarios!$C$8))</f>
        <v>39.782058013707228</v>
      </c>
    </row>
    <row r="227" spans="1:15" x14ac:dyDescent="0.25">
      <c r="A227" t="s">
        <v>1518</v>
      </c>
      <c r="B227" s="343" t="s">
        <v>1519</v>
      </c>
      <c r="C227" s="309">
        <f>C206+C185</f>
        <v>212518.44479234522</v>
      </c>
      <c r="D227" s="309">
        <f t="shared" ref="D227:N227" si="0">D206+D185</f>
        <v>151354.91715276023</v>
      </c>
      <c r="E227" s="309">
        <v>212518.44479234522</v>
      </c>
      <c r="F227" s="309">
        <f t="shared" si="0"/>
        <v>0</v>
      </c>
      <c r="G227" s="465">
        <f t="shared" si="0"/>
        <v>0</v>
      </c>
      <c r="H227" s="309">
        <f t="shared" si="0"/>
        <v>0</v>
      </c>
      <c r="I227" s="309">
        <f t="shared" si="0"/>
        <v>0</v>
      </c>
      <c r="J227" s="309">
        <f t="shared" si="0"/>
        <v>0</v>
      </c>
      <c r="K227" s="309">
        <f t="shared" si="0"/>
        <v>0</v>
      </c>
      <c r="L227" s="309">
        <f t="shared" si="0"/>
        <v>0</v>
      </c>
      <c r="M227" s="309">
        <f t="shared" si="0"/>
        <v>0</v>
      </c>
      <c r="N227" s="309">
        <f t="shared" si="0"/>
        <v>0</v>
      </c>
      <c r="O227" s="309">
        <f ca="1">IF(Scenarios!$C$8 = "Example", Tbl_Scenarios[[#This Row],[Example]],OFFSET(Tbl_Scenarios[[#This Row],[Example]],0,Scenarios!$C$8))</f>
        <v>212518.44479234522</v>
      </c>
    </row>
    <row r="228" spans="1:15" x14ac:dyDescent="0.25">
      <c r="A228" t="s">
        <v>1515</v>
      </c>
      <c r="B228" s="1" t="s">
        <v>1519</v>
      </c>
      <c r="C228" s="309">
        <f>SUM(C186:C192,C207:C213)</f>
        <v>370930.833754664</v>
      </c>
      <c r="D228" s="309">
        <f t="shared" ref="D228:N228" si="1">SUM(D186:D192,D207:D213)</f>
        <v>1168907.4063295973</v>
      </c>
      <c r="E228" s="309">
        <f t="shared" si="1"/>
        <v>370930.833754664</v>
      </c>
      <c r="F228" s="309">
        <f t="shared" si="1"/>
        <v>0</v>
      </c>
      <c r="G228" s="465">
        <f t="shared" si="1"/>
        <v>0</v>
      </c>
      <c r="H228" s="309">
        <f t="shared" si="1"/>
        <v>0</v>
      </c>
      <c r="I228" s="309">
        <f t="shared" si="1"/>
        <v>0</v>
      </c>
      <c r="J228" s="309">
        <f t="shared" si="1"/>
        <v>0</v>
      </c>
      <c r="K228" s="309">
        <f t="shared" si="1"/>
        <v>0</v>
      </c>
      <c r="L228" s="309">
        <f t="shared" si="1"/>
        <v>0</v>
      </c>
      <c r="M228" s="309">
        <f t="shared" si="1"/>
        <v>0</v>
      </c>
      <c r="N228" s="309">
        <f t="shared" si="1"/>
        <v>0</v>
      </c>
      <c r="O228" s="309">
        <f ca="1">IF(Scenarios!$C$8 = "Example", Tbl_Scenarios[[#This Row],[Example]],OFFSET(Tbl_Scenarios[[#This Row],[Example]],0,Scenarios!$C$8))</f>
        <v>370930.833754664</v>
      </c>
    </row>
    <row r="229" spans="1:15" x14ac:dyDescent="0.25">
      <c r="A229" t="s">
        <v>1516</v>
      </c>
      <c r="B229" s="1" t="s">
        <v>1519</v>
      </c>
      <c r="C229" s="309">
        <f>SUM(C193:C198,C214:C219)</f>
        <v>86056.650519539486</v>
      </c>
      <c r="D229" s="309">
        <f t="shared" ref="D229:N229" si="2">SUM(D193:D198,D214:D219)</f>
        <v>84696.35444881751</v>
      </c>
      <c r="E229" s="309">
        <f t="shared" si="2"/>
        <v>86060.810507203627</v>
      </c>
      <c r="F229" s="309">
        <f t="shared" si="2"/>
        <v>0</v>
      </c>
      <c r="G229" s="465">
        <f t="shared" si="2"/>
        <v>0</v>
      </c>
      <c r="H229" s="309">
        <f t="shared" si="2"/>
        <v>0</v>
      </c>
      <c r="I229" s="309">
        <f t="shared" si="2"/>
        <v>0</v>
      </c>
      <c r="J229" s="309">
        <f t="shared" si="2"/>
        <v>0</v>
      </c>
      <c r="K229" s="309">
        <f t="shared" si="2"/>
        <v>0</v>
      </c>
      <c r="L229" s="309">
        <f t="shared" si="2"/>
        <v>0</v>
      </c>
      <c r="M229" s="309">
        <f t="shared" si="2"/>
        <v>0</v>
      </c>
      <c r="N229" s="309">
        <f t="shared" si="2"/>
        <v>0</v>
      </c>
      <c r="O229" s="309">
        <f ca="1">IF(Scenarios!$C$8 = "Example", Tbl_Scenarios[[#This Row],[Example]],OFFSET(Tbl_Scenarios[[#This Row],[Example]],0,Scenarios!$C$8))</f>
        <v>86060.810507203627</v>
      </c>
    </row>
    <row r="230" spans="1:15" x14ac:dyDescent="0.25">
      <c r="A230" t="s">
        <v>1517</v>
      </c>
      <c r="B230" s="1" t="s">
        <v>1519</v>
      </c>
      <c r="C230" s="309">
        <f>SUM(C199:C205,C220:C226)</f>
        <v>69204.813921008725</v>
      </c>
      <c r="D230" s="309">
        <f t="shared" ref="D230:N230" si="3">SUM(D199:D205,D220:D226)</f>
        <v>22956.932103452207</v>
      </c>
      <c r="E230" s="309">
        <f t="shared" si="3"/>
        <v>69204.813921008725</v>
      </c>
      <c r="F230" s="309">
        <f t="shared" si="3"/>
        <v>0</v>
      </c>
      <c r="G230" s="465">
        <f t="shared" si="3"/>
        <v>0</v>
      </c>
      <c r="H230" s="309">
        <f t="shared" si="3"/>
        <v>0</v>
      </c>
      <c r="I230" s="309">
        <f t="shared" si="3"/>
        <v>0</v>
      </c>
      <c r="J230" s="309">
        <f t="shared" si="3"/>
        <v>0</v>
      </c>
      <c r="K230" s="309">
        <f t="shared" si="3"/>
        <v>0</v>
      </c>
      <c r="L230" s="309">
        <f t="shared" si="3"/>
        <v>0</v>
      </c>
      <c r="M230" s="309">
        <f t="shared" si="3"/>
        <v>0</v>
      </c>
      <c r="N230" s="309">
        <f t="shared" si="3"/>
        <v>0</v>
      </c>
      <c r="O230" s="309">
        <f ca="1">IF(Scenarios!$C$8 = "Example", Tbl_Scenarios[[#This Row],[Example]],OFFSET(Tbl_Scenarios[[#This Row],[Example]],0,Scenarios!$C$8))</f>
        <v>69204.813921008725</v>
      </c>
    </row>
    <row r="231" spans="1:15" x14ac:dyDescent="0.25">
      <c r="A231" t="s">
        <v>1191</v>
      </c>
      <c r="B231" s="343" t="s">
        <v>1519</v>
      </c>
      <c r="C231" s="309">
        <f>SUM(C185:C226)</f>
        <v>738710.74298755755</v>
      </c>
      <c r="D231" s="309">
        <f t="shared" ref="D231:N231" si="4">SUM(D185:D226)</f>
        <v>1427915.6100346269</v>
      </c>
      <c r="E231" s="309">
        <f t="shared" si="4"/>
        <v>738714.90297522175</v>
      </c>
      <c r="F231" s="309">
        <f t="shared" si="4"/>
        <v>0</v>
      </c>
      <c r="G231" s="465">
        <f t="shared" si="4"/>
        <v>0</v>
      </c>
      <c r="H231" s="309">
        <f t="shared" si="4"/>
        <v>0</v>
      </c>
      <c r="I231" s="309">
        <f t="shared" si="4"/>
        <v>0</v>
      </c>
      <c r="J231" s="309">
        <f t="shared" si="4"/>
        <v>0</v>
      </c>
      <c r="K231" s="309">
        <f t="shared" si="4"/>
        <v>0</v>
      </c>
      <c r="L231" s="309">
        <f t="shared" si="4"/>
        <v>0</v>
      </c>
      <c r="M231" s="309">
        <f t="shared" si="4"/>
        <v>0</v>
      </c>
      <c r="N231" s="309">
        <f t="shared" si="4"/>
        <v>0</v>
      </c>
      <c r="O231" s="309">
        <f ca="1">IF(Scenarios!$C$8 = "Example", Tbl_Scenarios[[#This Row],[Example]],OFFSET(Tbl_Scenarios[[#This Row],[Example]],0,Scenarios!$C$8))</f>
        <v>738714.90297522175</v>
      </c>
    </row>
    <row r="232" spans="1:15" x14ac:dyDescent="0.25">
      <c r="A232" t="s">
        <v>1524</v>
      </c>
      <c r="B232" s="1" t="s">
        <v>1519</v>
      </c>
      <c r="C232" s="337">
        <f>SUM(C151:C153)</f>
        <v>51.462295138888884</v>
      </c>
      <c r="D232" s="337">
        <f t="shared" ref="D232:N232" si="5">SUM(D151:D153)</f>
        <v>68.53049482855667</v>
      </c>
      <c r="E232" s="337">
        <f t="shared" si="5"/>
        <v>51.462295138888884</v>
      </c>
      <c r="F232" s="337">
        <f t="shared" si="5"/>
        <v>0</v>
      </c>
      <c r="G232" s="472">
        <f t="shared" si="5"/>
        <v>0</v>
      </c>
      <c r="H232" s="337">
        <f t="shared" si="5"/>
        <v>0</v>
      </c>
      <c r="I232" s="337">
        <f t="shared" si="5"/>
        <v>0</v>
      </c>
      <c r="J232" s="337">
        <f t="shared" si="5"/>
        <v>0</v>
      </c>
      <c r="K232" s="337">
        <f t="shared" si="5"/>
        <v>0</v>
      </c>
      <c r="L232" s="337">
        <f t="shared" si="5"/>
        <v>0</v>
      </c>
      <c r="M232" s="337">
        <f t="shared" si="5"/>
        <v>0</v>
      </c>
      <c r="N232" s="337">
        <f t="shared" si="5"/>
        <v>0</v>
      </c>
      <c r="O232" s="337">
        <f ca="1">IF(Scenarios!$C$8 = "Example", Tbl_Scenarios[[#This Row],[Example]],OFFSET(Tbl_Scenarios[[#This Row],[Example]],0,Scenarios!$C$8))</f>
        <v>51.462295138888884</v>
      </c>
    </row>
    <row r="233" spans="1:15" x14ac:dyDescent="0.25">
      <c r="A233" t="s">
        <v>1548</v>
      </c>
      <c r="B233" s="1" t="s">
        <v>1519</v>
      </c>
      <c r="C233" s="337">
        <f t="shared" ref="C233:N233" si="6">IF(C110,SUM(C155:C158),0)</f>
        <v>26</v>
      </c>
      <c r="D233" s="337">
        <f t="shared" si="6"/>
        <v>30.2328734375</v>
      </c>
      <c r="E233" s="337">
        <f t="shared" si="6"/>
        <v>26</v>
      </c>
      <c r="F233" s="337">
        <f t="shared" si="6"/>
        <v>0</v>
      </c>
      <c r="G233" s="472">
        <f t="shared" si="6"/>
        <v>0</v>
      </c>
      <c r="H233" s="337">
        <f t="shared" si="6"/>
        <v>0</v>
      </c>
      <c r="I233" s="337">
        <f t="shared" si="6"/>
        <v>0</v>
      </c>
      <c r="J233" s="337">
        <f t="shared" si="6"/>
        <v>0</v>
      </c>
      <c r="K233" s="337">
        <f t="shared" si="6"/>
        <v>0</v>
      </c>
      <c r="L233" s="337">
        <f t="shared" si="6"/>
        <v>0</v>
      </c>
      <c r="M233" s="337">
        <f t="shared" si="6"/>
        <v>0</v>
      </c>
      <c r="N233" s="337">
        <f t="shared" si="6"/>
        <v>0</v>
      </c>
      <c r="O233" s="337">
        <f ca="1">IF(Scenarios!$C$8 = "Example", Tbl_Scenarios[[#This Row],[Example]],OFFSET(Tbl_Scenarios[[#This Row],[Example]],0,Scenarios!$C$8))</f>
        <v>26</v>
      </c>
    </row>
    <row r="234" spans="1:15" x14ac:dyDescent="0.25">
      <c r="A234" t="s">
        <v>1549</v>
      </c>
      <c r="B234" s="1" t="s">
        <v>1519</v>
      </c>
      <c r="C234" s="337">
        <f t="shared" ref="C234:N234" si="7">IF(C128,SUM(C160:C161)/60,0)</f>
        <v>6.2032412565169039</v>
      </c>
      <c r="D234" s="337">
        <f t="shared" si="7"/>
        <v>0.9304999409404815</v>
      </c>
      <c r="E234" s="337">
        <f t="shared" si="7"/>
        <v>6.2032412565169039</v>
      </c>
      <c r="F234" s="337">
        <f t="shared" si="7"/>
        <v>0</v>
      </c>
      <c r="G234" s="472">
        <f t="shared" si="7"/>
        <v>0</v>
      </c>
      <c r="H234" s="337">
        <f t="shared" si="7"/>
        <v>0</v>
      </c>
      <c r="I234" s="337">
        <f t="shared" si="7"/>
        <v>0</v>
      </c>
      <c r="J234" s="337">
        <f t="shared" si="7"/>
        <v>0</v>
      </c>
      <c r="K234" s="337">
        <f t="shared" si="7"/>
        <v>0</v>
      </c>
      <c r="L234" s="337">
        <f t="shared" si="7"/>
        <v>0</v>
      </c>
      <c r="M234" s="337">
        <f t="shared" si="7"/>
        <v>0</v>
      </c>
      <c r="N234" s="337">
        <f t="shared" si="7"/>
        <v>0</v>
      </c>
      <c r="O234" s="337">
        <f ca="1">IF(Scenarios!$C$8 = "Example", Tbl_Scenarios[[#This Row],[Example]],OFFSET(Tbl_Scenarios[[#This Row],[Example]],0,Scenarios!$C$8))</f>
        <v>6.2032412565169039</v>
      </c>
    </row>
  </sheetData>
  <sheetProtection algorithmName="SHA-512" hashValue="RTy1kbR94IKyV+Q+otsFyZyOhh0hPIu+Kgu2SWLAmNSSWYZo3QNrkB2PNnW9dbkwHjG8IdJxQOGtxFe2rWelIA==" saltValue="OoiZhiZ7puXhqYRxMJGANQ==" spinCount="100000" sheet="1" objects="1" scenarios="1"/>
  <phoneticPr fontId="21" type="noConversion"/>
  <pageMargins left="0.7" right="0.7" top="0.75" bottom="0.75" header="0.3" footer="0.3"/>
  <pageSetup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Disclaimer</vt:lpstr>
      <vt:lpstr>Overview</vt:lpstr>
      <vt:lpstr>Scenarios</vt:lpstr>
      <vt:lpstr>1. TEA Variables</vt:lpstr>
      <vt:lpstr>2. Geometry</vt:lpstr>
      <vt:lpstr>3. Material</vt:lpstr>
      <vt:lpstr>4. Printing</vt:lpstr>
      <vt:lpstr>5. Post Processing</vt:lpstr>
      <vt:lpstr>6. Machining</vt:lpstr>
      <vt:lpstr>7. Results</vt:lpstr>
      <vt:lpstr>8. Comparison</vt:lpstr>
      <vt:lpstr>PRNT Backend</vt:lpstr>
      <vt:lpstr>PP Backend</vt:lpstr>
      <vt:lpstr>MCN Backend</vt:lpstr>
      <vt:lpstr>TEA Backend</vt:lpstr>
      <vt:lpstr>Printers</vt:lpstr>
      <vt:lpstr>Materials</vt:lpstr>
      <vt:lpstr>Saved Scenarios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Price, Christopher</dc:creator>
  <cp:lastModifiedBy>Price, Chris</cp:lastModifiedBy>
  <cp:lastPrinted>2023-01-10T17:44:52Z</cp:lastPrinted>
  <dcterms:created xsi:type="dcterms:W3CDTF">2022-05-10T20:54:26Z</dcterms:created>
  <dcterms:modified xsi:type="dcterms:W3CDTF">2024-07-15T19:10:59Z</dcterms:modified>
</cp:coreProperties>
</file>